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2.xml" ContentType="application/vnd.openxmlformats-officedocument.spreadsheetml.comments+xml"/>
  <Override PartName="/xl/drawings/drawing6.xml" ContentType="application/vnd.openxmlformats-officedocument.drawing+xml"/>
  <Override PartName="/xl/comments3.xml" ContentType="application/vnd.openxmlformats-officedocument.spreadsheetml.comments+xml"/>
  <Override PartName="/xl/drawings/drawing7.xml" ContentType="application/vnd.openxmlformats-officedocument.drawing+xml"/>
  <Override PartName="/xl/comments4.xml" ContentType="application/vnd.openxmlformats-officedocument.spreadsheetml.comments+xml"/>
  <Override PartName="/xl/drawings/drawing8.xml" ContentType="application/vnd.openxmlformats-officedocument.drawing+xml"/>
  <Override PartName="/xl/comments5.xml" ContentType="application/vnd.openxmlformats-officedocument.spreadsheetml.comments+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workbookProtection workbookPassword="CEE2" lockStructure="1"/>
  <bookViews>
    <workbookView showSheetTabs="0" xWindow="-12" yWindow="-12" windowWidth="11616" windowHeight="10236" tabRatio="804" firstSheet="10" activeTab="9"/>
  </bookViews>
  <sheets>
    <sheet name="Setup" sheetId="93" r:id="rId1"/>
    <sheet name="Player Name" sheetId="95" r:id="rId2"/>
    <sheet name="Player Scoreboard" sheetId="19" r:id="rId3"/>
    <sheet name="Player Scoreboard (2)" sheetId="198" r:id="rId4"/>
    <sheet name="Dummy" sheetId="94" state="hidden" r:id="rId5"/>
    <sheet name="Player Leaderboard" sheetId="18" r:id="rId6"/>
    <sheet name="Player Leaderboard - Group" sheetId="196" r:id="rId7"/>
    <sheet name="Player Leaderboard - KO" sheetId="197" r:id="rId8"/>
    <sheet name="Tournament" sheetId="1" r:id="rId9"/>
    <sheet name="Player" sheetId="17" r:id="rId10"/>
    <sheet name="Player (2)" sheetId="199" r:id="rId11"/>
    <sheet name="Player (3)" sheetId="200" r:id="rId12"/>
    <sheet name="Player (4)" sheetId="201" r:id="rId13"/>
    <sheet name="Player (5)" sheetId="202" r:id="rId14"/>
    <sheet name="Player (6)" sheetId="203" r:id="rId15"/>
    <sheet name="Player (7)" sheetId="204" r:id="rId16"/>
    <sheet name="Player (8)" sheetId="205" r:id="rId17"/>
    <sheet name="Player (9)" sheetId="206" r:id="rId18"/>
    <sheet name="Player (10)" sheetId="207" r:id="rId19"/>
    <sheet name="Player (11)" sheetId="208" r:id="rId20"/>
    <sheet name="Player (12)" sheetId="209" r:id="rId21"/>
    <sheet name="Player (13)" sheetId="210" r:id="rId22"/>
    <sheet name="Player (14)" sheetId="211" r:id="rId23"/>
    <sheet name="Player (15)" sheetId="212" r:id="rId24"/>
    <sheet name="Countries and Timezone" sheetId="15" state="hidden" r:id="rId25"/>
    <sheet name="Dummy Table" sheetId="2" state="hidden" r:id="rId26"/>
    <sheet name="Language" sheetId="11" state="hidden" r:id="rId27"/>
    <sheet name="About" sheetId="97" r:id="rId28"/>
  </sheets>
  <definedNames>
    <definedName name="Cities">'Countries and Timezone'!$J$2:$J$144</definedName>
    <definedName name="Countries">Language!$C$1:$AT$1</definedName>
    <definedName name="_xlnm.Print_Area" localSheetId="9">Player!$B$4:$AE$83</definedName>
    <definedName name="_xlnm.Print_Area" localSheetId="18">'Player (10)'!$B$4:$AE$83</definedName>
    <definedName name="_xlnm.Print_Area" localSheetId="19">'Player (11)'!$B$4:$AE$83</definedName>
    <definedName name="_xlnm.Print_Area" localSheetId="20">'Player (12)'!$B$4:$AE$83</definedName>
    <definedName name="_xlnm.Print_Area" localSheetId="21">'Player (13)'!$B$4:$AE$83</definedName>
    <definedName name="_xlnm.Print_Area" localSheetId="22">'Player (14)'!$B$4:$AE$83</definedName>
    <definedName name="_xlnm.Print_Area" localSheetId="23">'Player (15)'!$B$4:$AE$83</definedName>
    <definedName name="_xlnm.Print_Area" localSheetId="10">'Player (2)'!$B$4:$AE$83</definedName>
    <definedName name="_xlnm.Print_Area" localSheetId="11">'Player (3)'!$B$4:$AE$83</definedName>
    <definedName name="_xlnm.Print_Area" localSheetId="12">'Player (4)'!$B$4:$AE$83</definedName>
    <definedName name="_xlnm.Print_Area" localSheetId="13">'Player (5)'!$B$4:$AE$83</definedName>
    <definedName name="_xlnm.Print_Area" localSheetId="14">'Player (6)'!$B$4:$AE$83</definedName>
    <definedName name="_xlnm.Print_Area" localSheetId="15">'Player (7)'!$B$4:$AE$83</definedName>
    <definedName name="_xlnm.Print_Area" localSheetId="16">'Player (8)'!$B$4:$AE$83</definedName>
    <definedName name="_xlnm.Print_Area" localSheetId="17">'Player (9)'!$B$4:$AE$83</definedName>
    <definedName name="Team">'Countries and Timezone'!$C$7:$C$38</definedName>
  </definedNames>
  <calcPr calcId="145621"/>
</workbook>
</file>

<file path=xl/calcChain.xml><?xml version="1.0" encoding="utf-8"?>
<calcChain xmlns="http://schemas.openxmlformats.org/spreadsheetml/2006/main">
  <c r="AD81" i="212" l="1"/>
  <c r="AD80" i="212"/>
  <c r="AD79" i="212"/>
  <c r="AD78" i="212"/>
  <c r="AD74" i="212"/>
  <c r="AD75" i="212"/>
  <c r="AD76" i="212"/>
  <c r="AD77" i="212"/>
  <c r="AE92" i="1" l="1"/>
  <c r="Y92" i="1"/>
  <c r="AE79" i="1"/>
  <c r="Y79" i="1"/>
  <c r="U74" i="1"/>
  <c r="U69" i="1"/>
  <c r="G81" i="1"/>
  <c r="G87" i="1"/>
  <c r="B6" i="201" l="1"/>
  <c r="B6" i="205"/>
  <c r="B6" i="208"/>
  <c r="L69" i="1" l="1"/>
  <c r="B6" i="210"/>
  <c r="B6" i="209"/>
  <c r="B6" i="207"/>
  <c r="B6" i="206"/>
  <c r="B6" i="203"/>
  <c r="P7" i="203"/>
  <c r="P7" i="204"/>
  <c r="P7" i="205"/>
  <c r="P7" i="206"/>
  <c r="P7" i="207"/>
  <c r="P7" i="208"/>
  <c r="P7" i="209"/>
  <c r="P7" i="210"/>
  <c r="P7" i="211"/>
  <c r="P7" i="212"/>
  <c r="P7" i="202"/>
  <c r="P7" i="199"/>
  <c r="P7" i="200"/>
  <c r="P7" i="201"/>
  <c r="AC81" i="212"/>
  <c r="AA81" i="212"/>
  <c r="Y81" i="212"/>
  <c r="W81" i="212"/>
  <c r="AC80" i="212"/>
  <c r="AA80" i="212"/>
  <c r="Y80" i="212"/>
  <c r="W80" i="212"/>
  <c r="AC79" i="212"/>
  <c r="AA79" i="212"/>
  <c r="Y79" i="212"/>
  <c r="W79" i="212"/>
  <c r="D79" i="212"/>
  <c r="AC78" i="212"/>
  <c r="AA78" i="212"/>
  <c r="Y78" i="212"/>
  <c r="W78" i="212"/>
  <c r="AC77" i="212"/>
  <c r="AA77" i="212"/>
  <c r="Y77" i="212"/>
  <c r="W77" i="212"/>
  <c r="AC76" i="212"/>
  <c r="AA76" i="212"/>
  <c r="Y76" i="212"/>
  <c r="W76" i="212"/>
  <c r="AC75" i="212"/>
  <c r="AA75" i="212"/>
  <c r="Y75" i="212"/>
  <c r="W75" i="212"/>
  <c r="D75" i="212"/>
  <c r="D76" i="212" s="1"/>
  <c r="D77" i="212" s="1"/>
  <c r="AC74" i="212"/>
  <c r="AA74" i="212"/>
  <c r="Y74" i="212"/>
  <c r="W74" i="212"/>
  <c r="AC73" i="212"/>
  <c r="AA73" i="212"/>
  <c r="Y73" i="212"/>
  <c r="W73" i="212"/>
  <c r="AC72" i="212"/>
  <c r="AA72" i="212"/>
  <c r="Y72" i="212"/>
  <c r="W72" i="212"/>
  <c r="AC71" i="212"/>
  <c r="AA71" i="212"/>
  <c r="Y71" i="212"/>
  <c r="W71" i="212"/>
  <c r="AC70" i="212"/>
  <c r="AA70" i="212"/>
  <c r="Y70" i="212"/>
  <c r="W70" i="212"/>
  <c r="AC69" i="212"/>
  <c r="AA69" i="212"/>
  <c r="Y69" i="212"/>
  <c r="W69" i="212"/>
  <c r="AC68" i="212"/>
  <c r="AA68" i="212"/>
  <c r="Y68" i="212"/>
  <c r="W68" i="212"/>
  <c r="AC67" i="212"/>
  <c r="AA67" i="212"/>
  <c r="Y67" i="212"/>
  <c r="W67" i="212"/>
  <c r="D67" i="212"/>
  <c r="D68" i="212" s="1"/>
  <c r="D69" i="212" s="1"/>
  <c r="D70" i="212" s="1"/>
  <c r="D71" i="212" s="1"/>
  <c r="D72" i="212" s="1"/>
  <c r="D73" i="212" s="1"/>
  <c r="AC66" i="212"/>
  <c r="AA66" i="212"/>
  <c r="Y66" i="212"/>
  <c r="W66" i="212"/>
  <c r="P64" i="212"/>
  <c r="T62" i="212"/>
  <c r="R62" i="212"/>
  <c r="D62" i="212"/>
  <c r="C62" i="212"/>
  <c r="T61" i="212"/>
  <c r="R61" i="212"/>
  <c r="D61" i="212"/>
  <c r="C61" i="212"/>
  <c r="T60" i="212"/>
  <c r="R60" i="212"/>
  <c r="D60" i="212"/>
  <c r="C60" i="212"/>
  <c r="T59" i="212"/>
  <c r="R59" i="212"/>
  <c r="D59" i="212"/>
  <c r="C59" i="212"/>
  <c r="T58" i="212"/>
  <c r="R58" i="212"/>
  <c r="D58" i="212"/>
  <c r="C58" i="212"/>
  <c r="T57" i="212"/>
  <c r="R57" i="212"/>
  <c r="D57" i="212"/>
  <c r="C57" i="212"/>
  <c r="T56" i="212"/>
  <c r="R56" i="212"/>
  <c r="D56" i="212"/>
  <c r="C56" i="212"/>
  <c r="T55" i="212"/>
  <c r="R55" i="212"/>
  <c r="D55" i="212"/>
  <c r="C55" i="212"/>
  <c r="T54" i="212"/>
  <c r="R54" i="212"/>
  <c r="D54" i="212"/>
  <c r="C54" i="212"/>
  <c r="T53" i="212"/>
  <c r="R53" i="212"/>
  <c r="D53" i="212"/>
  <c r="C53" i="212"/>
  <c r="T52" i="212"/>
  <c r="R52" i="212"/>
  <c r="D52" i="212"/>
  <c r="C52" i="212"/>
  <c r="T51" i="212"/>
  <c r="R51" i="212"/>
  <c r="D51" i="212"/>
  <c r="C51" i="212"/>
  <c r="T50" i="212"/>
  <c r="R50" i="212"/>
  <c r="D50" i="212"/>
  <c r="C50" i="212"/>
  <c r="T49" i="212"/>
  <c r="R49" i="212"/>
  <c r="D49" i="212"/>
  <c r="C49" i="212"/>
  <c r="T48" i="212"/>
  <c r="R48" i="212"/>
  <c r="D48" i="212"/>
  <c r="C48" i="212"/>
  <c r="T47" i="212"/>
  <c r="R47" i="212"/>
  <c r="D47" i="212"/>
  <c r="C47" i="212"/>
  <c r="T46" i="212"/>
  <c r="R46" i="212"/>
  <c r="D46" i="212"/>
  <c r="C46" i="212"/>
  <c r="T45" i="212"/>
  <c r="R45" i="212"/>
  <c r="D45" i="212"/>
  <c r="C45" i="212"/>
  <c r="T44" i="212"/>
  <c r="R44" i="212"/>
  <c r="D44" i="212"/>
  <c r="C44" i="212"/>
  <c r="T43" i="212"/>
  <c r="R43" i="212"/>
  <c r="D43" i="212"/>
  <c r="C43" i="212"/>
  <c r="T42" i="212"/>
  <c r="R42" i="212"/>
  <c r="D42" i="212"/>
  <c r="C42" i="212"/>
  <c r="T41" i="212"/>
  <c r="R41" i="212"/>
  <c r="D41" i="212"/>
  <c r="C41" i="212"/>
  <c r="T40" i="212"/>
  <c r="R40" i="212"/>
  <c r="D40" i="212"/>
  <c r="C40" i="212"/>
  <c r="T39" i="212"/>
  <c r="R39" i="212"/>
  <c r="D39" i="212"/>
  <c r="C39" i="212"/>
  <c r="T38" i="212"/>
  <c r="R38" i="212"/>
  <c r="D38" i="212"/>
  <c r="C38" i="212"/>
  <c r="T37" i="212"/>
  <c r="R37" i="212"/>
  <c r="D37" i="212"/>
  <c r="C37" i="212"/>
  <c r="T36" i="212"/>
  <c r="R36" i="212"/>
  <c r="D36" i="212"/>
  <c r="C36" i="212"/>
  <c r="T35" i="212"/>
  <c r="R35" i="212"/>
  <c r="D35" i="212"/>
  <c r="C35" i="212"/>
  <c r="T34" i="212"/>
  <c r="R34" i="212"/>
  <c r="D34" i="212"/>
  <c r="C34" i="212"/>
  <c r="T33" i="212"/>
  <c r="R33" i="212"/>
  <c r="D33" i="212"/>
  <c r="C33" i="212"/>
  <c r="T32" i="212"/>
  <c r="R32" i="212"/>
  <c r="D32" i="212"/>
  <c r="C32" i="212"/>
  <c r="T31" i="212"/>
  <c r="R31" i="212"/>
  <c r="D31" i="212"/>
  <c r="C31" i="212"/>
  <c r="T30" i="212"/>
  <c r="R30" i="212"/>
  <c r="D30" i="212"/>
  <c r="C30" i="212"/>
  <c r="T29" i="212"/>
  <c r="R29" i="212"/>
  <c r="D29" i="212"/>
  <c r="C29" i="212"/>
  <c r="T28" i="212"/>
  <c r="R28" i="212"/>
  <c r="D28" i="212"/>
  <c r="C28" i="212"/>
  <c r="T27" i="212"/>
  <c r="R27" i="212"/>
  <c r="D27" i="212"/>
  <c r="C27" i="212"/>
  <c r="T26" i="212"/>
  <c r="R26" i="212"/>
  <c r="D26" i="212"/>
  <c r="C26" i="212"/>
  <c r="T25" i="212"/>
  <c r="R25" i="212"/>
  <c r="D25" i="212"/>
  <c r="C25" i="212"/>
  <c r="T24" i="212"/>
  <c r="R24" i="212"/>
  <c r="D24" i="212"/>
  <c r="C24" i="212"/>
  <c r="T23" i="212"/>
  <c r="R23" i="212"/>
  <c r="D23" i="212"/>
  <c r="C23" i="212"/>
  <c r="T22" i="212"/>
  <c r="R22" i="212"/>
  <c r="D22" i="212"/>
  <c r="C22" i="212"/>
  <c r="T21" i="212"/>
  <c r="AD21" i="212" s="1"/>
  <c r="R21" i="212"/>
  <c r="D21" i="212"/>
  <c r="C21" i="212"/>
  <c r="T20" i="212"/>
  <c r="R20" i="212"/>
  <c r="D20" i="212"/>
  <c r="C20" i="212"/>
  <c r="T19" i="212"/>
  <c r="R19" i="212"/>
  <c r="D19" i="212"/>
  <c r="C19" i="212"/>
  <c r="T18" i="212"/>
  <c r="R18" i="212"/>
  <c r="D18" i="212"/>
  <c r="C18" i="212"/>
  <c r="T17" i="212"/>
  <c r="R17" i="212"/>
  <c r="D17" i="212"/>
  <c r="C17" i="212"/>
  <c r="T16" i="212"/>
  <c r="R16" i="212"/>
  <c r="D16" i="212"/>
  <c r="C16" i="212"/>
  <c r="T15" i="212"/>
  <c r="R15" i="212"/>
  <c r="D15" i="212"/>
  <c r="C15" i="212"/>
  <c r="B6" i="212"/>
  <c r="AC81" i="211"/>
  <c r="AA81" i="211"/>
  <c r="Y81" i="211"/>
  <c r="W81" i="211"/>
  <c r="AC80" i="211"/>
  <c r="AA80" i="211"/>
  <c r="Y80" i="211"/>
  <c r="W80" i="211"/>
  <c r="AC79" i="211"/>
  <c r="AA79" i="211"/>
  <c r="Y79" i="211"/>
  <c r="W79" i="211"/>
  <c r="D79" i="211"/>
  <c r="AC78" i="211"/>
  <c r="AA78" i="211"/>
  <c r="Y78" i="211"/>
  <c r="W78" i="211"/>
  <c r="AC77" i="211"/>
  <c r="AA77" i="211"/>
  <c r="Y77" i="211"/>
  <c r="W77" i="211"/>
  <c r="AC76" i="211"/>
  <c r="AA76" i="211"/>
  <c r="Y76" i="211"/>
  <c r="W76" i="211"/>
  <c r="AC75" i="211"/>
  <c r="AA75" i="211"/>
  <c r="Y75" i="211"/>
  <c r="W75" i="211"/>
  <c r="D75" i="211"/>
  <c r="D76" i="211" s="1"/>
  <c r="D77" i="211" s="1"/>
  <c r="AC74" i="211"/>
  <c r="AA74" i="211"/>
  <c r="Y74" i="211"/>
  <c r="W74" i="211"/>
  <c r="AC73" i="211"/>
  <c r="AA73" i="211"/>
  <c r="Y73" i="211"/>
  <c r="W73" i="211"/>
  <c r="AC72" i="211"/>
  <c r="AA72" i="211"/>
  <c r="Y72" i="211"/>
  <c r="W72" i="211"/>
  <c r="AC71" i="211"/>
  <c r="AA71" i="211"/>
  <c r="Y71" i="211"/>
  <c r="W71" i="211"/>
  <c r="AC70" i="211"/>
  <c r="AA70" i="211"/>
  <c r="Y70" i="211"/>
  <c r="W70" i="211"/>
  <c r="AC69" i="211"/>
  <c r="AA69" i="211"/>
  <c r="Y69" i="211"/>
  <c r="W69" i="211"/>
  <c r="AC68" i="211"/>
  <c r="AA68" i="211"/>
  <c r="Y68" i="211"/>
  <c r="W68" i="211"/>
  <c r="AC67" i="211"/>
  <c r="AA67" i="211"/>
  <c r="Y67" i="211"/>
  <c r="W67" i="211"/>
  <c r="D67" i="211"/>
  <c r="D68" i="211" s="1"/>
  <c r="D69" i="211" s="1"/>
  <c r="D70" i="211" s="1"/>
  <c r="D71" i="211" s="1"/>
  <c r="D72" i="211" s="1"/>
  <c r="D73" i="211" s="1"/>
  <c r="AC66" i="211"/>
  <c r="AA66" i="211"/>
  <c r="Y66" i="211"/>
  <c r="W66" i="211"/>
  <c r="P64" i="211"/>
  <c r="T62" i="211"/>
  <c r="R62" i="211"/>
  <c r="D62" i="211"/>
  <c r="C62" i="211"/>
  <c r="T61" i="211"/>
  <c r="R61" i="211"/>
  <c r="D61" i="211"/>
  <c r="C61" i="211"/>
  <c r="T60" i="211"/>
  <c r="R60" i="211"/>
  <c r="D60" i="211"/>
  <c r="C60" i="211"/>
  <c r="T59" i="211"/>
  <c r="R59" i="211"/>
  <c r="D59" i="211"/>
  <c r="C59" i="211"/>
  <c r="T58" i="211"/>
  <c r="R58" i="211"/>
  <c r="D58" i="211"/>
  <c r="C58" i="211"/>
  <c r="T57" i="211"/>
  <c r="R57" i="211"/>
  <c r="D57" i="211"/>
  <c r="C57" i="211"/>
  <c r="T56" i="211"/>
  <c r="AD56" i="211" s="1"/>
  <c r="R56" i="211"/>
  <c r="D56" i="211"/>
  <c r="C56" i="211"/>
  <c r="T55" i="211"/>
  <c r="R55" i="211"/>
  <c r="D55" i="211"/>
  <c r="C55" i="211"/>
  <c r="T54" i="211"/>
  <c r="AD54" i="211" s="1"/>
  <c r="R54" i="211"/>
  <c r="D54" i="211"/>
  <c r="C54" i="211"/>
  <c r="T53" i="211"/>
  <c r="R53" i="211"/>
  <c r="D53" i="211"/>
  <c r="C53" i="211"/>
  <c r="T52" i="211"/>
  <c r="R52" i="211"/>
  <c r="AD52" i="211" s="1"/>
  <c r="D52" i="211"/>
  <c r="C52" i="211"/>
  <c r="T51" i="211"/>
  <c r="R51" i="211"/>
  <c r="AD51" i="211" s="1"/>
  <c r="D51" i="211"/>
  <c r="C51" i="211"/>
  <c r="T50" i="211"/>
  <c r="R50" i="211"/>
  <c r="D50" i="211"/>
  <c r="C50" i="211"/>
  <c r="T49" i="211"/>
  <c r="R49" i="211"/>
  <c r="AD49" i="211" s="1"/>
  <c r="D49" i="211"/>
  <c r="C49" i="211"/>
  <c r="T48" i="211"/>
  <c r="R48" i="211"/>
  <c r="AD48" i="211" s="1"/>
  <c r="D48" i="211"/>
  <c r="C48" i="211"/>
  <c r="T47" i="211"/>
  <c r="R47" i="211"/>
  <c r="AD47" i="211" s="1"/>
  <c r="D47" i="211"/>
  <c r="C47" i="211"/>
  <c r="T46" i="211"/>
  <c r="R46" i="211"/>
  <c r="D46" i="211"/>
  <c r="C46" i="211"/>
  <c r="T45" i="211"/>
  <c r="R45" i="211"/>
  <c r="AD45" i="211" s="1"/>
  <c r="D45" i="211"/>
  <c r="C45" i="211"/>
  <c r="T44" i="211"/>
  <c r="R44" i="211"/>
  <c r="D44" i="211"/>
  <c r="C44" i="211"/>
  <c r="T43" i="211"/>
  <c r="R43" i="211"/>
  <c r="D43" i="211"/>
  <c r="C43" i="211"/>
  <c r="T42" i="211"/>
  <c r="R42" i="211"/>
  <c r="D42" i="211"/>
  <c r="C42" i="211"/>
  <c r="T41" i="211"/>
  <c r="R41" i="211"/>
  <c r="D41" i="211"/>
  <c r="C41" i="211"/>
  <c r="T40" i="211"/>
  <c r="R40" i="211"/>
  <c r="D40" i="211"/>
  <c r="C40" i="211"/>
  <c r="T39" i="211"/>
  <c r="R39" i="211"/>
  <c r="D39" i="211"/>
  <c r="C39" i="211"/>
  <c r="T38" i="211"/>
  <c r="R38" i="211"/>
  <c r="D38" i="211"/>
  <c r="C38" i="211"/>
  <c r="T37" i="211"/>
  <c r="R37" i="211"/>
  <c r="D37" i="211"/>
  <c r="C37" i="211"/>
  <c r="T36" i="211"/>
  <c r="R36" i="211"/>
  <c r="D36" i="211"/>
  <c r="C36" i="211"/>
  <c r="T35" i="211"/>
  <c r="R35" i="211"/>
  <c r="AD35" i="211" s="1"/>
  <c r="D35" i="211"/>
  <c r="C35" i="211"/>
  <c r="T34" i="211"/>
  <c r="R34" i="211"/>
  <c r="D34" i="211"/>
  <c r="C34" i="211"/>
  <c r="T33" i="211"/>
  <c r="R33" i="211"/>
  <c r="D33" i="211"/>
  <c r="C33" i="211"/>
  <c r="T32" i="211"/>
  <c r="R32" i="211"/>
  <c r="AD32" i="211" s="1"/>
  <c r="D32" i="211"/>
  <c r="C32" i="211"/>
  <c r="T31" i="211"/>
  <c r="R31" i="211"/>
  <c r="D31" i="211"/>
  <c r="C31" i="211"/>
  <c r="T30" i="211"/>
  <c r="R30" i="211"/>
  <c r="D30" i="211"/>
  <c r="C30" i="211"/>
  <c r="T29" i="211"/>
  <c r="R29" i="211"/>
  <c r="D29" i="211"/>
  <c r="C29" i="211"/>
  <c r="T28" i="211"/>
  <c r="R28" i="211"/>
  <c r="D28" i="211"/>
  <c r="C28" i="211"/>
  <c r="T27" i="211"/>
  <c r="R27" i="211"/>
  <c r="D27" i="211"/>
  <c r="C27" i="211"/>
  <c r="T26" i="211"/>
  <c r="R26" i="211"/>
  <c r="D26" i="211"/>
  <c r="C26" i="211"/>
  <c r="T25" i="211"/>
  <c r="R25" i="211"/>
  <c r="D25" i="211"/>
  <c r="C25" i="211"/>
  <c r="T24" i="211"/>
  <c r="R24" i="211"/>
  <c r="D24" i="211"/>
  <c r="C24" i="211"/>
  <c r="T23" i="211"/>
  <c r="R23" i="211"/>
  <c r="AD23" i="211" s="1"/>
  <c r="D23" i="211"/>
  <c r="C23" i="211"/>
  <c r="T22" i="211"/>
  <c r="R22" i="211"/>
  <c r="D22" i="211"/>
  <c r="C22" i="211"/>
  <c r="T21" i="211"/>
  <c r="R21" i="211"/>
  <c r="D21" i="211"/>
  <c r="C21" i="211"/>
  <c r="T20" i="211"/>
  <c r="R20" i="211"/>
  <c r="D20" i="211"/>
  <c r="C20" i="211"/>
  <c r="T19" i="211"/>
  <c r="R19" i="211"/>
  <c r="D19" i="211"/>
  <c r="C19" i="211"/>
  <c r="T18" i="211"/>
  <c r="R18" i="211"/>
  <c r="D18" i="211"/>
  <c r="C18" i="211"/>
  <c r="T17" i="211"/>
  <c r="R17" i="211"/>
  <c r="D17" i="211"/>
  <c r="C17" i="211"/>
  <c r="T16" i="211"/>
  <c r="R16" i="211"/>
  <c r="D16" i="211"/>
  <c r="C16" i="211"/>
  <c r="T15" i="211"/>
  <c r="R15" i="211"/>
  <c r="D15" i="211"/>
  <c r="C15" i="211"/>
  <c r="AC7" i="211"/>
  <c r="B6" i="211"/>
  <c r="AC81" i="210"/>
  <c r="AA81" i="210"/>
  <c r="Y81" i="210"/>
  <c r="W81" i="210"/>
  <c r="AC80" i="210"/>
  <c r="AA80" i="210"/>
  <c r="Y80" i="210"/>
  <c r="W80" i="210"/>
  <c r="AC79" i="210"/>
  <c r="AA79" i="210"/>
  <c r="Y79" i="210"/>
  <c r="W79" i="210"/>
  <c r="D79" i="210"/>
  <c r="AC78" i="210"/>
  <c r="AA78" i="210"/>
  <c r="Y78" i="210"/>
  <c r="W78" i="210"/>
  <c r="AC77" i="210"/>
  <c r="AA77" i="210"/>
  <c r="Y77" i="210"/>
  <c r="W77" i="210"/>
  <c r="AC76" i="210"/>
  <c r="AA76" i="210"/>
  <c r="Y76" i="210"/>
  <c r="W76" i="210"/>
  <c r="AC75" i="210"/>
  <c r="AA75" i="210"/>
  <c r="Y75" i="210"/>
  <c r="W75" i="210"/>
  <c r="D75" i="210"/>
  <c r="D76" i="210" s="1"/>
  <c r="D77" i="210" s="1"/>
  <c r="AC74" i="210"/>
  <c r="AA74" i="210"/>
  <c r="Y74" i="210"/>
  <c r="W74" i="210"/>
  <c r="AC73" i="210"/>
  <c r="AA73" i="210"/>
  <c r="Y73" i="210"/>
  <c r="W73" i="210"/>
  <c r="AC72" i="210"/>
  <c r="AA72" i="210"/>
  <c r="Y72" i="210"/>
  <c r="W72" i="210"/>
  <c r="AC71" i="210"/>
  <c r="AA71" i="210"/>
  <c r="Y71" i="210"/>
  <c r="W71" i="210"/>
  <c r="AC70" i="210"/>
  <c r="AA70" i="210"/>
  <c r="Y70" i="210"/>
  <c r="W70" i="210"/>
  <c r="AC69" i="210"/>
  <c r="AA69" i="210"/>
  <c r="Y69" i="210"/>
  <c r="W69" i="210"/>
  <c r="AC68" i="210"/>
  <c r="AA68" i="210"/>
  <c r="Y68" i="210"/>
  <c r="W68" i="210"/>
  <c r="AC67" i="210"/>
  <c r="AA67" i="210"/>
  <c r="Y67" i="210"/>
  <c r="W67" i="210"/>
  <c r="D67" i="210"/>
  <c r="D68" i="210" s="1"/>
  <c r="D69" i="210" s="1"/>
  <c r="D70" i="210" s="1"/>
  <c r="D71" i="210" s="1"/>
  <c r="D72" i="210" s="1"/>
  <c r="D73" i="210" s="1"/>
  <c r="AC66" i="210"/>
  <c r="AA66" i="210"/>
  <c r="Y66" i="210"/>
  <c r="W66" i="210"/>
  <c r="P64" i="210"/>
  <c r="T62" i="210"/>
  <c r="R62" i="210"/>
  <c r="D62" i="210"/>
  <c r="C62" i="210"/>
  <c r="T61" i="210"/>
  <c r="R61" i="210"/>
  <c r="D61" i="210"/>
  <c r="C61" i="210"/>
  <c r="T60" i="210"/>
  <c r="R60" i="210"/>
  <c r="D60" i="210"/>
  <c r="C60" i="210"/>
  <c r="T59" i="210"/>
  <c r="R59" i="210"/>
  <c r="D59" i="210"/>
  <c r="C59" i="210"/>
  <c r="T58" i="210"/>
  <c r="AD58" i="210" s="1"/>
  <c r="R58" i="210"/>
  <c r="D58" i="210"/>
  <c r="C58" i="210"/>
  <c r="T57" i="210"/>
  <c r="R57" i="210"/>
  <c r="D57" i="210"/>
  <c r="C57" i="210"/>
  <c r="T56" i="210"/>
  <c r="R56" i="210"/>
  <c r="D56" i="210"/>
  <c r="C56" i="210"/>
  <c r="T55" i="210"/>
  <c r="R55" i="210"/>
  <c r="D55" i="210"/>
  <c r="C55" i="210"/>
  <c r="T54" i="210"/>
  <c r="R54" i="210"/>
  <c r="D54" i="210"/>
  <c r="C54" i="210"/>
  <c r="T53" i="210"/>
  <c r="R53" i="210"/>
  <c r="D53" i="210"/>
  <c r="C53" i="210"/>
  <c r="T52" i="210"/>
  <c r="AD52" i="210" s="1"/>
  <c r="R52" i="210"/>
  <c r="D52" i="210"/>
  <c r="C52" i="210"/>
  <c r="T51" i="210"/>
  <c r="R51" i="210"/>
  <c r="D51" i="210"/>
  <c r="C51" i="210"/>
  <c r="T50" i="210"/>
  <c r="R50" i="210"/>
  <c r="D50" i="210"/>
  <c r="C50" i="210"/>
  <c r="T49" i="210"/>
  <c r="R49" i="210"/>
  <c r="D49" i="210"/>
  <c r="C49" i="210"/>
  <c r="T48" i="210"/>
  <c r="AD48" i="210" s="1"/>
  <c r="R48" i="210"/>
  <c r="D48" i="210"/>
  <c r="C48" i="210"/>
  <c r="T47" i="210"/>
  <c r="R47" i="210"/>
  <c r="D47" i="210"/>
  <c r="C47" i="210"/>
  <c r="AD46" i="210"/>
  <c r="T46" i="210"/>
  <c r="R46" i="210"/>
  <c r="D46" i="210"/>
  <c r="C46" i="210"/>
  <c r="T45" i="210"/>
  <c r="R45" i="210"/>
  <c r="D45" i="210"/>
  <c r="C45" i="210"/>
  <c r="T44" i="210"/>
  <c r="R44" i="210"/>
  <c r="D44" i="210"/>
  <c r="C44" i="210"/>
  <c r="T43" i="210"/>
  <c r="R43" i="210"/>
  <c r="D43" i="210"/>
  <c r="C43" i="210"/>
  <c r="T42" i="210"/>
  <c r="R42" i="210"/>
  <c r="D42" i="210"/>
  <c r="C42" i="210"/>
  <c r="T41" i="210"/>
  <c r="R41" i="210"/>
  <c r="D41" i="210"/>
  <c r="C41" i="210"/>
  <c r="T40" i="210"/>
  <c r="R40" i="210"/>
  <c r="D40" i="210"/>
  <c r="C40" i="210"/>
  <c r="T39" i="210"/>
  <c r="R39" i="210"/>
  <c r="D39" i="210"/>
  <c r="C39" i="210"/>
  <c r="T38" i="210"/>
  <c r="R38" i="210"/>
  <c r="D38" i="210"/>
  <c r="C38" i="210"/>
  <c r="T37" i="210"/>
  <c r="R37" i="210"/>
  <c r="D37" i="210"/>
  <c r="C37" i="210"/>
  <c r="T36" i="210"/>
  <c r="R36" i="210"/>
  <c r="D36" i="210"/>
  <c r="C36" i="210"/>
  <c r="T35" i="210"/>
  <c r="R35" i="210"/>
  <c r="D35" i="210"/>
  <c r="C35" i="210"/>
  <c r="T34" i="210"/>
  <c r="R34" i="210"/>
  <c r="D34" i="210"/>
  <c r="C34" i="210"/>
  <c r="T33" i="210"/>
  <c r="R33" i="210"/>
  <c r="D33" i="210"/>
  <c r="C33" i="210"/>
  <c r="T32" i="210"/>
  <c r="R32" i="210"/>
  <c r="D32" i="210"/>
  <c r="C32" i="210"/>
  <c r="T31" i="210"/>
  <c r="R31" i="210"/>
  <c r="D31" i="210"/>
  <c r="C31" i="210"/>
  <c r="T30" i="210"/>
  <c r="R30" i="210"/>
  <c r="D30" i="210"/>
  <c r="C30" i="210"/>
  <c r="T29" i="210"/>
  <c r="R29" i="210"/>
  <c r="D29" i="210"/>
  <c r="C29" i="210"/>
  <c r="T28" i="210"/>
  <c r="R28" i="210"/>
  <c r="D28" i="210"/>
  <c r="C28" i="210"/>
  <c r="T27" i="210"/>
  <c r="R27" i="210"/>
  <c r="D27" i="210"/>
  <c r="C27" i="210"/>
  <c r="T26" i="210"/>
  <c r="R26" i="210"/>
  <c r="D26" i="210"/>
  <c r="C26" i="210"/>
  <c r="T25" i="210"/>
  <c r="R25" i="210"/>
  <c r="AD25" i="210" s="1"/>
  <c r="D25" i="210"/>
  <c r="C25" i="210"/>
  <c r="T24" i="210"/>
  <c r="R24" i="210"/>
  <c r="D24" i="210"/>
  <c r="C24" i="210"/>
  <c r="T23" i="210"/>
  <c r="R23" i="210"/>
  <c r="D23" i="210"/>
  <c r="C23" i="210"/>
  <c r="T22" i="210"/>
  <c r="R22" i="210"/>
  <c r="D22" i="210"/>
  <c r="C22" i="210"/>
  <c r="T21" i="210"/>
  <c r="R21" i="210"/>
  <c r="D21" i="210"/>
  <c r="C21" i="210"/>
  <c r="T20" i="210"/>
  <c r="R20" i="210"/>
  <c r="D20" i="210"/>
  <c r="C20" i="210"/>
  <c r="T19" i="210"/>
  <c r="R19" i="210"/>
  <c r="D19" i="210"/>
  <c r="C19" i="210"/>
  <c r="T18" i="210"/>
  <c r="R18" i="210"/>
  <c r="D18" i="210"/>
  <c r="C18" i="210"/>
  <c r="T17" i="210"/>
  <c r="R17" i="210"/>
  <c r="D17" i="210"/>
  <c r="C17" i="210"/>
  <c r="T16" i="210"/>
  <c r="R16" i="210"/>
  <c r="D16" i="210"/>
  <c r="C16" i="210"/>
  <c r="T15" i="210"/>
  <c r="R15" i="210"/>
  <c r="D15" i="210"/>
  <c r="C15" i="210"/>
  <c r="AC7" i="210"/>
  <c r="AC81" i="209"/>
  <c r="AA81" i="209"/>
  <c r="Y81" i="209"/>
  <c r="W81" i="209"/>
  <c r="AC80" i="209"/>
  <c r="AA80" i="209"/>
  <c r="Y80" i="209"/>
  <c r="W80" i="209"/>
  <c r="AC79" i="209"/>
  <c r="AA79" i="209"/>
  <c r="Y79" i="209"/>
  <c r="W79" i="209"/>
  <c r="D79" i="209"/>
  <c r="AC78" i="209"/>
  <c r="AA78" i="209"/>
  <c r="Y78" i="209"/>
  <c r="W78" i="209"/>
  <c r="AC77" i="209"/>
  <c r="AA77" i="209"/>
  <c r="Y77" i="209"/>
  <c r="W77" i="209"/>
  <c r="AC76" i="209"/>
  <c r="AA76" i="209"/>
  <c r="Y76" i="209"/>
  <c r="W76" i="209"/>
  <c r="D76" i="209"/>
  <c r="D77" i="209" s="1"/>
  <c r="AC75" i="209"/>
  <c r="AA75" i="209"/>
  <c r="Y75" i="209"/>
  <c r="W75" i="209"/>
  <c r="D75" i="209"/>
  <c r="AC74" i="209"/>
  <c r="AA74" i="209"/>
  <c r="Y74" i="209"/>
  <c r="W74" i="209"/>
  <c r="AC73" i="209"/>
  <c r="AA73" i="209"/>
  <c r="Y73" i="209"/>
  <c r="W73" i="209"/>
  <c r="AC72" i="209"/>
  <c r="AA72" i="209"/>
  <c r="Y72" i="209"/>
  <c r="W72" i="209"/>
  <c r="AC71" i="209"/>
  <c r="AA71" i="209"/>
  <c r="Y71" i="209"/>
  <c r="W71" i="209"/>
  <c r="AC70" i="209"/>
  <c r="AA70" i="209"/>
  <c r="Y70" i="209"/>
  <c r="W70" i="209"/>
  <c r="AC69" i="209"/>
  <c r="AA69" i="209"/>
  <c r="Y69" i="209"/>
  <c r="W69" i="209"/>
  <c r="AC68" i="209"/>
  <c r="AA68" i="209"/>
  <c r="Y68" i="209"/>
  <c r="W68" i="209"/>
  <c r="AC67" i="209"/>
  <c r="AA67" i="209"/>
  <c r="Y67" i="209"/>
  <c r="W67" i="209"/>
  <c r="D67" i="209"/>
  <c r="D68" i="209" s="1"/>
  <c r="D69" i="209" s="1"/>
  <c r="D70" i="209" s="1"/>
  <c r="D71" i="209" s="1"/>
  <c r="D72" i="209" s="1"/>
  <c r="D73" i="209" s="1"/>
  <c r="AC66" i="209"/>
  <c r="AA66" i="209"/>
  <c r="Y66" i="209"/>
  <c r="W66" i="209"/>
  <c r="P64" i="209"/>
  <c r="T62" i="209"/>
  <c r="R62" i="209"/>
  <c r="D62" i="209"/>
  <c r="C62" i="209"/>
  <c r="T61" i="209"/>
  <c r="R61" i="209"/>
  <c r="D61" i="209"/>
  <c r="C61" i="209"/>
  <c r="T60" i="209"/>
  <c r="R60" i="209"/>
  <c r="D60" i="209"/>
  <c r="C60" i="209"/>
  <c r="T59" i="209"/>
  <c r="R59" i="209"/>
  <c r="D59" i="209"/>
  <c r="C59" i="209"/>
  <c r="T58" i="209"/>
  <c r="R58" i="209"/>
  <c r="D58" i="209"/>
  <c r="C58" i="209"/>
  <c r="T57" i="209"/>
  <c r="R57" i="209"/>
  <c r="D57" i="209"/>
  <c r="C57" i="209"/>
  <c r="T56" i="209"/>
  <c r="R56" i="209"/>
  <c r="D56" i="209"/>
  <c r="C56" i="209"/>
  <c r="T55" i="209"/>
  <c r="R55" i="209"/>
  <c r="D55" i="209"/>
  <c r="C55" i="209"/>
  <c r="T54" i="209"/>
  <c r="R54" i="209"/>
  <c r="D54" i="209"/>
  <c r="C54" i="209"/>
  <c r="T53" i="209"/>
  <c r="R53" i="209"/>
  <c r="D53" i="209"/>
  <c r="C53" i="209"/>
  <c r="T52" i="209"/>
  <c r="R52" i="209"/>
  <c r="D52" i="209"/>
  <c r="C52" i="209"/>
  <c r="T51" i="209"/>
  <c r="R51" i="209"/>
  <c r="D51" i="209"/>
  <c r="C51" i="209"/>
  <c r="T50" i="209"/>
  <c r="R50" i="209"/>
  <c r="D50" i="209"/>
  <c r="C50" i="209"/>
  <c r="T49" i="209"/>
  <c r="R49" i="209"/>
  <c r="D49" i="209"/>
  <c r="C49" i="209"/>
  <c r="T48" i="209"/>
  <c r="R48" i="209"/>
  <c r="D48" i="209"/>
  <c r="C48" i="209"/>
  <c r="T47" i="209"/>
  <c r="R47" i="209"/>
  <c r="D47" i="209"/>
  <c r="C47" i="209"/>
  <c r="T46" i="209"/>
  <c r="R46" i="209"/>
  <c r="D46" i="209"/>
  <c r="C46" i="209"/>
  <c r="T45" i="209"/>
  <c r="R45" i="209"/>
  <c r="D45" i="209"/>
  <c r="C45" i="209"/>
  <c r="T44" i="209"/>
  <c r="AD44" i="209" s="1"/>
  <c r="R44" i="209"/>
  <c r="D44" i="209"/>
  <c r="C44" i="209"/>
  <c r="T43" i="209"/>
  <c r="R43" i="209"/>
  <c r="D43" i="209"/>
  <c r="C43" i="209"/>
  <c r="T42" i="209"/>
  <c r="AD42" i="209" s="1"/>
  <c r="R42" i="209"/>
  <c r="D42" i="209"/>
  <c r="C42" i="209"/>
  <c r="T41" i="209"/>
  <c r="R41" i="209"/>
  <c r="D41" i="209"/>
  <c r="C41" i="209"/>
  <c r="T40" i="209"/>
  <c r="R40" i="209"/>
  <c r="D40" i="209"/>
  <c r="C40" i="209"/>
  <c r="T39" i="209"/>
  <c r="R39" i="209"/>
  <c r="D39" i="209"/>
  <c r="C39" i="209"/>
  <c r="T38" i="209"/>
  <c r="AD38" i="209" s="1"/>
  <c r="R38" i="209"/>
  <c r="D38" i="209"/>
  <c r="C38" i="209"/>
  <c r="T37" i="209"/>
  <c r="R37" i="209"/>
  <c r="D37" i="209"/>
  <c r="C37" i="209"/>
  <c r="T36" i="209"/>
  <c r="R36" i="209"/>
  <c r="D36" i="209"/>
  <c r="C36" i="209"/>
  <c r="T35" i="209"/>
  <c r="R35" i="209"/>
  <c r="D35" i="209"/>
  <c r="C35" i="209"/>
  <c r="T34" i="209"/>
  <c r="AD34" i="209" s="1"/>
  <c r="R34" i="209"/>
  <c r="D34" i="209"/>
  <c r="C34" i="209"/>
  <c r="T33" i="209"/>
  <c r="R33" i="209"/>
  <c r="D33" i="209"/>
  <c r="C33" i="209"/>
  <c r="AD32" i="209"/>
  <c r="T32" i="209"/>
  <c r="R32" i="209"/>
  <c r="D32" i="209"/>
  <c r="C32" i="209"/>
  <c r="T31" i="209"/>
  <c r="R31" i="209"/>
  <c r="D31" i="209"/>
  <c r="C31" i="209"/>
  <c r="T30" i="209"/>
  <c r="R30" i="209"/>
  <c r="D30" i="209"/>
  <c r="C30" i="209"/>
  <c r="T29" i="209"/>
  <c r="R29" i="209"/>
  <c r="D29" i="209"/>
  <c r="C29" i="209"/>
  <c r="T28" i="209"/>
  <c r="R28" i="209"/>
  <c r="D28" i="209"/>
  <c r="C28" i="209"/>
  <c r="T27" i="209"/>
  <c r="R27" i="209"/>
  <c r="D27" i="209"/>
  <c r="C27" i="209"/>
  <c r="T26" i="209"/>
  <c r="R26" i="209"/>
  <c r="D26" i="209"/>
  <c r="C26" i="209"/>
  <c r="T25" i="209"/>
  <c r="R25" i="209"/>
  <c r="D25" i="209"/>
  <c r="C25" i="209"/>
  <c r="T24" i="209"/>
  <c r="R24" i="209"/>
  <c r="D24" i="209"/>
  <c r="C24" i="209"/>
  <c r="T23" i="209"/>
  <c r="R23" i="209"/>
  <c r="D23" i="209"/>
  <c r="C23" i="209"/>
  <c r="T22" i="209"/>
  <c r="R22" i="209"/>
  <c r="D22" i="209"/>
  <c r="C22" i="209"/>
  <c r="T21" i="209"/>
  <c r="R21" i="209"/>
  <c r="D21" i="209"/>
  <c r="C21" i="209"/>
  <c r="T20" i="209"/>
  <c r="R20" i="209"/>
  <c r="D20" i="209"/>
  <c r="C20" i="209"/>
  <c r="T19" i="209"/>
  <c r="R19" i="209"/>
  <c r="D19" i="209"/>
  <c r="C19" i="209"/>
  <c r="T18" i="209"/>
  <c r="R18" i="209"/>
  <c r="D18" i="209"/>
  <c r="C18" i="209"/>
  <c r="T17" i="209"/>
  <c r="R17" i="209"/>
  <c r="D17" i="209"/>
  <c r="C17" i="209"/>
  <c r="T16" i="209"/>
  <c r="R16" i="209"/>
  <c r="D16" i="209"/>
  <c r="C16" i="209"/>
  <c r="T15" i="209"/>
  <c r="R15" i="209"/>
  <c r="D15" i="209"/>
  <c r="C15" i="209"/>
  <c r="AC7" i="209"/>
  <c r="AC81" i="208"/>
  <c r="AA81" i="208"/>
  <c r="Y81" i="208"/>
  <c r="W81" i="208"/>
  <c r="AC80" i="208"/>
  <c r="AA80" i="208"/>
  <c r="Y80" i="208"/>
  <c r="W80" i="208"/>
  <c r="AC79" i="208"/>
  <c r="AA79" i="208"/>
  <c r="Y79" i="208"/>
  <c r="W79" i="208"/>
  <c r="D79" i="208"/>
  <c r="AC78" i="208"/>
  <c r="AA78" i="208"/>
  <c r="Y78" i="208"/>
  <c r="W78" i="208"/>
  <c r="AC77" i="208"/>
  <c r="AA77" i="208"/>
  <c r="Y77" i="208"/>
  <c r="W77" i="208"/>
  <c r="AC76" i="208"/>
  <c r="AA76" i="208"/>
  <c r="Y76" i="208"/>
  <c r="W76" i="208"/>
  <c r="AC75" i="208"/>
  <c r="AA75" i="208"/>
  <c r="Y75" i="208"/>
  <c r="W75" i="208"/>
  <c r="D75" i="208"/>
  <c r="D76" i="208" s="1"/>
  <c r="D77" i="208" s="1"/>
  <c r="AC74" i="208"/>
  <c r="AA74" i="208"/>
  <c r="Y74" i="208"/>
  <c r="W74" i="208"/>
  <c r="AC73" i="208"/>
  <c r="AA73" i="208"/>
  <c r="Y73" i="208"/>
  <c r="W73" i="208"/>
  <c r="AC72" i="208"/>
  <c r="AA72" i="208"/>
  <c r="Y72" i="208"/>
  <c r="W72" i="208"/>
  <c r="AC71" i="208"/>
  <c r="AA71" i="208"/>
  <c r="Y71" i="208"/>
  <c r="W71" i="208"/>
  <c r="AC70" i="208"/>
  <c r="AA70" i="208"/>
  <c r="Y70" i="208"/>
  <c r="W70" i="208"/>
  <c r="AC69" i="208"/>
  <c r="AA69" i="208"/>
  <c r="Y69" i="208"/>
  <c r="W69" i="208"/>
  <c r="AC68" i="208"/>
  <c r="AA68" i="208"/>
  <c r="Y68" i="208"/>
  <c r="W68" i="208"/>
  <c r="AC67" i="208"/>
  <c r="AA67" i="208"/>
  <c r="Y67" i="208"/>
  <c r="W67" i="208"/>
  <c r="D67" i="208"/>
  <c r="D68" i="208" s="1"/>
  <c r="D69" i="208" s="1"/>
  <c r="D70" i="208" s="1"/>
  <c r="D71" i="208" s="1"/>
  <c r="D72" i="208" s="1"/>
  <c r="D73" i="208" s="1"/>
  <c r="AC66" i="208"/>
  <c r="AA66" i="208"/>
  <c r="Y66" i="208"/>
  <c r="W66" i="208"/>
  <c r="P64" i="208"/>
  <c r="T62" i="208"/>
  <c r="R62" i="208"/>
  <c r="D62" i="208"/>
  <c r="C62" i="208"/>
  <c r="T61" i="208"/>
  <c r="R61" i="208"/>
  <c r="D61" i="208"/>
  <c r="C61" i="208"/>
  <c r="T60" i="208"/>
  <c r="R60" i="208"/>
  <c r="D60" i="208"/>
  <c r="C60" i="208"/>
  <c r="T59" i="208"/>
  <c r="R59" i="208"/>
  <c r="D59" i="208"/>
  <c r="C59" i="208"/>
  <c r="T58" i="208"/>
  <c r="AD58" i="208" s="1"/>
  <c r="R58" i="208"/>
  <c r="D58" i="208"/>
  <c r="C58" i="208"/>
  <c r="T57" i="208"/>
  <c r="R57" i="208"/>
  <c r="D57" i="208"/>
  <c r="C57" i="208"/>
  <c r="T56" i="208"/>
  <c r="R56" i="208"/>
  <c r="D56" i="208"/>
  <c r="C56" i="208"/>
  <c r="T55" i="208"/>
  <c r="R55" i="208"/>
  <c r="D55" i="208"/>
  <c r="C55" i="208"/>
  <c r="T54" i="208"/>
  <c r="R54" i="208"/>
  <c r="AD54" i="208" s="1"/>
  <c r="D54" i="208"/>
  <c r="C54" i="208"/>
  <c r="T53" i="208"/>
  <c r="R53" i="208"/>
  <c r="AD53" i="208" s="1"/>
  <c r="D53" i="208"/>
  <c r="C53" i="208"/>
  <c r="T52" i="208"/>
  <c r="R52" i="208"/>
  <c r="D52" i="208"/>
  <c r="C52" i="208"/>
  <c r="T51" i="208"/>
  <c r="R51" i="208"/>
  <c r="AD51" i="208" s="1"/>
  <c r="D51" i="208"/>
  <c r="C51" i="208"/>
  <c r="T50" i="208"/>
  <c r="R50" i="208"/>
  <c r="D50" i="208"/>
  <c r="C50" i="208"/>
  <c r="T49" i="208"/>
  <c r="R49" i="208"/>
  <c r="D49" i="208"/>
  <c r="C49" i="208"/>
  <c r="T48" i="208"/>
  <c r="R48" i="208"/>
  <c r="D48" i="208"/>
  <c r="C48" i="208"/>
  <c r="T47" i="208"/>
  <c r="R47" i="208"/>
  <c r="D47" i="208"/>
  <c r="C47" i="208"/>
  <c r="T46" i="208"/>
  <c r="R46" i="208"/>
  <c r="D46" i="208"/>
  <c r="C46" i="208"/>
  <c r="T45" i="208"/>
  <c r="R45" i="208"/>
  <c r="AD45" i="208" s="1"/>
  <c r="D45" i="208"/>
  <c r="C45" i="208"/>
  <c r="T44" i="208"/>
  <c r="R44" i="208"/>
  <c r="D44" i="208"/>
  <c r="C44" i="208"/>
  <c r="T43" i="208"/>
  <c r="R43" i="208"/>
  <c r="AD43" i="208" s="1"/>
  <c r="D43" i="208"/>
  <c r="C43" i="208"/>
  <c r="T42" i="208"/>
  <c r="R42" i="208"/>
  <c r="AD42" i="208" s="1"/>
  <c r="D42" i="208"/>
  <c r="C42" i="208"/>
  <c r="T41" i="208"/>
  <c r="R41" i="208"/>
  <c r="D41" i="208"/>
  <c r="C41" i="208"/>
  <c r="T40" i="208"/>
  <c r="R40" i="208"/>
  <c r="D40" i="208"/>
  <c r="C40" i="208"/>
  <c r="T39" i="208"/>
  <c r="R39" i="208"/>
  <c r="D39" i="208"/>
  <c r="C39" i="208"/>
  <c r="T38" i="208"/>
  <c r="R38" i="208"/>
  <c r="D38" i="208"/>
  <c r="C38" i="208"/>
  <c r="T37" i="208"/>
  <c r="R37" i="208"/>
  <c r="D37" i="208"/>
  <c r="C37" i="208"/>
  <c r="T36" i="208"/>
  <c r="R36" i="208"/>
  <c r="D36" i="208"/>
  <c r="C36" i="208"/>
  <c r="T35" i="208"/>
  <c r="R35" i="208"/>
  <c r="D35" i="208"/>
  <c r="C35" i="208"/>
  <c r="T34" i="208"/>
  <c r="R34" i="208"/>
  <c r="D34" i="208"/>
  <c r="C34" i="208"/>
  <c r="T33" i="208"/>
  <c r="R33" i="208"/>
  <c r="D33" i="208"/>
  <c r="C33" i="208"/>
  <c r="T32" i="208"/>
  <c r="R32" i="208"/>
  <c r="D32" i="208"/>
  <c r="C32" i="208"/>
  <c r="T31" i="208"/>
  <c r="R31" i="208"/>
  <c r="D31" i="208"/>
  <c r="C31" i="208"/>
  <c r="T30" i="208"/>
  <c r="R30" i="208"/>
  <c r="D30" i="208"/>
  <c r="C30" i="208"/>
  <c r="T29" i="208"/>
  <c r="R29" i="208"/>
  <c r="AD29" i="208" s="1"/>
  <c r="D29" i="208"/>
  <c r="C29" i="208"/>
  <c r="T28" i="208"/>
  <c r="R28" i="208"/>
  <c r="D28" i="208"/>
  <c r="C28" i="208"/>
  <c r="T27" i="208"/>
  <c r="R27" i="208"/>
  <c r="AD27" i="208" s="1"/>
  <c r="D27" i="208"/>
  <c r="C27" i="208"/>
  <c r="T26" i="208"/>
  <c r="R26" i="208"/>
  <c r="D26" i="208"/>
  <c r="C26" i="208"/>
  <c r="T25" i="208"/>
  <c r="R25" i="208"/>
  <c r="D25" i="208"/>
  <c r="C25" i="208"/>
  <c r="T24" i="208"/>
  <c r="R24" i="208"/>
  <c r="D24" i="208"/>
  <c r="C24" i="208"/>
  <c r="T23" i="208"/>
  <c r="R23" i="208"/>
  <c r="D23" i="208"/>
  <c r="C23" i="208"/>
  <c r="T22" i="208"/>
  <c r="R22" i="208"/>
  <c r="D22" i="208"/>
  <c r="C22" i="208"/>
  <c r="T21" i="208"/>
  <c r="R21" i="208"/>
  <c r="D21" i="208"/>
  <c r="C21" i="208"/>
  <c r="T20" i="208"/>
  <c r="R20" i="208"/>
  <c r="D20" i="208"/>
  <c r="C20" i="208"/>
  <c r="T19" i="208"/>
  <c r="R19" i="208"/>
  <c r="AD19" i="208" s="1"/>
  <c r="D19" i="208"/>
  <c r="C19" i="208"/>
  <c r="T18" i="208"/>
  <c r="R18" i="208"/>
  <c r="AD18" i="208" s="1"/>
  <c r="D18" i="208"/>
  <c r="C18" i="208"/>
  <c r="T17" i="208"/>
  <c r="R17" i="208"/>
  <c r="D17" i="208"/>
  <c r="C17" i="208"/>
  <c r="T16" i="208"/>
  <c r="R16" i="208"/>
  <c r="D16" i="208"/>
  <c r="C16" i="208"/>
  <c r="T15" i="208"/>
  <c r="R15" i="208"/>
  <c r="D15" i="208"/>
  <c r="C15" i="208"/>
  <c r="AC7" i="208"/>
  <c r="AC81" i="207"/>
  <c r="AA81" i="207"/>
  <c r="Y81" i="207"/>
  <c r="W81" i="207"/>
  <c r="AC80" i="207"/>
  <c r="AA80" i="207"/>
  <c r="Y80" i="207"/>
  <c r="W80" i="207"/>
  <c r="AC79" i="207"/>
  <c r="AA79" i="207"/>
  <c r="Y79" i="207"/>
  <c r="W79" i="207"/>
  <c r="D79" i="207"/>
  <c r="AC78" i="207"/>
  <c r="AA78" i="207"/>
  <c r="Y78" i="207"/>
  <c r="W78" i="207"/>
  <c r="AC77" i="207"/>
  <c r="AA77" i="207"/>
  <c r="Y77" i="207"/>
  <c r="W77" i="207"/>
  <c r="AC76" i="207"/>
  <c r="AA76" i="207"/>
  <c r="Y76" i="207"/>
  <c r="W76" i="207"/>
  <c r="D76" i="207"/>
  <c r="D77" i="207" s="1"/>
  <c r="AC75" i="207"/>
  <c r="AA75" i="207"/>
  <c r="Y75" i="207"/>
  <c r="W75" i="207"/>
  <c r="D75" i="207"/>
  <c r="AC74" i="207"/>
  <c r="AA74" i="207"/>
  <c r="Y74" i="207"/>
  <c r="W74" i="207"/>
  <c r="AC73" i="207"/>
  <c r="AA73" i="207"/>
  <c r="Y73" i="207"/>
  <c r="W73" i="207"/>
  <c r="AC72" i="207"/>
  <c r="AA72" i="207"/>
  <c r="Y72" i="207"/>
  <c r="W72" i="207"/>
  <c r="AC71" i="207"/>
  <c r="AA71" i="207"/>
  <c r="Y71" i="207"/>
  <c r="W71" i="207"/>
  <c r="AC70" i="207"/>
  <c r="AA70" i="207"/>
  <c r="Y70" i="207"/>
  <c r="W70" i="207"/>
  <c r="AC69" i="207"/>
  <c r="AA69" i="207"/>
  <c r="Y69" i="207"/>
  <c r="W69" i="207"/>
  <c r="AC68" i="207"/>
  <c r="AA68" i="207"/>
  <c r="Y68" i="207"/>
  <c r="W68" i="207"/>
  <c r="AC67" i="207"/>
  <c r="AA67" i="207"/>
  <c r="Y67" i="207"/>
  <c r="W67" i="207"/>
  <c r="D67" i="207"/>
  <c r="D68" i="207" s="1"/>
  <c r="D69" i="207" s="1"/>
  <c r="D70" i="207" s="1"/>
  <c r="D71" i="207" s="1"/>
  <c r="D72" i="207" s="1"/>
  <c r="D73" i="207" s="1"/>
  <c r="AC66" i="207"/>
  <c r="AA66" i="207"/>
  <c r="Y66" i="207"/>
  <c r="W66" i="207"/>
  <c r="P64" i="207"/>
  <c r="T62" i="207"/>
  <c r="R62" i="207"/>
  <c r="D62" i="207"/>
  <c r="C62" i="207"/>
  <c r="T61" i="207"/>
  <c r="R61" i="207"/>
  <c r="D61" i="207"/>
  <c r="C61" i="207"/>
  <c r="T60" i="207"/>
  <c r="R60" i="207"/>
  <c r="D60" i="207"/>
  <c r="C60" i="207"/>
  <c r="T59" i="207"/>
  <c r="R59" i="207"/>
  <c r="D59" i="207"/>
  <c r="C59" i="207"/>
  <c r="T58" i="207"/>
  <c r="R58" i="207"/>
  <c r="D58" i="207"/>
  <c r="C58" i="207"/>
  <c r="T57" i="207"/>
  <c r="R57" i="207"/>
  <c r="D57" i="207"/>
  <c r="C57" i="207"/>
  <c r="T56" i="207"/>
  <c r="R56" i="207"/>
  <c r="D56" i="207"/>
  <c r="C56" i="207"/>
  <c r="T55" i="207"/>
  <c r="R55" i="207"/>
  <c r="D55" i="207"/>
  <c r="C55" i="207"/>
  <c r="T54" i="207"/>
  <c r="R54" i="207"/>
  <c r="D54" i="207"/>
  <c r="C54" i="207"/>
  <c r="T53" i="207"/>
  <c r="R53" i="207"/>
  <c r="D53" i="207"/>
  <c r="C53" i="207"/>
  <c r="T52" i="207"/>
  <c r="R52" i="207"/>
  <c r="D52" i="207"/>
  <c r="C52" i="207"/>
  <c r="T51" i="207"/>
  <c r="R51" i="207"/>
  <c r="D51" i="207"/>
  <c r="C51" i="207"/>
  <c r="T50" i="207"/>
  <c r="R50" i="207"/>
  <c r="D50" i="207"/>
  <c r="C50" i="207"/>
  <c r="T49" i="207"/>
  <c r="R49" i="207"/>
  <c r="D49" i="207"/>
  <c r="C49" i="207"/>
  <c r="T48" i="207"/>
  <c r="R48" i="207"/>
  <c r="D48" i="207"/>
  <c r="C48" i="207"/>
  <c r="T47" i="207"/>
  <c r="R47" i="207"/>
  <c r="AD47" i="207" s="1"/>
  <c r="D47" i="207"/>
  <c r="C47" i="207"/>
  <c r="T46" i="207"/>
  <c r="R46" i="207"/>
  <c r="D46" i="207"/>
  <c r="C46" i="207"/>
  <c r="T45" i="207"/>
  <c r="R45" i="207"/>
  <c r="D45" i="207"/>
  <c r="C45" i="207"/>
  <c r="T44" i="207"/>
  <c r="R44" i="207"/>
  <c r="D44" i="207"/>
  <c r="C44" i="207"/>
  <c r="T43" i="207"/>
  <c r="R43" i="207"/>
  <c r="D43" i="207"/>
  <c r="C43" i="207"/>
  <c r="T42" i="207"/>
  <c r="R42" i="207"/>
  <c r="D42" i="207"/>
  <c r="C42" i="207"/>
  <c r="T41" i="207"/>
  <c r="R41" i="207"/>
  <c r="D41" i="207"/>
  <c r="C41" i="207"/>
  <c r="T40" i="207"/>
  <c r="R40" i="207"/>
  <c r="D40" i="207"/>
  <c r="C40" i="207"/>
  <c r="T39" i="207"/>
  <c r="R39" i="207"/>
  <c r="D39" i="207"/>
  <c r="C39" i="207"/>
  <c r="T38" i="207"/>
  <c r="R38" i="207"/>
  <c r="D38" i="207"/>
  <c r="C38" i="207"/>
  <c r="T37" i="207"/>
  <c r="R37" i="207"/>
  <c r="D37" i="207"/>
  <c r="C37" i="207"/>
  <c r="T36" i="207"/>
  <c r="R36" i="207"/>
  <c r="D36" i="207"/>
  <c r="C36" i="207"/>
  <c r="T35" i="207"/>
  <c r="R35" i="207"/>
  <c r="D35" i="207"/>
  <c r="C35" i="207"/>
  <c r="T34" i="207"/>
  <c r="R34" i="207"/>
  <c r="D34" i="207"/>
  <c r="C34" i="207"/>
  <c r="T33" i="207"/>
  <c r="R33" i="207"/>
  <c r="D33" i="207"/>
  <c r="C33" i="207"/>
  <c r="T32" i="207"/>
  <c r="R32" i="207"/>
  <c r="D32" i="207"/>
  <c r="C32" i="207"/>
  <c r="T31" i="207"/>
  <c r="R31" i="207"/>
  <c r="D31" i="207"/>
  <c r="C31" i="207"/>
  <c r="T30" i="207"/>
  <c r="AD30" i="207" s="1"/>
  <c r="R30" i="207"/>
  <c r="D30" i="207"/>
  <c r="C30" i="207"/>
  <c r="T29" i="207"/>
  <c r="R29" i="207"/>
  <c r="D29" i="207"/>
  <c r="C29" i="207"/>
  <c r="AD28" i="207"/>
  <c r="T28" i="207"/>
  <c r="R28" i="207"/>
  <c r="D28" i="207"/>
  <c r="C28" i="207"/>
  <c r="T27" i="207"/>
  <c r="R27" i="207"/>
  <c r="D27" i="207"/>
  <c r="C27" i="207"/>
  <c r="T26" i="207"/>
  <c r="R26" i="207"/>
  <c r="D26" i="207"/>
  <c r="C26" i="207"/>
  <c r="T25" i="207"/>
  <c r="R25" i="207"/>
  <c r="D25" i="207"/>
  <c r="C25" i="207"/>
  <c r="T24" i="207"/>
  <c r="R24" i="207"/>
  <c r="D24" i="207"/>
  <c r="C24" i="207"/>
  <c r="T23" i="207"/>
  <c r="R23" i="207"/>
  <c r="D23" i="207"/>
  <c r="C23" i="207"/>
  <c r="T22" i="207"/>
  <c r="R22" i="207"/>
  <c r="D22" i="207"/>
  <c r="C22" i="207"/>
  <c r="T21" i="207"/>
  <c r="R21" i="207"/>
  <c r="D21" i="207"/>
  <c r="C21" i="207"/>
  <c r="T20" i="207"/>
  <c r="R20" i="207"/>
  <c r="D20" i="207"/>
  <c r="C20" i="207"/>
  <c r="T19" i="207"/>
  <c r="R19" i="207"/>
  <c r="D19" i="207"/>
  <c r="C19" i="207"/>
  <c r="T18" i="207"/>
  <c r="R18" i="207"/>
  <c r="D18" i="207"/>
  <c r="C18" i="207"/>
  <c r="T17" i="207"/>
  <c r="R17" i="207"/>
  <c r="D17" i="207"/>
  <c r="C17" i="207"/>
  <c r="T16" i="207"/>
  <c r="R16" i="207"/>
  <c r="D16" i="207"/>
  <c r="C16" i="207"/>
  <c r="T15" i="207"/>
  <c r="R15" i="207"/>
  <c r="D15" i="207"/>
  <c r="C15" i="207"/>
  <c r="AC7" i="207"/>
  <c r="AC81" i="206"/>
  <c r="AA81" i="206"/>
  <c r="Y81" i="206"/>
  <c r="W81" i="206"/>
  <c r="AC80" i="206"/>
  <c r="AA80" i="206"/>
  <c r="Y80" i="206"/>
  <c r="W80" i="206"/>
  <c r="AC79" i="206"/>
  <c r="AA79" i="206"/>
  <c r="Y79" i="206"/>
  <c r="W79" i="206"/>
  <c r="D79" i="206"/>
  <c r="AC78" i="206"/>
  <c r="AA78" i="206"/>
  <c r="Y78" i="206"/>
  <c r="W78" i="206"/>
  <c r="AC77" i="206"/>
  <c r="AA77" i="206"/>
  <c r="Y77" i="206"/>
  <c r="W77" i="206"/>
  <c r="AC76" i="206"/>
  <c r="AA76" i="206"/>
  <c r="Y76" i="206"/>
  <c r="W76" i="206"/>
  <c r="AC75" i="206"/>
  <c r="AA75" i="206"/>
  <c r="Y75" i="206"/>
  <c r="W75" i="206"/>
  <c r="D75" i="206"/>
  <c r="D76" i="206" s="1"/>
  <c r="D77" i="206" s="1"/>
  <c r="AC74" i="206"/>
  <c r="AA74" i="206"/>
  <c r="Y74" i="206"/>
  <c r="W74" i="206"/>
  <c r="AC73" i="206"/>
  <c r="AA73" i="206"/>
  <c r="Y73" i="206"/>
  <c r="W73" i="206"/>
  <c r="AC72" i="206"/>
  <c r="AA72" i="206"/>
  <c r="Y72" i="206"/>
  <c r="W72" i="206"/>
  <c r="AC71" i="206"/>
  <c r="AA71" i="206"/>
  <c r="Y71" i="206"/>
  <c r="W71" i="206"/>
  <c r="AC70" i="206"/>
  <c r="AA70" i="206"/>
  <c r="Y70" i="206"/>
  <c r="W70" i="206"/>
  <c r="AC69" i="206"/>
  <c r="AA69" i="206"/>
  <c r="Y69" i="206"/>
  <c r="W69" i="206"/>
  <c r="AC68" i="206"/>
  <c r="AA68" i="206"/>
  <c r="Y68" i="206"/>
  <c r="W68" i="206"/>
  <c r="AC67" i="206"/>
  <c r="AA67" i="206"/>
  <c r="Y67" i="206"/>
  <c r="W67" i="206"/>
  <c r="D67" i="206"/>
  <c r="D68" i="206" s="1"/>
  <c r="D69" i="206" s="1"/>
  <c r="D70" i="206" s="1"/>
  <c r="D71" i="206" s="1"/>
  <c r="D72" i="206" s="1"/>
  <c r="D73" i="206" s="1"/>
  <c r="AC66" i="206"/>
  <c r="AA66" i="206"/>
  <c r="Y66" i="206"/>
  <c r="W66" i="206"/>
  <c r="P64" i="206"/>
  <c r="T62" i="206"/>
  <c r="R62" i="206"/>
  <c r="D62" i="206"/>
  <c r="C62" i="206"/>
  <c r="T61" i="206"/>
  <c r="R61" i="206"/>
  <c r="D61" i="206"/>
  <c r="C61" i="206"/>
  <c r="T60" i="206"/>
  <c r="R60" i="206"/>
  <c r="D60" i="206"/>
  <c r="C60" i="206"/>
  <c r="T59" i="206"/>
  <c r="R59" i="206"/>
  <c r="D59" i="206"/>
  <c r="C59" i="206"/>
  <c r="T58" i="206"/>
  <c r="R58" i="206"/>
  <c r="D58" i="206"/>
  <c r="C58" i="206"/>
  <c r="T57" i="206"/>
  <c r="R57" i="206"/>
  <c r="D57" i="206"/>
  <c r="C57" i="206"/>
  <c r="T56" i="206"/>
  <c r="R56" i="206"/>
  <c r="D56" i="206"/>
  <c r="C56" i="206"/>
  <c r="T55" i="206"/>
  <c r="R55" i="206"/>
  <c r="D55" i="206"/>
  <c r="C55" i="206"/>
  <c r="T54" i="206"/>
  <c r="R54" i="206"/>
  <c r="D54" i="206"/>
  <c r="C54" i="206"/>
  <c r="T53" i="206"/>
  <c r="R53" i="206"/>
  <c r="D53" i="206"/>
  <c r="C53" i="206"/>
  <c r="T52" i="206"/>
  <c r="R52" i="206"/>
  <c r="D52" i="206"/>
  <c r="C52" i="206"/>
  <c r="T51" i="206"/>
  <c r="R51" i="206"/>
  <c r="D51" i="206"/>
  <c r="C51" i="206"/>
  <c r="T50" i="206"/>
  <c r="AD50" i="206" s="1"/>
  <c r="R50" i="206"/>
  <c r="D50" i="206"/>
  <c r="C50" i="206"/>
  <c r="T49" i="206"/>
  <c r="R49" i="206"/>
  <c r="D49" i="206"/>
  <c r="C49" i="206"/>
  <c r="T48" i="206"/>
  <c r="R48" i="206"/>
  <c r="D48" i="206"/>
  <c r="C48" i="206"/>
  <c r="T47" i="206"/>
  <c r="R47" i="206"/>
  <c r="D47" i="206"/>
  <c r="C47" i="206"/>
  <c r="T46" i="206"/>
  <c r="R46" i="206"/>
  <c r="D46" i="206"/>
  <c r="C46" i="206"/>
  <c r="T45" i="206"/>
  <c r="R45" i="206"/>
  <c r="D45" i="206"/>
  <c r="C45" i="206"/>
  <c r="T44" i="206"/>
  <c r="R44" i="206"/>
  <c r="D44" i="206"/>
  <c r="C44" i="206"/>
  <c r="T43" i="206"/>
  <c r="R43" i="206"/>
  <c r="D43" i="206"/>
  <c r="C43" i="206"/>
  <c r="T42" i="206"/>
  <c r="R42" i="206"/>
  <c r="D42" i="206"/>
  <c r="C42" i="206"/>
  <c r="T41" i="206"/>
  <c r="R41" i="206"/>
  <c r="D41" i="206"/>
  <c r="C41" i="206"/>
  <c r="T40" i="206"/>
  <c r="R40" i="206"/>
  <c r="D40" i="206"/>
  <c r="C40" i="206"/>
  <c r="T39" i="206"/>
  <c r="R39" i="206"/>
  <c r="D39" i="206"/>
  <c r="C39" i="206"/>
  <c r="T38" i="206"/>
  <c r="R38" i="206"/>
  <c r="D38" i="206"/>
  <c r="C38" i="206"/>
  <c r="T37" i="206"/>
  <c r="R37" i="206"/>
  <c r="D37" i="206"/>
  <c r="C37" i="206"/>
  <c r="T36" i="206"/>
  <c r="R36" i="206"/>
  <c r="D36" i="206"/>
  <c r="C36" i="206"/>
  <c r="T35" i="206"/>
  <c r="R35" i="206"/>
  <c r="D35" i="206"/>
  <c r="C35" i="206"/>
  <c r="T34" i="206"/>
  <c r="R34" i="206"/>
  <c r="D34" i="206"/>
  <c r="C34" i="206"/>
  <c r="T33" i="206"/>
  <c r="R33" i="206"/>
  <c r="D33" i="206"/>
  <c r="C33" i="206"/>
  <c r="T32" i="206"/>
  <c r="AD32" i="206" s="1"/>
  <c r="R32" i="206"/>
  <c r="D32" i="206"/>
  <c r="C32" i="206"/>
  <c r="T31" i="206"/>
  <c r="R31" i="206"/>
  <c r="D31" i="206"/>
  <c r="C31" i="206"/>
  <c r="T30" i="206"/>
  <c r="R30" i="206"/>
  <c r="D30" i="206"/>
  <c r="C30" i="206"/>
  <c r="T29" i="206"/>
  <c r="R29" i="206"/>
  <c r="D29" i="206"/>
  <c r="C29" i="206"/>
  <c r="T28" i="206"/>
  <c r="R28" i="206"/>
  <c r="D28" i="206"/>
  <c r="C28" i="206"/>
  <c r="T27" i="206"/>
  <c r="R27" i="206"/>
  <c r="D27" i="206"/>
  <c r="C27" i="206"/>
  <c r="T26" i="206"/>
  <c r="R26" i="206"/>
  <c r="D26" i="206"/>
  <c r="C26" i="206"/>
  <c r="T25" i="206"/>
  <c r="R25" i="206"/>
  <c r="D25" i="206"/>
  <c r="C25" i="206"/>
  <c r="T24" i="206"/>
  <c r="R24" i="206"/>
  <c r="D24" i="206"/>
  <c r="C24" i="206"/>
  <c r="T23" i="206"/>
  <c r="R23" i="206"/>
  <c r="D23" i="206"/>
  <c r="C23" i="206"/>
  <c r="T22" i="206"/>
  <c r="R22" i="206"/>
  <c r="D22" i="206"/>
  <c r="C22" i="206"/>
  <c r="T21" i="206"/>
  <c r="R21" i="206"/>
  <c r="D21" i="206"/>
  <c r="C21" i="206"/>
  <c r="T20" i="206"/>
  <c r="R20" i="206"/>
  <c r="D20" i="206"/>
  <c r="C20" i="206"/>
  <c r="T19" i="206"/>
  <c r="R19" i="206"/>
  <c r="D19" i="206"/>
  <c r="C19" i="206"/>
  <c r="T18" i="206"/>
  <c r="R18" i="206"/>
  <c r="D18" i="206"/>
  <c r="C18" i="206"/>
  <c r="T17" i="206"/>
  <c r="R17" i="206"/>
  <c r="D17" i="206"/>
  <c r="C17" i="206"/>
  <c r="T16" i="206"/>
  <c r="R16" i="206"/>
  <c r="D16" i="206"/>
  <c r="C16" i="206"/>
  <c r="T15" i="206"/>
  <c r="R15" i="206"/>
  <c r="D15" i="206"/>
  <c r="C15" i="206"/>
  <c r="AC7" i="206"/>
  <c r="AC81" i="205"/>
  <c r="AA81" i="205"/>
  <c r="Y81" i="205"/>
  <c r="W81" i="205"/>
  <c r="AC80" i="205"/>
  <c r="AA80" i="205"/>
  <c r="Y80" i="205"/>
  <c r="W80" i="205"/>
  <c r="AC79" i="205"/>
  <c r="AA79" i="205"/>
  <c r="Y79" i="205"/>
  <c r="W79" i="205"/>
  <c r="D79" i="205"/>
  <c r="AC78" i="205"/>
  <c r="AA78" i="205"/>
  <c r="Y78" i="205"/>
  <c r="W78" i="205"/>
  <c r="AC77" i="205"/>
  <c r="AA77" i="205"/>
  <c r="Y77" i="205"/>
  <c r="W77" i="205"/>
  <c r="AC76" i="205"/>
  <c r="AA76" i="205"/>
  <c r="Y76" i="205"/>
  <c r="W76" i="205"/>
  <c r="AC75" i="205"/>
  <c r="AA75" i="205"/>
  <c r="Y75" i="205"/>
  <c r="W75" i="205"/>
  <c r="D75" i="205"/>
  <c r="D76" i="205" s="1"/>
  <c r="D77" i="205" s="1"/>
  <c r="AC74" i="205"/>
  <c r="AA74" i="205"/>
  <c r="Y74" i="205"/>
  <c r="W74" i="205"/>
  <c r="AC73" i="205"/>
  <c r="AA73" i="205"/>
  <c r="Y73" i="205"/>
  <c r="W73" i="205"/>
  <c r="AC72" i="205"/>
  <c r="AA72" i="205"/>
  <c r="Y72" i="205"/>
  <c r="W72" i="205"/>
  <c r="AC71" i="205"/>
  <c r="AA71" i="205"/>
  <c r="Y71" i="205"/>
  <c r="W71" i="205"/>
  <c r="AC70" i="205"/>
  <c r="AA70" i="205"/>
  <c r="Y70" i="205"/>
  <c r="W70" i="205"/>
  <c r="AC69" i="205"/>
  <c r="AA69" i="205"/>
  <c r="Y69" i="205"/>
  <c r="W69" i="205"/>
  <c r="AC68" i="205"/>
  <c r="AA68" i="205"/>
  <c r="Y68" i="205"/>
  <c r="W68" i="205"/>
  <c r="AC67" i="205"/>
  <c r="AA67" i="205"/>
  <c r="Y67" i="205"/>
  <c r="W67" i="205"/>
  <c r="D67" i="205"/>
  <c r="D68" i="205" s="1"/>
  <c r="D69" i="205" s="1"/>
  <c r="D70" i="205" s="1"/>
  <c r="D71" i="205" s="1"/>
  <c r="D72" i="205" s="1"/>
  <c r="D73" i="205" s="1"/>
  <c r="AC66" i="205"/>
  <c r="AA66" i="205"/>
  <c r="Y66" i="205"/>
  <c r="W66" i="205"/>
  <c r="P64" i="205"/>
  <c r="T62" i="205"/>
  <c r="R62" i="205"/>
  <c r="D62" i="205"/>
  <c r="C62" i="205"/>
  <c r="T61" i="205"/>
  <c r="R61" i="205"/>
  <c r="D61" i="205"/>
  <c r="C61" i="205"/>
  <c r="T60" i="205"/>
  <c r="R60" i="205"/>
  <c r="D60" i="205"/>
  <c r="C60" i="205"/>
  <c r="T59" i="205"/>
  <c r="R59" i="205"/>
  <c r="D59" i="205"/>
  <c r="C59" i="205"/>
  <c r="T58" i="205"/>
  <c r="R58" i="205"/>
  <c r="D58" i="205"/>
  <c r="C58" i="205"/>
  <c r="T57" i="205"/>
  <c r="R57" i="205"/>
  <c r="D57" i="205"/>
  <c r="C57" i="205"/>
  <c r="T56" i="205"/>
  <c r="R56" i="205"/>
  <c r="D56" i="205"/>
  <c r="C56" i="205"/>
  <c r="T55" i="205"/>
  <c r="R55" i="205"/>
  <c r="D55" i="205"/>
  <c r="C55" i="205"/>
  <c r="T54" i="205"/>
  <c r="R54" i="205"/>
  <c r="D54" i="205"/>
  <c r="C54" i="205"/>
  <c r="T53" i="205"/>
  <c r="R53" i="205"/>
  <c r="D53" i="205"/>
  <c r="C53" i="205"/>
  <c r="T52" i="205"/>
  <c r="R52" i="205"/>
  <c r="D52" i="205"/>
  <c r="C52" i="205"/>
  <c r="T51" i="205"/>
  <c r="R51" i="205"/>
  <c r="D51" i="205"/>
  <c r="C51" i="205"/>
  <c r="T50" i="205"/>
  <c r="R50" i="205"/>
  <c r="D50" i="205"/>
  <c r="C50" i="205"/>
  <c r="T49" i="205"/>
  <c r="R49" i="205"/>
  <c r="D49" i="205"/>
  <c r="C49" i="205"/>
  <c r="T48" i="205"/>
  <c r="R48" i="205"/>
  <c r="D48" i="205"/>
  <c r="C48" i="205"/>
  <c r="T47" i="205"/>
  <c r="R47" i="205"/>
  <c r="D47" i="205"/>
  <c r="C47" i="205"/>
  <c r="T46" i="205"/>
  <c r="R46" i="205"/>
  <c r="D46" i="205"/>
  <c r="C46" i="205"/>
  <c r="T45" i="205"/>
  <c r="R45" i="205"/>
  <c r="D45" i="205"/>
  <c r="C45" i="205"/>
  <c r="T44" i="205"/>
  <c r="R44" i="205"/>
  <c r="D44" i="205"/>
  <c r="C44" i="205"/>
  <c r="T43" i="205"/>
  <c r="R43" i="205"/>
  <c r="D43" i="205"/>
  <c r="C43" i="205"/>
  <c r="T42" i="205"/>
  <c r="AD42" i="205" s="1"/>
  <c r="R42" i="205"/>
  <c r="D42" i="205"/>
  <c r="C42" i="205"/>
  <c r="T41" i="205"/>
  <c r="R41" i="205"/>
  <c r="D41" i="205"/>
  <c r="C41" i="205"/>
  <c r="T40" i="205"/>
  <c r="R40" i="205"/>
  <c r="D40" i="205"/>
  <c r="C40" i="205"/>
  <c r="T39" i="205"/>
  <c r="R39" i="205"/>
  <c r="D39" i="205"/>
  <c r="C39" i="205"/>
  <c r="T38" i="205"/>
  <c r="R38" i="205"/>
  <c r="D38" i="205"/>
  <c r="C38" i="205"/>
  <c r="T37" i="205"/>
  <c r="R37" i="205"/>
  <c r="D37" i="205"/>
  <c r="C37" i="205"/>
  <c r="T36" i="205"/>
  <c r="AD36" i="205" s="1"/>
  <c r="R36" i="205"/>
  <c r="D36" i="205"/>
  <c r="C36" i="205"/>
  <c r="T35" i="205"/>
  <c r="R35" i="205"/>
  <c r="D35" i="205"/>
  <c r="C35" i="205"/>
  <c r="T34" i="205"/>
  <c r="R34" i="205"/>
  <c r="D34" i="205"/>
  <c r="C34" i="205"/>
  <c r="T33" i="205"/>
  <c r="R33" i="205"/>
  <c r="D33" i="205"/>
  <c r="C33" i="205"/>
  <c r="T32" i="205"/>
  <c r="AD32" i="205" s="1"/>
  <c r="R32" i="205"/>
  <c r="D32" i="205"/>
  <c r="C32" i="205"/>
  <c r="T31" i="205"/>
  <c r="R31" i="205"/>
  <c r="D31" i="205"/>
  <c r="C31" i="205"/>
  <c r="T30" i="205"/>
  <c r="R30" i="205"/>
  <c r="D30" i="205"/>
  <c r="C30" i="205"/>
  <c r="T29" i="205"/>
  <c r="R29" i="205"/>
  <c r="D29" i="205"/>
  <c r="C29" i="205"/>
  <c r="T28" i="205"/>
  <c r="R28" i="205"/>
  <c r="D28" i="205"/>
  <c r="C28" i="205"/>
  <c r="T27" i="205"/>
  <c r="R27" i="205"/>
  <c r="D27" i="205"/>
  <c r="C27" i="205"/>
  <c r="T26" i="205"/>
  <c r="AD26" i="205" s="1"/>
  <c r="R26" i="205"/>
  <c r="D26" i="205"/>
  <c r="C26" i="205"/>
  <c r="T25" i="205"/>
  <c r="R25" i="205"/>
  <c r="D25" i="205"/>
  <c r="C25" i="205"/>
  <c r="T24" i="205"/>
  <c r="R24" i="205"/>
  <c r="D24" i="205"/>
  <c r="C24" i="205"/>
  <c r="T23" i="205"/>
  <c r="R23" i="205"/>
  <c r="D23" i="205"/>
  <c r="C23" i="205"/>
  <c r="T22" i="205"/>
  <c r="R22" i="205"/>
  <c r="D22" i="205"/>
  <c r="C22" i="205"/>
  <c r="T21" i="205"/>
  <c r="R21" i="205"/>
  <c r="D21" i="205"/>
  <c r="C21" i="205"/>
  <c r="T20" i="205"/>
  <c r="AD20" i="205" s="1"/>
  <c r="R20" i="205"/>
  <c r="D20" i="205"/>
  <c r="C20" i="205"/>
  <c r="T19" i="205"/>
  <c r="R19" i="205"/>
  <c r="D19" i="205"/>
  <c r="C19" i="205"/>
  <c r="T18" i="205"/>
  <c r="R18" i="205"/>
  <c r="D18" i="205"/>
  <c r="C18" i="205"/>
  <c r="T17" i="205"/>
  <c r="R17" i="205"/>
  <c r="D17" i="205"/>
  <c r="C17" i="205"/>
  <c r="T16" i="205"/>
  <c r="AD16" i="205" s="1"/>
  <c r="R16" i="205"/>
  <c r="D16" i="205"/>
  <c r="C16" i="205"/>
  <c r="T15" i="205"/>
  <c r="R15" i="205"/>
  <c r="D15" i="205"/>
  <c r="C15" i="205"/>
  <c r="AC7" i="205"/>
  <c r="AC81" i="204"/>
  <c r="AA81" i="204"/>
  <c r="Y81" i="204"/>
  <c r="W81" i="204"/>
  <c r="AC80" i="204"/>
  <c r="AA80" i="204"/>
  <c r="Y80" i="204"/>
  <c r="W80" i="204"/>
  <c r="AC79" i="204"/>
  <c r="AA79" i="204"/>
  <c r="Y79" i="204"/>
  <c r="W79" i="204"/>
  <c r="D79" i="204"/>
  <c r="AC78" i="204"/>
  <c r="AA78" i="204"/>
  <c r="Y78" i="204"/>
  <c r="W78" i="204"/>
  <c r="AC77" i="204"/>
  <c r="AA77" i="204"/>
  <c r="Y77" i="204"/>
  <c r="W77" i="204"/>
  <c r="AC76" i="204"/>
  <c r="AA76" i="204"/>
  <c r="Y76" i="204"/>
  <c r="W76" i="204"/>
  <c r="AC75" i="204"/>
  <c r="AA75" i="204"/>
  <c r="Y75" i="204"/>
  <c r="W75" i="204"/>
  <c r="D75" i="204"/>
  <c r="D76" i="204" s="1"/>
  <c r="D77" i="204" s="1"/>
  <c r="AC74" i="204"/>
  <c r="AA74" i="204"/>
  <c r="Y74" i="204"/>
  <c r="W74" i="204"/>
  <c r="AC73" i="204"/>
  <c r="AA73" i="204"/>
  <c r="Y73" i="204"/>
  <c r="W73" i="204"/>
  <c r="AC72" i="204"/>
  <c r="AA72" i="204"/>
  <c r="Y72" i="204"/>
  <c r="W72" i="204"/>
  <c r="AC71" i="204"/>
  <c r="AA71" i="204"/>
  <c r="Y71" i="204"/>
  <c r="W71" i="204"/>
  <c r="AC70" i="204"/>
  <c r="AA70" i="204"/>
  <c r="Y70" i="204"/>
  <c r="W70" i="204"/>
  <c r="AC69" i="204"/>
  <c r="AA69" i="204"/>
  <c r="Y69" i="204"/>
  <c r="W69" i="204"/>
  <c r="AC68" i="204"/>
  <c r="AA68" i="204"/>
  <c r="Y68" i="204"/>
  <c r="W68" i="204"/>
  <c r="AC67" i="204"/>
  <c r="AA67" i="204"/>
  <c r="Y67" i="204"/>
  <c r="W67" i="204"/>
  <c r="D67" i="204"/>
  <c r="D68" i="204" s="1"/>
  <c r="D69" i="204" s="1"/>
  <c r="D70" i="204" s="1"/>
  <c r="D71" i="204" s="1"/>
  <c r="D72" i="204" s="1"/>
  <c r="D73" i="204" s="1"/>
  <c r="AC66" i="204"/>
  <c r="AA66" i="204"/>
  <c r="Y66" i="204"/>
  <c r="W66" i="204"/>
  <c r="P64" i="204"/>
  <c r="T62" i="204"/>
  <c r="R62" i="204"/>
  <c r="D62" i="204"/>
  <c r="C62" i="204"/>
  <c r="T61" i="204"/>
  <c r="R61" i="204"/>
  <c r="D61" i="204"/>
  <c r="C61" i="204"/>
  <c r="T60" i="204"/>
  <c r="R60" i="204"/>
  <c r="D60" i="204"/>
  <c r="C60" i="204"/>
  <c r="T59" i="204"/>
  <c r="AD59" i="204" s="1"/>
  <c r="R59" i="204"/>
  <c r="D59" i="204"/>
  <c r="C59" i="204"/>
  <c r="T58" i="204"/>
  <c r="R58" i="204"/>
  <c r="D58" i="204"/>
  <c r="C58" i="204"/>
  <c r="T57" i="204"/>
  <c r="AD57" i="204" s="1"/>
  <c r="R57" i="204"/>
  <c r="D57" i="204"/>
  <c r="C57" i="204"/>
  <c r="T56" i="204"/>
  <c r="R56" i="204"/>
  <c r="D56" i="204"/>
  <c r="C56" i="204"/>
  <c r="T55" i="204"/>
  <c r="R55" i="204"/>
  <c r="D55" i="204"/>
  <c r="C55" i="204"/>
  <c r="T54" i="204"/>
  <c r="R54" i="204"/>
  <c r="D54" i="204"/>
  <c r="C54" i="204"/>
  <c r="T53" i="204"/>
  <c r="R53" i="204"/>
  <c r="D53" i="204"/>
  <c r="C53" i="204"/>
  <c r="T52" i="204"/>
  <c r="R52" i="204"/>
  <c r="D52" i="204"/>
  <c r="C52" i="204"/>
  <c r="T51" i="204"/>
  <c r="R51" i="204"/>
  <c r="D51" i="204"/>
  <c r="C51" i="204"/>
  <c r="T50" i="204"/>
  <c r="R50" i="204"/>
  <c r="D50" i="204"/>
  <c r="C50" i="204"/>
  <c r="T49" i="204"/>
  <c r="R49" i="204"/>
  <c r="D49" i="204"/>
  <c r="C49" i="204"/>
  <c r="T48" i="204"/>
  <c r="R48" i="204"/>
  <c r="D48" i="204"/>
  <c r="C48" i="204"/>
  <c r="T47" i="204"/>
  <c r="R47" i="204"/>
  <c r="D47" i="204"/>
  <c r="C47" i="204"/>
  <c r="T46" i="204"/>
  <c r="R46" i="204"/>
  <c r="D46" i="204"/>
  <c r="C46" i="204"/>
  <c r="T45" i="204"/>
  <c r="R45" i="204"/>
  <c r="D45" i="204"/>
  <c r="C45" i="204"/>
  <c r="T44" i="204"/>
  <c r="R44" i="204"/>
  <c r="D44" i="204"/>
  <c r="C44" i="204"/>
  <c r="T43" i="204"/>
  <c r="AD43" i="204" s="1"/>
  <c r="R43" i="204"/>
  <c r="D43" i="204"/>
  <c r="C43" i="204"/>
  <c r="T42" i="204"/>
  <c r="R42" i="204"/>
  <c r="D42" i="204"/>
  <c r="C42" i="204"/>
  <c r="T41" i="204"/>
  <c r="AD41" i="204" s="1"/>
  <c r="R41" i="204"/>
  <c r="D41" i="204"/>
  <c r="C41" i="204"/>
  <c r="T40" i="204"/>
  <c r="R40" i="204"/>
  <c r="D40" i="204"/>
  <c r="C40" i="204"/>
  <c r="T39" i="204"/>
  <c r="AD39" i="204" s="1"/>
  <c r="R39" i="204"/>
  <c r="D39" i="204"/>
  <c r="C39" i="204"/>
  <c r="T38" i="204"/>
  <c r="R38" i="204"/>
  <c r="D38" i="204"/>
  <c r="C38" i="204"/>
  <c r="T37" i="204"/>
  <c r="R37" i="204"/>
  <c r="D37" i="204"/>
  <c r="C37" i="204"/>
  <c r="T36" i="204"/>
  <c r="R36" i="204"/>
  <c r="D36" i="204"/>
  <c r="C36" i="204"/>
  <c r="T35" i="204"/>
  <c r="R35" i="204"/>
  <c r="D35" i="204"/>
  <c r="C35" i="204"/>
  <c r="T34" i="204"/>
  <c r="R34" i="204"/>
  <c r="D34" i="204"/>
  <c r="C34" i="204"/>
  <c r="T33" i="204"/>
  <c r="AD33" i="204" s="1"/>
  <c r="R33" i="204"/>
  <c r="D33" i="204"/>
  <c r="C33" i="204"/>
  <c r="T32" i="204"/>
  <c r="R32" i="204"/>
  <c r="D32" i="204"/>
  <c r="C32" i="204"/>
  <c r="T31" i="204"/>
  <c r="R31" i="204"/>
  <c r="D31" i="204"/>
  <c r="C31" i="204"/>
  <c r="T30" i="204"/>
  <c r="R30" i="204"/>
  <c r="D30" i="204"/>
  <c r="C30" i="204"/>
  <c r="T29" i="204"/>
  <c r="AD29" i="204" s="1"/>
  <c r="R29" i="204"/>
  <c r="D29" i="204"/>
  <c r="C29" i="204"/>
  <c r="T28" i="204"/>
  <c r="R28" i="204"/>
  <c r="D28" i="204"/>
  <c r="C28" i="204"/>
  <c r="AD27" i="204"/>
  <c r="T27" i="204"/>
  <c r="R27" i="204"/>
  <c r="D27" i="204"/>
  <c r="C27" i="204"/>
  <c r="T26" i="204"/>
  <c r="R26" i="204"/>
  <c r="D26" i="204"/>
  <c r="C26" i="204"/>
  <c r="T25" i="204"/>
  <c r="R25" i="204"/>
  <c r="D25" i="204"/>
  <c r="C25" i="204"/>
  <c r="T24" i="204"/>
  <c r="R24" i="204"/>
  <c r="D24" i="204"/>
  <c r="C24" i="204"/>
  <c r="T23" i="204"/>
  <c r="R23" i="204"/>
  <c r="AD23" i="204" s="1"/>
  <c r="D23" i="204"/>
  <c r="C23" i="204"/>
  <c r="T22" i="204"/>
  <c r="R22" i="204"/>
  <c r="D22" i="204"/>
  <c r="C22" i="204"/>
  <c r="T21" i="204"/>
  <c r="R21" i="204"/>
  <c r="D21" i="204"/>
  <c r="C21" i="204"/>
  <c r="T20" i="204"/>
  <c r="R20" i="204"/>
  <c r="D20" i="204"/>
  <c r="C20" i="204"/>
  <c r="T19" i="204"/>
  <c r="R19" i="204"/>
  <c r="D19" i="204"/>
  <c r="C19" i="204"/>
  <c r="T18" i="204"/>
  <c r="R18" i="204"/>
  <c r="D18" i="204"/>
  <c r="C18" i="204"/>
  <c r="T17" i="204"/>
  <c r="R17" i="204"/>
  <c r="D17" i="204"/>
  <c r="C17" i="204"/>
  <c r="T16" i="204"/>
  <c r="R16" i="204"/>
  <c r="D16" i="204"/>
  <c r="C16" i="204"/>
  <c r="T15" i="204"/>
  <c r="R15" i="204"/>
  <c r="D15" i="204"/>
  <c r="C15" i="204"/>
  <c r="AC7" i="204"/>
  <c r="B6" i="204"/>
  <c r="AC81" i="203"/>
  <c r="AA81" i="203"/>
  <c r="Y81" i="203"/>
  <c r="W81" i="203"/>
  <c r="AC80" i="203"/>
  <c r="AA80" i="203"/>
  <c r="Y80" i="203"/>
  <c r="W80" i="203"/>
  <c r="AC79" i="203"/>
  <c r="AA79" i="203"/>
  <c r="Y79" i="203"/>
  <c r="W79" i="203"/>
  <c r="D79" i="203"/>
  <c r="AC78" i="203"/>
  <c r="AA78" i="203"/>
  <c r="Y78" i="203"/>
  <c r="W78" i="203"/>
  <c r="AC77" i="203"/>
  <c r="AA77" i="203"/>
  <c r="Y77" i="203"/>
  <c r="W77" i="203"/>
  <c r="AC76" i="203"/>
  <c r="AA76" i="203"/>
  <c r="Y76" i="203"/>
  <c r="W76" i="203"/>
  <c r="AC75" i="203"/>
  <c r="AA75" i="203"/>
  <c r="Y75" i="203"/>
  <c r="W75" i="203"/>
  <c r="D75" i="203"/>
  <c r="D76" i="203" s="1"/>
  <c r="D77" i="203" s="1"/>
  <c r="AC74" i="203"/>
  <c r="AA74" i="203"/>
  <c r="Y74" i="203"/>
  <c r="W74" i="203"/>
  <c r="AC73" i="203"/>
  <c r="AA73" i="203"/>
  <c r="Y73" i="203"/>
  <c r="W73" i="203"/>
  <c r="AC72" i="203"/>
  <c r="AA72" i="203"/>
  <c r="Y72" i="203"/>
  <c r="W72" i="203"/>
  <c r="AC71" i="203"/>
  <c r="AA71" i="203"/>
  <c r="Y71" i="203"/>
  <c r="W71" i="203"/>
  <c r="AC70" i="203"/>
  <c r="AA70" i="203"/>
  <c r="Y70" i="203"/>
  <c r="W70" i="203"/>
  <c r="AC69" i="203"/>
  <c r="AA69" i="203"/>
  <c r="Y69" i="203"/>
  <c r="W69" i="203"/>
  <c r="AC68" i="203"/>
  <c r="AA68" i="203"/>
  <c r="Y68" i="203"/>
  <c r="W68" i="203"/>
  <c r="AC67" i="203"/>
  <c r="AA67" i="203"/>
  <c r="Y67" i="203"/>
  <c r="W67" i="203"/>
  <c r="D67" i="203"/>
  <c r="D68" i="203" s="1"/>
  <c r="D69" i="203" s="1"/>
  <c r="D70" i="203" s="1"/>
  <c r="D71" i="203" s="1"/>
  <c r="D72" i="203" s="1"/>
  <c r="D73" i="203" s="1"/>
  <c r="AC66" i="203"/>
  <c r="AA66" i="203"/>
  <c r="Y66" i="203"/>
  <c r="W66" i="203"/>
  <c r="P64" i="203"/>
  <c r="T62" i="203"/>
  <c r="R62" i="203"/>
  <c r="D62" i="203"/>
  <c r="C62" i="203"/>
  <c r="T61" i="203"/>
  <c r="R61" i="203"/>
  <c r="D61" i="203"/>
  <c r="C61" i="203"/>
  <c r="T60" i="203"/>
  <c r="AD60" i="203" s="1"/>
  <c r="R60" i="203"/>
  <c r="D60" i="203"/>
  <c r="C60" i="203"/>
  <c r="T59" i="203"/>
  <c r="R59" i="203"/>
  <c r="D59" i="203"/>
  <c r="C59" i="203"/>
  <c r="AD58" i="203"/>
  <c r="T58" i="203"/>
  <c r="R58" i="203"/>
  <c r="D58" i="203"/>
  <c r="C58" i="203"/>
  <c r="T57" i="203"/>
  <c r="R57" i="203"/>
  <c r="D57" i="203"/>
  <c r="C57" i="203"/>
  <c r="T56" i="203"/>
  <c r="R56" i="203"/>
  <c r="D56" i="203"/>
  <c r="C56" i="203"/>
  <c r="T55" i="203"/>
  <c r="R55" i="203"/>
  <c r="D55" i="203"/>
  <c r="C55" i="203"/>
  <c r="T54" i="203"/>
  <c r="R54" i="203"/>
  <c r="AD54" i="203" s="1"/>
  <c r="D54" i="203"/>
  <c r="C54" i="203"/>
  <c r="T53" i="203"/>
  <c r="R53" i="203"/>
  <c r="D53" i="203"/>
  <c r="C53" i="203"/>
  <c r="T52" i="203"/>
  <c r="R52" i="203"/>
  <c r="D52" i="203"/>
  <c r="C52" i="203"/>
  <c r="T51" i="203"/>
  <c r="R51" i="203"/>
  <c r="D51" i="203"/>
  <c r="C51" i="203"/>
  <c r="T50" i="203"/>
  <c r="R50" i="203"/>
  <c r="D50" i="203"/>
  <c r="C50" i="203"/>
  <c r="T49" i="203"/>
  <c r="R49" i="203"/>
  <c r="D49" i="203"/>
  <c r="C49" i="203"/>
  <c r="T48" i="203"/>
  <c r="AD48" i="203" s="1"/>
  <c r="R48" i="203"/>
  <c r="D48" i="203"/>
  <c r="C48" i="203"/>
  <c r="T47" i="203"/>
  <c r="R47" i="203"/>
  <c r="D47" i="203"/>
  <c r="C47" i="203"/>
  <c r="T46" i="203"/>
  <c r="R46" i="203"/>
  <c r="D46" i="203"/>
  <c r="C46" i="203"/>
  <c r="T45" i="203"/>
  <c r="R45" i="203"/>
  <c r="D45" i="203"/>
  <c r="C45" i="203"/>
  <c r="T44" i="203"/>
  <c r="AD44" i="203" s="1"/>
  <c r="R44" i="203"/>
  <c r="D44" i="203"/>
  <c r="C44" i="203"/>
  <c r="T43" i="203"/>
  <c r="R43" i="203"/>
  <c r="D43" i="203"/>
  <c r="C43" i="203"/>
  <c r="T42" i="203"/>
  <c r="AD42" i="203" s="1"/>
  <c r="R42" i="203"/>
  <c r="D42" i="203"/>
  <c r="C42" i="203"/>
  <c r="T41" i="203"/>
  <c r="R41" i="203"/>
  <c r="D41" i="203"/>
  <c r="C41" i="203"/>
  <c r="T40" i="203"/>
  <c r="AD40" i="203" s="1"/>
  <c r="R40" i="203"/>
  <c r="D40" i="203"/>
  <c r="C40" i="203"/>
  <c r="T39" i="203"/>
  <c r="R39" i="203"/>
  <c r="D39" i="203"/>
  <c r="C39" i="203"/>
  <c r="T38" i="203"/>
  <c r="R38" i="203"/>
  <c r="D38" i="203"/>
  <c r="C38" i="203"/>
  <c r="T37" i="203"/>
  <c r="R37" i="203"/>
  <c r="D37" i="203"/>
  <c r="C37" i="203"/>
  <c r="T36" i="203"/>
  <c r="R36" i="203"/>
  <c r="D36" i="203"/>
  <c r="C36" i="203"/>
  <c r="T35" i="203"/>
  <c r="R35" i="203"/>
  <c r="D35" i="203"/>
  <c r="C35" i="203"/>
  <c r="T34" i="203"/>
  <c r="AD34" i="203" s="1"/>
  <c r="R34" i="203"/>
  <c r="D34" i="203"/>
  <c r="C34" i="203"/>
  <c r="T33" i="203"/>
  <c r="R33" i="203"/>
  <c r="D33" i="203"/>
  <c r="C33" i="203"/>
  <c r="T32" i="203"/>
  <c r="R32" i="203"/>
  <c r="D32" i="203"/>
  <c r="C32" i="203"/>
  <c r="T31" i="203"/>
  <c r="R31" i="203"/>
  <c r="D31" i="203"/>
  <c r="C31" i="203"/>
  <c r="AD30" i="203"/>
  <c r="T30" i="203"/>
  <c r="R30" i="203"/>
  <c r="D30" i="203"/>
  <c r="C30" i="203"/>
  <c r="T29" i="203"/>
  <c r="R29" i="203"/>
  <c r="D29" i="203"/>
  <c r="C29" i="203"/>
  <c r="T28" i="203"/>
  <c r="R28" i="203"/>
  <c r="D28" i="203"/>
  <c r="C28" i="203"/>
  <c r="T27" i="203"/>
  <c r="R27" i="203"/>
  <c r="D27" i="203"/>
  <c r="C27" i="203"/>
  <c r="T26" i="203"/>
  <c r="R26" i="203"/>
  <c r="D26" i="203"/>
  <c r="C26" i="203"/>
  <c r="T25" i="203"/>
  <c r="R25" i="203"/>
  <c r="D25" i="203"/>
  <c r="C25" i="203"/>
  <c r="T24" i="203"/>
  <c r="R24" i="203"/>
  <c r="D24" i="203"/>
  <c r="C24" i="203"/>
  <c r="T23" i="203"/>
  <c r="R23" i="203"/>
  <c r="D23" i="203"/>
  <c r="C23" i="203"/>
  <c r="T22" i="203"/>
  <c r="R22" i="203"/>
  <c r="D22" i="203"/>
  <c r="C22" i="203"/>
  <c r="T21" i="203"/>
  <c r="R21" i="203"/>
  <c r="D21" i="203"/>
  <c r="C21" i="203"/>
  <c r="T20" i="203"/>
  <c r="R20" i="203"/>
  <c r="D20" i="203"/>
  <c r="C20" i="203"/>
  <c r="T19" i="203"/>
  <c r="R19" i="203"/>
  <c r="D19" i="203"/>
  <c r="C19" i="203"/>
  <c r="T18" i="203"/>
  <c r="R18" i="203"/>
  <c r="D18" i="203"/>
  <c r="C18" i="203"/>
  <c r="T17" i="203"/>
  <c r="R17" i="203"/>
  <c r="D17" i="203"/>
  <c r="C17" i="203"/>
  <c r="T16" i="203"/>
  <c r="R16" i="203"/>
  <c r="D16" i="203"/>
  <c r="C16" i="203"/>
  <c r="T15" i="203"/>
  <c r="R15" i="203"/>
  <c r="D15" i="203"/>
  <c r="C15" i="203"/>
  <c r="AC7" i="203"/>
  <c r="AC81" i="202"/>
  <c r="AA81" i="202"/>
  <c r="Y81" i="202"/>
  <c r="W81" i="202"/>
  <c r="AC80" i="202"/>
  <c r="AA80" i="202"/>
  <c r="Y80" i="202"/>
  <c r="W80" i="202"/>
  <c r="AC79" i="202"/>
  <c r="AA79" i="202"/>
  <c r="Y79" i="202"/>
  <c r="W79" i="202"/>
  <c r="D79" i="202"/>
  <c r="AC78" i="202"/>
  <c r="AA78" i="202"/>
  <c r="Y78" i="202"/>
  <c r="W78" i="202"/>
  <c r="AC77" i="202"/>
  <c r="AA77" i="202"/>
  <c r="Y77" i="202"/>
  <c r="W77" i="202"/>
  <c r="AC76" i="202"/>
  <c r="AA76" i="202"/>
  <c r="Y76" i="202"/>
  <c r="W76" i="202"/>
  <c r="AC75" i="202"/>
  <c r="AA75" i="202"/>
  <c r="Y75" i="202"/>
  <c r="W75" i="202"/>
  <c r="D75" i="202"/>
  <c r="D76" i="202" s="1"/>
  <c r="D77" i="202" s="1"/>
  <c r="AC74" i="202"/>
  <c r="AA74" i="202"/>
  <c r="Y74" i="202"/>
  <c r="W74" i="202"/>
  <c r="AC73" i="202"/>
  <c r="AA73" i="202"/>
  <c r="Y73" i="202"/>
  <c r="W73" i="202"/>
  <c r="AC72" i="202"/>
  <c r="AA72" i="202"/>
  <c r="Y72" i="202"/>
  <c r="W72" i="202"/>
  <c r="AC71" i="202"/>
  <c r="AA71" i="202"/>
  <c r="Y71" i="202"/>
  <c r="W71" i="202"/>
  <c r="AC70" i="202"/>
  <c r="AA70" i="202"/>
  <c r="Y70" i="202"/>
  <c r="W70" i="202"/>
  <c r="AC69" i="202"/>
  <c r="AA69" i="202"/>
  <c r="Y69" i="202"/>
  <c r="W69" i="202"/>
  <c r="AC68" i="202"/>
  <c r="AA68" i="202"/>
  <c r="Y68" i="202"/>
  <c r="W68" i="202"/>
  <c r="AC67" i="202"/>
  <c r="AA67" i="202"/>
  <c r="Y67" i="202"/>
  <c r="W67" i="202"/>
  <c r="D67" i="202"/>
  <c r="D68" i="202" s="1"/>
  <c r="D69" i="202" s="1"/>
  <c r="D70" i="202" s="1"/>
  <c r="D71" i="202" s="1"/>
  <c r="D72" i="202" s="1"/>
  <c r="D73" i="202" s="1"/>
  <c r="AC66" i="202"/>
  <c r="AA66" i="202"/>
  <c r="Y66" i="202"/>
  <c r="W66" i="202"/>
  <c r="P64" i="202"/>
  <c r="T62" i="202"/>
  <c r="R62" i="202"/>
  <c r="D62" i="202"/>
  <c r="C62" i="202"/>
  <c r="T61" i="202"/>
  <c r="R61" i="202"/>
  <c r="D61" i="202"/>
  <c r="C61" i="202"/>
  <c r="T60" i="202"/>
  <c r="R60" i="202"/>
  <c r="D60" i="202"/>
  <c r="C60" i="202"/>
  <c r="T59" i="202"/>
  <c r="R59" i="202"/>
  <c r="D59" i="202"/>
  <c r="C59" i="202"/>
  <c r="T58" i="202"/>
  <c r="R58" i="202"/>
  <c r="D58" i="202"/>
  <c r="C58" i="202"/>
  <c r="T57" i="202"/>
  <c r="R57" i="202"/>
  <c r="D57" i="202"/>
  <c r="C57" i="202"/>
  <c r="T56" i="202"/>
  <c r="R56" i="202"/>
  <c r="D56" i="202"/>
  <c r="C56" i="202"/>
  <c r="T55" i="202"/>
  <c r="R55" i="202"/>
  <c r="D55" i="202"/>
  <c r="C55" i="202"/>
  <c r="T54" i="202"/>
  <c r="R54" i="202"/>
  <c r="D54" i="202"/>
  <c r="C54" i="202"/>
  <c r="T53" i="202"/>
  <c r="R53" i="202"/>
  <c r="D53" i="202"/>
  <c r="C53" i="202"/>
  <c r="T52" i="202"/>
  <c r="R52" i="202"/>
  <c r="D52" i="202"/>
  <c r="C52" i="202"/>
  <c r="T51" i="202"/>
  <c r="R51" i="202"/>
  <c r="D51" i="202"/>
  <c r="C51" i="202"/>
  <c r="T50" i="202"/>
  <c r="R50" i="202"/>
  <c r="D50" i="202"/>
  <c r="C50" i="202"/>
  <c r="T49" i="202"/>
  <c r="R49" i="202"/>
  <c r="D49" i="202"/>
  <c r="C49" i="202"/>
  <c r="T48" i="202"/>
  <c r="R48" i="202"/>
  <c r="D48" i="202"/>
  <c r="C48" i="202"/>
  <c r="AD47" i="202"/>
  <c r="T47" i="202"/>
  <c r="R47" i="202"/>
  <c r="D47" i="202"/>
  <c r="C47" i="202"/>
  <c r="T46" i="202"/>
  <c r="R46" i="202"/>
  <c r="AD46" i="202" s="1"/>
  <c r="D46" i="202"/>
  <c r="C46" i="202"/>
  <c r="T45" i="202"/>
  <c r="R45" i="202"/>
  <c r="AD45" i="202" s="1"/>
  <c r="D45" i="202"/>
  <c r="C45" i="202"/>
  <c r="T44" i="202"/>
  <c r="R44" i="202"/>
  <c r="AD44" i="202" s="1"/>
  <c r="D44" i="202"/>
  <c r="C44" i="202"/>
  <c r="T43" i="202"/>
  <c r="R43" i="202"/>
  <c r="D43" i="202"/>
  <c r="C43" i="202"/>
  <c r="T42" i="202"/>
  <c r="R42" i="202"/>
  <c r="D42" i="202"/>
  <c r="C42" i="202"/>
  <c r="T41" i="202"/>
  <c r="R41" i="202"/>
  <c r="D41" i="202"/>
  <c r="C41" i="202"/>
  <c r="T40" i="202"/>
  <c r="R40" i="202"/>
  <c r="D40" i="202"/>
  <c r="C40" i="202"/>
  <c r="T39" i="202"/>
  <c r="R39" i="202"/>
  <c r="D39" i="202"/>
  <c r="C39" i="202"/>
  <c r="T38" i="202"/>
  <c r="R38" i="202"/>
  <c r="D38" i="202"/>
  <c r="C38" i="202"/>
  <c r="T37" i="202"/>
  <c r="R37" i="202"/>
  <c r="D37" i="202"/>
  <c r="C37" i="202"/>
  <c r="T36" i="202"/>
  <c r="R36" i="202"/>
  <c r="D36" i="202"/>
  <c r="C36" i="202"/>
  <c r="T35" i="202"/>
  <c r="R35" i="202"/>
  <c r="D35" i="202"/>
  <c r="C35" i="202"/>
  <c r="T34" i="202"/>
  <c r="R34" i="202"/>
  <c r="D34" i="202"/>
  <c r="C34" i="202"/>
  <c r="T33" i="202"/>
  <c r="R33" i="202"/>
  <c r="D33" i="202"/>
  <c r="C33" i="202"/>
  <c r="T32" i="202"/>
  <c r="R32" i="202"/>
  <c r="D32" i="202"/>
  <c r="C32" i="202"/>
  <c r="T31" i="202"/>
  <c r="R31" i="202"/>
  <c r="D31" i="202"/>
  <c r="C31" i="202"/>
  <c r="T30" i="202"/>
  <c r="R30" i="202"/>
  <c r="D30" i="202"/>
  <c r="C30" i="202"/>
  <c r="T29" i="202"/>
  <c r="R29" i="202"/>
  <c r="D29" i="202"/>
  <c r="C29" i="202"/>
  <c r="T28" i="202"/>
  <c r="R28" i="202"/>
  <c r="D28" i="202"/>
  <c r="C28" i="202"/>
  <c r="T27" i="202"/>
  <c r="R27" i="202"/>
  <c r="AD27" i="202" s="1"/>
  <c r="D27" i="202"/>
  <c r="C27" i="202"/>
  <c r="T26" i="202"/>
  <c r="R26" i="202"/>
  <c r="D26" i="202"/>
  <c r="C26" i="202"/>
  <c r="T25" i="202"/>
  <c r="R25" i="202"/>
  <c r="D25" i="202"/>
  <c r="C25" i="202"/>
  <c r="T24" i="202"/>
  <c r="R24" i="202"/>
  <c r="D24" i="202"/>
  <c r="C24" i="202"/>
  <c r="T23" i="202"/>
  <c r="R23" i="202"/>
  <c r="D23" i="202"/>
  <c r="C23" i="202"/>
  <c r="T22" i="202"/>
  <c r="R22" i="202"/>
  <c r="D22" i="202"/>
  <c r="C22" i="202"/>
  <c r="T21" i="202"/>
  <c r="R21" i="202"/>
  <c r="D21" i="202"/>
  <c r="C21" i="202"/>
  <c r="T20" i="202"/>
  <c r="R20" i="202"/>
  <c r="D20" i="202"/>
  <c r="C20" i="202"/>
  <c r="T19" i="202"/>
  <c r="R19" i="202"/>
  <c r="AD19" i="202" s="1"/>
  <c r="D19" i="202"/>
  <c r="C19" i="202"/>
  <c r="T18" i="202"/>
  <c r="R18" i="202"/>
  <c r="D18" i="202"/>
  <c r="C18" i="202"/>
  <c r="T17" i="202"/>
  <c r="R17" i="202"/>
  <c r="D17" i="202"/>
  <c r="C17" i="202"/>
  <c r="T16" i="202"/>
  <c r="R16" i="202"/>
  <c r="D16" i="202"/>
  <c r="C16" i="202"/>
  <c r="T15" i="202"/>
  <c r="R15" i="202"/>
  <c r="AD15" i="202" s="1"/>
  <c r="D15" i="202"/>
  <c r="C15" i="202"/>
  <c r="AC7" i="202"/>
  <c r="B6" i="202"/>
  <c r="AC81" i="201"/>
  <c r="AA81" i="201"/>
  <c r="Y81" i="201"/>
  <c r="W81" i="201"/>
  <c r="AC80" i="201"/>
  <c r="AA80" i="201"/>
  <c r="Y80" i="201"/>
  <c r="W80" i="201"/>
  <c r="AC79" i="201"/>
  <c r="AA79" i="201"/>
  <c r="Y79" i="201"/>
  <c r="W79" i="201"/>
  <c r="D79" i="201"/>
  <c r="AC78" i="201"/>
  <c r="AA78" i="201"/>
  <c r="Y78" i="201"/>
  <c r="W78" i="201"/>
  <c r="AC77" i="201"/>
  <c r="AA77" i="201"/>
  <c r="Y77" i="201"/>
  <c r="W77" i="201"/>
  <c r="AC76" i="201"/>
  <c r="AA76" i="201"/>
  <c r="Y76" i="201"/>
  <c r="W76" i="201"/>
  <c r="AC75" i="201"/>
  <c r="AA75" i="201"/>
  <c r="Y75" i="201"/>
  <c r="W75" i="201"/>
  <c r="D75" i="201"/>
  <c r="D76" i="201" s="1"/>
  <c r="D77" i="201" s="1"/>
  <c r="AC74" i="201"/>
  <c r="AA74" i="201"/>
  <c r="Y74" i="201"/>
  <c r="W74" i="201"/>
  <c r="AC73" i="201"/>
  <c r="AA73" i="201"/>
  <c r="Y73" i="201"/>
  <c r="W73" i="201"/>
  <c r="AC72" i="201"/>
  <c r="AA72" i="201"/>
  <c r="Y72" i="201"/>
  <c r="W72" i="201"/>
  <c r="AC71" i="201"/>
  <c r="AA71" i="201"/>
  <c r="Y71" i="201"/>
  <c r="W71" i="201"/>
  <c r="AC70" i="201"/>
  <c r="AA70" i="201"/>
  <c r="Y70" i="201"/>
  <c r="W70" i="201"/>
  <c r="AC69" i="201"/>
  <c r="AA69" i="201"/>
  <c r="Y69" i="201"/>
  <c r="W69" i="201"/>
  <c r="AC68" i="201"/>
  <c r="AA68" i="201"/>
  <c r="Y68" i="201"/>
  <c r="W68" i="201"/>
  <c r="AC67" i="201"/>
  <c r="AA67" i="201"/>
  <c r="Y67" i="201"/>
  <c r="W67" i="201"/>
  <c r="D67" i="201"/>
  <c r="D68" i="201" s="1"/>
  <c r="D69" i="201" s="1"/>
  <c r="D70" i="201" s="1"/>
  <c r="D71" i="201" s="1"/>
  <c r="D72" i="201" s="1"/>
  <c r="D73" i="201" s="1"/>
  <c r="AC66" i="201"/>
  <c r="AA66" i="201"/>
  <c r="Y66" i="201"/>
  <c r="W66" i="201"/>
  <c r="P64" i="201"/>
  <c r="T62" i="201"/>
  <c r="R62" i="201"/>
  <c r="D62" i="201"/>
  <c r="C62" i="201"/>
  <c r="T61" i="201"/>
  <c r="R61" i="201"/>
  <c r="D61" i="201"/>
  <c r="C61" i="201"/>
  <c r="T60" i="201"/>
  <c r="R60" i="201"/>
  <c r="D60" i="201"/>
  <c r="C60" i="201"/>
  <c r="T59" i="201"/>
  <c r="R59" i="201"/>
  <c r="D59" i="201"/>
  <c r="C59" i="201"/>
  <c r="T58" i="201"/>
  <c r="R58" i="201"/>
  <c r="D58" i="201"/>
  <c r="C58" i="201"/>
  <c r="T57" i="201"/>
  <c r="R57" i="201"/>
  <c r="D57" i="201"/>
  <c r="C57" i="201"/>
  <c r="T56" i="201"/>
  <c r="R56" i="201"/>
  <c r="D56" i="201"/>
  <c r="C56" i="201"/>
  <c r="T55" i="201"/>
  <c r="R55" i="201"/>
  <c r="D55" i="201"/>
  <c r="C55" i="201"/>
  <c r="T54" i="201"/>
  <c r="R54" i="201"/>
  <c r="D54" i="201"/>
  <c r="C54" i="201"/>
  <c r="T53" i="201"/>
  <c r="R53" i="201"/>
  <c r="AD53" i="201" s="1"/>
  <c r="D53" i="201"/>
  <c r="C53" i="201"/>
  <c r="T52" i="201"/>
  <c r="R52" i="201"/>
  <c r="D52" i="201"/>
  <c r="C52" i="201"/>
  <c r="T51" i="201"/>
  <c r="R51" i="201"/>
  <c r="D51" i="201"/>
  <c r="C51" i="201"/>
  <c r="T50" i="201"/>
  <c r="R50" i="201"/>
  <c r="D50" i="201"/>
  <c r="C50" i="201"/>
  <c r="T49" i="201"/>
  <c r="R49" i="201"/>
  <c r="D49" i="201"/>
  <c r="C49" i="201"/>
  <c r="T48" i="201"/>
  <c r="R48" i="201"/>
  <c r="D48" i="201"/>
  <c r="C48" i="201"/>
  <c r="T47" i="201"/>
  <c r="R47" i="201"/>
  <c r="D47" i="201"/>
  <c r="C47" i="201"/>
  <c r="T46" i="201"/>
  <c r="R46" i="201"/>
  <c r="D46" i="201"/>
  <c r="C46" i="201"/>
  <c r="T45" i="201"/>
  <c r="R45" i="201"/>
  <c r="D45" i="201"/>
  <c r="C45" i="201"/>
  <c r="T44" i="201"/>
  <c r="R44" i="201"/>
  <c r="D44" i="201"/>
  <c r="C44" i="201"/>
  <c r="T43" i="201"/>
  <c r="R43" i="201"/>
  <c r="D43" i="201"/>
  <c r="C43" i="201"/>
  <c r="T42" i="201"/>
  <c r="R42" i="201"/>
  <c r="D42" i="201"/>
  <c r="C42" i="201"/>
  <c r="T41" i="201"/>
  <c r="R41" i="201"/>
  <c r="D41" i="201"/>
  <c r="C41" i="201"/>
  <c r="T40" i="201"/>
  <c r="R40" i="201"/>
  <c r="D40" i="201"/>
  <c r="C40" i="201"/>
  <c r="T39" i="201"/>
  <c r="R39" i="201"/>
  <c r="D39" i="201"/>
  <c r="C39" i="201"/>
  <c r="T38" i="201"/>
  <c r="R38" i="201"/>
  <c r="D38" i="201"/>
  <c r="C38" i="201"/>
  <c r="T37" i="201"/>
  <c r="R37" i="201"/>
  <c r="D37" i="201"/>
  <c r="C37" i="201"/>
  <c r="T36" i="201"/>
  <c r="R36" i="201"/>
  <c r="D36" i="201"/>
  <c r="C36" i="201"/>
  <c r="T35" i="201"/>
  <c r="R35" i="201"/>
  <c r="D35" i="201"/>
  <c r="C35" i="201"/>
  <c r="T34" i="201"/>
  <c r="R34" i="201"/>
  <c r="AD34" i="201" s="1"/>
  <c r="D34" i="201"/>
  <c r="C34" i="201"/>
  <c r="T33" i="201"/>
  <c r="R33" i="201"/>
  <c r="D33" i="201"/>
  <c r="C33" i="201"/>
  <c r="T32" i="201"/>
  <c r="R32" i="201"/>
  <c r="D32" i="201"/>
  <c r="C32" i="201"/>
  <c r="T31" i="201"/>
  <c r="R31" i="201"/>
  <c r="D31" i="201"/>
  <c r="C31" i="201"/>
  <c r="T30" i="201"/>
  <c r="R30" i="201"/>
  <c r="D30" i="201"/>
  <c r="C30" i="201"/>
  <c r="T29" i="201"/>
  <c r="R29" i="201"/>
  <c r="D29" i="201"/>
  <c r="C29" i="201"/>
  <c r="T28" i="201"/>
  <c r="R28" i="201"/>
  <c r="D28" i="201"/>
  <c r="C28" i="201"/>
  <c r="T27" i="201"/>
  <c r="R27" i="201"/>
  <c r="D27" i="201"/>
  <c r="C27" i="201"/>
  <c r="T26" i="201"/>
  <c r="R26" i="201"/>
  <c r="D26" i="201"/>
  <c r="C26" i="201"/>
  <c r="T25" i="201"/>
  <c r="R25" i="201"/>
  <c r="D25" i="201"/>
  <c r="C25" i="201"/>
  <c r="T24" i="201"/>
  <c r="R24" i="201"/>
  <c r="D24" i="201"/>
  <c r="C24" i="201"/>
  <c r="T23" i="201"/>
  <c r="R23" i="201"/>
  <c r="D23" i="201"/>
  <c r="C23" i="201"/>
  <c r="T22" i="201"/>
  <c r="R22" i="201"/>
  <c r="D22" i="201"/>
  <c r="C22" i="201"/>
  <c r="T21" i="201"/>
  <c r="R21" i="201"/>
  <c r="D21" i="201"/>
  <c r="C21" i="201"/>
  <c r="T20" i="201"/>
  <c r="R20" i="201"/>
  <c r="D20" i="201"/>
  <c r="C20" i="201"/>
  <c r="T19" i="201"/>
  <c r="R19" i="201"/>
  <c r="D19" i="201"/>
  <c r="C19" i="201"/>
  <c r="T18" i="201"/>
  <c r="R18" i="201"/>
  <c r="D18" i="201"/>
  <c r="C18" i="201"/>
  <c r="T17" i="201"/>
  <c r="R17" i="201"/>
  <c r="D17" i="201"/>
  <c r="C17" i="201"/>
  <c r="T16" i="201"/>
  <c r="R16" i="201"/>
  <c r="D16" i="201"/>
  <c r="C16" i="201"/>
  <c r="T15" i="201"/>
  <c r="R15" i="201"/>
  <c r="D15" i="201"/>
  <c r="C15" i="201"/>
  <c r="AC7" i="201"/>
  <c r="AC81" i="200"/>
  <c r="AA81" i="200"/>
  <c r="Y81" i="200"/>
  <c r="W81" i="200"/>
  <c r="AC80" i="200"/>
  <c r="AA80" i="200"/>
  <c r="Y80" i="200"/>
  <c r="W80" i="200"/>
  <c r="AC79" i="200"/>
  <c r="AA79" i="200"/>
  <c r="Y79" i="200"/>
  <c r="W79" i="200"/>
  <c r="D79" i="200"/>
  <c r="AC78" i="200"/>
  <c r="AA78" i="200"/>
  <c r="Y78" i="200"/>
  <c r="W78" i="200"/>
  <c r="AC77" i="200"/>
  <c r="AA77" i="200"/>
  <c r="Y77" i="200"/>
  <c r="W77" i="200"/>
  <c r="AC76" i="200"/>
  <c r="AA76" i="200"/>
  <c r="Y76" i="200"/>
  <c r="W76" i="200"/>
  <c r="AC75" i="200"/>
  <c r="AA75" i="200"/>
  <c r="Y75" i="200"/>
  <c r="W75" i="200"/>
  <c r="D75" i="200"/>
  <c r="D76" i="200" s="1"/>
  <c r="D77" i="200" s="1"/>
  <c r="AC74" i="200"/>
  <c r="AA74" i="200"/>
  <c r="Y74" i="200"/>
  <c r="W74" i="200"/>
  <c r="AC73" i="200"/>
  <c r="AA73" i="200"/>
  <c r="Y73" i="200"/>
  <c r="W73" i="200"/>
  <c r="AC72" i="200"/>
  <c r="AA72" i="200"/>
  <c r="Y72" i="200"/>
  <c r="W72" i="200"/>
  <c r="AC71" i="200"/>
  <c r="AA71" i="200"/>
  <c r="Y71" i="200"/>
  <c r="W71" i="200"/>
  <c r="AC70" i="200"/>
  <c r="AA70" i="200"/>
  <c r="Y70" i="200"/>
  <c r="W70" i="200"/>
  <c r="AC69" i="200"/>
  <c r="AA69" i="200"/>
  <c r="Y69" i="200"/>
  <c r="W69" i="200"/>
  <c r="AC68" i="200"/>
  <c r="AA68" i="200"/>
  <c r="Y68" i="200"/>
  <c r="W68" i="200"/>
  <c r="D68" i="200"/>
  <c r="D69" i="200" s="1"/>
  <c r="D70" i="200" s="1"/>
  <c r="D71" i="200" s="1"/>
  <c r="D72" i="200" s="1"/>
  <c r="D73" i="200" s="1"/>
  <c r="AC67" i="200"/>
  <c r="AA67" i="200"/>
  <c r="Y67" i="200"/>
  <c r="W67" i="200"/>
  <c r="D67" i="200"/>
  <c r="AC66" i="200"/>
  <c r="AA66" i="200"/>
  <c r="Y66" i="200"/>
  <c r="W66" i="200"/>
  <c r="P64" i="200"/>
  <c r="T62" i="200"/>
  <c r="R62" i="200"/>
  <c r="D62" i="200"/>
  <c r="C62" i="200"/>
  <c r="T61" i="200"/>
  <c r="R61" i="200"/>
  <c r="D61" i="200"/>
  <c r="C61" i="200"/>
  <c r="T60" i="200"/>
  <c r="R60" i="200"/>
  <c r="D60" i="200"/>
  <c r="C60" i="200"/>
  <c r="T59" i="200"/>
  <c r="R59" i="200"/>
  <c r="D59" i="200"/>
  <c r="C59" i="200"/>
  <c r="T58" i="200"/>
  <c r="R58" i="200"/>
  <c r="AD58" i="200" s="1"/>
  <c r="D58" i="200"/>
  <c r="C58" i="200"/>
  <c r="T57" i="200"/>
  <c r="R57" i="200"/>
  <c r="D57" i="200"/>
  <c r="C57" i="200"/>
  <c r="T56" i="200"/>
  <c r="R56" i="200"/>
  <c r="AD56" i="200" s="1"/>
  <c r="D56" i="200"/>
  <c r="C56" i="200"/>
  <c r="T55" i="200"/>
  <c r="R55" i="200"/>
  <c r="AD55" i="200" s="1"/>
  <c r="D55" i="200"/>
  <c r="C55" i="200"/>
  <c r="T54" i="200"/>
  <c r="R54" i="200"/>
  <c r="D54" i="200"/>
  <c r="C54" i="200"/>
  <c r="T53" i="200"/>
  <c r="R53" i="200"/>
  <c r="D53" i="200"/>
  <c r="C53" i="200"/>
  <c r="T52" i="200"/>
  <c r="R52" i="200"/>
  <c r="D52" i="200"/>
  <c r="C52" i="200"/>
  <c r="T51" i="200"/>
  <c r="R51" i="200"/>
  <c r="D51" i="200"/>
  <c r="C51" i="200"/>
  <c r="T50" i="200"/>
  <c r="R50" i="200"/>
  <c r="D50" i="200"/>
  <c r="C50" i="200"/>
  <c r="T49" i="200"/>
  <c r="R49" i="200"/>
  <c r="D49" i="200"/>
  <c r="C49" i="200"/>
  <c r="T48" i="200"/>
  <c r="R48" i="200"/>
  <c r="AD48" i="200" s="1"/>
  <c r="D48" i="200"/>
  <c r="C48" i="200"/>
  <c r="T47" i="200"/>
  <c r="R47" i="200"/>
  <c r="AD47" i="200" s="1"/>
  <c r="D47" i="200"/>
  <c r="C47" i="200"/>
  <c r="T46" i="200"/>
  <c r="R46" i="200"/>
  <c r="D46" i="200"/>
  <c r="C46" i="200"/>
  <c r="T45" i="200"/>
  <c r="R45" i="200"/>
  <c r="D45" i="200"/>
  <c r="C45" i="200"/>
  <c r="T44" i="200"/>
  <c r="R44" i="200"/>
  <c r="D44" i="200"/>
  <c r="C44" i="200"/>
  <c r="T43" i="200"/>
  <c r="R43" i="200"/>
  <c r="D43" i="200"/>
  <c r="C43" i="200"/>
  <c r="T42" i="200"/>
  <c r="R42" i="200"/>
  <c r="D42" i="200"/>
  <c r="C42" i="200"/>
  <c r="T41" i="200"/>
  <c r="R41" i="200"/>
  <c r="D41" i="200"/>
  <c r="C41" i="200"/>
  <c r="T40" i="200"/>
  <c r="R40" i="200"/>
  <c r="D40" i="200"/>
  <c r="C40" i="200"/>
  <c r="T39" i="200"/>
  <c r="R39" i="200"/>
  <c r="D39" i="200"/>
  <c r="C39" i="200"/>
  <c r="T38" i="200"/>
  <c r="R38" i="200"/>
  <c r="D38" i="200"/>
  <c r="C38" i="200"/>
  <c r="T37" i="200"/>
  <c r="R37" i="200"/>
  <c r="D37" i="200"/>
  <c r="C37" i="200"/>
  <c r="T36" i="200"/>
  <c r="R36" i="200"/>
  <c r="D36" i="200"/>
  <c r="C36" i="200"/>
  <c r="T35" i="200"/>
  <c r="R35" i="200"/>
  <c r="D35" i="200"/>
  <c r="C35" i="200"/>
  <c r="T34" i="200"/>
  <c r="R34" i="200"/>
  <c r="D34" i="200"/>
  <c r="C34" i="200"/>
  <c r="T33" i="200"/>
  <c r="R33" i="200"/>
  <c r="D33" i="200"/>
  <c r="C33" i="200"/>
  <c r="T32" i="200"/>
  <c r="R32" i="200"/>
  <c r="D32" i="200"/>
  <c r="C32" i="200"/>
  <c r="T31" i="200"/>
  <c r="R31" i="200"/>
  <c r="D31" i="200"/>
  <c r="C31" i="200"/>
  <c r="T30" i="200"/>
  <c r="R30" i="200"/>
  <c r="AD30" i="200" s="1"/>
  <c r="D30" i="200"/>
  <c r="C30" i="200"/>
  <c r="T29" i="200"/>
  <c r="R29" i="200"/>
  <c r="D29" i="200"/>
  <c r="C29" i="200"/>
  <c r="T28" i="200"/>
  <c r="R28" i="200"/>
  <c r="D28" i="200"/>
  <c r="C28" i="200"/>
  <c r="T27" i="200"/>
  <c r="R27" i="200"/>
  <c r="D27" i="200"/>
  <c r="C27" i="200"/>
  <c r="T26" i="200"/>
  <c r="R26" i="200"/>
  <c r="D26" i="200"/>
  <c r="C26" i="200"/>
  <c r="T25" i="200"/>
  <c r="R25" i="200"/>
  <c r="D25" i="200"/>
  <c r="C25" i="200"/>
  <c r="T24" i="200"/>
  <c r="R24" i="200"/>
  <c r="D24" i="200"/>
  <c r="C24" i="200"/>
  <c r="T23" i="200"/>
  <c r="R23" i="200"/>
  <c r="D23" i="200"/>
  <c r="C23" i="200"/>
  <c r="T22" i="200"/>
  <c r="AD22" i="200" s="1"/>
  <c r="R22" i="200"/>
  <c r="D22" i="200"/>
  <c r="C22" i="200"/>
  <c r="T21" i="200"/>
  <c r="R21" i="200"/>
  <c r="D21" i="200"/>
  <c r="C21" i="200"/>
  <c r="T20" i="200"/>
  <c r="R20" i="200"/>
  <c r="D20" i="200"/>
  <c r="C20" i="200"/>
  <c r="T19" i="200"/>
  <c r="R19" i="200"/>
  <c r="D19" i="200"/>
  <c r="C19" i="200"/>
  <c r="T18" i="200"/>
  <c r="R18" i="200"/>
  <c r="D18" i="200"/>
  <c r="C18" i="200"/>
  <c r="T17" i="200"/>
  <c r="R17" i="200"/>
  <c r="D17" i="200"/>
  <c r="C17" i="200"/>
  <c r="T16" i="200"/>
  <c r="R16" i="200"/>
  <c r="D16" i="200"/>
  <c r="C16" i="200"/>
  <c r="T15" i="200"/>
  <c r="R15" i="200"/>
  <c r="D15" i="200"/>
  <c r="C15" i="200"/>
  <c r="AC7" i="200"/>
  <c r="B6" i="200"/>
  <c r="D4" i="200"/>
  <c r="D4" i="204"/>
  <c r="D4" i="209"/>
  <c r="D4" i="205"/>
  <c r="D4" i="207"/>
  <c r="D4" i="201"/>
  <c r="D4" i="208"/>
  <c r="D4" i="203"/>
  <c r="D4" i="202"/>
  <c r="D4" i="206"/>
  <c r="D4" i="212"/>
  <c r="D4" i="211"/>
  <c r="D4" i="210"/>
  <c r="AD18" i="201" l="1"/>
  <c r="AD18" i="206"/>
  <c r="AD17" i="203"/>
  <c r="AD17" i="212"/>
  <c r="AD17" i="208"/>
  <c r="AD17" i="210"/>
  <c r="AD16" i="206"/>
  <c r="AD26" i="200"/>
  <c r="AD42" i="200"/>
  <c r="AD24" i="201"/>
  <c r="AD62" i="200"/>
  <c r="AD31" i="202"/>
  <c r="AD43" i="202"/>
  <c r="AD59" i="202"/>
  <c r="AD56" i="203"/>
  <c r="AD25" i="204"/>
  <c r="AD46" i="204"/>
  <c r="AD54" i="204"/>
  <c r="AD55" i="204"/>
  <c r="AD52" i="206"/>
  <c r="AD56" i="206"/>
  <c r="AD62" i="206"/>
  <c r="AD23" i="207"/>
  <c r="AD24" i="207"/>
  <c r="AD26" i="210"/>
  <c r="AD30" i="210"/>
  <c r="AD37" i="210"/>
  <c r="AD43" i="210"/>
  <c r="AD16" i="211"/>
  <c r="AD18" i="211"/>
  <c r="AD20" i="211"/>
  <c r="AD57" i="211"/>
  <c r="AD59" i="211"/>
  <c r="AD60" i="211"/>
  <c r="AD61" i="211"/>
  <c r="AD22" i="203"/>
  <c r="AD23" i="203"/>
  <c r="AD24" i="203"/>
  <c r="AD28" i="203"/>
  <c r="AD29" i="205"/>
  <c r="AD30" i="205"/>
  <c r="AD47" i="205"/>
  <c r="AD54" i="205"/>
  <c r="AD55" i="205"/>
  <c r="AD55" i="207"/>
  <c r="AD56" i="207"/>
  <c r="AD60" i="207"/>
  <c r="AD16" i="209"/>
  <c r="AD21" i="209"/>
  <c r="AD23" i="209"/>
  <c r="AD62" i="210"/>
  <c r="AD16" i="212"/>
  <c r="AD25" i="200"/>
  <c r="AD37" i="200"/>
  <c r="AD41" i="200"/>
  <c r="AD46" i="200"/>
  <c r="AD20" i="201"/>
  <c r="AD30" i="201"/>
  <c r="AD36" i="201"/>
  <c r="AD40" i="201"/>
  <c r="AD46" i="201"/>
  <c r="AD48" i="201"/>
  <c r="AD50" i="201"/>
  <c r="AD38" i="203"/>
  <c r="AD21" i="206"/>
  <c r="AD29" i="206"/>
  <c r="AD30" i="206"/>
  <c r="AD34" i="206"/>
  <c r="AD41" i="206"/>
  <c r="AD47" i="206"/>
  <c r="AD34" i="207"/>
  <c r="AD40" i="207"/>
  <c r="AD42" i="207"/>
  <c r="AD44" i="207"/>
  <c r="AD48" i="209"/>
  <c r="AD51" i="209"/>
  <c r="AD28" i="212"/>
  <c r="AD34" i="212"/>
  <c r="AD37" i="212"/>
  <c r="AD40" i="212"/>
  <c r="AD48" i="212"/>
  <c r="AD54" i="212"/>
  <c r="AD17" i="204"/>
  <c r="AD17" i="200"/>
  <c r="AD18" i="200"/>
  <c r="AD21" i="200"/>
  <c r="AD23" i="200"/>
  <c r="AD24" i="200"/>
  <c r="AD53" i="200"/>
  <c r="AD57" i="200"/>
  <c r="AD16" i="201"/>
  <c r="AD21" i="201"/>
  <c r="AD29" i="201"/>
  <c r="AD52" i="201"/>
  <c r="AD56" i="201"/>
  <c r="AD58" i="201"/>
  <c r="AD60" i="201"/>
  <c r="AD62" i="201"/>
  <c r="AD51" i="202"/>
  <c r="AD33" i="203"/>
  <c r="AD62" i="203"/>
  <c r="AD34" i="204"/>
  <c r="AD40" i="204"/>
  <c r="AD61" i="204"/>
  <c r="AD15" i="205"/>
  <c r="AD22" i="205"/>
  <c r="AD23" i="205"/>
  <c r="AD44" i="205"/>
  <c r="AD46" i="205"/>
  <c r="AD48" i="205"/>
  <c r="AD52" i="205"/>
  <c r="AD58" i="205"/>
  <c r="AD60" i="205"/>
  <c r="AD62" i="205"/>
  <c r="AD15" i="206"/>
  <c r="AD36" i="206"/>
  <c r="AD40" i="206"/>
  <c r="AD46" i="206"/>
  <c r="AD48" i="206"/>
  <c r="AD53" i="206"/>
  <c r="AD61" i="206"/>
  <c r="AD26" i="207"/>
  <c r="AD35" i="207"/>
  <c r="AD41" i="207"/>
  <c r="AD62" i="207"/>
  <c r="AD44" i="208"/>
  <c r="AD48" i="208"/>
  <c r="AD52" i="208"/>
  <c r="AD18" i="209"/>
  <c r="AD22" i="209"/>
  <c r="AD26" i="209"/>
  <c r="AD28" i="209"/>
  <c r="AD33" i="209"/>
  <c r="AD35" i="209"/>
  <c r="AD41" i="209"/>
  <c r="AD43" i="209"/>
  <c r="AD55" i="209"/>
  <c r="AD59" i="209"/>
  <c r="AD61" i="209"/>
  <c r="AD32" i="210"/>
  <c r="AD36" i="210"/>
  <c r="AD42" i="210"/>
  <c r="AD44" i="210"/>
  <c r="AD49" i="210"/>
  <c r="AD57" i="210"/>
  <c r="AD17" i="211"/>
  <c r="AD50" i="211"/>
  <c r="AD53" i="211"/>
  <c r="AD55" i="211"/>
  <c r="AD35" i="200"/>
  <c r="AD36" i="200"/>
  <c r="AD32" i="201"/>
  <c r="AD41" i="201"/>
  <c r="AD47" i="201"/>
  <c r="AD39" i="202"/>
  <c r="AD43" i="203"/>
  <c r="AD50" i="203"/>
  <c r="AD51" i="203"/>
  <c r="AD22" i="204"/>
  <c r="AD45" i="204"/>
  <c r="AD49" i="204"/>
  <c r="AD28" i="205"/>
  <c r="AD34" i="205"/>
  <c r="AD35" i="205"/>
  <c r="AD20" i="206"/>
  <c r="AD24" i="206"/>
  <c r="AD46" i="207"/>
  <c r="AD50" i="207"/>
  <c r="AD16" i="208"/>
  <c r="AD60" i="208"/>
  <c r="AD16" i="210"/>
  <c r="AD20" i="210"/>
  <c r="AD60" i="210"/>
  <c r="AD22" i="211"/>
  <c r="AD26" i="211"/>
  <c r="AD58" i="211"/>
  <c r="AD23" i="212"/>
  <c r="AD31" i="212"/>
  <c r="AD33" i="212"/>
  <c r="AD57" i="203"/>
  <c r="AD18" i="207"/>
  <c r="AD58" i="207"/>
  <c r="AD22" i="208"/>
  <c r="AD24" i="208"/>
  <c r="AD28" i="208"/>
  <c r="AD32" i="208"/>
  <c r="AD36" i="208"/>
  <c r="AD38" i="208"/>
  <c r="AD28" i="210"/>
  <c r="AD34" i="211"/>
  <c r="AD36" i="211"/>
  <c r="AD38" i="211"/>
  <c r="AD40" i="211"/>
  <c r="AD46" i="211"/>
  <c r="AD62" i="211"/>
  <c r="AD39" i="212"/>
  <c r="AD47" i="212"/>
  <c r="AD53" i="212"/>
  <c r="AD55" i="212"/>
  <c r="AD61" i="212"/>
  <c r="AD15" i="207"/>
  <c r="AD15" i="201"/>
  <c r="AD15" i="208"/>
  <c r="AD15" i="212"/>
  <c r="AD19" i="200"/>
  <c r="AD20" i="200"/>
  <c r="AD38" i="200"/>
  <c r="AD43" i="200"/>
  <c r="AD44" i="200"/>
  <c r="AD50" i="200"/>
  <c r="AD17" i="201"/>
  <c r="AD22" i="201"/>
  <c r="AD23" i="201"/>
  <c r="AD35" i="201"/>
  <c r="AD42" i="201"/>
  <c r="AD43" i="201"/>
  <c r="AD49" i="201"/>
  <c r="AD54" i="201"/>
  <c r="AD55" i="201"/>
  <c r="AD20" i="202"/>
  <c r="AD21" i="202"/>
  <c r="AD22" i="202"/>
  <c r="AD32" i="202"/>
  <c r="AD33" i="202"/>
  <c r="AD34" i="202"/>
  <c r="AD40" i="202"/>
  <c r="AD41" i="202"/>
  <c r="AD42" i="202"/>
  <c r="AD52" i="202"/>
  <c r="AD53" i="202"/>
  <c r="AD54" i="202"/>
  <c r="AD25" i="203"/>
  <c r="AD29" i="203"/>
  <c r="AD35" i="203"/>
  <c r="AD39" i="203"/>
  <c r="AD45" i="203"/>
  <c r="AD53" i="203"/>
  <c r="AD15" i="204"/>
  <c r="AD16" i="204"/>
  <c r="AD28" i="204"/>
  <c r="AD35" i="204"/>
  <c r="AD36" i="204"/>
  <c r="AD42" i="204"/>
  <c r="AD47" i="204"/>
  <c r="AD48" i="204"/>
  <c r="AD60" i="204"/>
  <c r="AD17" i="205"/>
  <c r="AD25" i="205"/>
  <c r="AD37" i="205"/>
  <c r="AD43" i="205"/>
  <c r="AD49" i="205"/>
  <c r="AD57" i="205"/>
  <c r="AD59" i="205"/>
  <c r="AD17" i="206"/>
  <c r="AD22" i="206"/>
  <c r="AD23" i="206"/>
  <c r="AD35" i="206"/>
  <c r="AD42" i="206"/>
  <c r="AD43" i="206"/>
  <c r="AD49" i="206"/>
  <c r="AD54" i="206"/>
  <c r="AD55" i="206"/>
  <c r="AD16" i="207"/>
  <c r="AD17" i="207"/>
  <c r="AD29" i="207"/>
  <c r="AD36" i="207"/>
  <c r="AD37" i="207"/>
  <c r="AD43" i="207"/>
  <c r="AD48" i="207"/>
  <c r="AD49" i="207"/>
  <c r="AD61" i="207"/>
  <c r="AD20" i="208"/>
  <c r="AD21" i="208"/>
  <c r="AD34" i="208"/>
  <c r="AD39" i="208"/>
  <c r="AD41" i="208"/>
  <c r="AD46" i="208"/>
  <c r="AD24" i="209"/>
  <c r="AD29" i="209"/>
  <c r="AD31" i="209"/>
  <c r="AD36" i="209"/>
  <c r="AD56" i="209"/>
  <c r="AD57" i="209"/>
  <c r="AD58" i="209"/>
  <c r="AD18" i="210"/>
  <c r="AD19" i="210"/>
  <c r="AD31" i="210"/>
  <c r="AD38" i="210"/>
  <c r="AD39" i="210"/>
  <c r="AD45" i="210"/>
  <c r="AD50" i="210"/>
  <c r="AD51" i="210"/>
  <c r="AD19" i="211"/>
  <c r="AD24" i="211"/>
  <c r="AD25" i="211"/>
  <c r="AD37" i="211"/>
  <c r="AD39" i="211"/>
  <c r="AD41" i="211"/>
  <c r="AD22" i="212"/>
  <c r="AD29" i="212"/>
  <c r="AD30" i="212"/>
  <c r="AD36" i="212"/>
  <c r="AD41" i="212"/>
  <c r="AD42" i="212"/>
  <c r="AD49" i="212"/>
  <c r="AD50" i="212"/>
  <c r="AD56" i="212"/>
  <c r="AD15" i="200"/>
  <c r="AD16" i="200"/>
  <c r="AD31" i="200"/>
  <c r="AD32" i="200"/>
  <c r="AD39" i="200"/>
  <c r="AD40" i="200"/>
  <c r="AD51" i="200"/>
  <c r="AD52" i="200"/>
  <c r="AD25" i="201"/>
  <c r="AD31" i="201"/>
  <c r="AD37" i="201"/>
  <c r="AD45" i="201"/>
  <c r="AD57" i="201"/>
  <c r="AD59" i="201"/>
  <c r="AD23" i="202"/>
  <c r="AD28" i="202"/>
  <c r="AD29" i="202"/>
  <c r="AD30" i="202"/>
  <c r="AD35" i="202"/>
  <c r="AD55" i="202"/>
  <c r="AD60" i="202"/>
  <c r="AD61" i="202"/>
  <c r="AD62" i="202"/>
  <c r="AD18" i="203"/>
  <c r="AD19" i="203"/>
  <c r="AD20" i="203"/>
  <c r="AD26" i="203"/>
  <c r="AD36" i="203"/>
  <c r="AD41" i="203"/>
  <c r="AD46" i="203"/>
  <c r="AD47" i="203"/>
  <c r="AD59" i="203"/>
  <c r="AD18" i="204"/>
  <c r="AD24" i="204"/>
  <c r="AD30" i="204"/>
  <c r="AD38" i="204"/>
  <c r="AD50" i="204"/>
  <c r="AD56" i="204"/>
  <c r="AD62" i="204"/>
  <c r="AD18" i="205"/>
  <c r="AD19" i="205"/>
  <c r="AD31" i="205"/>
  <c r="AD38" i="205"/>
  <c r="AD39" i="205"/>
  <c r="AD45" i="205"/>
  <c r="AD50" i="205"/>
  <c r="AD51" i="205"/>
  <c r="AD61" i="205"/>
  <c r="AD25" i="206"/>
  <c r="AD31" i="206"/>
  <c r="AD37" i="206"/>
  <c r="AD45" i="206"/>
  <c r="AD57" i="206"/>
  <c r="AD19" i="207"/>
  <c r="AD25" i="207"/>
  <c r="AD31" i="207"/>
  <c r="AD39" i="207"/>
  <c r="AD51" i="207"/>
  <c r="AD57" i="207"/>
  <c r="AD23" i="208"/>
  <c r="AD25" i="208"/>
  <c r="AD30" i="208"/>
  <c r="AD35" i="208"/>
  <c r="AD37" i="208"/>
  <c r="AD47" i="208"/>
  <c r="AD49" i="208"/>
  <c r="AD59" i="208"/>
  <c r="AD61" i="208"/>
  <c r="AD17" i="209"/>
  <c r="AD19" i="209"/>
  <c r="AD25" i="209"/>
  <c r="AD27" i="209"/>
  <c r="AD37" i="209"/>
  <c r="AD39" i="209"/>
  <c r="AD49" i="209"/>
  <c r="AD50" i="209"/>
  <c r="AD52" i="209"/>
  <c r="AD53" i="209"/>
  <c r="AD21" i="210"/>
  <c r="AD27" i="210"/>
  <c r="AD33" i="210"/>
  <c r="AD41" i="210"/>
  <c r="AD53" i="210"/>
  <c r="AD59" i="210"/>
  <c r="AD15" i="211"/>
  <c r="AD27" i="211"/>
  <c r="AD42" i="211"/>
  <c r="AD43" i="211"/>
  <c r="AD18" i="212"/>
  <c r="AD24" i="212"/>
  <c r="AD32" i="212"/>
  <c r="AD44" i="212"/>
  <c r="AD52" i="212"/>
  <c r="AD57" i="212"/>
  <c r="AD58" i="212"/>
  <c r="AD27" i="200"/>
  <c r="AD28" i="200"/>
  <c r="AD34" i="200"/>
  <c r="AD54" i="200"/>
  <c r="AD59" i="200"/>
  <c r="AD60" i="200"/>
  <c r="AD19" i="201"/>
  <c r="AD26" i="201"/>
  <c r="AD27" i="201"/>
  <c r="AD33" i="201"/>
  <c r="AD38" i="201"/>
  <c r="AD39" i="201"/>
  <c r="AD51" i="201"/>
  <c r="AD61" i="201"/>
  <c r="AD16" i="202"/>
  <c r="AD17" i="202"/>
  <c r="AD18" i="202"/>
  <c r="AD24" i="202"/>
  <c r="AD25" i="202"/>
  <c r="AD26" i="202"/>
  <c r="AD36" i="202"/>
  <c r="AD37" i="202"/>
  <c r="AD38" i="202"/>
  <c r="AD48" i="202"/>
  <c r="AD49" i="202"/>
  <c r="AD50" i="202"/>
  <c r="AD56" i="202"/>
  <c r="AD57" i="202"/>
  <c r="AD58" i="202"/>
  <c r="AD15" i="203"/>
  <c r="AD16" i="203"/>
  <c r="AD21" i="203"/>
  <c r="AD32" i="203"/>
  <c r="AD37" i="203"/>
  <c r="AD49" i="203"/>
  <c r="AD55" i="203"/>
  <c r="AD61" i="203"/>
  <c r="AD19" i="204"/>
  <c r="AD20" i="204"/>
  <c r="AD26" i="204"/>
  <c r="AD31" i="204"/>
  <c r="AD32" i="204"/>
  <c r="AD44" i="204"/>
  <c r="AD51" i="204"/>
  <c r="AD52" i="204"/>
  <c r="AD58" i="204"/>
  <c r="AD21" i="205"/>
  <c r="AD27" i="205"/>
  <c r="AD33" i="205"/>
  <c r="AD41" i="205"/>
  <c r="AD53" i="205"/>
  <c r="AD19" i="206"/>
  <c r="AD26" i="206"/>
  <c r="AD27" i="206"/>
  <c r="AD33" i="206"/>
  <c r="AD38" i="206"/>
  <c r="AD39" i="206"/>
  <c r="AD51" i="206"/>
  <c r="AD58" i="206"/>
  <c r="AD59" i="206"/>
  <c r="AD20" i="207"/>
  <c r="AD21" i="207"/>
  <c r="AD27" i="207"/>
  <c r="AD32" i="207"/>
  <c r="AD33" i="207"/>
  <c r="AD45" i="207"/>
  <c r="AD52" i="207"/>
  <c r="AD53" i="207"/>
  <c r="AD59" i="207"/>
  <c r="AD26" i="208"/>
  <c r="AD31" i="208"/>
  <c r="AD33" i="208"/>
  <c r="AD50" i="208"/>
  <c r="AD55" i="208"/>
  <c r="AD57" i="208"/>
  <c r="AD62" i="208"/>
  <c r="AD15" i="209"/>
  <c r="AD20" i="209"/>
  <c r="AD40" i="209"/>
  <c r="AD45" i="209"/>
  <c r="AD47" i="209"/>
  <c r="AD60" i="209"/>
  <c r="AD62" i="209"/>
  <c r="AD15" i="210"/>
  <c r="AD22" i="210"/>
  <c r="AD23" i="210"/>
  <c r="AD29" i="210"/>
  <c r="AD34" i="210"/>
  <c r="AD35" i="210"/>
  <c r="AD47" i="210"/>
  <c r="AD54" i="210"/>
  <c r="AD55" i="210"/>
  <c r="AD61" i="210"/>
  <c r="AD21" i="211"/>
  <c r="AD28" i="211"/>
  <c r="AD29" i="211"/>
  <c r="AD31" i="211"/>
  <c r="AD33" i="211"/>
  <c r="AD20" i="212"/>
  <c r="AD25" i="212"/>
  <c r="AD26" i="212"/>
  <c r="AD38" i="212"/>
  <c r="AD45" i="212"/>
  <c r="AD46" i="212"/>
  <c r="AD60" i="212"/>
  <c r="AD62" i="212"/>
  <c r="AD44" i="211"/>
  <c r="AD27" i="212"/>
  <c r="AD43" i="212"/>
  <c r="AD59" i="212"/>
  <c r="AD49" i="200"/>
  <c r="AD29" i="200"/>
  <c r="AD45" i="200"/>
  <c r="AD61" i="200"/>
  <c r="AD28" i="201"/>
  <c r="AD44" i="201"/>
  <c r="AD52" i="203"/>
  <c r="AD21" i="204"/>
  <c r="AD37" i="204"/>
  <c r="AD53" i="204"/>
  <c r="AD24" i="205"/>
  <c r="AD40" i="205"/>
  <c r="AD56" i="205"/>
  <c r="AD28" i="206"/>
  <c r="AD44" i="206"/>
  <c r="AD60" i="206"/>
  <c r="AD22" i="207"/>
  <c r="AD38" i="207"/>
  <c r="AD54" i="207"/>
  <c r="AD40" i="208"/>
  <c r="AD56" i="208"/>
  <c r="AD30" i="209"/>
  <c r="AD46" i="209"/>
  <c r="AD24" i="210"/>
  <c r="AD40" i="210"/>
  <c r="AD56" i="210"/>
  <c r="AD30" i="211"/>
  <c r="AD19" i="212"/>
  <c r="AD35" i="212"/>
  <c r="AD51" i="212"/>
  <c r="AD33" i="200"/>
  <c r="AD54" i="209"/>
  <c r="AD27" i="203"/>
  <c r="AD31" i="203"/>
  <c r="AC81" i="199"/>
  <c r="AA81" i="199"/>
  <c r="Y81" i="199"/>
  <c r="W81" i="199"/>
  <c r="AC80" i="199"/>
  <c r="AA80" i="199"/>
  <c r="Y80" i="199"/>
  <c r="W80" i="199"/>
  <c r="AC79" i="199"/>
  <c r="AA79" i="199"/>
  <c r="Y79" i="199"/>
  <c r="W79" i="199"/>
  <c r="D79" i="199"/>
  <c r="AC78" i="199"/>
  <c r="AA78" i="199"/>
  <c r="Y78" i="199"/>
  <c r="W78" i="199"/>
  <c r="AC77" i="199"/>
  <c r="AA77" i="199"/>
  <c r="Y77" i="199"/>
  <c r="W77" i="199"/>
  <c r="AC76" i="199"/>
  <c r="AA76" i="199"/>
  <c r="Y76" i="199"/>
  <c r="W76" i="199"/>
  <c r="AC75" i="199"/>
  <c r="AA75" i="199"/>
  <c r="Y75" i="199"/>
  <c r="W75" i="199"/>
  <c r="D75" i="199"/>
  <c r="D76" i="199" s="1"/>
  <c r="D77" i="199" s="1"/>
  <c r="AC74" i="199"/>
  <c r="AA74" i="199"/>
  <c r="Y74" i="199"/>
  <c r="W74" i="199"/>
  <c r="AC73" i="199"/>
  <c r="AA73" i="199"/>
  <c r="Y73" i="199"/>
  <c r="W73" i="199"/>
  <c r="AC72" i="199"/>
  <c r="AA72" i="199"/>
  <c r="Y72" i="199"/>
  <c r="W72" i="199"/>
  <c r="AC71" i="199"/>
  <c r="AA71" i="199"/>
  <c r="Y71" i="199"/>
  <c r="W71" i="199"/>
  <c r="AC70" i="199"/>
  <c r="AA70" i="199"/>
  <c r="Y70" i="199"/>
  <c r="W70" i="199"/>
  <c r="AC69" i="199"/>
  <c r="AA69" i="199"/>
  <c r="Y69" i="199"/>
  <c r="W69" i="199"/>
  <c r="AC68" i="199"/>
  <c r="AA68" i="199"/>
  <c r="Y68" i="199"/>
  <c r="W68" i="199"/>
  <c r="AC67" i="199"/>
  <c r="AA67" i="199"/>
  <c r="Y67" i="199"/>
  <c r="W67" i="199"/>
  <c r="D67" i="199"/>
  <c r="D68" i="199" s="1"/>
  <c r="D69" i="199" s="1"/>
  <c r="D70" i="199" s="1"/>
  <c r="D71" i="199" s="1"/>
  <c r="D72" i="199" s="1"/>
  <c r="D73" i="199" s="1"/>
  <c r="AC66" i="199"/>
  <c r="AA66" i="199"/>
  <c r="Y66" i="199"/>
  <c r="W66" i="199"/>
  <c r="P64" i="199"/>
  <c r="T62" i="199"/>
  <c r="R62" i="199"/>
  <c r="D62" i="199"/>
  <c r="C62" i="199"/>
  <c r="T61" i="199"/>
  <c r="R61" i="199"/>
  <c r="D61" i="199"/>
  <c r="C61" i="199"/>
  <c r="T60" i="199"/>
  <c r="R60" i="199"/>
  <c r="AD60" i="199" s="1"/>
  <c r="D60" i="199"/>
  <c r="C60" i="199"/>
  <c r="T59" i="199"/>
  <c r="R59" i="199"/>
  <c r="AD59" i="199" s="1"/>
  <c r="D59" i="199"/>
  <c r="C59" i="199"/>
  <c r="T58" i="199"/>
  <c r="R58" i="199"/>
  <c r="AD58" i="199" s="1"/>
  <c r="D58" i="199"/>
  <c r="C58" i="199"/>
  <c r="T57" i="199"/>
  <c r="R57" i="199"/>
  <c r="AD57" i="199" s="1"/>
  <c r="D57" i="199"/>
  <c r="C57" i="199"/>
  <c r="T56" i="199"/>
  <c r="R56" i="199"/>
  <c r="D56" i="199"/>
  <c r="C56" i="199"/>
  <c r="T55" i="199"/>
  <c r="R55" i="199"/>
  <c r="D55" i="199"/>
  <c r="C55" i="199"/>
  <c r="T54" i="199"/>
  <c r="R54" i="199"/>
  <c r="AD54" i="199" s="1"/>
  <c r="D54" i="199"/>
  <c r="C54" i="199"/>
  <c r="T53" i="199"/>
  <c r="R53" i="199"/>
  <c r="AD53" i="199" s="1"/>
  <c r="D53" i="199"/>
  <c r="C53" i="199"/>
  <c r="T52" i="199"/>
  <c r="R52" i="199"/>
  <c r="D52" i="199"/>
  <c r="C52" i="199"/>
  <c r="T51" i="199"/>
  <c r="R51" i="199"/>
  <c r="D51" i="199"/>
  <c r="C51" i="199"/>
  <c r="T50" i="199"/>
  <c r="R50" i="199"/>
  <c r="D50" i="199"/>
  <c r="C50" i="199"/>
  <c r="T49" i="199"/>
  <c r="R49" i="199"/>
  <c r="D49" i="199"/>
  <c r="C49" i="199"/>
  <c r="T48" i="199"/>
  <c r="R48" i="199"/>
  <c r="D48" i="199"/>
  <c r="C48" i="199"/>
  <c r="T47" i="199"/>
  <c r="R47" i="199"/>
  <c r="AD47" i="199" s="1"/>
  <c r="D47" i="199"/>
  <c r="C47" i="199"/>
  <c r="T46" i="199"/>
  <c r="R46" i="199"/>
  <c r="AD46" i="199" s="1"/>
  <c r="D46" i="199"/>
  <c r="C46" i="199"/>
  <c r="T45" i="199"/>
  <c r="R45" i="199"/>
  <c r="AD45" i="199" s="1"/>
  <c r="D45" i="199"/>
  <c r="C45" i="199"/>
  <c r="T44" i="199"/>
  <c r="R44" i="199"/>
  <c r="D44" i="199"/>
  <c r="C44" i="199"/>
  <c r="T43" i="199"/>
  <c r="R43" i="199"/>
  <c r="D43" i="199"/>
  <c r="C43" i="199"/>
  <c r="T42" i="199"/>
  <c r="R42" i="199"/>
  <c r="D42" i="199"/>
  <c r="C42" i="199"/>
  <c r="T41" i="199"/>
  <c r="R41" i="199"/>
  <c r="D41" i="199"/>
  <c r="C41" i="199"/>
  <c r="T40" i="199"/>
  <c r="R40" i="199"/>
  <c r="D40" i="199"/>
  <c r="C40" i="199"/>
  <c r="T39" i="199"/>
  <c r="R39" i="199"/>
  <c r="D39" i="199"/>
  <c r="C39" i="199"/>
  <c r="T38" i="199"/>
  <c r="R38" i="199"/>
  <c r="D38" i="199"/>
  <c r="C38" i="199"/>
  <c r="T37" i="199"/>
  <c r="R37" i="199"/>
  <c r="D37" i="199"/>
  <c r="C37" i="199"/>
  <c r="T36" i="199"/>
  <c r="R36" i="199"/>
  <c r="D36" i="199"/>
  <c r="C36" i="199"/>
  <c r="T35" i="199"/>
  <c r="R35" i="199"/>
  <c r="D35" i="199"/>
  <c r="C35" i="199"/>
  <c r="T34" i="199"/>
  <c r="R34" i="199"/>
  <c r="D34" i="199"/>
  <c r="C34" i="199"/>
  <c r="T33" i="199"/>
  <c r="R33" i="199"/>
  <c r="D33" i="199"/>
  <c r="C33" i="199"/>
  <c r="T32" i="199"/>
  <c r="R32" i="199"/>
  <c r="D32" i="199"/>
  <c r="C32" i="199"/>
  <c r="T31" i="199"/>
  <c r="R31" i="199"/>
  <c r="D31" i="199"/>
  <c r="C31" i="199"/>
  <c r="T30" i="199"/>
  <c r="R30" i="199"/>
  <c r="D30" i="199"/>
  <c r="C30" i="199"/>
  <c r="T29" i="199"/>
  <c r="R29" i="199"/>
  <c r="D29" i="199"/>
  <c r="C29" i="199"/>
  <c r="T28" i="199"/>
  <c r="AD28" i="199" s="1"/>
  <c r="R28" i="199"/>
  <c r="D28" i="199"/>
  <c r="C28" i="199"/>
  <c r="T27" i="199"/>
  <c r="R27" i="199"/>
  <c r="D27" i="199"/>
  <c r="C27" i="199"/>
  <c r="T26" i="199"/>
  <c r="R26" i="199"/>
  <c r="D26" i="199"/>
  <c r="C26" i="199"/>
  <c r="T25" i="199"/>
  <c r="R25" i="199"/>
  <c r="D25" i="199"/>
  <c r="C25" i="199"/>
  <c r="T24" i="199"/>
  <c r="AD24" i="199" s="1"/>
  <c r="R24" i="199"/>
  <c r="D24" i="199"/>
  <c r="C24" i="199"/>
  <c r="T23" i="199"/>
  <c r="R23" i="199"/>
  <c r="D23" i="199"/>
  <c r="C23" i="199"/>
  <c r="T22" i="199"/>
  <c r="R22" i="199"/>
  <c r="D22" i="199"/>
  <c r="C22" i="199"/>
  <c r="T21" i="199"/>
  <c r="R21" i="199"/>
  <c r="D21" i="199"/>
  <c r="C21" i="199"/>
  <c r="T20" i="199"/>
  <c r="AD20" i="199" s="1"/>
  <c r="R20" i="199"/>
  <c r="D20" i="199"/>
  <c r="C20" i="199"/>
  <c r="T19" i="199"/>
  <c r="R19" i="199"/>
  <c r="D19" i="199"/>
  <c r="C19" i="199"/>
  <c r="T18" i="199"/>
  <c r="R18" i="199"/>
  <c r="D18" i="199"/>
  <c r="C18" i="199"/>
  <c r="T17" i="199"/>
  <c r="R17" i="199"/>
  <c r="D17" i="199"/>
  <c r="C17" i="199"/>
  <c r="T16" i="199"/>
  <c r="R16" i="199"/>
  <c r="D16" i="199"/>
  <c r="C16" i="199"/>
  <c r="T15" i="199"/>
  <c r="R15" i="199"/>
  <c r="D15" i="199"/>
  <c r="C15" i="199"/>
  <c r="AC7" i="199"/>
  <c r="B6" i="199"/>
  <c r="D4" i="199"/>
  <c r="AD16" i="199" l="1"/>
  <c r="AD36" i="199"/>
  <c r="AD40" i="199"/>
  <c r="AD44" i="199"/>
  <c r="G6" i="202"/>
  <c r="AD32" i="199"/>
  <c r="AD29" i="199"/>
  <c r="AD30" i="199"/>
  <c r="AD31" i="199"/>
  <c r="AD37" i="199"/>
  <c r="AD38" i="199"/>
  <c r="AD39" i="199"/>
  <c r="AD41" i="199"/>
  <c r="AD42" i="199"/>
  <c r="AD43" i="199"/>
  <c r="G6" i="200"/>
  <c r="G6" i="206"/>
  <c r="G6" i="205"/>
  <c r="AD48" i="199"/>
  <c r="AD52" i="199"/>
  <c r="AD56" i="199"/>
  <c r="AD61" i="199"/>
  <c r="AD62" i="199"/>
  <c r="G6" i="204"/>
  <c r="G6" i="201"/>
  <c r="AD21" i="199"/>
  <c r="AD22" i="199"/>
  <c r="AD23" i="199"/>
  <c r="AD25" i="199"/>
  <c r="AD26" i="199"/>
  <c r="AD27" i="199"/>
  <c r="AD15" i="199"/>
  <c r="G6" i="211"/>
  <c r="G6" i="210"/>
  <c r="G6" i="203"/>
  <c r="G6" i="212"/>
  <c r="G6" i="208"/>
  <c r="G6" i="207"/>
  <c r="G6" i="209"/>
  <c r="AD55" i="199"/>
  <c r="AD17" i="199"/>
  <c r="AD18" i="199"/>
  <c r="AD19" i="199"/>
  <c r="AD33" i="199"/>
  <c r="AD34" i="199"/>
  <c r="AD35" i="199"/>
  <c r="AD49" i="199"/>
  <c r="AD50" i="199"/>
  <c r="AD51" i="199"/>
  <c r="G6" i="199" l="1"/>
  <c r="C24" i="198"/>
  <c r="C23" i="198"/>
  <c r="J22" i="198"/>
  <c r="C22" i="198"/>
  <c r="J21" i="198"/>
  <c r="C21" i="198"/>
  <c r="C20" i="198"/>
  <c r="C19" i="198"/>
  <c r="C18" i="198"/>
  <c r="C17" i="198"/>
  <c r="C16" i="198"/>
  <c r="C15" i="198"/>
  <c r="C14" i="198"/>
  <c r="C13" i="198"/>
  <c r="C12" i="198"/>
  <c r="C11" i="198"/>
  <c r="J10" i="198"/>
  <c r="C10" i="198"/>
  <c r="BF9" i="198"/>
  <c r="BE9" i="198"/>
  <c r="BD9" i="198"/>
  <c r="BC9" i="198"/>
  <c r="BB9" i="198"/>
  <c r="BA9" i="198"/>
  <c r="AZ9" i="198"/>
  <c r="AY9" i="198"/>
  <c r="AX9" i="198"/>
  <c r="AW9" i="198"/>
  <c r="AV9" i="198"/>
  <c r="AU9" i="198"/>
  <c r="AT9" i="198"/>
  <c r="AS9" i="198"/>
  <c r="AR9" i="198"/>
  <c r="AQ9" i="198"/>
  <c r="AP9" i="198"/>
  <c r="AO9" i="198"/>
  <c r="AN9" i="198"/>
  <c r="AM9" i="198"/>
  <c r="AL9" i="198"/>
  <c r="AK9" i="198"/>
  <c r="AJ9" i="198"/>
  <c r="AI9" i="198"/>
  <c r="AH9" i="198"/>
  <c r="AG9" i="198"/>
  <c r="AF9" i="198"/>
  <c r="AE9" i="198"/>
  <c r="AD9" i="198"/>
  <c r="AC9" i="198"/>
  <c r="AB9" i="198"/>
  <c r="AA9" i="198"/>
  <c r="Z9" i="198"/>
  <c r="Y9" i="198"/>
  <c r="X9" i="198"/>
  <c r="W9" i="198"/>
  <c r="V9" i="198"/>
  <c r="U9" i="198"/>
  <c r="T9" i="198"/>
  <c r="S9" i="198"/>
  <c r="R9" i="198"/>
  <c r="Q9" i="198"/>
  <c r="P9" i="198"/>
  <c r="O9" i="198"/>
  <c r="N9" i="198"/>
  <c r="M9" i="198"/>
  <c r="L9" i="198"/>
  <c r="K9" i="198"/>
  <c r="BV7" i="198"/>
  <c r="BU7" i="198"/>
  <c r="BS7" i="198"/>
  <c r="BT7" i="198" s="1"/>
  <c r="BP7" i="198"/>
  <c r="BQ7" i="198" s="1"/>
  <c r="BR7" i="198" s="1"/>
  <c r="BO7" i="198"/>
  <c r="BG7" i="198"/>
  <c r="BH7" i="198" s="1"/>
  <c r="BI7" i="198" s="1"/>
  <c r="BJ7" i="198" s="1"/>
  <c r="BK7" i="198" s="1"/>
  <c r="BL7" i="198" s="1"/>
  <c r="BM7" i="198" s="1"/>
  <c r="BN7" i="198" s="1"/>
  <c r="K7" i="198"/>
  <c r="L7" i="198" s="1"/>
  <c r="M7" i="198" s="1"/>
  <c r="N7" i="198" s="1"/>
  <c r="O7" i="198" s="1"/>
  <c r="P7" i="198" s="1"/>
  <c r="Q7" i="198" s="1"/>
  <c r="R7" i="198" s="1"/>
  <c r="S7" i="198" s="1"/>
  <c r="T7" i="198" s="1"/>
  <c r="U7" i="198" s="1"/>
  <c r="V7" i="198" s="1"/>
  <c r="W7" i="198" s="1"/>
  <c r="X7" i="198" s="1"/>
  <c r="Y7" i="198" s="1"/>
  <c r="Z7" i="198" s="1"/>
  <c r="AA7" i="198" s="1"/>
  <c r="AB7" i="198" s="1"/>
  <c r="AC7" i="198" s="1"/>
  <c r="AD7" i="198" s="1"/>
  <c r="AE7" i="198" s="1"/>
  <c r="AF7" i="198" s="1"/>
  <c r="AG7" i="198" s="1"/>
  <c r="AH7" i="198" s="1"/>
  <c r="AI7" i="198" s="1"/>
  <c r="AJ7" i="198" s="1"/>
  <c r="AK7" i="198" s="1"/>
  <c r="AL7" i="198" s="1"/>
  <c r="AM7" i="198" s="1"/>
  <c r="AN7" i="198" s="1"/>
  <c r="AO7" i="198" s="1"/>
  <c r="AP7" i="198" s="1"/>
  <c r="AQ7" i="198" s="1"/>
  <c r="AR7" i="198" s="1"/>
  <c r="AS7" i="198" s="1"/>
  <c r="AT7" i="198" s="1"/>
  <c r="AU7" i="198" s="1"/>
  <c r="AV7" i="198" s="1"/>
  <c r="AW7" i="198" s="1"/>
  <c r="AX7" i="198" s="1"/>
  <c r="AY7" i="198" s="1"/>
  <c r="AZ7" i="198" s="1"/>
  <c r="BA7" i="198" s="1"/>
  <c r="BB7" i="198" s="1"/>
  <c r="BC7" i="198" s="1"/>
  <c r="BD7" i="198" s="1"/>
  <c r="BE7" i="198" s="1"/>
  <c r="BF7" i="198" s="1"/>
  <c r="J17" i="198" l="1"/>
  <c r="J13" i="198"/>
  <c r="J12" i="198"/>
  <c r="J16" i="198"/>
  <c r="J20" i="198"/>
  <c r="J24" i="198"/>
  <c r="J14" i="198"/>
  <c r="J18" i="198"/>
  <c r="J11" i="198"/>
  <c r="J15" i="198"/>
  <c r="J19" i="198"/>
  <c r="J23" i="198"/>
  <c r="A9" i="197" l="1"/>
  <c r="F6" i="197"/>
  <c r="G6" i="197" s="1"/>
  <c r="H6" i="197" s="1"/>
  <c r="I6" i="197" s="1"/>
  <c r="J6" i="197" s="1"/>
  <c r="K6" i="197" s="1"/>
  <c r="L6" i="197" s="1"/>
  <c r="M6" i="197" s="1"/>
  <c r="N6" i="197" s="1"/>
  <c r="O6" i="197" s="1"/>
  <c r="P6" i="197" s="1"/>
  <c r="Q6" i="197" s="1"/>
  <c r="R6" i="197" s="1"/>
  <c r="S6" i="197" s="1"/>
  <c r="T6" i="197" s="1"/>
  <c r="A9" i="196"/>
  <c r="F6" i="196"/>
  <c r="G6" i="196" s="1"/>
  <c r="H6" i="196" s="1"/>
  <c r="I6" i="196" s="1"/>
  <c r="J6" i="196" s="1"/>
  <c r="K6" i="196" s="1"/>
  <c r="L6" i="196" s="1"/>
  <c r="M6" i="196" s="1"/>
  <c r="N6" i="196" s="1"/>
  <c r="O6" i="196" s="1"/>
  <c r="P6" i="196" s="1"/>
  <c r="Q6" i="196" s="1"/>
  <c r="R6" i="196" s="1"/>
  <c r="S6" i="196" s="1"/>
  <c r="T6" i="196" s="1"/>
  <c r="U6" i="196" s="1"/>
  <c r="V6" i="196" s="1"/>
  <c r="W6" i="196" s="1"/>
  <c r="X6" i="196" s="1"/>
  <c r="Y6" i="196" s="1"/>
  <c r="Z6" i="196" s="1"/>
  <c r="AA6" i="196" s="1"/>
  <c r="AB6" i="196" s="1"/>
  <c r="AC6" i="196" s="1"/>
  <c r="AD6" i="196" s="1"/>
  <c r="AE6" i="196" s="1"/>
  <c r="AF6" i="196" s="1"/>
  <c r="AG6" i="196" s="1"/>
  <c r="AH6" i="196" s="1"/>
  <c r="AI6" i="196" s="1"/>
  <c r="AJ6" i="196" s="1"/>
  <c r="AK6" i="196" s="1"/>
  <c r="AL6" i="196" s="1"/>
  <c r="AM6" i="196" s="1"/>
  <c r="AN6" i="196" s="1"/>
  <c r="AO6" i="196" s="1"/>
  <c r="AP6" i="196" s="1"/>
  <c r="AQ6" i="196" s="1"/>
  <c r="AR6" i="196" s="1"/>
  <c r="AS6" i="196" s="1"/>
  <c r="AT6" i="196" s="1"/>
  <c r="AU6" i="196" s="1"/>
  <c r="AV6" i="196" s="1"/>
  <c r="AW6" i="196" s="1"/>
  <c r="AX6" i="196" s="1"/>
  <c r="AY6" i="196" s="1"/>
  <c r="AZ6" i="196" s="1"/>
  <c r="A10" i="197" l="1"/>
  <c r="A10" i="196"/>
  <c r="A11" i="197" l="1"/>
  <c r="A11" i="196"/>
  <c r="A12" i="197" l="1"/>
  <c r="A12" i="196"/>
  <c r="A13" i="197" l="1"/>
  <c r="A13" i="196"/>
  <c r="A14" i="197" l="1"/>
  <c r="A14" i="196"/>
  <c r="A15" i="197" l="1"/>
  <c r="A15" i="196"/>
  <c r="A16" i="197" l="1"/>
  <c r="A16" i="196"/>
  <c r="A17" i="197" l="1"/>
  <c r="A17" i="196"/>
  <c r="A18" i="197" l="1"/>
  <c r="A18" i="196"/>
  <c r="A19" i="197" l="1"/>
  <c r="A19" i="196"/>
  <c r="A20" i="197" l="1"/>
  <c r="A20" i="196"/>
  <c r="A21" i="197" l="1"/>
  <c r="A21" i="196"/>
  <c r="A22" i="197" l="1"/>
  <c r="A22" i="196"/>
  <c r="A23" i="197" l="1"/>
  <c r="A23" i="196"/>
  <c r="J24" i="19" l="1"/>
  <c r="J23" i="19"/>
  <c r="J22" i="19"/>
  <c r="J21" i="19"/>
  <c r="J20" i="19"/>
  <c r="J19" i="19"/>
  <c r="J18" i="19"/>
  <c r="J17" i="19"/>
  <c r="J16" i="19"/>
  <c r="J15" i="19"/>
  <c r="J14" i="19"/>
  <c r="J13" i="19"/>
  <c r="J12" i="19"/>
  <c r="J11" i="19"/>
  <c r="J10" i="19"/>
  <c r="AC7" i="17" l="1"/>
  <c r="N2" i="15" l="1"/>
  <c r="M2" i="15"/>
  <c r="P65" i="15"/>
  <c r="P64" i="15"/>
  <c r="P63" i="15"/>
  <c r="P62" i="15"/>
  <c r="P61" i="15"/>
  <c r="P60" i="15"/>
  <c r="P59" i="15"/>
  <c r="P58" i="15"/>
  <c r="P57" i="15"/>
  <c r="P56" i="15"/>
  <c r="P55" i="15"/>
  <c r="P54" i="15"/>
  <c r="P53" i="15"/>
  <c r="P52" i="15"/>
  <c r="P51" i="15"/>
  <c r="P50" i="15"/>
  <c r="P49" i="15"/>
  <c r="P48" i="15"/>
  <c r="P47" i="15"/>
  <c r="P46" i="15"/>
  <c r="P45" i="15"/>
  <c r="P44" i="15"/>
  <c r="P43" i="15"/>
  <c r="P42" i="15"/>
  <c r="P41" i="15"/>
  <c r="P40" i="15"/>
  <c r="P39" i="15"/>
  <c r="P38" i="15"/>
  <c r="P37" i="15"/>
  <c r="P36" i="15"/>
  <c r="P35" i="15"/>
  <c r="P34" i="15"/>
  <c r="P33" i="15"/>
  <c r="P32" i="15"/>
  <c r="P31" i="15"/>
  <c r="P30" i="15"/>
  <c r="P29" i="15"/>
  <c r="P28" i="15"/>
  <c r="P27" i="15"/>
  <c r="P26" i="15"/>
  <c r="P25" i="15"/>
  <c r="P24" i="15"/>
  <c r="P23" i="15"/>
  <c r="P22" i="15"/>
  <c r="P21" i="15"/>
  <c r="P20" i="15"/>
  <c r="P19" i="15"/>
  <c r="P18" i="15"/>
  <c r="P17" i="15"/>
  <c r="P16" i="15"/>
  <c r="P15" i="15"/>
  <c r="P14" i="15"/>
  <c r="P13" i="15"/>
  <c r="P12" i="15"/>
  <c r="P11" i="15"/>
  <c r="P10" i="15"/>
  <c r="P9" i="15"/>
  <c r="P8" i="15"/>
  <c r="P7" i="15"/>
  <c r="P6" i="15"/>
  <c r="P5" i="15"/>
  <c r="P4" i="15"/>
  <c r="P3" i="15"/>
  <c r="P2" i="15"/>
  <c r="N31" i="1"/>
  <c r="N30" i="1"/>
  <c r="N29" i="1"/>
  <c r="N28" i="1"/>
  <c r="N27" i="1"/>
  <c r="N26" i="1"/>
  <c r="N25" i="1"/>
  <c r="N24" i="1"/>
  <c r="N23" i="1"/>
  <c r="N22" i="1"/>
  <c r="N21" i="1"/>
  <c r="N20" i="1"/>
  <c r="N19" i="1"/>
  <c r="N18" i="1"/>
  <c r="N17" i="1"/>
  <c r="N16" i="1"/>
  <c r="N47" i="1"/>
  <c r="N43" i="1"/>
  <c r="N41" i="1"/>
  <c r="N39" i="1"/>
  <c r="H31" i="1"/>
  <c r="H30" i="1"/>
  <c r="H29" i="1"/>
  <c r="H28" i="1"/>
  <c r="H27" i="1"/>
  <c r="H26" i="1"/>
  <c r="H25" i="1"/>
  <c r="H24" i="1"/>
  <c r="H23" i="1"/>
  <c r="H22" i="1"/>
  <c r="H21" i="1"/>
  <c r="H20" i="1"/>
  <c r="H36" i="1" s="1"/>
  <c r="H19" i="1"/>
  <c r="H18" i="1"/>
  <c r="H17" i="1"/>
  <c r="H16" i="1"/>
  <c r="H44" i="1"/>
  <c r="H40" i="1"/>
  <c r="H63" i="1"/>
  <c r="H62" i="1"/>
  <c r="H60" i="1"/>
  <c r="H59" i="1"/>
  <c r="H58" i="1"/>
  <c r="H56" i="1"/>
  <c r="H55" i="1"/>
  <c r="H54" i="1"/>
  <c r="H51" i="1"/>
  <c r="H47" i="1"/>
  <c r="H43" i="1"/>
  <c r="H41" i="1"/>
  <c r="H39" i="1"/>
  <c r="H35" i="1"/>
  <c r="H42" i="1"/>
  <c r="B8" i="1"/>
  <c r="F120" i="1"/>
  <c r="BU15" i="198"/>
  <c r="AO11" i="198"/>
  <c r="BN12" i="198"/>
  <c r="AU24" i="198"/>
  <c r="AG23" i="198"/>
  <c r="BT11" i="198"/>
  <c r="BP11" i="198"/>
  <c r="BJ11" i="198"/>
  <c r="AH17" i="198"/>
  <c r="BO22" i="198"/>
  <c r="T23" i="198"/>
  <c r="BJ18" i="198"/>
  <c r="W21" i="198"/>
  <c r="BG13" i="198"/>
  <c r="M16" i="198"/>
  <c r="AS23" i="198"/>
  <c r="O19" i="198"/>
  <c r="W23" i="198"/>
  <c r="BE19" i="198"/>
  <c r="AP17" i="198"/>
  <c r="AP10" i="198"/>
  <c r="BC20" i="198"/>
  <c r="BC22" i="198"/>
  <c r="S22" i="198"/>
  <c r="AG24" i="198"/>
  <c r="BL15" i="198"/>
  <c r="BM20" i="198"/>
  <c r="BT21" i="198"/>
  <c r="AT15" i="198"/>
  <c r="BR12" i="198"/>
  <c r="BE15" i="198"/>
  <c r="BF24" i="198"/>
  <c r="AB11" i="198"/>
  <c r="BR13" i="198"/>
  <c r="AI17" i="198"/>
  <c r="BP21" i="198"/>
  <c r="AD14" i="198"/>
  <c r="BV10" i="198"/>
  <c r="P21" i="198"/>
  <c r="BI20" i="198"/>
  <c r="BD24" i="198"/>
  <c r="BV18" i="198"/>
  <c r="U13" i="198"/>
  <c r="BO23" i="198"/>
  <c r="U11" i="198"/>
  <c r="K18" i="198"/>
  <c r="AG10" i="198"/>
  <c r="AO22" i="198"/>
  <c r="AW15" i="198"/>
  <c r="BQ22" i="198"/>
  <c r="BL19" i="198"/>
  <c r="AB24" i="198"/>
  <c r="O15" i="198"/>
  <c r="R21" i="198"/>
  <c r="BN24" i="198"/>
  <c r="AE22" i="198"/>
  <c r="K11" i="198"/>
  <c r="BA14" i="198"/>
  <c r="V23" i="198"/>
  <c r="Y21" i="198"/>
  <c r="AH11" i="198"/>
  <c r="BN17" i="198"/>
  <c r="AP23" i="198"/>
  <c r="AP14" i="198"/>
  <c r="BK17" i="198"/>
  <c r="Q17" i="198"/>
  <c r="AC11" i="198"/>
  <c r="AS13" i="198"/>
  <c r="AZ24" i="198"/>
  <c r="K19" i="198"/>
  <c r="AX12" i="198"/>
  <c r="BH14" i="198"/>
  <c r="BG24" i="198"/>
  <c r="AD24" i="198"/>
  <c r="BI22" i="198"/>
  <c r="AQ17" i="198"/>
  <c r="BM22" i="198"/>
  <c r="AM23" i="198"/>
  <c r="BK20" i="198"/>
  <c r="AC19" i="198"/>
  <c r="BD10" i="198"/>
  <c r="AB14" i="198"/>
  <c r="BK24" i="198"/>
  <c r="K10" i="198"/>
  <c r="BB18" i="198"/>
  <c r="W10" i="198"/>
  <c r="BM10" i="198"/>
  <c r="BP18" i="198"/>
  <c r="AW14" i="198"/>
  <c r="AF19" i="198"/>
  <c r="AB18" i="198"/>
  <c r="AS15" i="198"/>
  <c r="AR24" i="198"/>
  <c r="X17" i="198"/>
  <c r="L13" i="198"/>
  <c r="BH12" i="198"/>
  <c r="BP12" i="198"/>
  <c r="AM14" i="198"/>
  <c r="AX16" i="198"/>
  <c r="Q22" i="198"/>
  <c r="BD21" i="198"/>
  <c r="BS12" i="198"/>
  <c r="AV12" i="198"/>
  <c r="AX18" i="198"/>
  <c r="AY24" i="198"/>
  <c r="BE16" i="198"/>
  <c r="AS16" i="198"/>
  <c r="N22" i="198"/>
  <c r="AD18" i="198"/>
  <c r="AN23" i="198"/>
  <c r="AY20" i="198"/>
  <c r="BH19" i="198"/>
  <c r="BP14" i="198"/>
  <c r="BQ17" i="198"/>
  <c r="K15" i="198"/>
  <c r="BS17" i="198"/>
  <c r="BV13" i="198"/>
  <c r="O13" i="198"/>
  <c r="BC21" i="198"/>
  <c r="AL12" i="198"/>
  <c r="BS21" i="198"/>
  <c r="AC10" i="198"/>
  <c r="S24" i="198"/>
  <c r="Q14" i="198"/>
  <c r="R18" i="198"/>
  <c r="BJ20" i="198"/>
  <c r="BP16" i="198"/>
  <c r="AA18" i="198"/>
  <c r="BB10" i="198"/>
  <c r="V18" i="198"/>
  <c r="AM20" i="198"/>
  <c r="BP10" i="198"/>
  <c r="AN11" i="198"/>
  <c r="BS14" i="198"/>
  <c r="BU13" i="198"/>
  <c r="BU22" i="198"/>
  <c r="AI12" i="198"/>
  <c r="AW13" i="198"/>
  <c r="Q11" i="198"/>
  <c r="AX15" i="198"/>
  <c r="BG10" i="198"/>
  <c r="BE20" i="198"/>
  <c r="BT13" i="198"/>
  <c r="AM22" i="198"/>
  <c r="BE21" i="198"/>
  <c r="BO12" i="198"/>
  <c r="BT18" i="198"/>
  <c r="BA22" i="198"/>
  <c r="AD22" i="198"/>
  <c r="AM15" i="198"/>
  <c r="AY10" i="198"/>
  <c r="BN20" i="198"/>
  <c r="BE18" i="198"/>
  <c r="BN16" i="198"/>
  <c r="AB15" i="198"/>
  <c r="AH22" i="198"/>
  <c r="Q15" i="198"/>
  <c r="AP21" i="198"/>
  <c r="AA10" i="198"/>
  <c r="BS15" i="198"/>
  <c r="BL16" i="198"/>
  <c r="P23" i="198"/>
  <c r="BJ17" i="198"/>
  <c r="AY14" i="198"/>
  <c r="AC20" i="198"/>
  <c r="AH18" i="198"/>
  <c r="BT16" i="198"/>
  <c r="BH11" i="198"/>
  <c r="BR15" i="198"/>
  <c r="AQ24" i="198"/>
  <c r="AA12" i="198"/>
  <c r="V12" i="198"/>
  <c r="S20" i="198"/>
  <c r="AP24" i="198"/>
  <c r="AG21" i="198"/>
  <c r="BG21" i="198"/>
  <c r="AL18" i="198"/>
  <c r="BS13" i="198"/>
  <c r="BP15" i="198"/>
  <c r="BM23" i="198"/>
  <c r="BU17" i="198"/>
  <c r="BC10" i="198"/>
  <c r="BB17" i="198"/>
  <c r="AO19" i="198"/>
  <c r="AM21" i="198"/>
  <c r="AX24" i="198"/>
  <c r="W19" i="198"/>
  <c r="BS16" i="198"/>
  <c r="AL10" i="198"/>
  <c r="AN20" i="198"/>
  <c r="BR19" i="198"/>
  <c r="AS19" i="198"/>
  <c r="X10" i="198"/>
  <c r="M18" i="198"/>
  <c r="AX23" i="198"/>
  <c r="BR23" i="198"/>
  <c r="L17" i="198"/>
  <c r="BC24" i="198"/>
  <c r="BG23" i="198"/>
  <c r="BL22" i="198"/>
  <c r="S15" i="198"/>
  <c r="AB17" i="198"/>
  <c r="BV15" i="198"/>
  <c r="BS24" i="198"/>
  <c r="AJ17" i="198"/>
  <c r="AA20" i="198"/>
  <c r="BO24" i="198"/>
  <c r="T20" i="198"/>
  <c r="AF20" i="198"/>
  <c r="AB10" i="198"/>
  <c r="W22" i="198"/>
  <c r="M20" i="198"/>
  <c r="AK19" i="198"/>
  <c r="AM19" i="198"/>
  <c r="AJ12" i="198"/>
  <c r="AQ22" i="198"/>
  <c r="AU11" i="198"/>
  <c r="AB21" i="198"/>
  <c r="BF23" i="198"/>
  <c r="AJ11" i="198"/>
  <c r="AN13" i="198"/>
  <c r="AG17" i="198"/>
  <c r="Q13" i="198"/>
  <c r="AD21" i="198"/>
  <c r="N11" i="198"/>
  <c r="BU16" i="198"/>
  <c r="BV12" i="198"/>
  <c r="AU21" i="198"/>
  <c r="BQ15" i="198"/>
  <c r="BI11" i="198"/>
  <c r="N20" i="198"/>
  <c r="BU24" i="198"/>
  <c r="AG20" i="198"/>
  <c r="Q16" i="198"/>
  <c r="O10" i="198"/>
  <c r="BI15" i="198"/>
  <c r="AV18" i="198"/>
  <c r="AH23" i="198"/>
  <c r="K12" i="198"/>
  <c r="P18" i="198"/>
  <c r="AO23" i="198"/>
  <c r="BJ24" i="198"/>
  <c r="BJ14" i="198"/>
  <c r="BG20" i="198"/>
  <c r="BO14" i="198"/>
  <c r="O18" i="198"/>
  <c r="AS11" i="198"/>
  <c r="AG18" i="198"/>
  <c r="AR19" i="198"/>
  <c r="AA15" i="198"/>
  <c r="AQ16" i="198"/>
  <c r="N24" i="198"/>
  <c r="BB16" i="198"/>
  <c r="P15" i="198"/>
  <c r="X13" i="198"/>
  <c r="R16" i="198"/>
  <c r="AQ11" i="198"/>
  <c r="BC17" i="198"/>
  <c r="AT11" i="198"/>
  <c r="V15" i="198"/>
  <c r="BT23" i="198"/>
  <c r="V19" i="198"/>
  <c r="Y11" i="198"/>
  <c r="AL13" i="198"/>
  <c r="AG16" i="198"/>
  <c r="AW20" i="198"/>
  <c r="BK23" i="198"/>
  <c r="BT22" i="198"/>
  <c r="BS23" i="198"/>
  <c r="BI19" i="198"/>
  <c r="M22" i="198"/>
  <c r="T18" i="198"/>
  <c r="Z11" i="198"/>
  <c r="AH21" i="198"/>
  <c r="BN13" i="198"/>
  <c r="U20" i="198"/>
  <c r="AZ12" i="198"/>
  <c r="T15" i="198"/>
  <c r="BV17" i="198"/>
  <c r="S12" i="198"/>
  <c r="K16" i="198"/>
  <c r="BM17" i="198"/>
  <c r="BF22" i="198"/>
  <c r="S11" i="198"/>
  <c r="BK22" i="198"/>
  <c r="BA21" i="198"/>
  <c r="BT17" i="198"/>
  <c r="BQ20" i="198"/>
  <c r="Z15" i="198"/>
  <c r="AR22" i="198"/>
  <c r="AB16" i="198"/>
  <c r="AS22" i="198"/>
  <c r="AW17" i="198"/>
  <c r="AO13" i="198"/>
  <c r="BT12" i="198"/>
  <c r="AU20" i="198"/>
  <c r="V20" i="198"/>
  <c r="BQ21" i="198"/>
  <c r="BC13" i="198"/>
  <c r="AU22" i="198"/>
  <c r="BV14" i="198"/>
  <c r="X14" i="198"/>
  <c r="AW19" i="198"/>
  <c r="AJ13" i="198"/>
  <c r="AJ23" i="198"/>
  <c r="BL21" i="198"/>
  <c r="BI21" i="198"/>
  <c r="AU15" i="198"/>
  <c r="BH17" i="198"/>
  <c r="AA24" i="198"/>
  <c r="BU18" i="198"/>
  <c r="BM24" i="198"/>
  <c r="X22" i="198"/>
  <c r="AH16" i="198"/>
  <c r="Z18" i="198"/>
  <c r="BS19" i="198"/>
  <c r="BF14" i="198"/>
  <c r="Q21" i="198"/>
  <c r="BT20" i="198"/>
  <c r="BQ23" i="198"/>
  <c r="AZ11" i="198"/>
  <c r="BC16" i="198"/>
  <c r="BT24" i="198"/>
  <c r="AH15" i="198"/>
  <c r="AN19" i="198"/>
  <c r="AR11" i="198"/>
  <c r="P19" i="198"/>
  <c r="AG15" i="198"/>
  <c r="BN11" i="198"/>
  <c r="AN18" i="198"/>
  <c r="AK21" i="198"/>
  <c r="W15" i="198"/>
  <c r="AF23" i="198"/>
  <c r="AQ20" i="198"/>
  <c r="AK24" i="198"/>
  <c r="Q18" i="198"/>
  <c r="M10" i="198"/>
  <c r="BF16" i="198"/>
  <c r="AR14" i="198"/>
  <c r="BQ18" i="198"/>
  <c r="BG22" i="198"/>
  <c r="T11" i="198"/>
  <c r="AY15" i="198"/>
  <c r="BJ22" i="198"/>
  <c r="AE11" i="198"/>
  <c r="AP22" i="198"/>
  <c r="AB22" i="198"/>
  <c r="Y12" i="198"/>
  <c r="AI19" i="198"/>
  <c r="AF14" i="198"/>
  <c r="Y22" i="198"/>
  <c r="BD13" i="198"/>
  <c r="AR18" i="198"/>
  <c r="AM16" i="198"/>
  <c r="X19" i="198"/>
  <c r="V22" i="198"/>
  <c r="BI23" i="198"/>
  <c r="AW16" i="198"/>
  <c r="BK18" i="198"/>
  <c r="AV15" i="198"/>
  <c r="BG18" i="198"/>
  <c r="AO15" i="198"/>
  <c r="AK16" i="198"/>
  <c r="AZ21" i="198"/>
  <c r="BN15" i="198"/>
  <c r="BD12" i="198"/>
  <c r="BT19" i="198"/>
  <c r="BE24" i="198"/>
  <c r="BM14" i="198"/>
  <c r="BK10" i="198"/>
  <c r="AI18" i="198"/>
  <c r="AS14" i="198"/>
  <c r="AU19" i="198"/>
  <c r="BI12" i="198"/>
  <c r="AF16" i="198"/>
  <c r="BC15" i="198"/>
  <c r="BO13" i="198"/>
  <c r="AN12" i="198"/>
  <c r="AQ13" i="198"/>
  <c r="AY23" i="198"/>
  <c r="W17" i="198"/>
  <c r="AQ10" i="198"/>
  <c r="AJ24" i="198"/>
  <c r="BE11" i="198"/>
  <c r="BD22" i="198"/>
  <c r="AF13" i="198"/>
  <c r="K23" i="198"/>
  <c r="BD14" i="198"/>
  <c r="AH12" i="198"/>
  <c r="T12" i="198"/>
  <c r="BU14" i="198"/>
  <c r="AA23" i="198"/>
  <c r="BO20" i="198"/>
  <c r="BB20" i="198"/>
  <c r="BQ19" i="198"/>
  <c r="BJ15" i="198"/>
  <c r="Q19" i="198"/>
  <c r="W14" i="198"/>
  <c r="BD20" i="198"/>
  <c r="X15" i="198"/>
  <c r="AT17" i="198"/>
  <c r="AQ15" i="198"/>
  <c r="BN23" i="198"/>
  <c r="P10" i="198"/>
  <c r="AD15" i="198"/>
  <c r="T21" i="198"/>
  <c r="R22" i="198"/>
  <c r="AF10" i="198"/>
  <c r="AV20" i="198"/>
  <c r="R13" i="198"/>
  <c r="AI14" i="198"/>
  <c r="AR23" i="198"/>
  <c r="AQ19" i="198"/>
  <c r="BH13" i="198"/>
  <c r="AJ19" i="198"/>
  <c r="BD18" i="198"/>
  <c r="BO11" i="198"/>
  <c r="U10" i="198"/>
  <c r="BK12" i="198"/>
  <c r="R20" i="198"/>
  <c r="BC19" i="198"/>
  <c r="W18" i="198"/>
  <c r="AJ18" i="198"/>
  <c r="N13" i="198"/>
  <c r="AN16" i="198"/>
  <c r="BR14" i="198"/>
  <c r="Z17" i="198"/>
  <c r="BG16" i="198"/>
  <c r="AJ22" i="198"/>
  <c r="L15" i="198"/>
  <c r="AM12" i="198"/>
  <c r="AZ14" i="198"/>
  <c r="N16" i="198"/>
  <c r="S21" i="198"/>
  <c r="AO14" i="198"/>
  <c r="AI24" i="198"/>
  <c r="BC11" i="198"/>
  <c r="AE15" i="198"/>
  <c r="BV19" i="198"/>
  <c r="AV11" i="198"/>
  <c r="AM18" i="198"/>
  <c r="AR16" i="198"/>
  <c r="S10" i="198"/>
  <c r="AO16" i="198"/>
  <c r="BF20" i="198"/>
  <c r="V21" i="198"/>
  <c r="AJ10" i="198"/>
  <c r="AZ15" i="198"/>
  <c r="BV21" i="198"/>
  <c r="AZ18" i="198"/>
  <c r="BA18" i="198"/>
  <c r="Z19" i="198"/>
  <c r="BL10" i="198"/>
  <c r="O12" i="198"/>
  <c r="AH13" i="198"/>
  <c r="AG13" i="198"/>
  <c r="BA19" i="198"/>
  <c r="AD19" i="198"/>
  <c r="Q23" i="198"/>
  <c r="BA15" i="198"/>
  <c r="BB15" i="198"/>
  <c r="BR21" i="198"/>
  <c r="BL18" i="198"/>
  <c r="AO20" i="198"/>
  <c r="AT14" i="198"/>
  <c r="AU14" i="198"/>
  <c r="BD16" i="198"/>
  <c r="BL23" i="198"/>
  <c r="AN15" i="198"/>
  <c r="AN14" i="198"/>
  <c r="BF11" i="198"/>
  <c r="BC12" i="198"/>
  <c r="AI20" i="198"/>
  <c r="AP18" i="198"/>
  <c r="AS24" i="198"/>
  <c r="Z13" i="198"/>
  <c r="Z24" i="198"/>
  <c r="AB13" i="198"/>
  <c r="BA12" i="198"/>
  <c r="AT20" i="198"/>
  <c r="R24" i="198"/>
  <c r="BD11" i="198"/>
  <c r="BS22" i="198"/>
  <c r="BO16" i="198"/>
  <c r="M14" i="198"/>
  <c r="U14" i="198"/>
  <c r="BN22" i="198"/>
  <c r="BV11" i="198"/>
  <c r="Y13" i="198"/>
  <c r="BO18" i="198"/>
  <c r="BM21" i="198"/>
  <c r="BC23" i="198"/>
  <c r="AF17" i="198"/>
  <c r="L11" i="198"/>
  <c r="AF22" i="198"/>
  <c r="BB21" i="198"/>
  <c r="BS10" i="198"/>
  <c r="V10" i="198"/>
  <c r="V11" i="198"/>
  <c r="AV13" i="198"/>
  <c r="BR10" i="198"/>
  <c r="BI14" i="198"/>
  <c r="M19" i="198"/>
  <c r="BN18" i="198"/>
  <c r="AI21" i="198"/>
  <c r="BR22" i="198"/>
  <c r="Y24" i="198"/>
  <c r="AF11" i="198"/>
  <c r="AN24" i="198"/>
  <c r="AV14" i="198"/>
  <c r="BO21" i="198"/>
  <c r="AZ13" i="198"/>
  <c r="Z22" i="198"/>
  <c r="BQ12" i="198"/>
  <c r="S14" i="198"/>
  <c r="AJ15" i="198"/>
  <c r="BD19" i="198"/>
  <c r="BV23" i="198"/>
  <c r="AE21" i="198"/>
  <c r="BO17" i="198"/>
  <c r="BE12" i="198"/>
  <c r="BQ24" i="198"/>
  <c r="AU16" i="198"/>
  <c r="K14" i="198"/>
  <c r="AM17" i="198"/>
  <c r="BU10" i="198"/>
  <c r="BG14" i="198"/>
  <c r="S18" i="198"/>
  <c r="BL20" i="198"/>
  <c r="M24" i="198"/>
  <c r="AX21" i="198"/>
  <c r="AP12" i="198"/>
  <c r="BH20" i="198"/>
  <c r="V13" i="198"/>
  <c r="BA17" i="198"/>
  <c r="AW23" i="198"/>
  <c r="AL23" i="198"/>
  <c r="BI17" i="198"/>
  <c r="AC23" i="198"/>
  <c r="X23" i="198"/>
  <c r="Z16" i="198"/>
  <c r="Z21" i="198"/>
  <c r="AD16" i="198"/>
  <c r="AC16" i="198"/>
  <c r="AA13" i="198"/>
  <c r="AF15" i="198"/>
  <c r="BM15" i="198"/>
  <c r="BP20" i="198"/>
  <c r="Y19" i="198"/>
  <c r="BN21" i="198"/>
  <c r="AR10" i="198"/>
  <c r="BO10" i="198"/>
  <c r="X12" i="198"/>
  <c r="AE13" i="198"/>
  <c r="AD12" i="198"/>
  <c r="R23" i="198"/>
  <c r="AI22" i="198"/>
  <c r="AZ10" i="198"/>
  <c r="BA24" i="198"/>
  <c r="D4" i="17"/>
  <c r="BE23" i="198"/>
  <c r="Y17" i="198"/>
  <c r="BA11" i="198"/>
  <c r="Z12" i="198"/>
  <c r="T14" i="198"/>
  <c r="BL24" i="198"/>
  <c r="AC21" i="198"/>
  <c r="AE12" i="198"/>
  <c r="BF10" i="198"/>
  <c r="Y10" i="198"/>
  <c r="AX22" i="198"/>
  <c r="BB23" i="198"/>
  <c r="AC15" i="198"/>
  <c r="Z20" i="198"/>
  <c r="BT10" i="198"/>
  <c r="AW18" i="198"/>
  <c r="BG11" i="198"/>
  <c r="AM11" i="198"/>
  <c r="BV22" i="198"/>
  <c r="AE19" i="198"/>
  <c r="BK11" i="198"/>
  <c r="BP13" i="198"/>
  <c r="AM24" i="198"/>
  <c r="BJ16" i="198"/>
  <c r="AT16" i="198"/>
  <c r="AF18" i="198"/>
  <c r="L20" i="198"/>
  <c r="Z14" i="198"/>
  <c r="N23" i="198"/>
  <c r="BU20" i="198"/>
  <c r="BD17" i="198"/>
  <c r="AW22" i="198"/>
  <c r="N17" i="198"/>
  <c r="AE18" i="198"/>
  <c r="BJ12" i="198"/>
  <c r="BI13" i="198"/>
  <c r="AC22" i="198"/>
  <c r="K21" i="198"/>
  <c r="AO18" i="198"/>
  <c r="AZ20" i="198"/>
  <c r="BS20" i="198"/>
  <c r="AD11" i="198"/>
  <c r="AC24" i="198"/>
  <c r="V16" i="198"/>
  <c r="O21" i="198"/>
  <c r="BB12" i="198"/>
  <c r="AI11" i="198"/>
  <c r="M11" i="198"/>
  <c r="BA13" i="198"/>
  <c r="AA22" i="198"/>
  <c r="AA16" i="198"/>
  <c r="BS18" i="198"/>
  <c r="BK15" i="198"/>
  <c r="BR24" i="198"/>
  <c r="AX19" i="198"/>
  <c r="AA14" i="198"/>
  <c r="P17" i="198"/>
  <c r="V17" i="198"/>
  <c r="AC13" i="198"/>
  <c r="AV24" i="198"/>
  <c r="BE13" i="198"/>
  <c r="BR17" i="198"/>
  <c r="AW12" i="198"/>
  <c r="BB22" i="198"/>
  <c r="O16" i="198"/>
  <c r="BR11" i="198"/>
  <c r="S19" i="198"/>
  <c r="BT15" i="198"/>
  <c r="AU12" i="198"/>
  <c r="BM18" i="198"/>
  <c r="AL16" i="198"/>
  <c r="BH21" i="198"/>
  <c r="BJ10" i="198"/>
  <c r="BR18" i="198"/>
  <c r="AR20" i="198"/>
  <c r="AO21" i="198"/>
  <c r="AK17" i="198"/>
  <c r="AS10" i="198"/>
  <c r="BM11" i="198"/>
  <c r="AT12" i="198"/>
  <c r="R10" i="198"/>
  <c r="T16" i="198"/>
  <c r="P13" i="198"/>
  <c r="L24" i="198"/>
  <c r="W16" i="198"/>
  <c r="BU23" i="198"/>
  <c r="AA17" i="198"/>
  <c r="S23" i="198"/>
  <c r="BJ23" i="198"/>
  <c r="BI16" i="198"/>
  <c r="BF18" i="198"/>
  <c r="AL21" i="198"/>
  <c r="BF12" i="198"/>
  <c r="BI24" i="198"/>
  <c r="BU21" i="198"/>
  <c r="AM10" i="198"/>
  <c r="P12" i="198"/>
  <c r="AZ17" i="198"/>
  <c r="AJ21" i="198"/>
  <c r="AE16" i="198"/>
  <c r="AK18" i="198"/>
  <c r="AL20" i="198"/>
  <c r="R17" i="198"/>
  <c r="R11" i="198"/>
  <c r="AD20" i="198"/>
  <c r="BH23" i="198"/>
  <c r="AL24" i="198"/>
  <c r="AY22" i="198"/>
  <c r="BF19" i="198"/>
  <c r="X18" i="198"/>
  <c r="AA11" i="198"/>
  <c r="AZ23" i="198"/>
  <c r="BG15" i="198"/>
  <c r="BR20" i="198"/>
  <c r="BR16" i="198"/>
  <c r="BK21" i="198"/>
  <c r="BV16" i="198"/>
  <c r="BH18" i="198"/>
  <c r="Q12" i="198"/>
  <c r="AU10" i="198"/>
  <c r="O24" i="198"/>
  <c r="AO17" i="198"/>
  <c r="BU12" i="198"/>
  <c r="AD23" i="198"/>
  <c r="AK10" i="198"/>
  <c r="N19" i="198"/>
  <c r="Y23" i="198"/>
  <c r="BJ19" i="198"/>
  <c r="BG19" i="198"/>
  <c r="AU17" i="198"/>
  <c r="BL11" i="198"/>
  <c r="N14" i="198"/>
  <c r="T17" i="198"/>
  <c r="U21" i="198"/>
  <c r="V14" i="198"/>
  <c r="AV19" i="198"/>
  <c r="AK15" i="198"/>
  <c r="X20" i="198"/>
  <c r="AW11" i="198"/>
  <c r="AQ23" i="198"/>
  <c r="AE23" i="198"/>
  <c r="AA19" i="198"/>
  <c r="BQ11" i="198"/>
  <c r="AW21" i="198"/>
  <c r="AD13" i="198"/>
  <c r="O22" i="198"/>
  <c r="BU19" i="198"/>
  <c r="BK13" i="198"/>
  <c r="R15" i="198"/>
  <c r="BS11" i="198"/>
  <c r="BQ13" i="198"/>
  <c r="BP22" i="198"/>
  <c r="L23" i="198"/>
  <c r="U15" i="198"/>
  <c r="AT18" i="198"/>
  <c r="Y18" i="198"/>
  <c r="K24" i="198"/>
  <c r="W24" i="198"/>
  <c r="AF12" i="198"/>
  <c r="AU18" i="198"/>
  <c r="K13" i="198"/>
  <c r="BE14" i="198"/>
  <c r="L14" i="198"/>
  <c r="U23" i="198"/>
  <c r="AN21" i="198"/>
  <c r="AQ12" i="198"/>
  <c r="AI16" i="198"/>
  <c r="U22" i="198"/>
  <c r="BF21" i="198"/>
  <c r="AK12" i="198"/>
  <c r="L22" i="198"/>
  <c r="P16" i="198"/>
  <c r="M17" i="198"/>
  <c r="M12" i="198"/>
  <c r="R12" i="198"/>
  <c r="Y14" i="198"/>
  <c r="BL14" i="198"/>
  <c r="AX11" i="198"/>
  <c r="BG17" i="198"/>
  <c r="AG22" i="198"/>
  <c r="BT14" i="198"/>
  <c r="AV16" i="198"/>
  <c r="AT24" i="198"/>
  <c r="BO19" i="198"/>
  <c r="BV20" i="198"/>
  <c r="N12" i="198"/>
  <c r="AP20" i="198"/>
  <c r="BJ21" i="198"/>
  <c r="AD17" i="198"/>
  <c r="AC18" i="198"/>
  <c r="T22" i="198"/>
  <c r="AZ16" i="198"/>
  <c r="K22" i="198"/>
  <c r="AR17" i="198"/>
  <c r="P24" i="198"/>
  <c r="X24" i="198"/>
  <c r="X21" i="198"/>
  <c r="BG12" i="198"/>
  <c r="BE17" i="198"/>
  <c r="BP19" i="198"/>
  <c r="AD10" i="198"/>
  <c r="AF24" i="198"/>
  <c r="X11" i="198"/>
  <c r="AX10" i="198"/>
  <c r="BB14" i="198"/>
  <c r="AK13" i="198"/>
  <c r="BA16" i="198"/>
  <c r="Y16" i="198"/>
  <c r="AT10" i="198"/>
  <c r="Q10" i="198"/>
  <c r="L19" i="198"/>
  <c r="BJ13" i="198"/>
  <c r="BA10" i="198"/>
  <c r="BL17" i="198"/>
  <c r="AI10" i="198"/>
  <c r="AP16" i="198"/>
  <c r="AJ16" i="198"/>
  <c r="S13" i="198"/>
  <c r="AI23" i="198"/>
  <c r="BB24" i="198"/>
  <c r="W20" i="198"/>
  <c r="BB11" i="198"/>
  <c r="L12" i="198"/>
  <c r="AP19" i="198"/>
  <c r="AC14" i="198"/>
  <c r="O11" i="198"/>
  <c r="AE17" i="198"/>
  <c r="AY21" i="198"/>
  <c r="AG12" i="198"/>
  <c r="BB19" i="198"/>
  <c r="AT21" i="198"/>
  <c r="AT13" i="198"/>
  <c r="BC14" i="198"/>
  <c r="P14" i="198"/>
  <c r="AG11" i="198"/>
  <c r="AK22" i="198"/>
  <c r="O20" i="198"/>
  <c r="BQ14" i="198"/>
  <c r="M23" i="198"/>
  <c r="BH24" i="198"/>
  <c r="T19" i="198"/>
  <c r="BF13" i="198"/>
  <c r="AX20" i="198"/>
  <c r="S17" i="198"/>
  <c r="AH10" i="198"/>
  <c r="AX17" i="198"/>
  <c r="Q24" i="198"/>
  <c r="AL11" i="198"/>
  <c r="BI18" i="198"/>
  <c r="S16" i="198"/>
  <c r="AL22" i="198"/>
  <c r="AS17" i="198"/>
  <c r="X16" i="198"/>
  <c r="BH15" i="198"/>
  <c r="BP24" i="198"/>
  <c r="BM19" i="198"/>
  <c r="BM16" i="198"/>
  <c r="P20" i="198"/>
  <c r="BN19" i="198"/>
  <c r="AR21" i="198"/>
  <c r="W11" i="198"/>
  <c r="AV21" i="198"/>
  <c r="K20" i="198"/>
  <c r="P22" i="198"/>
  <c r="BD23" i="198"/>
  <c r="AB20" i="198"/>
  <c r="AX13" i="198"/>
  <c r="AQ14" i="198"/>
  <c r="AQ18" i="198"/>
  <c r="AC17" i="198"/>
  <c r="AU13" i="198"/>
  <c r="AY11" i="198"/>
  <c r="AY19" i="198"/>
  <c r="AI15" i="198"/>
  <c r="AK20" i="198"/>
  <c r="BO15" i="198"/>
  <c r="AE14" i="198"/>
  <c r="O14" i="198"/>
  <c r="AO10" i="198"/>
  <c r="BM13" i="198"/>
  <c r="AH20" i="198"/>
  <c r="AE10" i="198"/>
  <c r="R14" i="198"/>
  <c r="BQ16" i="198"/>
  <c r="V24" i="198"/>
  <c r="AE24" i="198"/>
  <c r="AO12" i="198"/>
  <c r="AV22" i="198"/>
  <c r="Y15" i="198"/>
  <c r="BD15" i="198"/>
  <c r="AN17" i="198"/>
  <c r="AJ20" i="198"/>
  <c r="BP17" i="198"/>
  <c r="AR13" i="198"/>
  <c r="N10" i="198"/>
  <c r="BE10" i="198"/>
  <c r="AL14" i="198"/>
  <c r="AV10" i="198"/>
  <c r="AL15" i="198"/>
  <c r="BI10" i="198"/>
  <c r="BH16" i="198"/>
  <c r="BA20" i="198"/>
  <c r="U17" i="198"/>
  <c r="AJ14" i="198"/>
  <c r="AF21" i="198"/>
  <c r="AU23" i="198"/>
  <c r="N15" i="198"/>
  <c r="N21" i="198"/>
  <c r="BK16" i="198"/>
  <c r="U12" i="198"/>
  <c r="BQ10" i="198"/>
  <c r="AK14" i="198"/>
  <c r="L16" i="198"/>
  <c r="Z23" i="198"/>
  <c r="AH19" i="198"/>
  <c r="M13" i="198"/>
  <c r="AC12" i="198"/>
  <c r="BN14" i="198"/>
  <c r="BF15" i="198"/>
  <c r="AH14" i="198"/>
  <c r="AK23" i="198"/>
  <c r="AP15" i="198"/>
  <c r="AS21" i="198"/>
  <c r="AZ19" i="198"/>
  <c r="L21" i="198"/>
  <c r="AT22" i="198"/>
  <c r="AA21" i="198"/>
  <c r="AV23" i="198"/>
  <c r="AL17" i="198"/>
  <c r="AB19" i="198"/>
  <c r="BK14" i="198"/>
  <c r="AM13" i="198"/>
  <c r="AV17" i="198"/>
  <c r="Y20" i="198"/>
  <c r="AY16" i="198"/>
  <c r="AT19" i="198"/>
  <c r="AS18" i="198"/>
  <c r="AS20" i="198"/>
  <c r="Q20" i="198"/>
  <c r="AY13" i="198"/>
  <c r="AY17" i="198"/>
  <c r="BK19" i="198"/>
  <c r="AG19" i="198"/>
  <c r="AQ21" i="198"/>
  <c r="BA23" i="198"/>
  <c r="AS12" i="198"/>
  <c r="W12" i="198"/>
  <c r="AP13" i="198"/>
  <c r="BP23" i="198"/>
  <c r="U18" i="198"/>
  <c r="AO24" i="198"/>
  <c r="P11" i="198"/>
  <c r="AR15" i="198"/>
  <c r="BU11" i="198"/>
  <c r="K17" i="198"/>
  <c r="BL12" i="198"/>
  <c r="T10" i="198"/>
  <c r="U16" i="198"/>
  <c r="T13" i="198"/>
  <c r="O17" i="198"/>
  <c r="BM12" i="198"/>
  <c r="L18" i="198"/>
  <c r="AY12" i="198"/>
  <c r="BH22" i="198"/>
  <c r="AW10" i="198"/>
  <c r="O23" i="198"/>
  <c r="BH10" i="198"/>
  <c r="AW24" i="198"/>
  <c r="AH24" i="198"/>
  <c r="BC18" i="198"/>
  <c r="BV24" i="198"/>
  <c r="T24" i="198"/>
  <c r="BN10" i="198"/>
  <c r="L10" i="198"/>
  <c r="N18" i="198"/>
  <c r="R19" i="198"/>
  <c r="AX14" i="198"/>
  <c r="W13" i="198"/>
  <c r="AT23" i="198"/>
  <c r="AY18" i="198"/>
  <c r="BF17" i="198"/>
  <c r="AN22" i="198"/>
  <c r="AB23" i="198"/>
  <c r="AG14" i="198"/>
  <c r="AI13" i="198"/>
  <c r="AR12" i="198"/>
  <c r="AE20" i="198"/>
  <c r="M15" i="198"/>
  <c r="AB12" i="198"/>
  <c r="BB13" i="198"/>
  <c r="BL13" i="198"/>
  <c r="AL19" i="198"/>
  <c r="U24" i="198"/>
  <c r="AK11" i="198"/>
  <c r="AZ22" i="198"/>
  <c r="U19" i="198"/>
  <c r="AP11" i="198"/>
  <c r="BE22" i="198"/>
  <c r="M21" i="198"/>
  <c r="Z10" i="198"/>
  <c r="AN10" i="198"/>
  <c r="G38" i="210" l="1"/>
  <c r="P38" i="210" s="1"/>
  <c r="G38" i="212"/>
  <c r="P38" i="212" s="1"/>
  <c r="G38" i="211"/>
  <c r="P38" i="211" s="1"/>
  <c r="G38" i="209"/>
  <c r="P38" i="209" s="1"/>
  <c r="G38" i="207"/>
  <c r="P38" i="207" s="1"/>
  <c r="G38" i="208"/>
  <c r="P38" i="208" s="1"/>
  <c r="G38" i="206"/>
  <c r="P38" i="206" s="1"/>
  <c r="G38" i="205"/>
  <c r="P38" i="205" s="1"/>
  <c r="G38" i="202"/>
  <c r="P38" i="202" s="1"/>
  <c r="G38" i="200"/>
  <c r="P38" i="200" s="1"/>
  <c r="G38" i="204"/>
  <c r="P38" i="204" s="1"/>
  <c r="G38" i="203"/>
  <c r="P38" i="203" s="1"/>
  <c r="G38" i="201"/>
  <c r="P38" i="201" s="1"/>
  <c r="G38" i="199"/>
  <c r="P38" i="199" s="1"/>
  <c r="AH8" i="198"/>
  <c r="G50" i="212"/>
  <c r="P50" i="212" s="1"/>
  <c r="G50" i="211"/>
  <c r="P50" i="211" s="1"/>
  <c r="G50" i="210"/>
  <c r="P50" i="210" s="1"/>
  <c r="G50" i="209"/>
  <c r="P50" i="209" s="1"/>
  <c r="G50" i="208"/>
  <c r="P50" i="208" s="1"/>
  <c r="G50" i="207"/>
  <c r="P50" i="207" s="1"/>
  <c r="G50" i="205"/>
  <c r="P50" i="205" s="1"/>
  <c r="G50" i="204"/>
  <c r="P50" i="204" s="1"/>
  <c r="G50" i="203"/>
  <c r="P50" i="203" s="1"/>
  <c r="G50" i="206"/>
  <c r="P50" i="206" s="1"/>
  <c r="G50" i="201"/>
  <c r="P50" i="201" s="1"/>
  <c r="G50" i="202"/>
  <c r="P50" i="202" s="1"/>
  <c r="G50" i="200"/>
  <c r="P50" i="200" s="1"/>
  <c r="G50" i="199"/>
  <c r="P50" i="199" s="1"/>
  <c r="G57" i="210"/>
  <c r="P57" i="210" s="1"/>
  <c r="G57" i="212"/>
  <c r="P57" i="212" s="1"/>
  <c r="G57" i="211"/>
  <c r="P57" i="211" s="1"/>
  <c r="G57" i="209"/>
  <c r="P57" i="209" s="1"/>
  <c r="G57" i="207"/>
  <c r="P57" i="207" s="1"/>
  <c r="G57" i="208"/>
  <c r="P57" i="208" s="1"/>
  <c r="G57" i="206"/>
  <c r="P57" i="206" s="1"/>
  <c r="G57" i="204"/>
  <c r="P57" i="204" s="1"/>
  <c r="G57" i="205"/>
  <c r="P57" i="205" s="1"/>
  <c r="G57" i="203"/>
  <c r="P57" i="203" s="1"/>
  <c r="G57" i="201"/>
  <c r="P57" i="201" s="1"/>
  <c r="G57" i="202"/>
  <c r="P57" i="202" s="1"/>
  <c r="G57" i="200"/>
  <c r="P57" i="200" s="1"/>
  <c r="G57" i="199"/>
  <c r="P57" i="199" s="1"/>
  <c r="G62" i="212"/>
  <c r="P62" i="212" s="1"/>
  <c r="G62" i="211"/>
  <c r="P62" i="211" s="1"/>
  <c r="G62" i="208"/>
  <c r="P62" i="208" s="1"/>
  <c r="G62" i="210"/>
  <c r="P62" i="210" s="1"/>
  <c r="G62" i="209"/>
  <c r="P62" i="209" s="1"/>
  <c r="G62" i="207"/>
  <c r="P62" i="207" s="1"/>
  <c r="G62" i="206"/>
  <c r="P62" i="206" s="1"/>
  <c r="G62" i="204"/>
  <c r="P62" i="204" s="1"/>
  <c r="G62" i="203"/>
  <c r="P62" i="203" s="1"/>
  <c r="G62" i="205"/>
  <c r="P62" i="205" s="1"/>
  <c r="G62" i="202"/>
  <c r="P62" i="202" s="1"/>
  <c r="G62" i="201"/>
  <c r="P62" i="201" s="1"/>
  <c r="G62" i="200"/>
  <c r="P62" i="200" s="1"/>
  <c r="G62" i="199"/>
  <c r="P62" i="199" s="1"/>
  <c r="G15" i="212"/>
  <c r="P15" i="212" s="1"/>
  <c r="G15" i="211"/>
  <c r="P15" i="211" s="1"/>
  <c r="G15" i="208"/>
  <c r="P15" i="208" s="1"/>
  <c r="G15" i="209"/>
  <c r="P15" i="209" s="1"/>
  <c r="G15" i="210"/>
  <c r="P15" i="210" s="1"/>
  <c r="G15" i="207"/>
  <c r="P15" i="207" s="1"/>
  <c r="G15" i="206"/>
  <c r="P15" i="206" s="1"/>
  <c r="G15" i="205"/>
  <c r="P15" i="205" s="1"/>
  <c r="G15" i="204"/>
  <c r="P15" i="204" s="1"/>
  <c r="G15" i="202"/>
  <c r="P15" i="202" s="1"/>
  <c r="G15" i="200"/>
  <c r="P15" i="200" s="1"/>
  <c r="G15" i="201"/>
  <c r="P15" i="201" s="1"/>
  <c r="G15" i="203"/>
  <c r="P15" i="203" s="1"/>
  <c r="G15" i="199"/>
  <c r="P15" i="199" s="1"/>
  <c r="K8" i="198"/>
  <c r="G19" i="212"/>
  <c r="P19" i="212" s="1"/>
  <c r="G19" i="211"/>
  <c r="P19" i="211" s="1"/>
  <c r="G19" i="210"/>
  <c r="P19" i="210" s="1"/>
  <c r="G19" i="208"/>
  <c r="P19" i="208" s="1"/>
  <c r="G19" i="207"/>
  <c r="P19" i="207" s="1"/>
  <c r="G19" i="209"/>
  <c r="P19" i="209" s="1"/>
  <c r="G19" i="205"/>
  <c r="P19" i="205" s="1"/>
  <c r="G19" i="204"/>
  <c r="P19" i="204" s="1"/>
  <c r="G19" i="206"/>
  <c r="P19" i="206" s="1"/>
  <c r="G19" i="203"/>
  <c r="P19" i="203" s="1"/>
  <c r="G19" i="202"/>
  <c r="P19" i="202" s="1"/>
  <c r="G19" i="201"/>
  <c r="P19" i="201" s="1"/>
  <c r="G19" i="200"/>
  <c r="P19" i="200" s="1"/>
  <c r="G19" i="199"/>
  <c r="P19" i="199" s="1"/>
  <c r="O8" i="198"/>
  <c r="N56" i="1"/>
  <c r="G23" i="211"/>
  <c r="P23" i="211" s="1"/>
  <c r="G23" i="212"/>
  <c r="P23" i="212" s="1"/>
  <c r="G23" i="209"/>
  <c r="P23" i="209" s="1"/>
  <c r="G23" i="210"/>
  <c r="P23" i="210" s="1"/>
  <c r="G23" i="208"/>
  <c r="P23" i="208" s="1"/>
  <c r="G23" i="206"/>
  <c r="P23" i="206" s="1"/>
  <c r="G23" i="207"/>
  <c r="P23" i="207" s="1"/>
  <c r="G23" i="205"/>
  <c r="P23" i="205" s="1"/>
  <c r="G23" i="204"/>
  <c r="P23" i="204" s="1"/>
  <c r="G23" i="202"/>
  <c r="P23" i="202" s="1"/>
  <c r="G23" i="201"/>
  <c r="P23" i="201" s="1"/>
  <c r="G23" i="203"/>
  <c r="P23" i="203" s="1"/>
  <c r="G23" i="200"/>
  <c r="P23" i="200" s="1"/>
  <c r="G23" i="199"/>
  <c r="P23" i="199" s="1"/>
  <c r="S8" i="198"/>
  <c r="N60" i="1"/>
  <c r="G27" i="212"/>
  <c r="P27" i="212" s="1"/>
  <c r="G27" i="211"/>
  <c r="P27" i="211" s="1"/>
  <c r="G27" i="210"/>
  <c r="P27" i="210" s="1"/>
  <c r="G27" i="209"/>
  <c r="P27" i="209" s="1"/>
  <c r="G27" i="208"/>
  <c r="P27" i="208" s="1"/>
  <c r="G27" i="207"/>
  <c r="P27" i="207" s="1"/>
  <c r="G27" i="206"/>
  <c r="P27" i="206" s="1"/>
  <c r="G27" i="205"/>
  <c r="P27" i="205" s="1"/>
  <c r="G27" i="203"/>
  <c r="P27" i="203" s="1"/>
  <c r="G27" i="204"/>
  <c r="P27" i="204" s="1"/>
  <c r="G27" i="200"/>
  <c r="P27" i="200" s="1"/>
  <c r="G27" i="202"/>
  <c r="P27" i="202" s="1"/>
  <c r="G27" i="201"/>
  <c r="P27" i="201" s="1"/>
  <c r="G27" i="199"/>
  <c r="P27" i="199" s="1"/>
  <c r="W8" i="198"/>
  <c r="M38" i="211"/>
  <c r="V38" i="211" s="1"/>
  <c r="M38" i="210"/>
  <c r="V38" i="210" s="1"/>
  <c r="M38" i="212"/>
  <c r="V38" i="212" s="1"/>
  <c r="M38" i="207"/>
  <c r="V38" i="207" s="1"/>
  <c r="M38" i="208"/>
  <c r="V38" i="208" s="1"/>
  <c r="M38" i="209"/>
  <c r="V38" i="209" s="1"/>
  <c r="M38" i="206"/>
  <c r="V38" i="206" s="1"/>
  <c r="M38" i="205"/>
  <c r="V38" i="205" s="1"/>
  <c r="M38" i="204"/>
  <c r="V38" i="204" s="1"/>
  <c r="M38" i="203"/>
  <c r="V38" i="203" s="1"/>
  <c r="M38" i="202"/>
  <c r="V38" i="202" s="1"/>
  <c r="M38" i="201"/>
  <c r="V38" i="201" s="1"/>
  <c r="M38" i="200"/>
  <c r="V38" i="200" s="1"/>
  <c r="M38" i="199"/>
  <c r="V38" i="199" s="1"/>
  <c r="N48" i="1"/>
  <c r="M17" i="211"/>
  <c r="V17" i="211" s="1"/>
  <c r="M17" i="210"/>
  <c r="V17" i="210" s="1"/>
  <c r="M17" i="212"/>
  <c r="V17" i="212" s="1"/>
  <c r="M17" i="209"/>
  <c r="V17" i="209" s="1"/>
  <c r="M17" i="208"/>
  <c r="V17" i="208" s="1"/>
  <c r="M17" i="206"/>
  <c r="V17" i="206" s="1"/>
  <c r="M17" i="207"/>
  <c r="V17" i="207" s="1"/>
  <c r="M17" i="205"/>
  <c r="V17" i="205" s="1"/>
  <c r="M17" i="204"/>
  <c r="V17" i="204" s="1"/>
  <c r="M17" i="202"/>
  <c r="V17" i="202" s="1"/>
  <c r="M17" i="201"/>
  <c r="V17" i="201" s="1"/>
  <c r="M17" i="203"/>
  <c r="V17" i="203" s="1"/>
  <c r="M17" i="200"/>
  <c r="V17" i="200" s="1"/>
  <c r="M17" i="199"/>
  <c r="V17" i="199" s="1"/>
  <c r="M21" i="211"/>
  <c r="V21" i="211" s="1"/>
  <c r="M21" i="212"/>
  <c r="V21" i="212" s="1"/>
  <c r="M21" i="210"/>
  <c r="V21" i="210" s="1"/>
  <c r="M21" i="208"/>
  <c r="V21" i="208" s="1"/>
  <c r="M21" i="207"/>
  <c r="V21" i="207" s="1"/>
  <c r="M21" i="209"/>
  <c r="V21" i="209" s="1"/>
  <c r="M21" i="206"/>
  <c r="V21" i="206" s="1"/>
  <c r="M21" i="205"/>
  <c r="V21" i="205" s="1"/>
  <c r="M21" i="204"/>
  <c r="V21" i="204" s="1"/>
  <c r="M21" i="200"/>
  <c r="V21" i="200" s="1"/>
  <c r="M21" i="201"/>
  <c r="V21" i="201" s="1"/>
  <c r="M21" i="203"/>
  <c r="V21" i="203" s="1"/>
  <c r="M21" i="202"/>
  <c r="V21" i="202" s="1"/>
  <c r="M21" i="199"/>
  <c r="V21" i="199" s="1"/>
  <c r="M25" i="212"/>
  <c r="V25" i="212" s="1"/>
  <c r="M25" i="211"/>
  <c r="V25" i="211" s="1"/>
  <c r="M25" i="210"/>
  <c r="V25" i="210" s="1"/>
  <c r="M25" i="209"/>
  <c r="V25" i="209" s="1"/>
  <c r="M25" i="208"/>
  <c r="V25" i="208" s="1"/>
  <c r="M25" i="207"/>
  <c r="V25" i="207" s="1"/>
  <c r="M25" i="205"/>
  <c r="V25" i="205" s="1"/>
  <c r="M25" i="206"/>
  <c r="V25" i="206" s="1"/>
  <c r="M25" i="201"/>
  <c r="V25" i="201" s="1"/>
  <c r="M25" i="203"/>
  <c r="V25" i="203" s="1"/>
  <c r="M25" i="202"/>
  <c r="V25" i="202" s="1"/>
  <c r="M25" i="200"/>
  <c r="V25" i="200" s="1"/>
  <c r="M25" i="204"/>
  <c r="V25" i="204" s="1"/>
  <c r="M25" i="199"/>
  <c r="V25" i="199" s="1"/>
  <c r="M29" i="211"/>
  <c r="V29" i="211" s="1"/>
  <c r="M29" i="212"/>
  <c r="V29" i="212" s="1"/>
  <c r="M29" i="209"/>
  <c r="V29" i="209" s="1"/>
  <c r="M29" i="210"/>
  <c r="V29" i="210" s="1"/>
  <c r="M29" i="208"/>
  <c r="V29" i="208" s="1"/>
  <c r="M29" i="206"/>
  <c r="V29" i="206" s="1"/>
  <c r="M29" i="204"/>
  <c r="V29" i="204" s="1"/>
  <c r="M29" i="207"/>
  <c r="V29" i="207" s="1"/>
  <c r="M29" i="205"/>
  <c r="V29" i="205" s="1"/>
  <c r="M29" i="203"/>
  <c r="V29" i="203" s="1"/>
  <c r="M29" i="202"/>
  <c r="V29" i="202" s="1"/>
  <c r="M29" i="201"/>
  <c r="V29" i="201" s="1"/>
  <c r="M29" i="200"/>
  <c r="V29" i="200" s="1"/>
  <c r="M29" i="199"/>
  <c r="V29" i="199" s="1"/>
  <c r="G34" i="209"/>
  <c r="P34" i="209" s="1"/>
  <c r="G34" i="210"/>
  <c r="P34" i="210" s="1"/>
  <c r="G34" i="212"/>
  <c r="P34" i="212" s="1"/>
  <c r="G34" i="211"/>
  <c r="P34" i="211" s="1"/>
  <c r="G34" i="207"/>
  <c r="P34" i="207" s="1"/>
  <c r="G34" i="208"/>
  <c r="P34" i="208" s="1"/>
  <c r="G34" i="206"/>
  <c r="P34" i="206" s="1"/>
  <c r="G34" i="205"/>
  <c r="P34" i="205" s="1"/>
  <c r="G34" i="203"/>
  <c r="P34" i="203" s="1"/>
  <c r="G34" i="201"/>
  <c r="P34" i="201" s="1"/>
  <c r="G34" i="204"/>
  <c r="P34" i="204" s="1"/>
  <c r="G34" i="202"/>
  <c r="P34" i="202" s="1"/>
  <c r="G34" i="200"/>
  <c r="P34" i="200" s="1"/>
  <c r="G34" i="199"/>
  <c r="P34" i="199" s="1"/>
  <c r="G55" i="212"/>
  <c r="P55" i="212" s="1"/>
  <c r="G55" i="210"/>
  <c r="P55" i="210" s="1"/>
  <c r="G55" i="209"/>
  <c r="P55" i="209" s="1"/>
  <c r="G55" i="211"/>
  <c r="P55" i="211" s="1"/>
  <c r="G55" i="208"/>
  <c r="P55" i="208" s="1"/>
  <c r="G55" i="204"/>
  <c r="P55" i="204" s="1"/>
  <c r="G55" i="207"/>
  <c r="P55" i="207" s="1"/>
  <c r="G55" i="206"/>
  <c r="P55" i="206" s="1"/>
  <c r="G55" i="205"/>
  <c r="P55" i="205" s="1"/>
  <c r="G55" i="203"/>
  <c r="P55" i="203" s="1"/>
  <c r="G55" i="202"/>
  <c r="P55" i="202" s="1"/>
  <c r="G55" i="200"/>
  <c r="P55" i="200" s="1"/>
  <c r="G55" i="201"/>
  <c r="P55" i="201" s="1"/>
  <c r="G55" i="199"/>
  <c r="P55" i="199" s="1"/>
  <c r="AY8" i="198"/>
  <c r="G43" i="211"/>
  <c r="P43" i="211" s="1"/>
  <c r="G43" i="210"/>
  <c r="P43" i="210" s="1"/>
  <c r="G43" i="212"/>
  <c r="P43" i="212" s="1"/>
  <c r="G43" i="208"/>
  <c r="P43" i="208" s="1"/>
  <c r="G43" i="209"/>
  <c r="P43" i="209" s="1"/>
  <c r="G43" i="207"/>
  <c r="P43" i="207" s="1"/>
  <c r="G43" i="206"/>
  <c r="P43" i="206" s="1"/>
  <c r="G43" i="205"/>
  <c r="P43" i="205" s="1"/>
  <c r="G43" i="204"/>
  <c r="P43" i="204" s="1"/>
  <c r="G43" i="200"/>
  <c r="P43" i="200" s="1"/>
  <c r="G43" i="202"/>
  <c r="P43" i="202" s="1"/>
  <c r="G43" i="201"/>
  <c r="P43" i="201" s="1"/>
  <c r="G43" i="203"/>
  <c r="P43" i="203" s="1"/>
  <c r="G43" i="199"/>
  <c r="P43" i="199" s="1"/>
  <c r="N49" i="1"/>
  <c r="G16" i="212"/>
  <c r="P16" i="212" s="1"/>
  <c r="G16" i="210"/>
  <c r="P16" i="210" s="1"/>
  <c r="G16" i="211"/>
  <c r="P16" i="211" s="1"/>
  <c r="G16" i="208"/>
  <c r="P16" i="208" s="1"/>
  <c r="G16" i="209"/>
  <c r="P16" i="209" s="1"/>
  <c r="G16" i="205"/>
  <c r="P16" i="205" s="1"/>
  <c r="G16" i="207"/>
  <c r="P16" i="207" s="1"/>
  <c r="G16" i="206"/>
  <c r="P16" i="206" s="1"/>
  <c r="G16" i="201"/>
  <c r="P16" i="201" s="1"/>
  <c r="G16" i="200"/>
  <c r="P16" i="200" s="1"/>
  <c r="G16" i="203"/>
  <c r="P16" i="203" s="1"/>
  <c r="G16" i="202"/>
  <c r="P16" i="202" s="1"/>
  <c r="G16" i="204"/>
  <c r="P16" i="204" s="1"/>
  <c r="G16" i="199"/>
  <c r="P16" i="199" s="1"/>
  <c r="L8" i="198"/>
  <c r="N53" i="1"/>
  <c r="G20" i="211"/>
  <c r="P20" i="211" s="1"/>
  <c r="G20" i="212"/>
  <c r="P20" i="212" s="1"/>
  <c r="G20" i="210"/>
  <c r="P20" i="210" s="1"/>
  <c r="G20" i="209"/>
  <c r="P20" i="209" s="1"/>
  <c r="G20" i="208"/>
  <c r="P20" i="208" s="1"/>
  <c r="G20" i="207"/>
  <c r="P20" i="207" s="1"/>
  <c r="G20" i="206"/>
  <c r="P20" i="206" s="1"/>
  <c r="G20" i="205"/>
  <c r="P20" i="205" s="1"/>
  <c r="G20" i="201"/>
  <c r="P20" i="201" s="1"/>
  <c r="G20" i="204"/>
  <c r="P20" i="204" s="1"/>
  <c r="G20" i="203"/>
  <c r="P20" i="203" s="1"/>
  <c r="G20" i="202"/>
  <c r="P20" i="202" s="1"/>
  <c r="G20" i="200"/>
  <c r="P20" i="200" s="1"/>
  <c r="G20" i="199"/>
  <c r="P20" i="199" s="1"/>
  <c r="P8" i="198"/>
  <c r="N57" i="1"/>
  <c r="G24" i="212"/>
  <c r="P24" i="212" s="1"/>
  <c r="G24" i="210"/>
  <c r="P24" i="210" s="1"/>
  <c r="G24" i="211"/>
  <c r="P24" i="211" s="1"/>
  <c r="G24" i="209"/>
  <c r="P24" i="209" s="1"/>
  <c r="G24" i="208"/>
  <c r="P24" i="208" s="1"/>
  <c r="G24" i="207"/>
  <c r="P24" i="207" s="1"/>
  <c r="G24" i="205"/>
  <c r="P24" i="205" s="1"/>
  <c r="G24" i="206"/>
  <c r="P24" i="206" s="1"/>
  <c r="G24" i="204"/>
  <c r="P24" i="204" s="1"/>
  <c r="G24" i="203"/>
  <c r="P24" i="203" s="1"/>
  <c r="G24" i="202"/>
  <c r="P24" i="202" s="1"/>
  <c r="G24" i="200"/>
  <c r="P24" i="200" s="1"/>
  <c r="G24" i="201"/>
  <c r="P24" i="201" s="1"/>
  <c r="G24" i="199"/>
  <c r="P24" i="199" s="1"/>
  <c r="T8" i="198"/>
  <c r="N61" i="1"/>
  <c r="G28" i="211"/>
  <c r="P28" i="211" s="1"/>
  <c r="G28" i="210"/>
  <c r="P28" i="210" s="1"/>
  <c r="G28" i="212"/>
  <c r="P28" i="212" s="1"/>
  <c r="G28" i="207"/>
  <c r="P28" i="207" s="1"/>
  <c r="G28" i="208"/>
  <c r="P28" i="208" s="1"/>
  <c r="G28" i="209"/>
  <c r="P28" i="209" s="1"/>
  <c r="G28" i="206"/>
  <c r="P28" i="206" s="1"/>
  <c r="G28" i="205"/>
  <c r="P28" i="205" s="1"/>
  <c r="G28" i="203"/>
  <c r="P28" i="203" s="1"/>
  <c r="G28" i="201"/>
  <c r="P28" i="201" s="1"/>
  <c r="G28" i="204"/>
  <c r="P28" i="204" s="1"/>
  <c r="G28" i="202"/>
  <c r="P28" i="202" s="1"/>
  <c r="G28" i="200"/>
  <c r="P28" i="200" s="1"/>
  <c r="G28" i="199"/>
  <c r="P28" i="199" s="1"/>
  <c r="X8" i="198"/>
  <c r="M40" i="211"/>
  <c r="V40" i="211" s="1"/>
  <c r="M40" i="212"/>
  <c r="V40" i="212" s="1"/>
  <c r="M40" i="208"/>
  <c r="V40" i="208" s="1"/>
  <c r="M40" i="207"/>
  <c r="V40" i="207" s="1"/>
  <c r="M40" i="209"/>
  <c r="V40" i="209" s="1"/>
  <c r="M40" i="210"/>
  <c r="V40" i="210" s="1"/>
  <c r="M40" i="205"/>
  <c r="V40" i="205" s="1"/>
  <c r="M40" i="204"/>
  <c r="V40" i="204" s="1"/>
  <c r="M40" i="203"/>
  <c r="V40" i="203" s="1"/>
  <c r="M40" i="206"/>
  <c r="V40" i="206" s="1"/>
  <c r="M40" i="201"/>
  <c r="V40" i="201" s="1"/>
  <c r="M40" i="200"/>
  <c r="V40" i="200" s="1"/>
  <c r="M40" i="202"/>
  <c r="V40" i="202" s="1"/>
  <c r="M40" i="199"/>
  <c r="V40" i="199" s="1"/>
  <c r="N52" i="1"/>
  <c r="M18" i="211"/>
  <c r="V18" i="211" s="1"/>
  <c r="M18" i="212"/>
  <c r="V18" i="212" s="1"/>
  <c r="M18" i="210"/>
  <c r="V18" i="210" s="1"/>
  <c r="M18" i="209"/>
  <c r="V18" i="209" s="1"/>
  <c r="M18" i="208"/>
  <c r="V18" i="208" s="1"/>
  <c r="M18" i="206"/>
  <c r="V18" i="206" s="1"/>
  <c r="M18" i="205"/>
  <c r="V18" i="205" s="1"/>
  <c r="M18" i="207"/>
  <c r="V18" i="207" s="1"/>
  <c r="M18" i="204"/>
  <c r="V18" i="204" s="1"/>
  <c r="M18" i="200"/>
  <c r="V18" i="200" s="1"/>
  <c r="M18" i="203"/>
  <c r="V18" i="203" s="1"/>
  <c r="M18" i="201"/>
  <c r="V18" i="201" s="1"/>
  <c r="M18" i="202"/>
  <c r="V18" i="202" s="1"/>
  <c r="M18" i="199"/>
  <c r="V18" i="199" s="1"/>
  <c r="M22" i="210"/>
  <c r="V22" i="210" s="1"/>
  <c r="M22" i="212"/>
  <c r="V22" i="212" s="1"/>
  <c r="M22" i="211"/>
  <c r="V22" i="211" s="1"/>
  <c r="M22" i="209"/>
  <c r="V22" i="209" s="1"/>
  <c r="M22" i="208"/>
  <c r="V22" i="208" s="1"/>
  <c r="M22" i="205"/>
  <c r="V22" i="205" s="1"/>
  <c r="M22" i="204"/>
  <c r="V22" i="204" s="1"/>
  <c r="M22" i="207"/>
  <c r="V22" i="207" s="1"/>
  <c r="M22" i="206"/>
  <c r="V22" i="206" s="1"/>
  <c r="M22" i="203"/>
  <c r="V22" i="203" s="1"/>
  <c r="M22" i="202"/>
  <c r="V22" i="202" s="1"/>
  <c r="M22" i="201"/>
  <c r="V22" i="201" s="1"/>
  <c r="M22" i="200"/>
  <c r="V22" i="200" s="1"/>
  <c r="M22" i="199"/>
  <c r="V22" i="199" s="1"/>
  <c r="M26" i="212"/>
  <c r="V26" i="212" s="1"/>
  <c r="M26" i="211"/>
  <c r="V26" i="211" s="1"/>
  <c r="M26" i="209"/>
  <c r="V26" i="209" s="1"/>
  <c r="M26" i="210"/>
  <c r="V26" i="210" s="1"/>
  <c r="M26" i="207"/>
  <c r="V26" i="207" s="1"/>
  <c r="M26" i="208"/>
  <c r="V26" i="208" s="1"/>
  <c r="M26" i="206"/>
  <c r="V26" i="206" s="1"/>
  <c r="M26" i="205"/>
  <c r="V26" i="205" s="1"/>
  <c r="M26" i="201"/>
  <c r="V26" i="201" s="1"/>
  <c r="M26" i="204"/>
  <c r="V26" i="204" s="1"/>
  <c r="M26" i="203"/>
  <c r="V26" i="203" s="1"/>
  <c r="M26" i="202"/>
  <c r="V26" i="202" s="1"/>
  <c r="M26" i="200"/>
  <c r="V26" i="200" s="1"/>
  <c r="M26" i="199"/>
  <c r="V26" i="199" s="1"/>
  <c r="M30" i="212"/>
  <c r="V30" i="212" s="1"/>
  <c r="M30" i="211"/>
  <c r="V30" i="211" s="1"/>
  <c r="M30" i="210"/>
  <c r="V30" i="210" s="1"/>
  <c r="M30" i="207"/>
  <c r="V30" i="207" s="1"/>
  <c r="M30" i="209"/>
  <c r="V30" i="209" s="1"/>
  <c r="M30" i="208"/>
  <c r="V30" i="208" s="1"/>
  <c r="M30" i="206"/>
  <c r="V30" i="206" s="1"/>
  <c r="M30" i="205"/>
  <c r="V30" i="205" s="1"/>
  <c r="M30" i="204"/>
  <c r="V30" i="204" s="1"/>
  <c r="M30" i="202"/>
  <c r="V30" i="202" s="1"/>
  <c r="M30" i="200"/>
  <c r="V30" i="200" s="1"/>
  <c r="M30" i="203"/>
  <c r="V30" i="203" s="1"/>
  <c r="M30" i="201"/>
  <c r="V30" i="201" s="1"/>
  <c r="M30" i="199"/>
  <c r="V30" i="199" s="1"/>
  <c r="G40" i="211"/>
  <c r="P40" i="211" s="1"/>
  <c r="G40" i="210"/>
  <c r="P40" i="210" s="1"/>
  <c r="G40" i="212"/>
  <c r="P40" i="212" s="1"/>
  <c r="G40" i="208"/>
  <c r="P40" i="208" s="1"/>
  <c r="G40" i="207"/>
  <c r="P40" i="207" s="1"/>
  <c r="G40" i="209"/>
  <c r="P40" i="209" s="1"/>
  <c r="G40" i="206"/>
  <c r="P40" i="206" s="1"/>
  <c r="G40" i="205"/>
  <c r="P40" i="205" s="1"/>
  <c r="G40" i="204"/>
  <c r="P40" i="204" s="1"/>
  <c r="G40" i="202"/>
  <c r="P40" i="202" s="1"/>
  <c r="G40" i="201"/>
  <c r="P40" i="201" s="1"/>
  <c r="G40" i="203"/>
  <c r="P40" i="203" s="1"/>
  <c r="G40" i="200"/>
  <c r="P40" i="200" s="1"/>
  <c r="G40" i="199"/>
  <c r="P40" i="199" s="1"/>
  <c r="AJ8" i="198"/>
  <c r="G53" i="209"/>
  <c r="P53" i="209" s="1"/>
  <c r="G53" i="212"/>
  <c r="P53" i="212" s="1"/>
  <c r="G53" i="211"/>
  <c r="P53" i="211" s="1"/>
  <c r="G53" i="208"/>
  <c r="P53" i="208" s="1"/>
  <c r="G53" i="210"/>
  <c r="P53" i="210" s="1"/>
  <c r="G53" i="205"/>
  <c r="P53" i="205" s="1"/>
  <c r="G53" i="204"/>
  <c r="P53" i="204" s="1"/>
  <c r="G53" i="207"/>
  <c r="P53" i="207" s="1"/>
  <c r="G53" i="206"/>
  <c r="P53" i="206" s="1"/>
  <c r="G53" i="201"/>
  <c r="P53" i="201" s="1"/>
  <c r="G53" i="202"/>
  <c r="P53" i="202" s="1"/>
  <c r="G53" i="203"/>
  <c r="P53" i="203" s="1"/>
  <c r="G53" i="200"/>
  <c r="P53" i="200" s="1"/>
  <c r="G53" i="199"/>
  <c r="P53" i="199" s="1"/>
  <c r="G58" i="212"/>
  <c r="P58" i="212" s="1"/>
  <c r="G58" i="211"/>
  <c r="P58" i="211" s="1"/>
  <c r="G58" i="209"/>
  <c r="P58" i="209" s="1"/>
  <c r="G58" i="210"/>
  <c r="P58" i="210" s="1"/>
  <c r="G58" i="207"/>
  <c r="P58" i="207" s="1"/>
  <c r="G58" i="208"/>
  <c r="P58" i="208" s="1"/>
  <c r="G58" i="205"/>
  <c r="P58" i="205" s="1"/>
  <c r="G58" i="204"/>
  <c r="P58" i="204" s="1"/>
  <c r="G58" i="206"/>
  <c r="P58" i="206" s="1"/>
  <c r="G58" i="202"/>
  <c r="P58" i="202" s="1"/>
  <c r="G58" i="200"/>
  <c r="P58" i="200" s="1"/>
  <c r="G58" i="203"/>
  <c r="P58" i="203" s="1"/>
  <c r="G58" i="201"/>
  <c r="P58" i="201" s="1"/>
  <c r="G58" i="199"/>
  <c r="P58" i="199" s="1"/>
  <c r="G35" i="211"/>
  <c r="P35" i="211" s="1"/>
  <c r="G35" i="212"/>
  <c r="P35" i="212" s="1"/>
  <c r="G35" i="210"/>
  <c r="P35" i="210" s="1"/>
  <c r="G35" i="209"/>
  <c r="P35" i="209" s="1"/>
  <c r="G35" i="208"/>
  <c r="P35" i="208" s="1"/>
  <c r="G35" i="207"/>
  <c r="P35" i="207" s="1"/>
  <c r="G35" i="206"/>
  <c r="P35" i="206" s="1"/>
  <c r="G35" i="205"/>
  <c r="P35" i="205" s="1"/>
  <c r="G35" i="204"/>
  <c r="P35" i="204" s="1"/>
  <c r="G35" i="200"/>
  <c r="P35" i="200" s="1"/>
  <c r="G35" i="202"/>
  <c r="P35" i="202" s="1"/>
  <c r="G35" i="201"/>
  <c r="P35" i="201" s="1"/>
  <c r="G35" i="203"/>
  <c r="P35" i="203" s="1"/>
  <c r="G35" i="199"/>
  <c r="P35" i="199" s="1"/>
  <c r="G41" i="212"/>
  <c r="P41" i="212" s="1"/>
  <c r="G41" i="210"/>
  <c r="P41" i="210" s="1"/>
  <c r="G41" i="211"/>
  <c r="P41" i="211" s="1"/>
  <c r="G41" i="209"/>
  <c r="P41" i="209" s="1"/>
  <c r="G41" i="207"/>
  <c r="P41" i="207" s="1"/>
  <c r="G41" i="208"/>
  <c r="P41" i="208" s="1"/>
  <c r="G41" i="205"/>
  <c r="P41" i="205" s="1"/>
  <c r="G41" i="204"/>
  <c r="P41" i="204" s="1"/>
  <c r="G41" i="206"/>
  <c r="P41" i="206" s="1"/>
  <c r="G41" i="203"/>
  <c r="P41" i="203" s="1"/>
  <c r="G41" i="202"/>
  <c r="P41" i="202" s="1"/>
  <c r="G41" i="200"/>
  <c r="P41" i="200" s="1"/>
  <c r="G41" i="201"/>
  <c r="P41" i="201" s="1"/>
  <c r="G41" i="199"/>
  <c r="P41" i="199" s="1"/>
  <c r="G42" i="212"/>
  <c r="P42" i="212" s="1"/>
  <c r="G42" i="210"/>
  <c r="P42" i="210" s="1"/>
  <c r="G42" i="209"/>
  <c r="P42" i="209" s="1"/>
  <c r="G42" i="211"/>
  <c r="P42" i="211" s="1"/>
  <c r="G42" i="207"/>
  <c r="P42" i="207" s="1"/>
  <c r="G42" i="208"/>
  <c r="P42" i="208" s="1"/>
  <c r="G42" i="205"/>
  <c r="P42" i="205" s="1"/>
  <c r="G42" i="203"/>
  <c r="P42" i="203" s="1"/>
  <c r="G42" i="206"/>
  <c r="P42" i="206" s="1"/>
  <c r="G42" i="201"/>
  <c r="P42" i="201" s="1"/>
  <c r="G42" i="204"/>
  <c r="P42" i="204" s="1"/>
  <c r="G42" i="202"/>
  <c r="P42" i="202" s="1"/>
  <c r="G42" i="200"/>
  <c r="P42" i="200" s="1"/>
  <c r="G42" i="199"/>
  <c r="P42" i="199" s="1"/>
  <c r="AL8" i="198"/>
  <c r="G54" i="211"/>
  <c r="P54" i="211" s="1"/>
  <c r="G54" i="210"/>
  <c r="P54" i="210" s="1"/>
  <c r="G54" i="212"/>
  <c r="P54" i="212" s="1"/>
  <c r="G54" i="209"/>
  <c r="P54" i="209" s="1"/>
  <c r="G54" i="207"/>
  <c r="P54" i="207" s="1"/>
  <c r="G54" i="208"/>
  <c r="P54" i="208" s="1"/>
  <c r="G54" i="206"/>
  <c r="P54" i="206" s="1"/>
  <c r="G54" i="205"/>
  <c r="P54" i="205" s="1"/>
  <c r="G54" i="204"/>
  <c r="P54" i="204" s="1"/>
  <c r="G54" i="203"/>
  <c r="P54" i="203" s="1"/>
  <c r="G54" i="200"/>
  <c r="P54" i="200" s="1"/>
  <c r="G54" i="201"/>
  <c r="P54" i="201" s="1"/>
  <c r="G54" i="202"/>
  <c r="P54" i="202" s="1"/>
  <c r="G54" i="199"/>
  <c r="P54" i="199" s="1"/>
  <c r="G59" i="210"/>
  <c r="P59" i="210" s="1"/>
  <c r="G59" i="209"/>
  <c r="P59" i="209" s="1"/>
  <c r="G59" i="212"/>
  <c r="P59" i="212" s="1"/>
  <c r="G59" i="211"/>
  <c r="P59" i="211" s="1"/>
  <c r="G59" i="207"/>
  <c r="P59" i="207" s="1"/>
  <c r="G59" i="208"/>
  <c r="P59" i="208" s="1"/>
  <c r="G59" i="204"/>
  <c r="P59" i="204" s="1"/>
  <c r="G59" i="205"/>
  <c r="P59" i="205" s="1"/>
  <c r="G59" i="206"/>
  <c r="P59" i="206" s="1"/>
  <c r="G59" i="203"/>
  <c r="P59" i="203" s="1"/>
  <c r="G59" i="201"/>
  <c r="P59" i="201" s="1"/>
  <c r="G59" i="200"/>
  <c r="P59" i="200" s="1"/>
  <c r="G59" i="202"/>
  <c r="P59" i="202" s="1"/>
  <c r="G59" i="199"/>
  <c r="P59" i="199" s="1"/>
  <c r="BC8" i="198"/>
  <c r="G39" i="212"/>
  <c r="P39" i="212" s="1"/>
  <c r="G39" i="211"/>
  <c r="P39" i="211" s="1"/>
  <c r="G39" i="209"/>
  <c r="P39" i="209" s="1"/>
  <c r="G39" i="210"/>
  <c r="P39" i="210" s="1"/>
  <c r="G39" i="208"/>
  <c r="P39" i="208" s="1"/>
  <c r="G39" i="207"/>
  <c r="P39" i="207" s="1"/>
  <c r="G39" i="205"/>
  <c r="P39" i="205" s="1"/>
  <c r="G39" i="204"/>
  <c r="P39" i="204" s="1"/>
  <c r="G39" i="206"/>
  <c r="P39" i="206" s="1"/>
  <c r="G39" i="200"/>
  <c r="P39" i="200" s="1"/>
  <c r="G39" i="203"/>
  <c r="P39" i="203" s="1"/>
  <c r="G39" i="202"/>
  <c r="P39" i="202" s="1"/>
  <c r="G39" i="201"/>
  <c r="P39" i="201" s="1"/>
  <c r="G39" i="199"/>
  <c r="P39" i="199" s="1"/>
  <c r="N50" i="1"/>
  <c r="G17" i="211"/>
  <c r="P17" i="211" s="1"/>
  <c r="G17" i="212"/>
  <c r="P17" i="212" s="1"/>
  <c r="G17" i="210"/>
  <c r="P17" i="210" s="1"/>
  <c r="G17" i="209"/>
  <c r="P17" i="209" s="1"/>
  <c r="G17" i="208"/>
  <c r="P17" i="208" s="1"/>
  <c r="G17" i="206"/>
  <c r="P17" i="206" s="1"/>
  <c r="G17" i="207"/>
  <c r="P17" i="207" s="1"/>
  <c r="G17" i="205"/>
  <c r="P17" i="205" s="1"/>
  <c r="G17" i="200"/>
  <c r="P17" i="200" s="1"/>
  <c r="G17" i="204"/>
  <c r="P17" i="204" s="1"/>
  <c r="G17" i="202"/>
  <c r="P17" i="202" s="1"/>
  <c r="G17" i="201"/>
  <c r="P17" i="201" s="1"/>
  <c r="G17" i="203"/>
  <c r="P17" i="203" s="1"/>
  <c r="G17" i="199"/>
  <c r="P17" i="199" s="1"/>
  <c r="M8" i="198"/>
  <c r="N54" i="1"/>
  <c r="AW8" i="198" s="1"/>
  <c r="G21" i="211"/>
  <c r="P21" i="211" s="1"/>
  <c r="G21" i="212"/>
  <c r="P21" i="212" s="1"/>
  <c r="G21" i="210"/>
  <c r="P21" i="210" s="1"/>
  <c r="G21" i="208"/>
  <c r="P21" i="208" s="1"/>
  <c r="G21" i="209"/>
  <c r="P21" i="209" s="1"/>
  <c r="G21" i="205"/>
  <c r="P21" i="205" s="1"/>
  <c r="G21" i="206"/>
  <c r="P21" i="206" s="1"/>
  <c r="G21" i="207"/>
  <c r="P21" i="207" s="1"/>
  <c r="G21" i="203"/>
  <c r="P21" i="203" s="1"/>
  <c r="G21" i="202"/>
  <c r="P21" i="202" s="1"/>
  <c r="G21" i="204"/>
  <c r="P21" i="204" s="1"/>
  <c r="G21" i="201"/>
  <c r="P21" i="201" s="1"/>
  <c r="G21" i="200"/>
  <c r="P21" i="200" s="1"/>
  <c r="G21" i="199"/>
  <c r="P21" i="199" s="1"/>
  <c r="Q8" i="198"/>
  <c r="N58" i="1"/>
  <c r="G25" i="212"/>
  <c r="P25" i="212" s="1"/>
  <c r="G25" i="209"/>
  <c r="P25" i="209" s="1"/>
  <c r="G25" i="211"/>
  <c r="P25" i="211" s="1"/>
  <c r="G25" i="210"/>
  <c r="P25" i="210" s="1"/>
  <c r="G25" i="208"/>
  <c r="P25" i="208" s="1"/>
  <c r="G25" i="206"/>
  <c r="P25" i="206" s="1"/>
  <c r="G25" i="204"/>
  <c r="P25" i="204" s="1"/>
  <c r="G25" i="207"/>
  <c r="P25" i="207" s="1"/>
  <c r="G25" i="205"/>
  <c r="P25" i="205" s="1"/>
  <c r="G25" i="201"/>
  <c r="P25" i="201" s="1"/>
  <c r="G25" i="203"/>
  <c r="P25" i="203" s="1"/>
  <c r="G25" i="202"/>
  <c r="P25" i="202" s="1"/>
  <c r="G25" i="200"/>
  <c r="P25" i="200" s="1"/>
  <c r="G25" i="199"/>
  <c r="P25" i="199" s="1"/>
  <c r="U8" i="198"/>
  <c r="N62" i="1"/>
  <c r="G29" i="211"/>
  <c r="P29" i="211" s="1"/>
  <c r="G29" i="212"/>
  <c r="P29" i="212" s="1"/>
  <c r="G29" i="210"/>
  <c r="P29" i="210" s="1"/>
  <c r="G29" i="207"/>
  <c r="P29" i="207" s="1"/>
  <c r="G29" i="209"/>
  <c r="P29" i="209" s="1"/>
  <c r="G29" i="208"/>
  <c r="P29" i="208" s="1"/>
  <c r="G29" i="206"/>
  <c r="P29" i="206" s="1"/>
  <c r="G29" i="205"/>
  <c r="P29" i="205" s="1"/>
  <c r="G29" i="204"/>
  <c r="P29" i="204" s="1"/>
  <c r="G29" i="203"/>
  <c r="P29" i="203" s="1"/>
  <c r="G29" i="202"/>
  <c r="P29" i="202" s="1"/>
  <c r="G29" i="201"/>
  <c r="P29" i="201" s="1"/>
  <c r="G29" i="200"/>
  <c r="P29" i="200" s="1"/>
  <c r="G29" i="199"/>
  <c r="P29" i="199" s="1"/>
  <c r="Y8" i="198"/>
  <c r="M42" i="212"/>
  <c r="V42" i="212" s="1"/>
  <c r="M42" i="211"/>
  <c r="V42" i="211" s="1"/>
  <c r="M42" i="210"/>
  <c r="V42" i="210" s="1"/>
  <c r="M42" i="209"/>
  <c r="V42" i="209" s="1"/>
  <c r="M42" i="208"/>
  <c r="V42" i="208" s="1"/>
  <c r="M42" i="205"/>
  <c r="V42" i="205" s="1"/>
  <c r="M42" i="204"/>
  <c r="V42" i="204" s="1"/>
  <c r="M42" i="207"/>
  <c r="V42" i="207" s="1"/>
  <c r="M42" i="206"/>
  <c r="V42" i="206" s="1"/>
  <c r="M42" i="200"/>
  <c r="V42" i="200" s="1"/>
  <c r="M42" i="202"/>
  <c r="V42" i="202" s="1"/>
  <c r="M42" i="203"/>
  <c r="V42" i="203" s="1"/>
  <c r="M42" i="201"/>
  <c r="V42" i="201" s="1"/>
  <c r="M42" i="199"/>
  <c r="V42" i="199" s="1"/>
  <c r="M15" i="211"/>
  <c r="V15" i="211" s="1"/>
  <c r="M15" i="212"/>
  <c r="V15" i="212" s="1"/>
  <c r="M15" i="210"/>
  <c r="V15" i="210" s="1"/>
  <c r="M15" i="209"/>
  <c r="V15" i="209" s="1"/>
  <c r="M15" i="208"/>
  <c r="V15" i="208" s="1"/>
  <c r="M15" i="206"/>
  <c r="V15" i="206" s="1"/>
  <c r="M15" i="205"/>
  <c r="V15" i="205" s="1"/>
  <c r="M15" i="207"/>
  <c r="V15" i="207" s="1"/>
  <c r="M15" i="204"/>
  <c r="V15" i="204" s="1"/>
  <c r="M15" i="201"/>
  <c r="V15" i="201" s="1"/>
  <c r="M15" i="203"/>
  <c r="V15" i="203" s="1"/>
  <c r="M15" i="202"/>
  <c r="V15" i="202" s="1"/>
  <c r="M15" i="200"/>
  <c r="V15" i="200" s="1"/>
  <c r="M15" i="199"/>
  <c r="V15" i="199" s="1"/>
  <c r="M19" i="212"/>
  <c r="V19" i="212" s="1"/>
  <c r="M19" i="210"/>
  <c r="V19" i="210" s="1"/>
  <c r="M19" i="209"/>
  <c r="V19" i="209" s="1"/>
  <c r="M19" i="211"/>
  <c r="V19" i="211" s="1"/>
  <c r="M19" i="208"/>
  <c r="V19" i="208" s="1"/>
  <c r="M19" i="206"/>
  <c r="V19" i="206" s="1"/>
  <c r="M19" i="207"/>
  <c r="V19" i="207" s="1"/>
  <c r="M19" i="205"/>
  <c r="V19" i="205" s="1"/>
  <c r="M19" i="202"/>
  <c r="V19" i="202" s="1"/>
  <c r="M19" i="200"/>
  <c r="V19" i="200" s="1"/>
  <c r="M19" i="201"/>
  <c r="V19" i="201" s="1"/>
  <c r="M19" i="204"/>
  <c r="V19" i="204" s="1"/>
  <c r="M19" i="203"/>
  <c r="V19" i="203" s="1"/>
  <c r="M19" i="199"/>
  <c r="V19" i="199" s="1"/>
  <c r="M23" i="212"/>
  <c r="V23" i="212" s="1"/>
  <c r="M23" i="211"/>
  <c r="V23" i="211" s="1"/>
  <c r="M23" i="209"/>
  <c r="V23" i="209" s="1"/>
  <c r="M23" i="210"/>
  <c r="V23" i="210" s="1"/>
  <c r="M23" i="208"/>
  <c r="V23" i="208" s="1"/>
  <c r="M23" i="207"/>
  <c r="V23" i="207" s="1"/>
  <c r="M23" i="205"/>
  <c r="V23" i="205" s="1"/>
  <c r="M23" i="206"/>
  <c r="V23" i="206" s="1"/>
  <c r="M23" i="201"/>
  <c r="V23" i="201" s="1"/>
  <c r="M23" i="203"/>
  <c r="V23" i="203" s="1"/>
  <c r="M23" i="204"/>
  <c r="V23" i="204" s="1"/>
  <c r="M23" i="202"/>
  <c r="V23" i="202" s="1"/>
  <c r="M23" i="200"/>
  <c r="V23" i="200" s="1"/>
  <c r="M23" i="199"/>
  <c r="V23" i="199" s="1"/>
  <c r="M27" i="212"/>
  <c r="V27" i="212" s="1"/>
  <c r="M27" i="211"/>
  <c r="V27" i="211" s="1"/>
  <c r="M27" i="210"/>
  <c r="V27" i="210" s="1"/>
  <c r="M27" i="207"/>
  <c r="V27" i="207" s="1"/>
  <c r="M27" i="209"/>
  <c r="V27" i="209" s="1"/>
  <c r="M27" i="208"/>
  <c r="V27" i="208" s="1"/>
  <c r="M27" i="206"/>
  <c r="V27" i="206" s="1"/>
  <c r="M27" i="205"/>
  <c r="V27" i="205" s="1"/>
  <c r="M27" i="204"/>
  <c r="V27" i="204" s="1"/>
  <c r="M27" i="200"/>
  <c r="V27" i="200" s="1"/>
  <c r="M27" i="202"/>
  <c r="V27" i="202" s="1"/>
  <c r="M27" i="201"/>
  <c r="V27" i="201" s="1"/>
  <c r="M27" i="203"/>
  <c r="V27" i="203" s="1"/>
  <c r="M27" i="199"/>
  <c r="V27" i="199" s="1"/>
  <c r="G46" i="210"/>
  <c r="P46" i="210" s="1"/>
  <c r="G46" i="211"/>
  <c r="P46" i="211" s="1"/>
  <c r="G46" i="212"/>
  <c r="P46" i="212" s="1"/>
  <c r="G46" i="209"/>
  <c r="P46" i="209" s="1"/>
  <c r="G46" i="207"/>
  <c r="P46" i="207" s="1"/>
  <c r="G46" i="208"/>
  <c r="P46" i="208" s="1"/>
  <c r="G46" i="206"/>
  <c r="P46" i="206" s="1"/>
  <c r="G46" i="205"/>
  <c r="P46" i="205" s="1"/>
  <c r="G46" i="204"/>
  <c r="P46" i="204" s="1"/>
  <c r="G46" i="203"/>
  <c r="P46" i="203" s="1"/>
  <c r="G46" i="202"/>
  <c r="P46" i="202" s="1"/>
  <c r="G46" i="200"/>
  <c r="P46" i="200" s="1"/>
  <c r="G46" i="201"/>
  <c r="P46" i="201" s="1"/>
  <c r="G46" i="199"/>
  <c r="P46" i="199" s="1"/>
  <c r="AP8" i="198"/>
  <c r="G61" i="209"/>
  <c r="P61" i="209" s="1"/>
  <c r="G61" i="211"/>
  <c r="P61" i="211" s="1"/>
  <c r="G61" i="212"/>
  <c r="P61" i="212" s="1"/>
  <c r="G61" i="210"/>
  <c r="P61" i="210" s="1"/>
  <c r="G61" i="207"/>
  <c r="P61" i="207" s="1"/>
  <c r="G61" i="208"/>
  <c r="P61" i="208" s="1"/>
  <c r="G61" i="205"/>
  <c r="P61" i="205" s="1"/>
  <c r="G61" i="206"/>
  <c r="P61" i="206" s="1"/>
  <c r="G61" i="204"/>
  <c r="P61" i="204" s="1"/>
  <c r="G61" i="202"/>
  <c r="P61" i="202" s="1"/>
  <c r="G61" i="201"/>
  <c r="P61" i="201" s="1"/>
  <c r="G61" i="200"/>
  <c r="P61" i="200" s="1"/>
  <c r="G61" i="203"/>
  <c r="P61" i="203" s="1"/>
  <c r="G61" i="199"/>
  <c r="P61" i="199" s="1"/>
  <c r="BE8" i="198"/>
  <c r="G18" i="212"/>
  <c r="P18" i="212" s="1"/>
  <c r="G18" i="211"/>
  <c r="P18" i="211" s="1"/>
  <c r="G18" i="210"/>
  <c r="P18" i="210" s="1"/>
  <c r="G18" i="209"/>
  <c r="P18" i="209" s="1"/>
  <c r="G18" i="208"/>
  <c r="P18" i="208" s="1"/>
  <c r="G18" i="207"/>
  <c r="P18" i="207" s="1"/>
  <c r="G18" i="206"/>
  <c r="P18" i="206" s="1"/>
  <c r="G18" i="205"/>
  <c r="P18" i="205" s="1"/>
  <c r="G18" i="202"/>
  <c r="P18" i="202" s="1"/>
  <c r="G18" i="204"/>
  <c r="P18" i="204" s="1"/>
  <c r="G18" i="200"/>
  <c r="P18" i="200" s="1"/>
  <c r="G18" i="203"/>
  <c r="P18" i="203" s="1"/>
  <c r="G18" i="201"/>
  <c r="P18" i="201" s="1"/>
  <c r="G18" i="199"/>
  <c r="P18" i="199" s="1"/>
  <c r="N8" i="198"/>
  <c r="G22" i="212"/>
  <c r="P22" i="212" s="1"/>
  <c r="G22" i="210"/>
  <c r="P22" i="210" s="1"/>
  <c r="G22" i="209"/>
  <c r="P22" i="209" s="1"/>
  <c r="G22" i="208"/>
  <c r="P22" i="208" s="1"/>
  <c r="G22" i="207"/>
  <c r="P22" i="207" s="1"/>
  <c r="G22" i="211"/>
  <c r="P22" i="211" s="1"/>
  <c r="G22" i="205"/>
  <c r="P22" i="205" s="1"/>
  <c r="G22" i="206"/>
  <c r="P22" i="206" s="1"/>
  <c r="G22" i="204"/>
  <c r="P22" i="204" s="1"/>
  <c r="G22" i="201"/>
  <c r="P22" i="201" s="1"/>
  <c r="G22" i="200"/>
  <c r="P22" i="200" s="1"/>
  <c r="G22" i="203"/>
  <c r="P22" i="203" s="1"/>
  <c r="G22" i="202"/>
  <c r="P22" i="202" s="1"/>
  <c r="G22" i="199"/>
  <c r="P22" i="199" s="1"/>
  <c r="R8" i="198"/>
  <c r="G26" i="211"/>
  <c r="P26" i="211" s="1"/>
  <c r="G26" i="212"/>
  <c r="P26" i="212" s="1"/>
  <c r="G26" i="210"/>
  <c r="P26" i="210" s="1"/>
  <c r="G26" i="209"/>
  <c r="P26" i="209" s="1"/>
  <c r="G26" i="207"/>
  <c r="P26" i="207" s="1"/>
  <c r="G26" i="208"/>
  <c r="P26" i="208" s="1"/>
  <c r="G26" i="206"/>
  <c r="P26" i="206" s="1"/>
  <c r="G26" i="205"/>
  <c r="P26" i="205" s="1"/>
  <c r="G26" i="204"/>
  <c r="P26" i="204" s="1"/>
  <c r="G26" i="202"/>
  <c r="P26" i="202" s="1"/>
  <c r="G26" i="200"/>
  <c r="P26" i="200" s="1"/>
  <c r="G26" i="201"/>
  <c r="P26" i="201" s="1"/>
  <c r="G26" i="203"/>
  <c r="P26" i="203" s="1"/>
  <c r="G26" i="199"/>
  <c r="P26" i="199" s="1"/>
  <c r="V8" i="198"/>
  <c r="G30" i="212"/>
  <c r="P30" i="212" s="1"/>
  <c r="G30" i="211"/>
  <c r="P30" i="211" s="1"/>
  <c r="G30" i="210"/>
  <c r="P30" i="210" s="1"/>
  <c r="G30" i="209"/>
  <c r="P30" i="209" s="1"/>
  <c r="G30" i="208"/>
  <c r="P30" i="208" s="1"/>
  <c r="G30" i="207"/>
  <c r="P30" i="207" s="1"/>
  <c r="G30" i="205"/>
  <c r="P30" i="205" s="1"/>
  <c r="G30" i="206"/>
  <c r="P30" i="206" s="1"/>
  <c r="G30" i="204"/>
  <c r="P30" i="204" s="1"/>
  <c r="G30" i="201"/>
  <c r="P30" i="201" s="1"/>
  <c r="G30" i="202"/>
  <c r="P30" i="202" s="1"/>
  <c r="G30" i="200"/>
  <c r="P30" i="200" s="1"/>
  <c r="G30" i="203"/>
  <c r="P30" i="203" s="1"/>
  <c r="G30" i="199"/>
  <c r="P30" i="199" s="1"/>
  <c r="Z8" i="198"/>
  <c r="M46" i="210"/>
  <c r="V46" i="210" s="1"/>
  <c r="M46" i="211"/>
  <c r="V46" i="211" s="1"/>
  <c r="M46" i="209"/>
  <c r="V46" i="209" s="1"/>
  <c r="M46" i="212"/>
  <c r="V46" i="212" s="1"/>
  <c r="M46" i="207"/>
  <c r="V46" i="207" s="1"/>
  <c r="M46" i="208"/>
  <c r="V46" i="208" s="1"/>
  <c r="M46" i="206"/>
  <c r="V46" i="206" s="1"/>
  <c r="M46" i="205"/>
  <c r="V46" i="205" s="1"/>
  <c r="M46" i="200"/>
  <c r="V46" i="200" s="1"/>
  <c r="M46" i="201"/>
  <c r="V46" i="201" s="1"/>
  <c r="M46" i="203"/>
  <c r="V46" i="203" s="1"/>
  <c r="M46" i="204"/>
  <c r="V46" i="204" s="1"/>
  <c r="M46" i="202"/>
  <c r="V46" i="202" s="1"/>
  <c r="M46" i="199"/>
  <c r="V46" i="199" s="1"/>
  <c r="M16" i="212"/>
  <c r="V16" i="212" s="1"/>
  <c r="M16" i="211"/>
  <c r="V16" i="211" s="1"/>
  <c r="M16" i="210"/>
  <c r="V16" i="210" s="1"/>
  <c r="M16" i="208"/>
  <c r="V16" i="208" s="1"/>
  <c r="M16" i="209"/>
  <c r="V16" i="209" s="1"/>
  <c r="M16" i="207"/>
  <c r="V16" i="207" s="1"/>
  <c r="M16" i="206"/>
  <c r="V16" i="206" s="1"/>
  <c r="M16" i="205"/>
  <c r="V16" i="205" s="1"/>
  <c r="M16" i="204"/>
  <c r="V16" i="204" s="1"/>
  <c r="M16" i="203"/>
  <c r="V16" i="203" s="1"/>
  <c r="M16" i="202"/>
  <c r="V16" i="202" s="1"/>
  <c r="M16" i="200"/>
  <c r="V16" i="200" s="1"/>
  <c r="M16" i="201"/>
  <c r="V16" i="201" s="1"/>
  <c r="M16" i="199"/>
  <c r="V16" i="199" s="1"/>
  <c r="H37" i="1"/>
  <c r="M20" i="211"/>
  <c r="V20" i="211" s="1"/>
  <c r="M20" i="209"/>
  <c r="V20" i="209" s="1"/>
  <c r="M20" i="212"/>
  <c r="V20" i="212" s="1"/>
  <c r="M20" i="210"/>
  <c r="V20" i="210" s="1"/>
  <c r="M20" i="208"/>
  <c r="V20" i="208" s="1"/>
  <c r="M20" i="207"/>
  <c r="V20" i="207" s="1"/>
  <c r="M20" i="205"/>
  <c r="V20" i="205" s="1"/>
  <c r="M20" i="204"/>
  <c r="V20" i="204" s="1"/>
  <c r="M20" i="206"/>
  <c r="V20" i="206" s="1"/>
  <c r="M20" i="201"/>
  <c r="V20" i="201" s="1"/>
  <c r="M20" i="203"/>
  <c r="V20" i="203" s="1"/>
  <c r="M20" i="202"/>
  <c r="V20" i="202" s="1"/>
  <c r="M20" i="200"/>
  <c r="V20" i="200" s="1"/>
  <c r="M20" i="199"/>
  <c r="V20" i="199" s="1"/>
  <c r="M24" i="211"/>
  <c r="V24" i="211" s="1"/>
  <c r="M24" i="212"/>
  <c r="V24" i="212" s="1"/>
  <c r="M24" i="210"/>
  <c r="V24" i="210" s="1"/>
  <c r="M24" i="208"/>
  <c r="V24" i="208" s="1"/>
  <c r="M24" i="207"/>
  <c r="V24" i="207" s="1"/>
  <c r="M24" i="209"/>
  <c r="V24" i="209" s="1"/>
  <c r="M24" i="206"/>
  <c r="V24" i="206" s="1"/>
  <c r="M24" i="205"/>
  <c r="V24" i="205" s="1"/>
  <c r="M24" i="204"/>
  <c r="V24" i="204" s="1"/>
  <c r="M24" i="202"/>
  <c r="V24" i="202" s="1"/>
  <c r="M24" i="200"/>
  <c r="V24" i="200" s="1"/>
  <c r="M24" i="201"/>
  <c r="V24" i="201" s="1"/>
  <c r="M24" i="203"/>
  <c r="V24" i="203" s="1"/>
  <c r="M24" i="199"/>
  <c r="V24" i="199" s="1"/>
  <c r="H45" i="1"/>
  <c r="M28" i="212"/>
  <c r="V28" i="212" s="1"/>
  <c r="M28" i="210"/>
  <c r="V28" i="210" s="1"/>
  <c r="M28" i="209"/>
  <c r="V28" i="209" s="1"/>
  <c r="M28" i="208"/>
  <c r="V28" i="208" s="1"/>
  <c r="M28" i="211"/>
  <c r="V28" i="211" s="1"/>
  <c r="M28" i="207"/>
  <c r="V28" i="207" s="1"/>
  <c r="M28" i="205"/>
  <c r="V28" i="205" s="1"/>
  <c r="M28" i="206"/>
  <c r="V28" i="206" s="1"/>
  <c r="M28" i="204"/>
  <c r="V28" i="204" s="1"/>
  <c r="M28" i="203"/>
  <c r="V28" i="203" s="1"/>
  <c r="M28" i="201"/>
  <c r="V28" i="201" s="1"/>
  <c r="M28" i="202"/>
  <c r="V28" i="202" s="1"/>
  <c r="M28" i="200"/>
  <c r="V28" i="200" s="1"/>
  <c r="M28" i="199"/>
  <c r="V28" i="199" s="1"/>
  <c r="H52" i="1"/>
  <c r="N32" i="1"/>
  <c r="H46" i="1"/>
  <c r="N40" i="1"/>
  <c r="R65" i="15"/>
  <c r="N33" i="1"/>
  <c r="N34" i="1"/>
  <c r="N42" i="1"/>
  <c r="H48" i="1"/>
  <c r="H32" i="1"/>
  <c r="H53" i="1"/>
  <c r="H57" i="1"/>
  <c r="H61" i="1"/>
  <c r="N37" i="1"/>
  <c r="N45" i="1"/>
  <c r="N36" i="1"/>
  <c r="N44" i="1"/>
  <c r="N35" i="1"/>
  <c r="AD8" i="198" s="1"/>
  <c r="H49" i="1"/>
  <c r="H34" i="1"/>
  <c r="H38" i="1"/>
  <c r="N38" i="1"/>
  <c r="N46" i="1"/>
  <c r="N51" i="1"/>
  <c r="N55" i="1"/>
  <c r="AX8" i="198" s="1"/>
  <c r="N59" i="1"/>
  <c r="N63" i="1"/>
  <c r="BF8" i="198" s="1"/>
  <c r="H50" i="1"/>
  <c r="R2" i="15"/>
  <c r="R4" i="15"/>
  <c r="R6" i="15"/>
  <c r="R8" i="15"/>
  <c r="R10" i="15"/>
  <c r="R12" i="15"/>
  <c r="R14" i="15"/>
  <c r="R16" i="15"/>
  <c r="R18" i="15"/>
  <c r="R20" i="15"/>
  <c r="R22" i="15"/>
  <c r="R24" i="15"/>
  <c r="R26" i="15"/>
  <c r="R28" i="15"/>
  <c r="R30" i="15"/>
  <c r="R32" i="15"/>
  <c r="R34" i="15"/>
  <c r="R36" i="15"/>
  <c r="R38" i="15"/>
  <c r="R40" i="15"/>
  <c r="R42" i="15"/>
  <c r="R44" i="15"/>
  <c r="R46" i="15"/>
  <c r="R48" i="15"/>
  <c r="R50" i="15"/>
  <c r="R52" i="15"/>
  <c r="R54" i="15"/>
  <c r="R56" i="15"/>
  <c r="R58" i="15"/>
  <c r="R60" i="15"/>
  <c r="R62" i="15"/>
  <c r="R64" i="15"/>
  <c r="R3" i="15"/>
  <c r="R5" i="15"/>
  <c r="R7" i="15"/>
  <c r="R9" i="15"/>
  <c r="R11" i="15"/>
  <c r="R13" i="15"/>
  <c r="R15" i="15"/>
  <c r="R17" i="15"/>
  <c r="R19" i="15"/>
  <c r="R21" i="15"/>
  <c r="R23" i="15"/>
  <c r="R25" i="15"/>
  <c r="R27" i="15"/>
  <c r="R29" i="15"/>
  <c r="R31" i="15"/>
  <c r="R33" i="15"/>
  <c r="R35" i="15"/>
  <c r="R37" i="15"/>
  <c r="R39" i="15"/>
  <c r="R41" i="15"/>
  <c r="R43" i="15"/>
  <c r="R45" i="15"/>
  <c r="R47" i="15"/>
  <c r="R49" i="15"/>
  <c r="R51" i="15"/>
  <c r="R53" i="15"/>
  <c r="R55" i="15"/>
  <c r="R57" i="15"/>
  <c r="R59" i="15"/>
  <c r="R61" i="15"/>
  <c r="R63" i="15"/>
  <c r="H33" i="1"/>
  <c r="M37" i="211" l="1"/>
  <c r="V37" i="211" s="1"/>
  <c r="M37" i="209"/>
  <c r="V37" i="209" s="1"/>
  <c r="M37" i="212"/>
  <c r="V37" i="212" s="1"/>
  <c r="M37" i="208"/>
  <c r="V37" i="208" s="1"/>
  <c r="M37" i="210"/>
  <c r="V37" i="210" s="1"/>
  <c r="M37" i="207"/>
  <c r="V37" i="207" s="1"/>
  <c r="M37" i="205"/>
  <c r="V37" i="205" s="1"/>
  <c r="M37" i="204"/>
  <c r="V37" i="204" s="1"/>
  <c r="M37" i="206"/>
  <c r="V37" i="206" s="1"/>
  <c r="M37" i="201"/>
  <c r="V37" i="201" s="1"/>
  <c r="M37" i="200"/>
  <c r="V37" i="200" s="1"/>
  <c r="M37" i="202"/>
  <c r="V37" i="202" s="1"/>
  <c r="M37" i="203"/>
  <c r="V37" i="203" s="1"/>
  <c r="M37" i="199"/>
  <c r="V37" i="199" s="1"/>
  <c r="G37" i="211"/>
  <c r="P37" i="211" s="1"/>
  <c r="G37" i="210"/>
  <c r="P37" i="210" s="1"/>
  <c r="G37" i="212"/>
  <c r="P37" i="212" s="1"/>
  <c r="G37" i="207"/>
  <c r="P37" i="207" s="1"/>
  <c r="G37" i="209"/>
  <c r="P37" i="209" s="1"/>
  <c r="G37" i="208"/>
  <c r="P37" i="208" s="1"/>
  <c r="G37" i="206"/>
  <c r="P37" i="206" s="1"/>
  <c r="G37" i="205"/>
  <c r="P37" i="205" s="1"/>
  <c r="G37" i="203"/>
  <c r="P37" i="203" s="1"/>
  <c r="G37" i="201"/>
  <c r="P37" i="201" s="1"/>
  <c r="G37" i="204"/>
  <c r="P37" i="204" s="1"/>
  <c r="G37" i="202"/>
  <c r="P37" i="202" s="1"/>
  <c r="G37" i="200"/>
  <c r="P37" i="200" s="1"/>
  <c r="G37" i="199"/>
  <c r="P37" i="199" s="1"/>
  <c r="AG8" i="198"/>
  <c r="G32" i="212"/>
  <c r="P32" i="212" s="1"/>
  <c r="G32" i="211"/>
  <c r="P32" i="211" s="1"/>
  <c r="G32" i="209"/>
  <c r="P32" i="209" s="1"/>
  <c r="G32" i="207"/>
  <c r="P32" i="207" s="1"/>
  <c r="G32" i="210"/>
  <c r="P32" i="210" s="1"/>
  <c r="G32" i="208"/>
  <c r="P32" i="208" s="1"/>
  <c r="G32" i="206"/>
  <c r="P32" i="206" s="1"/>
  <c r="G32" i="205"/>
  <c r="P32" i="205" s="1"/>
  <c r="G32" i="202"/>
  <c r="P32" i="202" s="1"/>
  <c r="G32" i="204"/>
  <c r="P32" i="204" s="1"/>
  <c r="G32" i="203"/>
  <c r="P32" i="203" s="1"/>
  <c r="G32" i="201"/>
  <c r="P32" i="201" s="1"/>
  <c r="G32" i="200"/>
  <c r="P32" i="200" s="1"/>
  <c r="G32" i="199"/>
  <c r="P32" i="199" s="1"/>
  <c r="AB8" i="198"/>
  <c r="G49" i="210"/>
  <c r="P49" i="210" s="1"/>
  <c r="G49" i="212"/>
  <c r="P49" i="212" s="1"/>
  <c r="G49" i="211"/>
  <c r="P49" i="211" s="1"/>
  <c r="G49" i="209"/>
  <c r="P49" i="209" s="1"/>
  <c r="G49" i="207"/>
  <c r="P49" i="207" s="1"/>
  <c r="G49" i="208"/>
  <c r="P49" i="208" s="1"/>
  <c r="G49" i="206"/>
  <c r="P49" i="206" s="1"/>
  <c r="G49" i="205"/>
  <c r="P49" i="205" s="1"/>
  <c r="G49" i="204"/>
  <c r="P49" i="204" s="1"/>
  <c r="G49" i="200"/>
  <c r="P49" i="200" s="1"/>
  <c r="G49" i="203"/>
  <c r="P49" i="203" s="1"/>
  <c r="G49" i="202"/>
  <c r="P49" i="202" s="1"/>
  <c r="G49" i="201"/>
  <c r="P49" i="201" s="1"/>
  <c r="G49" i="199"/>
  <c r="P49" i="199" s="1"/>
  <c r="AS8" i="198"/>
  <c r="M50" i="210"/>
  <c r="V50" i="210" s="1"/>
  <c r="M50" i="212"/>
  <c r="V50" i="212" s="1"/>
  <c r="M50" i="211"/>
  <c r="V50" i="211" s="1"/>
  <c r="M50" i="207"/>
  <c r="V50" i="207" s="1"/>
  <c r="M50" i="209"/>
  <c r="V50" i="209" s="1"/>
  <c r="M50" i="208"/>
  <c r="V50" i="208" s="1"/>
  <c r="M50" i="204"/>
  <c r="V50" i="204" s="1"/>
  <c r="M50" i="206"/>
  <c r="V50" i="206" s="1"/>
  <c r="M50" i="205"/>
  <c r="V50" i="205" s="1"/>
  <c r="M50" i="202"/>
  <c r="V50" i="202" s="1"/>
  <c r="M50" i="203"/>
  <c r="V50" i="203" s="1"/>
  <c r="M50" i="200"/>
  <c r="V50" i="200" s="1"/>
  <c r="M50" i="201"/>
  <c r="V50" i="201" s="1"/>
  <c r="M50" i="199"/>
  <c r="V50" i="199" s="1"/>
  <c r="G33" i="212"/>
  <c r="P33" i="212" s="1"/>
  <c r="G33" i="211"/>
  <c r="P33" i="211" s="1"/>
  <c r="G33" i="210"/>
  <c r="P33" i="210" s="1"/>
  <c r="G33" i="209"/>
  <c r="P33" i="209" s="1"/>
  <c r="G33" i="208"/>
  <c r="P33" i="208" s="1"/>
  <c r="G33" i="207"/>
  <c r="P33" i="207" s="1"/>
  <c r="G33" i="205"/>
  <c r="P33" i="205" s="1"/>
  <c r="G33" i="206"/>
  <c r="P33" i="206" s="1"/>
  <c r="G33" i="204"/>
  <c r="P33" i="204" s="1"/>
  <c r="G33" i="201"/>
  <c r="P33" i="201" s="1"/>
  <c r="G33" i="202"/>
  <c r="P33" i="202" s="1"/>
  <c r="G33" i="200"/>
  <c r="P33" i="200" s="1"/>
  <c r="G33" i="203"/>
  <c r="P33" i="203" s="1"/>
  <c r="G33" i="199"/>
  <c r="P33" i="199" s="1"/>
  <c r="AC8" i="198"/>
  <c r="M35" i="211"/>
  <c r="V35" i="211" s="1"/>
  <c r="M35" i="212"/>
  <c r="V35" i="212" s="1"/>
  <c r="M35" i="210"/>
  <c r="V35" i="210" s="1"/>
  <c r="M35" i="208"/>
  <c r="V35" i="208" s="1"/>
  <c r="M35" i="207"/>
  <c r="V35" i="207" s="1"/>
  <c r="M35" i="209"/>
  <c r="V35" i="209" s="1"/>
  <c r="M35" i="205"/>
  <c r="V35" i="205" s="1"/>
  <c r="M35" i="206"/>
  <c r="V35" i="206" s="1"/>
  <c r="M35" i="203"/>
  <c r="V35" i="203" s="1"/>
  <c r="M35" i="202"/>
  <c r="V35" i="202" s="1"/>
  <c r="M35" i="201"/>
  <c r="V35" i="201" s="1"/>
  <c r="M35" i="204"/>
  <c r="V35" i="204" s="1"/>
  <c r="M35" i="200"/>
  <c r="V35" i="200" s="1"/>
  <c r="M35" i="199"/>
  <c r="V35" i="199" s="1"/>
  <c r="G56" i="211"/>
  <c r="P56" i="211" s="1"/>
  <c r="G56" i="212"/>
  <c r="P56" i="212" s="1"/>
  <c r="G56" i="210"/>
  <c r="P56" i="210" s="1"/>
  <c r="G56" i="207"/>
  <c r="P56" i="207" s="1"/>
  <c r="G56" i="209"/>
  <c r="P56" i="209" s="1"/>
  <c r="G56" i="208"/>
  <c r="P56" i="208" s="1"/>
  <c r="G56" i="204"/>
  <c r="P56" i="204" s="1"/>
  <c r="G56" i="205"/>
  <c r="P56" i="205" s="1"/>
  <c r="G56" i="203"/>
  <c r="P56" i="203" s="1"/>
  <c r="G56" i="206"/>
  <c r="P56" i="206" s="1"/>
  <c r="G56" i="201"/>
  <c r="P56" i="201" s="1"/>
  <c r="G56" i="202"/>
  <c r="P56" i="202" s="1"/>
  <c r="G56" i="200"/>
  <c r="P56" i="200" s="1"/>
  <c r="G56" i="199"/>
  <c r="P56" i="199" s="1"/>
  <c r="AZ8" i="198"/>
  <c r="M41" i="211"/>
  <c r="V41" i="211" s="1"/>
  <c r="M41" i="210"/>
  <c r="V41" i="210" s="1"/>
  <c r="M41" i="212"/>
  <c r="V41" i="212" s="1"/>
  <c r="M41" i="209"/>
  <c r="V41" i="209" s="1"/>
  <c r="M41" i="207"/>
  <c r="V41" i="207" s="1"/>
  <c r="M41" i="208"/>
  <c r="V41" i="208" s="1"/>
  <c r="M41" i="206"/>
  <c r="V41" i="206" s="1"/>
  <c r="M41" i="205"/>
  <c r="V41" i="205" s="1"/>
  <c r="M41" i="204"/>
  <c r="V41" i="204" s="1"/>
  <c r="M41" i="203"/>
  <c r="V41" i="203" s="1"/>
  <c r="M41" i="202"/>
  <c r="V41" i="202" s="1"/>
  <c r="M41" i="201"/>
  <c r="V41" i="201" s="1"/>
  <c r="M41" i="200"/>
  <c r="V41" i="200" s="1"/>
  <c r="M41" i="199"/>
  <c r="V41" i="199" s="1"/>
  <c r="M39" i="210"/>
  <c r="V39" i="210" s="1"/>
  <c r="M39" i="212"/>
  <c r="V39" i="212" s="1"/>
  <c r="M39" i="211"/>
  <c r="V39" i="211" s="1"/>
  <c r="M39" i="209"/>
  <c r="V39" i="209" s="1"/>
  <c r="M39" i="208"/>
  <c r="V39" i="208" s="1"/>
  <c r="M39" i="207"/>
  <c r="V39" i="207" s="1"/>
  <c r="M39" i="204"/>
  <c r="V39" i="204" s="1"/>
  <c r="M39" i="206"/>
  <c r="V39" i="206" s="1"/>
  <c r="M39" i="205"/>
  <c r="V39" i="205" s="1"/>
  <c r="M39" i="203"/>
  <c r="V39" i="203" s="1"/>
  <c r="M39" i="200"/>
  <c r="V39" i="200" s="1"/>
  <c r="M39" i="202"/>
  <c r="V39" i="202" s="1"/>
  <c r="M39" i="201"/>
  <c r="V39" i="201" s="1"/>
  <c r="M39" i="199"/>
  <c r="V39" i="199" s="1"/>
  <c r="AI8" i="198"/>
  <c r="AK8" i="198"/>
  <c r="M34" i="212"/>
  <c r="V34" i="212" s="1"/>
  <c r="M34" i="210"/>
  <c r="V34" i="210" s="1"/>
  <c r="M34" i="211"/>
  <c r="V34" i="211" s="1"/>
  <c r="M34" i="209"/>
  <c r="V34" i="209" s="1"/>
  <c r="M34" i="208"/>
  <c r="V34" i="208" s="1"/>
  <c r="M34" i="205"/>
  <c r="V34" i="205" s="1"/>
  <c r="M34" i="204"/>
  <c r="V34" i="204" s="1"/>
  <c r="M34" i="207"/>
  <c r="V34" i="207" s="1"/>
  <c r="M34" i="206"/>
  <c r="V34" i="206" s="1"/>
  <c r="M34" i="203"/>
  <c r="V34" i="203" s="1"/>
  <c r="M34" i="201"/>
  <c r="V34" i="201" s="1"/>
  <c r="M34" i="200"/>
  <c r="V34" i="200" s="1"/>
  <c r="M34" i="202"/>
  <c r="V34" i="202" s="1"/>
  <c r="M34" i="199"/>
  <c r="V34" i="199" s="1"/>
  <c r="M43" i="211"/>
  <c r="V43" i="211" s="1"/>
  <c r="M43" i="212"/>
  <c r="V43" i="212" s="1"/>
  <c r="M43" i="208"/>
  <c r="V43" i="208" s="1"/>
  <c r="M43" i="210"/>
  <c r="V43" i="210" s="1"/>
  <c r="M43" i="209"/>
  <c r="V43" i="209" s="1"/>
  <c r="M43" i="207"/>
  <c r="V43" i="207" s="1"/>
  <c r="M43" i="205"/>
  <c r="V43" i="205" s="1"/>
  <c r="M43" i="203"/>
  <c r="V43" i="203" s="1"/>
  <c r="M43" i="206"/>
  <c r="V43" i="206" s="1"/>
  <c r="M43" i="202"/>
  <c r="V43" i="202" s="1"/>
  <c r="M43" i="201"/>
  <c r="V43" i="201" s="1"/>
  <c r="M43" i="204"/>
  <c r="V43" i="204" s="1"/>
  <c r="M43" i="200"/>
  <c r="V43" i="200" s="1"/>
  <c r="M43" i="199"/>
  <c r="V43" i="199" s="1"/>
  <c r="M62" i="211"/>
  <c r="V62" i="211" s="1"/>
  <c r="M62" i="210"/>
  <c r="V62" i="210" s="1"/>
  <c r="M62" i="209"/>
  <c r="V62" i="209" s="1"/>
  <c r="M62" i="212"/>
  <c r="V62" i="212" s="1"/>
  <c r="M62" i="207"/>
  <c r="V62" i="207" s="1"/>
  <c r="M62" i="208"/>
  <c r="V62" i="208" s="1"/>
  <c r="M62" i="204"/>
  <c r="V62" i="204" s="1"/>
  <c r="M62" i="205"/>
  <c r="V62" i="205" s="1"/>
  <c r="M62" i="206"/>
  <c r="V62" i="206" s="1"/>
  <c r="M62" i="203"/>
  <c r="V62" i="203" s="1"/>
  <c r="M62" i="202"/>
  <c r="V62" i="202" s="1"/>
  <c r="M62" i="201"/>
  <c r="V62" i="201" s="1"/>
  <c r="M62" i="200"/>
  <c r="V62" i="200" s="1"/>
  <c r="M62" i="199"/>
  <c r="V62" i="199" s="1"/>
  <c r="M45" i="212"/>
  <c r="V45" i="212" s="1"/>
  <c r="M45" i="210"/>
  <c r="V45" i="210" s="1"/>
  <c r="M45" i="211"/>
  <c r="V45" i="211" s="1"/>
  <c r="M45" i="209"/>
  <c r="V45" i="209" s="1"/>
  <c r="M45" i="207"/>
  <c r="V45" i="207" s="1"/>
  <c r="M45" i="208"/>
  <c r="V45" i="208" s="1"/>
  <c r="M45" i="205"/>
  <c r="V45" i="205" s="1"/>
  <c r="M45" i="204"/>
  <c r="V45" i="204" s="1"/>
  <c r="M45" i="203"/>
  <c r="V45" i="203" s="1"/>
  <c r="M45" i="206"/>
  <c r="V45" i="206" s="1"/>
  <c r="M45" i="201"/>
  <c r="V45" i="201" s="1"/>
  <c r="M45" i="202"/>
  <c r="V45" i="202" s="1"/>
  <c r="M45" i="200"/>
  <c r="V45" i="200" s="1"/>
  <c r="M45" i="199"/>
  <c r="V45" i="199" s="1"/>
  <c r="G48" i="212"/>
  <c r="P48" i="212" s="1"/>
  <c r="G48" i="210"/>
  <c r="P48" i="210" s="1"/>
  <c r="G48" i="211"/>
  <c r="P48" i="211" s="1"/>
  <c r="G48" i="208"/>
  <c r="P48" i="208" s="1"/>
  <c r="G48" i="207"/>
  <c r="P48" i="207" s="1"/>
  <c r="G48" i="209"/>
  <c r="P48" i="209" s="1"/>
  <c r="G48" i="206"/>
  <c r="P48" i="206" s="1"/>
  <c r="G48" i="205"/>
  <c r="P48" i="205" s="1"/>
  <c r="G48" i="204"/>
  <c r="P48" i="204" s="1"/>
  <c r="G48" i="203"/>
  <c r="P48" i="203" s="1"/>
  <c r="G48" i="201"/>
  <c r="P48" i="201" s="1"/>
  <c r="G48" i="200"/>
  <c r="P48" i="200" s="1"/>
  <c r="G48" i="202"/>
  <c r="P48" i="202" s="1"/>
  <c r="G48" i="199"/>
  <c r="P48" i="199" s="1"/>
  <c r="AR8" i="198"/>
  <c r="M44" i="211"/>
  <c r="V44" i="211" s="1"/>
  <c r="M44" i="210"/>
  <c r="V44" i="210" s="1"/>
  <c r="M44" i="212"/>
  <c r="V44" i="212" s="1"/>
  <c r="M44" i="209"/>
  <c r="V44" i="209" s="1"/>
  <c r="M44" i="208"/>
  <c r="V44" i="208" s="1"/>
  <c r="M44" i="207"/>
  <c r="V44" i="207" s="1"/>
  <c r="M44" i="206"/>
  <c r="V44" i="206" s="1"/>
  <c r="M44" i="205"/>
  <c r="V44" i="205" s="1"/>
  <c r="M44" i="203"/>
  <c r="V44" i="203" s="1"/>
  <c r="M44" i="204"/>
  <c r="V44" i="204" s="1"/>
  <c r="M44" i="202"/>
  <c r="V44" i="202" s="1"/>
  <c r="M44" i="201"/>
  <c r="V44" i="201" s="1"/>
  <c r="M44" i="200"/>
  <c r="V44" i="200" s="1"/>
  <c r="M44" i="199"/>
  <c r="V44" i="199" s="1"/>
  <c r="G52" i="212"/>
  <c r="P52" i="212" s="1"/>
  <c r="G52" i="210"/>
  <c r="P52" i="210" s="1"/>
  <c r="G52" i="211"/>
  <c r="P52" i="211" s="1"/>
  <c r="G52" i="209"/>
  <c r="P52" i="209" s="1"/>
  <c r="G52" i="208"/>
  <c r="P52" i="208" s="1"/>
  <c r="G52" i="207"/>
  <c r="P52" i="207" s="1"/>
  <c r="G52" i="206"/>
  <c r="P52" i="206" s="1"/>
  <c r="G52" i="205"/>
  <c r="P52" i="205" s="1"/>
  <c r="G52" i="204"/>
  <c r="P52" i="204" s="1"/>
  <c r="G52" i="202"/>
  <c r="P52" i="202" s="1"/>
  <c r="G52" i="201"/>
  <c r="P52" i="201" s="1"/>
  <c r="G52" i="203"/>
  <c r="P52" i="203" s="1"/>
  <c r="G52" i="200"/>
  <c r="P52" i="200" s="1"/>
  <c r="G52" i="199"/>
  <c r="P52" i="199" s="1"/>
  <c r="AV8" i="198"/>
  <c r="M33" i="211"/>
  <c r="V33" i="211" s="1"/>
  <c r="M33" i="212"/>
  <c r="V33" i="212" s="1"/>
  <c r="M33" i="210"/>
  <c r="V33" i="210" s="1"/>
  <c r="M33" i="207"/>
  <c r="V33" i="207" s="1"/>
  <c r="M33" i="209"/>
  <c r="V33" i="209" s="1"/>
  <c r="M33" i="208"/>
  <c r="V33" i="208" s="1"/>
  <c r="M33" i="203"/>
  <c r="V33" i="203" s="1"/>
  <c r="M33" i="206"/>
  <c r="V33" i="206" s="1"/>
  <c r="M33" i="205"/>
  <c r="V33" i="205" s="1"/>
  <c r="M33" i="204"/>
  <c r="V33" i="204" s="1"/>
  <c r="M33" i="202"/>
  <c r="V33" i="202" s="1"/>
  <c r="M33" i="201"/>
  <c r="V33" i="201" s="1"/>
  <c r="M33" i="200"/>
  <c r="V33" i="200" s="1"/>
  <c r="M33" i="199"/>
  <c r="V33" i="199" s="1"/>
  <c r="G45" i="210"/>
  <c r="P45" i="210" s="1"/>
  <c r="G45" i="209"/>
  <c r="P45" i="209" s="1"/>
  <c r="G45" i="211"/>
  <c r="P45" i="211" s="1"/>
  <c r="G45" i="212"/>
  <c r="P45" i="212" s="1"/>
  <c r="G45" i="208"/>
  <c r="P45" i="208" s="1"/>
  <c r="G45" i="206"/>
  <c r="P45" i="206" s="1"/>
  <c r="G45" i="205"/>
  <c r="P45" i="205" s="1"/>
  <c r="G45" i="204"/>
  <c r="P45" i="204" s="1"/>
  <c r="G45" i="207"/>
  <c r="P45" i="207" s="1"/>
  <c r="G45" i="203"/>
  <c r="P45" i="203" s="1"/>
  <c r="G45" i="201"/>
  <c r="P45" i="201" s="1"/>
  <c r="G45" i="202"/>
  <c r="P45" i="202" s="1"/>
  <c r="G45" i="200"/>
  <c r="P45" i="200" s="1"/>
  <c r="G45" i="199"/>
  <c r="P45" i="199" s="1"/>
  <c r="AO8" i="198"/>
  <c r="M60" i="212"/>
  <c r="V60" i="212" s="1"/>
  <c r="M60" i="211"/>
  <c r="V60" i="211" s="1"/>
  <c r="M60" i="210"/>
  <c r="V60" i="210" s="1"/>
  <c r="M60" i="207"/>
  <c r="V60" i="207" s="1"/>
  <c r="M60" i="209"/>
  <c r="V60" i="209" s="1"/>
  <c r="M60" i="208"/>
  <c r="V60" i="208" s="1"/>
  <c r="M60" i="206"/>
  <c r="V60" i="206" s="1"/>
  <c r="M60" i="204"/>
  <c r="V60" i="204" s="1"/>
  <c r="M60" i="203"/>
  <c r="V60" i="203" s="1"/>
  <c r="M60" i="205"/>
  <c r="V60" i="205" s="1"/>
  <c r="M60" i="200"/>
  <c r="V60" i="200" s="1"/>
  <c r="M60" i="202"/>
  <c r="V60" i="202" s="1"/>
  <c r="M60" i="201"/>
  <c r="V60" i="201" s="1"/>
  <c r="M60" i="199"/>
  <c r="V60" i="199" s="1"/>
  <c r="M56" i="211"/>
  <c r="V56" i="211" s="1"/>
  <c r="M56" i="209"/>
  <c r="V56" i="209" s="1"/>
  <c r="M56" i="212"/>
  <c r="V56" i="212" s="1"/>
  <c r="M56" i="210"/>
  <c r="V56" i="210" s="1"/>
  <c r="M56" i="208"/>
  <c r="V56" i="208" s="1"/>
  <c r="M56" i="207"/>
  <c r="V56" i="207" s="1"/>
  <c r="M56" i="205"/>
  <c r="V56" i="205" s="1"/>
  <c r="M56" i="206"/>
  <c r="V56" i="206" s="1"/>
  <c r="M56" i="204"/>
  <c r="V56" i="204" s="1"/>
  <c r="M56" i="203"/>
  <c r="V56" i="203" s="1"/>
  <c r="M56" i="202"/>
  <c r="V56" i="202" s="1"/>
  <c r="M56" i="200"/>
  <c r="V56" i="200" s="1"/>
  <c r="M56" i="201"/>
  <c r="V56" i="201" s="1"/>
  <c r="M56" i="199"/>
  <c r="V56" i="199" s="1"/>
  <c r="M52" i="212"/>
  <c r="V52" i="212" s="1"/>
  <c r="M52" i="210"/>
  <c r="V52" i="210" s="1"/>
  <c r="M52" i="211"/>
  <c r="V52" i="211" s="1"/>
  <c r="M52" i="208"/>
  <c r="V52" i="208" s="1"/>
  <c r="M52" i="207"/>
  <c r="V52" i="207" s="1"/>
  <c r="M52" i="209"/>
  <c r="V52" i="209" s="1"/>
  <c r="M52" i="206"/>
  <c r="V52" i="206" s="1"/>
  <c r="M52" i="205"/>
  <c r="V52" i="205" s="1"/>
  <c r="M52" i="203"/>
  <c r="V52" i="203" s="1"/>
  <c r="M52" i="201"/>
  <c r="V52" i="201" s="1"/>
  <c r="M52" i="204"/>
  <c r="V52" i="204" s="1"/>
  <c r="M52" i="202"/>
  <c r="V52" i="202" s="1"/>
  <c r="M52" i="200"/>
  <c r="V52" i="200" s="1"/>
  <c r="M52" i="199"/>
  <c r="V52" i="199" s="1"/>
  <c r="M48" i="211"/>
  <c r="V48" i="211" s="1"/>
  <c r="M48" i="209"/>
  <c r="V48" i="209" s="1"/>
  <c r="M48" i="212"/>
  <c r="V48" i="212" s="1"/>
  <c r="M48" i="210"/>
  <c r="V48" i="210" s="1"/>
  <c r="M48" i="208"/>
  <c r="V48" i="208" s="1"/>
  <c r="M48" i="205"/>
  <c r="V48" i="205" s="1"/>
  <c r="M48" i="204"/>
  <c r="V48" i="204" s="1"/>
  <c r="M48" i="207"/>
  <c r="V48" i="207" s="1"/>
  <c r="M48" i="203"/>
  <c r="V48" i="203" s="1"/>
  <c r="M48" i="206"/>
  <c r="V48" i="206" s="1"/>
  <c r="M48" i="201"/>
  <c r="V48" i="201" s="1"/>
  <c r="M48" i="202"/>
  <c r="V48" i="202" s="1"/>
  <c r="M48" i="200"/>
  <c r="V48" i="200" s="1"/>
  <c r="M48" i="199"/>
  <c r="V48" i="199" s="1"/>
  <c r="M59" i="211"/>
  <c r="V59" i="211" s="1"/>
  <c r="M59" i="210"/>
  <c r="V59" i="210" s="1"/>
  <c r="M59" i="209"/>
  <c r="V59" i="209" s="1"/>
  <c r="M59" i="212"/>
  <c r="V59" i="212" s="1"/>
  <c r="M59" i="208"/>
  <c r="V59" i="208" s="1"/>
  <c r="M59" i="207"/>
  <c r="V59" i="207" s="1"/>
  <c r="M59" i="204"/>
  <c r="V59" i="204" s="1"/>
  <c r="M59" i="205"/>
  <c r="V59" i="205" s="1"/>
  <c r="M59" i="206"/>
  <c r="V59" i="206" s="1"/>
  <c r="M59" i="203"/>
  <c r="V59" i="203" s="1"/>
  <c r="M59" i="201"/>
  <c r="V59" i="201" s="1"/>
  <c r="M59" i="200"/>
  <c r="V59" i="200" s="1"/>
  <c r="M59" i="202"/>
  <c r="V59" i="202" s="1"/>
  <c r="M59" i="199"/>
  <c r="V59" i="199" s="1"/>
  <c r="M55" i="211"/>
  <c r="V55" i="211" s="1"/>
  <c r="M55" i="212"/>
  <c r="V55" i="212" s="1"/>
  <c r="M55" i="210"/>
  <c r="V55" i="210" s="1"/>
  <c r="M55" i="209"/>
  <c r="V55" i="209" s="1"/>
  <c r="M55" i="208"/>
  <c r="V55" i="208" s="1"/>
  <c r="M55" i="207"/>
  <c r="V55" i="207" s="1"/>
  <c r="M55" i="206"/>
  <c r="V55" i="206" s="1"/>
  <c r="M55" i="205"/>
  <c r="V55" i="205" s="1"/>
  <c r="M55" i="204"/>
  <c r="V55" i="204" s="1"/>
  <c r="M55" i="202"/>
  <c r="V55" i="202" s="1"/>
  <c r="M55" i="201"/>
  <c r="V55" i="201" s="1"/>
  <c r="M55" i="203"/>
  <c r="V55" i="203" s="1"/>
  <c r="M55" i="200"/>
  <c r="V55" i="200" s="1"/>
  <c r="M55" i="199"/>
  <c r="V55" i="199" s="1"/>
  <c r="M58" i="210"/>
  <c r="V58" i="210" s="1"/>
  <c r="M58" i="212"/>
  <c r="V58" i="212" s="1"/>
  <c r="M58" i="211"/>
  <c r="V58" i="211" s="1"/>
  <c r="M58" i="209"/>
  <c r="V58" i="209" s="1"/>
  <c r="M58" i="207"/>
  <c r="V58" i="207" s="1"/>
  <c r="M58" i="208"/>
  <c r="V58" i="208" s="1"/>
  <c r="M58" i="206"/>
  <c r="V58" i="206" s="1"/>
  <c r="M58" i="205"/>
  <c r="V58" i="205" s="1"/>
  <c r="M58" i="204"/>
  <c r="V58" i="204" s="1"/>
  <c r="M58" i="203"/>
  <c r="V58" i="203" s="1"/>
  <c r="M58" i="202"/>
  <c r="V58" i="202" s="1"/>
  <c r="M58" i="200"/>
  <c r="V58" i="200" s="1"/>
  <c r="M58" i="201"/>
  <c r="V58" i="201" s="1"/>
  <c r="M58" i="199"/>
  <c r="V58" i="199" s="1"/>
  <c r="M36" i="212"/>
  <c r="V36" i="212" s="1"/>
  <c r="M36" i="211"/>
  <c r="V36" i="211" s="1"/>
  <c r="M36" i="210"/>
  <c r="V36" i="210" s="1"/>
  <c r="M36" i="209"/>
  <c r="V36" i="209" s="1"/>
  <c r="M36" i="208"/>
  <c r="V36" i="208" s="1"/>
  <c r="M36" i="207"/>
  <c r="V36" i="207" s="1"/>
  <c r="M36" i="206"/>
  <c r="V36" i="206" s="1"/>
  <c r="M36" i="203"/>
  <c r="V36" i="203" s="1"/>
  <c r="M36" i="205"/>
  <c r="V36" i="205" s="1"/>
  <c r="M36" i="204"/>
  <c r="V36" i="204" s="1"/>
  <c r="M36" i="202"/>
  <c r="V36" i="202" s="1"/>
  <c r="M36" i="201"/>
  <c r="V36" i="201" s="1"/>
  <c r="M36" i="200"/>
  <c r="V36" i="200" s="1"/>
  <c r="M36" i="199"/>
  <c r="V36" i="199" s="1"/>
  <c r="G31" i="211"/>
  <c r="P31" i="211" s="1"/>
  <c r="G31" i="210"/>
  <c r="P31" i="210" s="1"/>
  <c r="G31" i="212"/>
  <c r="P31" i="212" s="1"/>
  <c r="G31" i="207"/>
  <c r="P31" i="207" s="1"/>
  <c r="G31" i="208"/>
  <c r="P31" i="208" s="1"/>
  <c r="G31" i="209"/>
  <c r="P31" i="209" s="1"/>
  <c r="G31" i="205"/>
  <c r="P31" i="205" s="1"/>
  <c r="G31" i="204"/>
  <c r="P31" i="204" s="1"/>
  <c r="G31" i="206"/>
  <c r="P31" i="206" s="1"/>
  <c r="G31" i="203"/>
  <c r="P31" i="203" s="1"/>
  <c r="G31" i="201"/>
  <c r="P31" i="201" s="1"/>
  <c r="G31" i="200"/>
  <c r="P31" i="200" s="1"/>
  <c r="G31" i="202"/>
  <c r="P31" i="202" s="1"/>
  <c r="G31" i="199"/>
  <c r="P31" i="199" s="1"/>
  <c r="AA8" i="198"/>
  <c r="M32" i="211"/>
  <c r="V32" i="211" s="1"/>
  <c r="M32" i="212"/>
  <c r="V32" i="212" s="1"/>
  <c r="M32" i="210"/>
  <c r="V32" i="210" s="1"/>
  <c r="M32" i="207"/>
  <c r="V32" i="207" s="1"/>
  <c r="M32" i="209"/>
  <c r="V32" i="209" s="1"/>
  <c r="M32" i="208"/>
  <c r="V32" i="208" s="1"/>
  <c r="M32" i="206"/>
  <c r="V32" i="206" s="1"/>
  <c r="M32" i="205"/>
  <c r="V32" i="205" s="1"/>
  <c r="M32" i="204"/>
  <c r="V32" i="204" s="1"/>
  <c r="M32" i="203"/>
  <c r="V32" i="203" s="1"/>
  <c r="M32" i="201"/>
  <c r="V32" i="201" s="1"/>
  <c r="M32" i="200"/>
  <c r="V32" i="200" s="1"/>
  <c r="M32" i="202"/>
  <c r="V32" i="202" s="1"/>
  <c r="M32" i="199"/>
  <c r="V32" i="199" s="1"/>
  <c r="M31" i="212"/>
  <c r="V31" i="212" s="1"/>
  <c r="M31" i="211"/>
  <c r="V31" i="211" s="1"/>
  <c r="M31" i="209"/>
  <c r="V31" i="209" s="1"/>
  <c r="M31" i="210"/>
  <c r="V31" i="210" s="1"/>
  <c r="M31" i="208"/>
  <c r="V31" i="208" s="1"/>
  <c r="M31" i="207"/>
  <c r="V31" i="207" s="1"/>
  <c r="M31" i="206"/>
  <c r="V31" i="206" s="1"/>
  <c r="M31" i="205"/>
  <c r="V31" i="205" s="1"/>
  <c r="M31" i="200"/>
  <c r="V31" i="200" s="1"/>
  <c r="M31" i="204"/>
  <c r="V31" i="204" s="1"/>
  <c r="M31" i="202"/>
  <c r="V31" i="202" s="1"/>
  <c r="M31" i="203"/>
  <c r="V31" i="203" s="1"/>
  <c r="M31" i="201"/>
  <c r="V31" i="201" s="1"/>
  <c r="M31" i="199"/>
  <c r="V31" i="199" s="1"/>
  <c r="G44" i="212"/>
  <c r="P44" i="212" s="1"/>
  <c r="G44" i="209"/>
  <c r="P44" i="209" s="1"/>
  <c r="G44" i="210"/>
  <c r="P44" i="210" s="1"/>
  <c r="G44" i="211"/>
  <c r="P44" i="211" s="1"/>
  <c r="G44" i="208"/>
  <c r="P44" i="208" s="1"/>
  <c r="G44" i="207"/>
  <c r="P44" i="207" s="1"/>
  <c r="G44" i="206"/>
  <c r="P44" i="206" s="1"/>
  <c r="G44" i="205"/>
  <c r="P44" i="205" s="1"/>
  <c r="G44" i="204"/>
  <c r="P44" i="204" s="1"/>
  <c r="G44" i="203"/>
  <c r="P44" i="203" s="1"/>
  <c r="G44" i="202"/>
  <c r="P44" i="202" s="1"/>
  <c r="G44" i="200"/>
  <c r="P44" i="200" s="1"/>
  <c r="G44" i="201"/>
  <c r="P44" i="201" s="1"/>
  <c r="G44" i="199"/>
  <c r="P44" i="199" s="1"/>
  <c r="AN8" i="198"/>
  <c r="BB8" i="198"/>
  <c r="AM8" i="198"/>
  <c r="AT8" i="198"/>
  <c r="M54" i="211"/>
  <c r="V54" i="211" s="1"/>
  <c r="M54" i="210"/>
  <c r="V54" i="210" s="1"/>
  <c r="M54" i="212"/>
  <c r="V54" i="212" s="1"/>
  <c r="M54" i="207"/>
  <c r="V54" i="207" s="1"/>
  <c r="M54" i="208"/>
  <c r="V54" i="208" s="1"/>
  <c r="M54" i="209"/>
  <c r="V54" i="209" s="1"/>
  <c r="M54" i="205"/>
  <c r="V54" i="205" s="1"/>
  <c r="M54" i="204"/>
  <c r="V54" i="204" s="1"/>
  <c r="M54" i="206"/>
  <c r="V54" i="206" s="1"/>
  <c r="M54" i="203"/>
  <c r="V54" i="203" s="1"/>
  <c r="M54" i="201"/>
  <c r="V54" i="201" s="1"/>
  <c r="M54" i="202"/>
  <c r="V54" i="202" s="1"/>
  <c r="M54" i="200"/>
  <c r="V54" i="200" s="1"/>
  <c r="M54" i="199"/>
  <c r="V54" i="199" s="1"/>
  <c r="G60" i="212"/>
  <c r="P60" i="212" s="1"/>
  <c r="G60" i="210"/>
  <c r="P60" i="210" s="1"/>
  <c r="G60" i="211"/>
  <c r="P60" i="211" s="1"/>
  <c r="G60" i="209"/>
  <c r="P60" i="209" s="1"/>
  <c r="G60" i="208"/>
  <c r="P60" i="208" s="1"/>
  <c r="G60" i="207"/>
  <c r="P60" i="207" s="1"/>
  <c r="G60" i="205"/>
  <c r="P60" i="205" s="1"/>
  <c r="G60" i="206"/>
  <c r="P60" i="206" s="1"/>
  <c r="G60" i="204"/>
  <c r="P60" i="204" s="1"/>
  <c r="G60" i="203"/>
  <c r="P60" i="203" s="1"/>
  <c r="G60" i="202"/>
  <c r="P60" i="202" s="1"/>
  <c r="G60" i="201"/>
  <c r="P60" i="201" s="1"/>
  <c r="G60" i="200"/>
  <c r="P60" i="200" s="1"/>
  <c r="G60" i="199"/>
  <c r="P60" i="199" s="1"/>
  <c r="BD8" i="198"/>
  <c r="G47" i="212"/>
  <c r="P47" i="212" s="1"/>
  <c r="G47" i="210"/>
  <c r="P47" i="210" s="1"/>
  <c r="G47" i="211"/>
  <c r="P47" i="211" s="1"/>
  <c r="G47" i="209"/>
  <c r="P47" i="209" s="1"/>
  <c r="G47" i="208"/>
  <c r="P47" i="208" s="1"/>
  <c r="G47" i="204"/>
  <c r="P47" i="204" s="1"/>
  <c r="G47" i="207"/>
  <c r="P47" i="207" s="1"/>
  <c r="G47" i="206"/>
  <c r="P47" i="206" s="1"/>
  <c r="G47" i="205"/>
  <c r="P47" i="205" s="1"/>
  <c r="G47" i="203"/>
  <c r="P47" i="203" s="1"/>
  <c r="G47" i="200"/>
  <c r="P47" i="200" s="1"/>
  <c r="G47" i="202"/>
  <c r="P47" i="202" s="1"/>
  <c r="G47" i="201"/>
  <c r="P47" i="201" s="1"/>
  <c r="G47" i="199"/>
  <c r="P47" i="199" s="1"/>
  <c r="AQ8" i="198"/>
  <c r="G51" i="212"/>
  <c r="P51" i="212" s="1"/>
  <c r="G51" i="210"/>
  <c r="P51" i="210" s="1"/>
  <c r="G51" i="211"/>
  <c r="P51" i="211" s="1"/>
  <c r="G51" i="209"/>
  <c r="P51" i="209" s="1"/>
  <c r="G51" i="208"/>
  <c r="P51" i="208" s="1"/>
  <c r="G51" i="207"/>
  <c r="P51" i="207" s="1"/>
  <c r="G51" i="205"/>
  <c r="P51" i="205" s="1"/>
  <c r="G51" i="206"/>
  <c r="P51" i="206" s="1"/>
  <c r="G51" i="204"/>
  <c r="P51" i="204" s="1"/>
  <c r="G51" i="203"/>
  <c r="P51" i="203" s="1"/>
  <c r="G51" i="201"/>
  <c r="P51" i="201" s="1"/>
  <c r="G51" i="202"/>
  <c r="P51" i="202" s="1"/>
  <c r="G51" i="200"/>
  <c r="P51" i="200" s="1"/>
  <c r="G51" i="199"/>
  <c r="P51" i="199" s="1"/>
  <c r="AU8" i="198"/>
  <c r="G36" i="212"/>
  <c r="P36" i="212" s="1"/>
  <c r="G36" i="210"/>
  <c r="P36" i="210" s="1"/>
  <c r="G36" i="209"/>
  <c r="P36" i="209" s="1"/>
  <c r="G36" i="211"/>
  <c r="P36" i="211" s="1"/>
  <c r="G36" i="208"/>
  <c r="P36" i="208" s="1"/>
  <c r="G36" i="205"/>
  <c r="P36" i="205" s="1"/>
  <c r="G36" i="207"/>
  <c r="P36" i="207" s="1"/>
  <c r="G36" i="206"/>
  <c r="P36" i="206" s="1"/>
  <c r="G36" i="204"/>
  <c r="P36" i="204" s="1"/>
  <c r="G36" i="203"/>
  <c r="P36" i="203" s="1"/>
  <c r="G36" i="200"/>
  <c r="P36" i="200" s="1"/>
  <c r="G36" i="202"/>
  <c r="P36" i="202" s="1"/>
  <c r="G36" i="201"/>
  <c r="P36" i="201" s="1"/>
  <c r="G36" i="199"/>
  <c r="P36" i="199" s="1"/>
  <c r="AF8" i="198"/>
  <c r="M61" i="212"/>
  <c r="V61" i="212" s="1"/>
  <c r="M61" i="210"/>
  <c r="V61" i="210" s="1"/>
  <c r="M61" i="211"/>
  <c r="V61" i="211" s="1"/>
  <c r="M61" i="209"/>
  <c r="V61" i="209" s="1"/>
  <c r="M61" i="207"/>
  <c r="V61" i="207" s="1"/>
  <c r="M61" i="208"/>
  <c r="V61" i="208" s="1"/>
  <c r="M61" i="205"/>
  <c r="V61" i="205" s="1"/>
  <c r="M61" i="206"/>
  <c r="V61" i="206" s="1"/>
  <c r="M61" i="204"/>
  <c r="V61" i="204" s="1"/>
  <c r="M61" i="203"/>
  <c r="V61" i="203" s="1"/>
  <c r="M61" i="201"/>
  <c r="V61" i="201" s="1"/>
  <c r="M61" i="200"/>
  <c r="V61" i="200" s="1"/>
  <c r="M61" i="202"/>
  <c r="V61" i="202" s="1"/>
  <c r="M61" i="199"/>
  <c r="V61" i="199" s="1"/>
  <c r="M57" i="210"/>
  <c r="V57" i="210" s="1"/>
  <c r="M57" i="212"/>
  <c r="V57" i="212" s="1"/>
  <c r="M57" i="211"/>
  <c r="V57" i="211" s="1"/>
  <c r="M57" i="209"/>
  <c r="V57" i="209" s="1"/>
  <c r="M57" i="208"/>
  <c r="V57" i="208" s="1"/>
  <c r="M57" i="206"/>
  <c r="V57" i="206" s="1"/>
  <c r="M57" i="204"/>
  <c r="V57" i="204" s="1"/>
  <c r="M57" i="207"/>
  <c r="V57" i="207" s="1"/>
  <c r="M57" i="205"/>
  <c r="V57" i="205" s="1"/>
  <c r="M57" i="203"/>
  <c r="V57" i="203" s="1"/>
  <c r="M57" i="201"/>
  <c r="V57" i="201" s="1"/>
  <c r="M57" i="202"/>
  <c r="V57" i="202" s="1"/>
  <c r="M57" i="200"/>
  <c r="V57" i="200" s="1"/>
  <c r="M57" i="199"/>
  <c r="V57" i="199" s="1"/>
  <c r="M53" i="212"/>
  <c r="V53" i="212" s="1"/>
  <c r="M53" i="211"/>
  <c r="V53" i="211" s="1"/>
  <c r="M53" i="210"/>
  <c r="V53" i="210" s="1"/>
  <c r="M53" i="209"/>
  <c r="V53" i="209" s="1"/>
  <c r="M53" i="207"/>
  <c r="V53" i="207" s="1"/>
  <c r="M53" i="208"/>
  <c r="V53" i="208" s="1"/>
  <c r="M53" i="205"/>
  <c r="V53" i="205" s="1"/>
  <c r="M53" i="204"/>
  <c r="V53" i="204" s="1"/>
  <c r="M53" i="203"/>
  <c r="V53" i="203" s="1"/>
  <c r="M53" i="206"/>
  <c r="V53" i="206" s="1"/>
  <c r="M53" i="202"/>
  <c r="V53" i="202" s="1"/>
  <c r="M53" i="200"/>
  <c r="V53" i="200" s="1"/>
  <c r="M53" i="201"/>
  <c r="V53" i="201" s="1"/>
  <c r="M53" i="199"/>
  <c r="V53" i="199" s="1"/>
  <c r="M49" i="210"/>
  <c r="V49" i="210" s="1"/>
  <c r="M49" i="209"/>
  <c r="V49" i="209" s="1"/>
  <c r="M49" i="211"/>
  <c r="V49" i="211" s="1"/>
  <c r="M49" i="212"/>
  <c r="V49" i="212" s="1"/>
  <c r="M49" i="207"/>
  <c r="V49" i="207" s="1"/>
  <c r="M49" i="208"/>
  <c r="V49" i="208" s="1"/>
  <c r="M49" i="206"/>
  <c r="V49" i="206" s="1"/>
  <c r="M49" i="205"/>
  <c r="V49" i="205" s="1"/>
  <c r="M49" i="203"/>
  <c r="V49" i="203" s="1"/>
  <c r="M49" i="204"/>
  <c r="V49" i="204" s="1"/>
  <c r="M49" i="202"/>
  <c r="V49" i="202" s="1"/>
  <c r="M49" i="201"/>
  <c r="V49" i="201" s="1"/>
  <c r="M49" i="200"/>
  <c r="V49" i="200" s="1"/>
  <c r="M49" i="199"/>
  <c r="V49" i="199" s="1"/>
  <c r="AE8" i="198"/>
  <c r="M51" i="211"/>
  <c r="V51" i="211" s="1"/>
  <c r="M51" i="212"/>
  <c r="V51" i="212" s="1"/>
  <c r="M51" i="210"/>
  <c r="V51" i="210" s="1"/>
  <c r="M51" i="208"/>
  <c r="V51" i="208" s="1"/>
  <c r="M51" i="207"/>
  <c r="V51" i="207" s="1"/>
  <c r="M51" i="209"/>
  <c r="V51" i="209" s="1"/>
  <c r="M51" i="205"/>
  <c r="V51" i="205" s="1"/>
  <c r="M51" i="204"/>
  <c r="V51" i="204" s="1"/>
  <c r="M51" i="203"/>
  <c r="V51" i="203" s="1"/>
  <c r="M51" i="206"/>
  <c r="V51" i="206" s="1"/>
  <c r="M51" i="200"/>
  <c r="V51" i="200" s="1"/>
  <c r="M51" i="202"/>
  <c r="V51" i="202" s="1"/>
  <c r="M51" i="201"/>
  <c r="V51" i="201" s="1"/>
  <c r="M51" i="199"/>
  <c r="V51" i="199" s="1"/>
  <c r="M47" i="211"/>
  <c r="V47" i="211" s="1"/>
  <c r="M47" i="212"/>
  <c r="V47" i="212" s="1"/>
  <c r="M47" i="210"/>
  <c r="V47" i="210" s="1"/>
  <c r="M47" i="209"/>
  <c r="V47" i="209" s="1"/>
  <c r="M47" i="208"/>
  <c r="V47" i="208" s="1"/>
  <c r="M47" i="207"/>
  <c r="V47" i="207" s="1"/>
  <c r="M47" i="206"/>
  <c r="V47" i="206" s="1"/>
  <c r="M47" i="205"/>
  <c r="V47" i="205" s="1"/>
  <c r="M47" i="204"/>
  <c r="V47" i="204" s="1"/>
  <c r="M47" i="203"/>
  <c r="V47" i="203" s="1"/>
  <c r="M47" i="202"/>
  <c r="V47" i="202" s="1"/>
  <c r="M47" i="201"/>
  <c r="V47" i="201" s="1"/>
  <c r="M47" i="200"/>
  <c r="V47" i="200" s="1"/>
  <c r="M47" i="199"/>
  <c r="V47" i="199" s="1"/>
  <c r="BA8" i="198"/>
  <c r="AC81" i="17"/>
  <c r="AC80" i="17"/>
  <c r="AC79" i="17"/>
  <c r="AC78" i="17"/>
  <c r="AC77" i="17"/>
  <c r="AC76" i="17"/>
  <c r="AC75" i="17"/>
  <c r="AC74" i="17"/>
  <c r="AC73" i="17"/>
  <c r="AC72" i="17"/>
  <c r="AC71" i="17"/>
  <c r="AC70" i="17"/>
  <c r="AC69" i="17"/>
  <c r="AC68" i="17"/>
  <c r="AC67" i="17"/>
  <c r="AC66" i="17"/>
  <c r="AA81" i="17"/>
  <c r="AA80" i="17"/>
  <c r="AA79" i="17"/>
  <c r="AA78" i="17"/>
  <c r="AA77" i="17"/>
  <c r="AA76" i="17"/>
  <c r="AA75" i="17"/>
  <c r="AA74" i="17"/>
  <c r="AA73" i="17"/>
  <c r="AA72" i="17"/>
  <c r="AA71" i="17"/>
  <c r="AA70" i="17"/>
  <c r="AA69" i="17"/>
  <c r="AA68" i="17"/>
  <c r="AA67" i="17"/>
  <c r="AA66" i="17"/>
  <c r="BO7" i="19" l="1"/>
  <c r="BP7" i="19" l="1"/>
  <c r="M7" i="197"/>
  <c r="BV7" i="19"/>
  <c r="T7" i="197" s="1"/>
  <c r="BQ7" i="19" l="1"/>
  <c r="N7" i="197"/>
  <c r="BG7" i="19"/>
  <c r="BR7" i="19" l="1"/>
  <c r="P7" i="197" s="1"/>
  <c r="O7" i="197"/>
  <c r="E7" i="197"/>
  <c r="E17" i="93"/>
  <c r="E16" i="93"/>
  <c r="P64" i="17"/>
  <c r="Z66" i="211" l="1"/>
  <c r="Z66" i="206"/>
  <c r="Z66" i="204"/>
  <c r="Z66" i="202"/>
  <c r="Z66" i="209"/>
  <c r="Z66" i="208"/>
  <c r="Z66" i="201"/>
  <c r="Z66" i="200"/>
  <c r="Z66" i="210"/>
  <c r="Z66" i="207"/>
  <c r="Z66" i="205"/>
  <c r="Z66" i="203"/>
  <c r="Z66" i="212"/>
  <c r="Z66" i="199"/>
  <c r="Z67" i="212"/>
  <c r="Z67" i="207"/>
  <c r="T66" i="207" s="1"/>
  <c r="Z67" i="206"/>
  <c r="T66" i="206" s="1"/>
  <c r="Z67" i="205"/>
  <c r="Z67" i="204"/>
  <c r="T66" i="204" s="1"/>
  <c r="Z67" i="203"/>
  <c r="T66" i="203" s="1"/>
  <c r="Z67" i="202"/>
  <c r="T66" i="202" s="1"/>
  <c r="Z67" i="208"/>
  <c r="T66" i="208" s="1"/>
  <c r="Z67" i="200"/>
  <c r="T66" i="200" s="1"/>
  <c r="Z67" i="211"/>
  <c r="Z67" i="210"/>
  <c r="T66" i="210" s="1"/>
  <c r="Z67" i="209"/>
  <c r="Z67" i="201"/>
  <c r="T66" i="201" s="1"/>
  <c r="Z67" i="199"/>
  <c r="T66" i="199" s="1"/>
  <c r="Z67" i="17"/>
  <c r="T66" i="17" s="1"/>
  <c r="Z66" i="17"/>
  <c r="Y81" i="17"/>
  <c r="Y80" i="17"/>
  <c r="Y79" i="17"/>
  <c r="Y78" i="17"/>
  <c r="Y77" i="17"/>
  <c r="Y76" i="17"/>
  <c r="Y75" i="17"/>
  <c r="Y74" i="17"/>
  <c r="Y73" i="17"/>
  <c r="Y72" i="17"/>
  <c r="Y71" i="17"/>
  <c r="Y70" i="17"/>
  <c r="Y69" i="17"/>
  <c r="Y68" i="17"/>
  <c r="Y67" i="17"/>
  <c r="Y66" i="17"/>
  <c r="W81" i="17"/>
  <c r="W80" i="17"/>
  <c r="W79" i="17"/>
  <c r="W78" i="17"/>
  <c r="W77" i="17"/>
  <c r="W76" i="17"/>
  <c r="W75" i="17"/>
  <c r="W74" i="17"/>
  <c r="W73" i="17"/>
  <c r="W72" i="17"/>
  <c r="W71" i="17"/>
  <c r="W70" i="17"/>
  <c r="W69" i="17"/>
  <c r="W68" i="17"/>
  <c r="W67" i="17"/>
  <c r="W66" i="17"/>
  <c r="T66" i="211" l="1"/>
  <c r="T66" i="212"/>
  <c r="T66" i="209"/>
  <c r="T66" i="205"/>
  <c r="A9" i="18"/>
  <c r="J6" i="18"/>
  <c r="K6" i="18" s="1"/>
  <c r="L6" i="18" s="1"/>
  <c r="M6" i="18" s="1"/>
  <c r="N6" i="18" s="1"/>
  <c r="O6" i="18" s="1"/>
  <c r="P6" i="18" s="1"/>
  <c r="Q6" i="18" s="1"/>
  <c r="R6" i="18" s="1"/>
  <c r="S6" i="18" s="1"/>
  <c r="T6" i="18" s="1"/>
  <c r="U6" i="18" s="1"/>
  <c r="V6" i="18" s="1"/>
  <c r="W6" i="18" s="1"/>
  <c r="X6" i="18" s="1"/>
  <c r="Y6" i="18" s="1"/>
  <c r="Z6" i="18" s="1"/>
  <c r="AA6" i="18" s="1"/>
  <c r="AB6" i="18" s="1"/>
  <c r="AC6" i="18" s="1"/>
  <c r="AD6" i="18" s="1"/>
  <c r="AE6" i="18" s="1"/>
  <c r="AF6" i="18" s="1"/>
  <c r="AG6" i="18" s="1"/>
  <c r="AH6" i="18" s="1"/>
  <c r="AI6" i="18" s="1"/>
  <c r="AJ6" i="18" s="1"/>
  <c r="AK6" i="18" s="1"/>
  <c r="AL6" i="18" s="1"/>
  <c r="AM6" i="18" s="1"/>
  <c r="AN6" i="18" s="1"/>
  <c r="AO6" i="18" s="1"/>
  <c r="AP6" i="18" s="1"/>
  <c r="AQ6" i="18" s="1"/>
  <c r="AR6" i="18" s="1"/>
  <c r="AS6" i="18" s="1"/>
  <c r="AT6" i="18" s="1"/>
  <c r="AU6" i="18" s="1"/>
  <c r="AV6" i="18" s="1"/>
  <c r="AW6" i="18" s="1"/>
  <c r="AX6" i="18" s="1"/>
  <c r="AY6" i="18" s="1"/>
  <c r="AZ6" i="18" s="1"/>
  <c r="BA6" i="18" s="1"/>
  <c r="BB6" i="18" s="1"/>
  <c r="BC6" i="18" s="1"/>
  <c r="BD6" i="18" s="1"/>
  <c r="BE6" i="18" s="1"/>
  <c r="BF6" i="18" s="1"/>
  <c r="BG6" i="18" s="1"/>
  <c r="BH6" i="18" s="1"/>
  <c r="BI6" i="18" s="1"/>
  <c r="BJ6" i="18" s="1"/>
  <c r="BK6" i="18" s="1"/>
  <c r="BL6" i="18" s="1"/>
  <c r="BM6" i="18" s="1"/>
  <c r="BN6" i="18" s="1"/>
  <c r="BO6" i="18" s="1"/>
  <c r="BP6" i="18" s="1"/>
  <c r="BQ6" i="18" s="1"/>
  <c r="BR6" i="18" s="1"/>
  <c r="BS6" i="18" s="1"/>
  <c r="BT6" i="18" s="1"/>
  <c r="B6" i="17"/>
  <c r="C24" i="19"/>
  <c r="C23" i="19"/>
  <c r="C22" i="19"/>
  <c r="C21" i="19"/>
  <c r="C20" i="19"/>
  <c r="C19" i="19"/>
  <c r="C18" i="19"/>
  <c r="C17" i="19"/>
  <c r="C16" i="19"/>
  <c r="C15" i="19"/>
  <c r="C14" i="19"/>
  <c r="C13" i="19"/>
  <c r="C12" i="19"/>
  <c r="C11" i="19"/>
  <c r="C10" i="19"/>
  <c r="A10" i="19" s="1"/>
  <c r="A10" i="198" s="1"/>
  <c r="A11" i="19" l="1"/>
  <c r="A11" i="198" s="1"/>
  <c r="A10" i="18"/>
  <c r="A11" i="18" s="1"/>
  <c r="A12" i="19" l="1"/>
  <c r="A12" i="18"/>
  <c r="BF9" i="19"/>
  <c r="BE9" i="19"/>
  <c r="BD9" i="19"/>
  <c r="BC9" i="19"/>
  <c r="BB9" i="19"/>
  <c r="BA9" i="19"/>
  <c r="AZ9" i="19"/>
  <c r="AY9" i="19"/>
  <c r="AX9" i="19"/>
  <c r="AW9" i="19"/>
  <c r="AV9" i="19"/>
  <c r="AU9" i="19"/>
  <c r="AT9" i="19"/>
  <c r="AS9" i="19"/>
  <c r="AR9" i="19"/>
  <c r="AQ9" i="19"/>
  <c r="AP9" i="19"/>
  <c r="AO9" i="19"/>
  <c r="AN9" i="19"/>
  <c r="AM9" i="19"/>
  <c r="AL9" i="19"/>
  <c r="AK9" i="19"/>
  <c r="AJ9" i="19"/>
  <c r="AI9" i="19"/>
  <c r="AH9" i="19"/>
  <c r="AG9" i="19"/>
  <c r="AF9" i="19"/>
  <c r="AE9" i="19"/>
  <c r="AD9" i="19"/>
  <c r="AC9" i="19"/>
  <c r="AB9" i="19"/>
  <c r="AA9" i="19"/>
  <c r="Z9" i="19"/>
  <c r="Y9" i="19"/>
  <c r="X9" i="19"/>
  <c r="W9" i="19"/>
  <c r="V9" i="19"/>
  <c r="U9" i="19"/>
  <c r="T9" i="19"/>
  <c r="S9" i="19"/>
  <c r="R9" i="19"/>
  <c r="Q9" i="19"/>
  <c r="P9" i="19"/>
  <c r="O9" i="19"/>
  <c r="N9" i="19"/>
  <c r="M9" i="19"/>
  <c r="L9" i="19"/>
  <c r="K9" i="19"/>
  <c r="BT7" i="18"/>
  <c r="BU7" i="19"/>
  <c r="BS7" i="19"/>
  <c r="BM7" i="18"/>
  <c r="BE7" i="18"/>
  <c r="K7" i="19"/>
  <c r="B10" i="1"/>
  <c r="J69" i="1"/>
  <c r="J75" i="1"/>
  <c r="L75" i="1"/>
  <c r="J81" i="1"/>
  <c r="L81" i="1"/>
  <c r="J87" i="1"/>
  <c r="L87" i="1"/>
  <c r="J93" i="1"/>
  <c r="L93" i="1"/>
  <c r="J99" i="1"/>
  <c r="L99" i="1"/>
  <c r="J105" i="1"/>
  <c r="L105" i="1"/>
  <c r="J111" i="1"/>
  <c r="L111" i="1"/>
  <c r="AA69" i="1"/>
  <c r="AC69" i="1"/>
  <c r="AA74" i="1"/>
  <c r="AC74" i="1"/>
  <c r="AA79" i="1"/>
  <c r="AC79" i="1"/>
  <c r="AA84" i="1"/>
  <c r="AC84" i="1"/>
  <c r="AA92" i="1"/>
  <c r="AC92" i="1"/>
  <c r="AA97" i="1"/>
  <c r="AC97" i="1"/>
  <c r="AA105" i="1"/>
  <c r="AC105" i="1"/>
  <c r="AA113" i="1"/>
  <c r="AC113" i="1"/>
  <c r="D14" i="1"/>
  <c r="E14" i="1"/>
  <c r="F14" i="1"/>
  <c r="G14" i="1"/>
  <c r="H14" i="1"/>
  <c r="J14" i="1"/>
  <c r="N14" i="1"/>
  <c r="G16" i="1"/>
  <c r="G28" i="1"/>
  <c r="K8" i="19"/>
  <c r="M8" i="19"/>
  <c r="G19" i="1"/>
  <c r="O8" i="19"/>
  <c r="Q8" i="19"/>
  <c r="G23" i="1"/>
  <c r="R8" i="19"/>
  <c r="T8" i="19"/>
  <c r="G26" i="1"/>
  <c r="U8" i="19"/>
  <c r="G27" i="1"/>
  <c r="W8" i="19"/>
  <c r="G29" i="1"/>
  <c r="G30" i="1"/>
  <c r="G31" i="1"/>
  <c r="Z8" i="19"/>
  <c r="AA8" i="19"/>
  <c r="G33" i="1"/>
  <c r="AB8" i="19"/>
  <c r="G34" i="1"/>
  <c r="AC8" i="19"/>
  <c r="G35" i="1"/>
  <c r="G36" i="1"/>
  <c r="AE8" i="19"/>
  <c r="G37" i="1"/>
  <c r="AF8" i="19"/>
  <c r="G38" i="1"/>
  <c r="AG8" i="19"/>
  <c r="G39" i="1"/>
  <c r="AH8" i="19"/>
  <c r="G40" i="1"/>
  <c r="AI8" i="19"/>
  <c r="G41" i="1"/>
  <c r="AJ8" i="19"/>
  <c r="G42" i="1"/>
  <c r="AK8" i="19"/>
  <c r="G43" i="1"/>
  <c r="AL8" i="19"/>
  <c r="G44" i="1"/>
  <c r="AM8" i="19"/>
  <c r="G45" i="1"/>
  <c r="AN8" i="19"/>
  <c r="G46" i="1"/>
  <c r="AO8" i="19"/>
  <c r="G47" i="1"/>
  <c r="AP8" i="19"/>
  <c r="G48" i="1"/>
  <c r="AQ8" i="19"/>
  <c r="G49" i="1"/>
  <c r="AT37" i="2"/>
  <c r="G50" i="1"/>
  <c r="AS8" i="19"/>
  <c r="G51" i="1"/>
  <c r="G52" i="1"/>
  <c r="G53" i="1"/>
  <c r="G54" i="1"/>
  <c r="G55" i="1"/>
  <c r="G56" i="1"/>
  <c r="G57" i="1"/>
  <c r="AZ8" i="19"/>
  <c r="G58" i="1"/>
  <c r="G59" i="1"/>
  <c r="F58" i="17" s="1"/>
  <c r="BB8" i="19"/>
  <c r="G60" i="1"/>
  <c r="BC8" i="19"/>
  <c r="G61" i="1"/>
  <c r="BD8" i="19"/>
  <c r="AT49" i="2"/>
  <c r="G62" i="1"/>
  <c r="BE8" i="19"/>
  <c r="G63" i="1"/>
  <c r="BF8" i="19"/>
  <c r="C67" i="1"/>
  <c r="G69" i="1"/>
  <c r="F66" i="17" s="1"/>
  <c r="B4" i="2"/>
  <c r="C7" i="15" s="1"/>
  <c r="AP51" i="2"/>
  <c r="AP50" i="2"/>
  <c r="AP49" i="2"/>
  <c r="AP48" i="2"/>
  <c r="AP47" i="2"/>
  <c r="AP46" i="2"/>
  <c r="AP45" i="2"/>
  <c r="AP44" i="2"/>
  <c r="AP43" i="2"/>
  <c r="AP42" i="2"/>
  <c r="AP41" i="2"/>
  <c r="AP40" i="2"/>
  <c r="AP39" i="2"/>
  <c r="AP38" i="2"/>
  <c r="AP37" i="2"/>
  <c r="AP36" i="2"/>
  <c r="AP35" i="2"/>
  <c r="AP34" i="2"/>
  <c r="AP33" i="2"/>
  <c r="AP32" i="2"/>
  <c r="AP31" i="2"/>
  <c r="AP30" i="2"/>
  <c r="AP29" i="2"/>
  <c r="AP28" i="2"/>
  <c r="AP27" i="2"/>
  <c r="AP26" i="2"/>
  <c r="AP25" i="2"/>
  <c r="AP24" i="2"/>
  <c r="AP23" i="2"/>
  <c r="AP22" i="2"/>
  <c r="AP21" i="2"/>
  <c r="AP20" i="2"/>
  <c r="AP19" i="2"/>
  <c r="AP18" i="2"/>
  <c r="AP17" i="2"/>
  <c r="AP16" i="2"/>
  <c r="AP15" i="2"/>
  <c r="AP14" i="2"/>
  <c r="AP13" i="2"/>
  <c r="AP12" i="2"/>
  <c r="AP11" i="2"/>
  <c r="AP10" i="2"/>
  <c r="AP9" i="2"/>
  <c r="AP8" i="2"/>
  <c r="AP7" i="2"/>
  <c r="AP6" i="2"/>
  <c r="AP5" i="2"/>
  <c r="AP4" i="2"/>
  <c r="AT51" i="2"/>
  <c r="AT50" i="2"/>
  <c r="AT48" i="2"/>
  <c r="AT47" i="2"/>
  <c r="AT46" i="2"/>
  <c r="AT45" i="2"/>
  <c r="AT44" i="2"/>
  <c r="AT43" i="2"/>
  <c r="AT42" i="2"/>
  <c r="AT41" i="2"/>
  <c r="AT40" i="2"/>
  <c r="AT39" i="2"/>
  <c r="AT38" i="2"/>
  <c r="AT36" i="2"/>
  <c r="AT35" i="2"/>
  <c r="AT34" i="2"/>
  <c r="AT33" i="2"/>
  <c r="AT32" i="2"/>
  <c r="AT31" i="2"/>
  <c r="AT30" i="2"/>
  <c r="AT29" i="2"/>
  <c r="AT28" i="2"/>
  <c r="AT27" i="2"/>
  <c r="AT26" i="2"/>
  <c r="AT25" i="2"/>
  <c r="AT24" i="2"/>
  <c r="AT23" i="2"/>
  <c r="AT22" i="2"/>
  <c r="AT21" i="2"/>
  <c r="AT20" i="2"/>
  <c r="AT19" i="2"/>
  <c r="AT18" i="2"/>
  <c r="AT17" i="2"/>
  <c r="AT16" i="2"/>
  <c r="AT15" i="2"/>
  <c r="AT14" i="2"/>
  <c r="AT13" i="2"/>
  <c r="AT12" i="2"/>
  <c r="AT11" i="2"/>
  <c r="AT10" i="2"/>
  <c r="AT9" i="2"/>
  <c r="AT8" i="2"/>
  <c r="AT7" i="2"/>
  <c r="AT6" i="2"/>
  <c r="AT5" i="2"/>
  <c r="AT4" i="2"/>
  <c r="AQ51" i="2"/>
  <c r="AQ50" i="2"/>
  <c r="AQ49" i="2"/>
  <c r="AQ48" i="2"/>
  <c r="AQ47" i="2"/>
  <c r="AQ46" i="2"/>
  <c r="AQ45" i="2"/>
  <c r="AQ44" i="2"/>
  <c r="AQ43" i="2"/>
  <c r="AQ42" i="2"/>
  <c r="AQ41" i="2"/>
  <c r="AQ40" i="2"/>
  <c r="AQ39" i="2"/>
  <c r="AQ38" i="2"/>
  <c r="AQ37" i="2"/>
  <c r="AQ36" i="2"/>
  <c r="AQ35" i="2"/>
  <c r="AQ34" i="2"/>
  <c r="AQ33" i="2"/>
  <c r="AQ32" i="2"/>
  <c r="AQ31" i="2"/>
  <c r="AQ30" i="2"/>
  <c r="AQ29" i="2"/>
  <c r="AQ28" i="2"/>
  <c r="AQ27" i="2"/>
  <c r="AQ26" i="2"/>
  <c r="AQ25" i="2"/>
  <c r="AQ24" i="2"/>
  <c r="AQ23" i="2"/>
  <c r="AQ22" i="2"/>
  <c r="AQ21" i="2"/>
  <c r="AQ20" i="2"/>
  <c r="AQ19" i="2"/>
  <c r="AQ18" i="2"/>
  <c r="AQ17" i="2"/>
  <c r="AQ16" i="2"/>
  <c r="AQ15" i="2"/>
  <c r="AQ14" i="2"/>
  <c r="AQ13" i="2"/>
  <c r="AQ12" i="2"/>
  <c r="AQ11" i="2"/>
  <c r="AQ10" i="2"/>
  <c r="AQ9" i="2"/>
  <c r="AQ8" i="2"/>
  <c r="AQ7" i="2"/>
  <c r="AQ6" i="2"/>
  <c r="AQ5" i="2"/>
  <c r="AQ4" i="2"/>
  <c r="AU51" i="2"/>
  <c r="AU50" i="2"/>
  <c r="AU49" i="2"/>
  <c r="AU48" i="2"/>
  <c r="AU47" i="2"/>
  <c r="AU46" i="2"/>
  <c r="AU45" i="2"/>
  <c r="AU44" i="2"/>
  <c r="AU43" i="2"/>
  <c r="AU42" i="2"/>
  <c r="AU41" i="2"/>
  <c r="AU40" i="2"/>
  <c r="AU39" i="2"/>
  <c r="AU38" i="2"/>
  <c r="AU37" i="2"/>
  <c r="AU36" i="2"/>
  <c r="AU35" i="2"/>
  <c r="AU34" i="2"/>
  <c r="AU33" i="2"/>
  <c r="AU32" i="2"/>
  <c r="AU31" i="2"/>
  <c r="AU30" i="2"/>
  <c r="AU29" i="2"/>
  <c r="AU28" i="2"/>
  <c r="AU27" i="2"/>
  <c r="AU26" i="2"/>
  <c r="AU25" i="2"/>
  <c r="AU24" i="2"/>
  <c r="AU23" i="2"/>
  <c r="AU22" i="2"/>
  <c r="AU21" i="2"/>
  <c r="AU20" i="2"/>
  <c r="AU19" i="2"/>
  <c r="AU18" i="2"/>
  <c r="AU17" i="2"/>
  <c r="AU16" i="2"/>
  <c r="AU15" i="2"/>
  <c r="AU14" i="2"/>
  <c r="AU13" i="2"/>
  <c r="AU12" i="2"/>
  <c r="AU11" i="2"/>
  <c r="AU10" i="2"/>
  <c r="AU9" i="2"/>
  <c r="AU8" i="2"/>
  <c r="AU7" i="2"/>
  <c r="AU6" i="2"/>
  <c r="AU5" i="2"/>
  <c r="AU4" i="2"/>
  <c r="B5" i="2"/>
  <c r="C8" i="15" s="1"/>
  <c r="B6" i="2"/>
  <c r="C9" i="15" s="1"/>
  <c r="B7" i="2"/>
  <c r="C10" i="15" s="1"/>
  <c r="B11" i="2"/>
  <c r="C11" i="15" s="1"/>
  <c r="B12" i="2"/>
  <c r="C12" i="15" s="1"/>
  <c r="B13" i="2"/>
  <c r="C13" i="15" s="1"/>
  <c r="B14" i="2"/>
  <c r="C14" i="15" s="1"/>
  <c r="G75" i="1"/>
  <c r="B18" i="2"/>
  <c r="C15" i="15" s="1"/>
  <c r="B19" i="2"/>
  <c r="C16" i="15" s="1"/>
  <c r="B20" i="2"/>
  <c r="C17" i="15" s="1"/>
  <c r="B21" i="2"/>
  <c r="C18" i="15" s="1"/>
  <c r="B25" i="2"/>
  <c r="C19" i="15" s="1"/>
  <c r="B26" i="2"/>
  <c r="C20" i="15" s="1"/>
  <c r="B27" i="2"/>
  <c r="C21" i="15" s="1"/>
  <c r="B28" i="2"/>
  <c r="C22" i="15" s="1"/>
  <c r="F68" i="17"/>
  <c r="F87" i="1"/>
  <c r="E69" i="17" s="1"/>
  <c r="G93" i="1"/>
  <c r="F70" i="17" s="1"/>
  <c r="B32" i="2"/>
  <c r="C23" i="15" s="1"/>
  <c r="B33" i="2"/>
  <c r="C24" i="15" s="1"/>
  <c r="B34" i="2"/>
  <c r="C25" i="15" s="1"/>
  <c r="B35" i="2"/>
  <c r="C26" i="15" s="1"/>
  <c r="B39" i="2"/>
  <c r="C27" i="15" s="1"/>
  <c r="B40" i="2"/>
  <c r="C28" i="15" s="1"/>
  <c r="B41" i="2"/>
  <c r="C29" i="15" s="1"/>
  <c r="B42" i="2"/>
  <c r="C30" i="15" s="1"/>
  <c r="G99" i="1"/>
  <c r="B46" i="2"/>
  <c r="C33" i="15" s="1"/>
  <c r="B47" i="2"/>
  <c r="C34" i="15" s="1"/>
  <c r="B48" i="2"/>
  <c r="C31" i="15" s="1"/>
  <c r="B49" i="2"/>
  <c r="C32" i="15" s="1"/>
  <c r="B53" i="2"/>
  <c r="C37" i="15" s="1"/>
  <c r="B54" i="2"/>
  <c r="C38" i="15" s="1"/>
  <c r="B55" i="2"/>
  <c r="C35" i="15" s="1"/>
  <c r="B56" i="2"/>
  <c r="C36" i="15" s="1"/>
  <c r="G105" i="1"/>
  <c r="F72" i="17" s="1"/>
  <c r="G111" i="1"/>
  <c r="R67" i="1"/>
  <c r="U79" i="1"/>
  <c r="U84" i="1"/>
  <c r="R90" i="1"/>
  <c r="U92" i="1"/>
  <c r="U97" i="1"/>
  <c r="R103" i="1"/>
  <c r="U105" i="1"/>
  <c r="R111" i="1"/>
  <c r="U113" i="1"/>
  <c r="R62" i="17"/>
  <c r="T62" i="17"/>
  <c r="R61" i="17"/>
  <c r="T61" i="17"/>
  <c r="R60" i="17"/>
  <c r="T60" i="17"/>
  <c r="R59" i="17"/>
  <c r="T59" i="17"/>
  <c r="R58" i="17"/>
  <c r="T58" i="17"/>
  <c r="R57" i="17"/>
  <c r="T57" i="17"/>
  <c r="R56" i="17"/>
  <c r="T56" i="17"/>
  <c r="R55" i="17"/>
  <c r="T55" i="17"/>
  <c r="R54" i="17"/>
  <c r="T54" i="17"/>
  <c r="R53" i="17"/>
  <c r="T53" i="17"/>
  <c r="R52" i="17"/>
  <c r="T52" i="17"/>
  <c r="R51" i="17"/>
  <c r="T51" i="17"/>
  <c r="R50" i="17"/>
  <c r="T50" i="17"/>
  <c r="R49" i="17"/>
  <c r="T49" i="17"/>
  <c r="R48" i="17"/>
  <c r="T48" i="17"/>
  <c r="R47" i="17"/>
  <c r="T47" i="17"/>
  <c r="R46" i="17"/>
  <c r="T46" i="17"/>
  <c r="R45" i="17"/>
  <c r="T45" i="17"/>
  <c r="R44" i="17"/>
  <c r="T44" i="17"/>
  <c r="R43" i="17"/>
  <c r="T43" i="17"/>
  <c r="R42" i="17"/>
  <c r="T42" i="17"/>
  <c r="R41" i="17"/>
  <c r="T41" i="17"/>
  <c r="R40" i="17"/>
  <c r="T40" i="17"/>
  <c r="R39" i="17"/>
  <c r="T39" i="17"/>
  <c r="R38" i="17"/>
  <c r="T38" i="17"/>
  <c r="R37" i="17"/>
  <c r="T37" i="17"/>
  <c r="R36" i="17"/>
  <c r="T36" i="17"/>
  <c r="R35" i="17"/>
  <c r="T35" i="17"/>
  <c r="R34" i="17"/>
  <c r="T34" i="17"/>
  <c r="R33" i="17"/>
  <c r="T33" i="17"/>
  <c r="R32" i="17"/>
  <c r="T32" i="17"/>
  <c r="R31" i="17"/>
  <c r="T31" i="17"/>
  <c r="R30" i="17"/>
  <c r="T30" i="17"/>
  <c r="R29" i="17"/>
  <c r="T29" i="17"/>
  <c r="R28" i="17"/>
  <c r="T28" i="17"/>
  <c r="R27" i="17"/>
  <c r="T27" i="17"/>
  <c r="R26" i="17"/>
  <c r="T26" i="17"/>
  <c r="R25" i="17"/>
  <c r="T25" i="17"/>
  <c r="R24" i="17"/>
  <c r="T24" i="17"/>
  <c r="R23" i="17"/>
  <c r="T23" i="17"/>
  <c r="R22" i="17"/>
  <c r="T22" i="17"/>
  <c r="R21" i="17"/>
  <c r="T21" i="17"/>
  <c r="R20" i="17"/>
  <c r="T20" i="17"/>
  <c r="R19" i="17"/>
  <c r="T19" i="17"/>
  <c r="R18" i="17"/>
  <c r="T18" i="17"/>
  <c r="R17" i="17"/>
  <c r="T17" i="17"/>
  <c r="R16" i="17"/>
  <c r="T16" i="17"/>
  <c r="R15" i="17"/>
  <c r="T15" i="17"/>
  <c r="M62" i="17"/>
  <c r="V62" i="17" s="1"/>
  <c r="G62" i="17"/>
  <c r="P62" i="17" s="1"/>
  <c r="M61" i="17"/>
  <c r="V61" i="17" s="1"/>
  <c r="G61" i="17"/>
  <c r="P61" i="17" s="1"/>
  <c r="M60" i="17"/>
  <c r="V60" i="17" s="1"/>
  <c r="G60" i="17"/>
  <c r="P60" i="17" s="1"/>
  <c r="M59" i="17"/>
  <c r="V59" i="17" s="1"/>
  <c r="G59" i="17"/>
  <c r="P59" i="17" s="1"/>
  <c r="M58" i="17"/>
  <c r="V58" i="17" s="1"/>
  <c r="G58" i="17"/>
  <c r="P58" i="17" s="1"/>
  <c r="M57" i="17"/>
  <c r="V57" i="17" s="1"/>
  <c r="G57" i="17"/>
  <c r="P57" i="17" s="1"/>
  <c r="M56" i="17"/>
  <c r="V56" i="17" s="1"/>
  <c r="G56" i="17"/>
  <c r="P56" i="17" s="1"/>
  <c r="M55" i="17"/>
  <c r="V55" i="17" s="1"/>
  <c r="G55" i="17"/>
  <c r="P55" i="17" s="1"/>
  <c r="M54" i="17"/>
  <c r="V54" i="17" s="1"/>
  <c r="G54" i="17"/>
  <c r="P54" i="17" s="1"/>
  <c r="M53" i="17"/>
  <c r="V53" i="17" s="1"/>
  <c r="G53" i="17"/>
  <c r="P53" i="17" s="1"/>
  <c r="M52" i="17"/>
  <c r="V52" i="17" s="1"/>
  <c r="G52" i="17"/>
  <c r="P52" i="17" s="1"/>
  <c r="M51" i="17"/>
  <c r="V51" i="17" s="1"/>
  <c r="G51" i="17"/>
  <c r="P51" i="17" s="1"/>
  <c r="M50" i="17"/>
  <c r="V50" i="17" s="1"/>
  <c r="G50" i="17"/>
  <c r="P50" i="17" s="1"/>
  <c r="M49" i="17"/>
  <c r="V49" i="17" s="1"/>
  <c r="G49" i="17"/>
  <c r="P49" i="17" s="1"/>
  <c r="M48" i="17"/>
  <c r="V48" i="17" s="1"/>
  <c r="G48" i="17"/>
  <c r="P48" i="17" s="1"/>
  <c r="M47" i="17"/>
  <c r="V47" i="17" s="1"/>
  <c r="G47" i="17"/>
  <c r="P47" i="17" s="1"/>
  <c r="M46" i="17"/>
  <c r="V46" i="17" s="1"/>
  <c r="G46" i="17"/>
  <c r="P46" i="17" s="1"/>
  <c r="M45" i="17"/>
  <c r="V45" i="17" s="1"/>
  <c r="G45" i="17"/>
  <c r="P45" i="17" s="1"/>
  <c r="M44" i="17"/>
  <c r="V44" i="17" s="1"/>
  <c r="G44" i="17"/>
  <c r="P44" i="17" s="1"/>
  <c r="M43" i="17"/>
  <c r="V43" i="17" s="1"/>
  <c r="G43" i="17"/>
  <c r="P43" i="17" s="1"/>
  <c r="M42" i="17"/>
  <c r="V42" i="17" s="1"/>
  <c r="G42" i="17"/>
  <c r="P42" i="17" s="1"/>
  <c r="M41" i="17"/>
  <c r="V41" i="17" s="1"/>
  <c r="G41" i="17"/>
  <c r="P41" i="17" s="1"/>
  <c r="M40" i="17"/>
  <c r="V40" i="17" s="1"/>
  <c r="G40" i="17"/>
  <c r="P40" i="17" s="1"/>
  <c r="M39" i="17"/>
  <c r="V39" i="17" s="1"/>
  <c r="G39" i="17"/>
  <c r="P39" i="17" s="1"/>
  <c r="M38" i="17"/>
  <c r="V38" i="17" s="1"/>
  <c r="G38" i="17"/>
  <c r="P38" i="17" s="1"/>
  <c r="M37" i="17"/>
  <c r="V37" i="17" s="1"/>
  <c r="G37" i="17"/>
  <c r="P37" i="17" s="1"/>
  <c r="M36" i="17"/>
  <c r="V36" i="17" s="1"/>
  <c r="G36" i="17"/>
  <c r="P36" i="17" s="1"/>
  <c r="M35" i="17"/>
  <c r="V35" i="17" s="1"/>
  <c r="G35" i="17"/>
  <c r="P35" i="17" s="1"/>
  <c r="M34" i="17"/>
  <c r="V34" i="17" s="1"/>
  <c r="G34" i="17"/>
  <c r="P34" i="17" s="1"/>
  <c r="M33" i="17"/>
  <c r="V33" i="17" s="1"/>
  <c r="G33" i="17"/>
  <c r="P33" i="17" s="1"/>
  <c r="M32" i="17"/>
  <c r="V32" i="17" s="1"/>
  <c r="G32" i="17"/>
  <c r="P32" i="17" s="1"/>
  <c r="M31" i="17"/>
  <c r="V31" i="17" s="1"/>
  <c r="G31" i="17"/>
  <c r="P31" i="17" s="1"/>
  <c r="M30" i="17"/>
  <c r="V30" i="17" s="1"/>
  <c r="G30" i="17"/>
  <c r="P30" i="17" s="1"/>
  <c r="M29" i="17"/>
  <c r="V29" i="17" s="1"/>
  <c r="G29" i="17"/>
  <c r="P29" i="17" s="1"/>
  <c r="M28" i="17"/>
  <c r="V28" i="17" s="1"/>
  <c r="G28" i="17"/>
  <c r="P28" i="17" s="1"/>
  <c r="M27" i="17"/>
  <c r="V27" i="17" s="1"/>
  <c r="G27" i="17"/>
  <c r="P27" i="17" s="1"/>
  <c r="M26" i="17"/>
  <c r="V26" i="17" s="1"/>
  <c r="G26" i="17"/>
  <c r="P26" i="17" s="1"/>
  <c r="M25" i="17"/>
  <c r="V25" i="17" s="1"/>
  <c r="G25" i="17"/>
  <c r="P25" i="17" s="1"/>
  <c r="M24" i="17"/>
  <c r="V24" i="17" s="1"/>
  <c r="G24" i="17"/>
  <c r="P24" i="17" s="1"/>
  <c r="M23" i="17"/>
  <c r="V23" i="17" s="1"/>
  <c r="G23" i="17"/>
  <c r="P23" i="17" s="1"/>
  <c r="M22" i="17"/>
  <c r="V22" i="17" s="1"/>
  <c r="G22" i="17"/>
  <c r="P22" i="17" s="1"/>
  <c r="M21" i="17"/>
  <c r="V21" i="17" s="1"/>
  <c r="G21" i="17"/>
  <c r="P21" i="17" s="1"/>
  <c r="M20" i="17"/>
  <c r="V20" i="17" s="1"/>
  <c r="G20" i="17"/>
  <c r="P20" i="17" s="1"/>
  <c r="M19" i="17"/>
  <c r="V19" i="17" s="1"/>
  <c r="G19" i="17"/>
  <c r="P19" i="17" s="1"/>
  <c r="M18" i="17"/>
  <c r="V18" i="17" s="1"/>
  <c r="G18" i="17"/>
  <c r="P18" i="17" s="1"/>
  <c r="M17" i="17"/>
  <c r="V17" i="17" s="1"/>
  <c r="G17" i="17"/>
  <c r="P17" i="17" s="1"/>
  <c r="M16" i="17"/>
  <c r="V16" i="17" s="1"/>
  <c r="G16" i="17"/>
  <c r="P16" i="17" s="1"/>
  <c r="M13" i="17"/>
  <c r="V13" i="17" s="1"/>
  <c r="I13" i="17"/>
  <c r="R13" i="17" s="1"/>
  <c r="G13" i="17"/>
  <c r="P13" i="17" s="1"/>
  <c r="M15" i="17"/>
  <c r="V15" i="17" s="1"/>
  <c r="G15" i="17"/>
  <c r="P15" i="17" s="1"/>
  <c r="F81" i="17"/>
  <c r="F79" i="17"/>
  <c r="F77" i="17"/>
  <c r="F76" i="17"/>
  <c r="D79" i="17"/>
  <c r="D75" i="17"/>
  <c r="D76" i="17" s="1"/>
  <c r="D77" i="17" s="1"/>
  <c r="F73" i="17"/>
  <c r="D67" i="17"/>
  <c r="D68" i="17" s="1"/>
  <c r="D69" i="17" s="1"/>
  <c r="D70" i="17" s="1"/>
  <c r="D71" i="17" s="1"/>
  <c r="D72" i="17" s="1"/>
  <c r="D73" i="17" s="1"/>
  <c r="F69" i="17"/>
  <c r="F67" i="17"/>
  <c r="C62" i="17"/>
  <c r="F62" i="17"/>
  <c r="D62" i="17"/>
  <c r="F61" i="17"/>
  <c r="D61" i="17"/>
  <c r="C61" i="17"/>
  <c r="D60" i="17"/>
  <c r="C60" i="17"/>
  <c r="F59" i="17"/>
  <c r="D59" i="17"/>
  <c r="C59" i="17"/>
  <c r="D58" i="17"/>
  <c r="C58" i="17"/>
  <c r="F57" i="17"/>
  <c r="D57" i="17"/>
  <c r="C57" i="17"/>
  <c r="F56" i="17"/>
  <c r="D56" i="17"/>
  <c r="C56" i="17"/>
  <c r="F55" i="17"/>
  <c r="D55" i="17"/>
  <c r="C55" i="17"/>
  <c r="F54" i="17"/>
  <c r="D54" i="17"/>
  <c r="C54" i="17"/>
  <c r="F53" i="17"/>
  <c r="D53" i="17"/>
  <c r="C53" i="17"/>
  <c r="F52" i="17"/>
  <c r="D52" i="17"/>
  <c r="C52" i="17"/>
  <c r="F51" i="17"/>
  <c r="D51" i="17"/>
  <c r="C51" i="17"/>
  <c r="F50" i="17"/>
  <c r="D50" i="17"/>
  <c r="C50" i="17"/>
  <c r="F49" i="17"/>
  <c r="D49" i="17"/>
  <c r="C49" i="17"/>
  <c r="F48" i="17"/>
  <c r="D48" i="17"/>
  <c r="C48" i="17"/>
  <c r="F47" i="17"/>
  <c r="D47" i="17"/>
  <c r="C47" i="17"/>
  <c r="F46" i="17"/>
  <c r="D46" i="17"/>
  <c r="C46" i="17"/>
  <c r="F45" i="17"/>
  <c r="D45" i="17"/>
  <c r="C45" i="17"/>
  <c r="F44" i="17"/>
  <c r="D44" i="17"/>
  <c r="C44" i="17"/>
  <c r="F43" i="17"/>
  <c r="D43" i="17"/>
  <c r="C43" i="17"/>
  <c r="F42" i="17"/>
  <c r="D42" i="17"/>
  <c r="C42" i="17"/>
  <c r="F41" i="17"/>
  <c r="D41" i="17"/>
  <c r="C41" i="17"/>
  <c r="F40" i="17"/>
  <c r="D40" i="17"/>
  <c r="C40" i="17"/>
  <c r="F39" i="17"/>
  <c r="D39" i="17"/>
  <c r="C39" i="17"/>
  <c r="F38" i="17"/>
  <c r="D38" i="17"/>
  <c r="C38" i="17"/>
  <c r="F37" i="17"/>
  <c r="D37" i="17"/>
  <c r="C37" i="17"/>
  <c r="F36" i="17"/>
  <c r="D36" i="17"/>
  <c r="C36" i="17"/>
  <c r="F35" i="17"/>
  <c r="D35" i="17"/>
  <c r="C35" i="17"/>
  <c r="F34" i="17"/>
  <c r="D34" i="17"/>
  <c r="C34" i="17"/>
  <c r="F33" i="17"/>
  <c r="D33" i="17"/>
  <c r="C33" i="17"/>
  <c r="F32" i="17"/>
  <c r="D32" i="17"/>
  <c r="C32" i="17"/>
  <c r="D31" i="17"/>
  <c r="C31" i="17"/>
  <c r="F30" i="17"/>
  <c r="D30" i="17"/>
  <c r="C30" i="17"/>
  <c r="F29" i="17"/>
  <c r="D29" i="17"/>
  <c r="C29" i="17"/>
  <c r="F28" i="17"/>
  <c r="D28" i="17"/>
  <c r="C28" i="17"/>
  <c r="F27" i="17"/>
  <c r="D27" i="17"/>
  <c r="C27" i="17"/>
  <c r="F26" i="17"/>
  <c r="D26" i="17"/>
  <c r="C26" i="17"/>
  <c r="F25" i="17"/>
  <c r="D25" i="17"/>
  <c r="C25" i="17"/>
  <c r="D24" i="17"/>
  <c r="C24" i="17"/>
  <c r="D23" i="17"/>
  <c r="C23" i="17"/>
  <c r="F22" i="17"/>
  <c r="D22" i="17"/>
  <c r="C22" i="17"/>
  <c r="D21" i="17"/>
  <c r="C21" i="17"/>
  <c r="D20" i="17"/>
  <c r="C20" i="17"/>
  <c r="D19" i="17"/>
  <c r="C19" i="17"/>
  <c r="F18" i="17"/>
  <c r="D18" i="17"/>
  <c r="C18" i="17"/>
  <c r="D17" i="17"/>
  <c r="C17" i="17"/>
  <c r="D16" i="17"/>
  <c r="C16" i="17"/>
  <c r="F15" i="17"/>
  <c r="D15" i="17"/>
  <c r="C15" i="17"/>
  <c r="F13" i="17"/>
  <c r="E13" i="17"/>
  <c r="D13" i="17"/>
  <c r="C13" i="17"/>
  <c r="B11" i="17"/>
  <c r="P11" i="17" s="1"/>
  <c r="R12" i="1"/>
  <c r="S14" i="1"/>
  <c r="S20" i="1"/>
  <c r="S26" i="1"/>
  <c r="S32" i="1"/>
  <c r="S38" i="1"/>
  <c r="S44" i="1"/>
  <c r="S50" i="1"/>
  <c r="S56" i="1"/>
  <c r="N4" i="1"/>
  <c r="C6" i="1"/>
  <c r="C4" i="1"/>
  <c r="AC62" i="1"/>
  <c r="W64" i="1"/>
  <c r="W63" i="1"/>
  <c r="W62" i="1"/>
  <c r="T64" i="1"/>
  <c r="T63" i="1"/>
  <c r="T62" i="1"/>
  <c r="Y116" i="1"/>
  <c r="Y115" i="1"/>
  <c r="Y114" i="1"/>
  <c r="Y108" i="1"/>
  <c r="Y107" i="1"/>
  <c r="Y106" i="1"/>
  <c r="Y100" i="1"/>
  <c r="Y99" i="1"/>
  <c r="Y98" i="1"/>
  <c r="Y95" i="1"/>
  <c r="Y94" i="1"/>
  <c r="Y93" i="1"/>
  <c r="Y87" i="1"/>
  <c r="Y86" i="1"/>
  <c r="Y85" i="1"/>
  <c r="Y82" i="1"/>
  <c r="Y81" i="1"/>
  <c r="Y80" i="1"/>
  <c r="Y77" i="1"/>
  <c r="Y76" i="1"/>
  <c r="Y75" i="1"/>
  <c r="Y72" i="1"/>
  <c r="Y71" i="1"/>
  <c r="Y70" i="1"/>
  <c r="H114" i="1"/>
  <c r="H113" i="1"/>
  <c r="H112" i="1"/>
  <c r="H108" i="1"/>
  <c r="H107" i="1"/>
  <c r="H106" i="1"/>
  <c r="H102" i="1"/>
  <c r="H101" i="1"/>
  <c r="H100" i="1"/>
  <c r="H96" i="1"/>
  <c r="H95" i="1"/>
  <c r="H94" i="1"/>
  <c r="H90" i="1"/>
  <c r="H89" i="1"/>
  <c r="H88" i="1"/>
  <c r="H84" i="1"/>
  <c r="H83" i="1"/>
  <c r="H82" i="1"/>
  <c r="H78" i="1"/>
  <c r="H77" i="1"/>
  <c r="H76" i="1"/>
  <c r="H72" i="1"/>
  <c r="H71" i="1"/>
  <c r="H70" i="1"/>
  <c r="C12" i="1"/>
  <c r="BF50" i="2"/>
  <c r="BF49" i="2"/>
  <c r="BF48" i="2"/>
  <c r="BF47" i="2"/>
  <c r="BF46" i="2"/>
  <c r="BF45" i="2"/>
  <c r="BF44" i="2"/>
  <c r="BF43" i="2"/>
  <c r="BF42" i="2"/>
  <c r="BF41" i="2"/>
  <c r="BF40" i="2"/>
  <c r="BF39" i="2"/>
  <c r="BF38" i="2"/>
  <c r="BF37" i="2"/>
  <c r="BF36" i="2"/>
  <c r="BF35" i="2"/>
  <c r="BF34" i="2"/>
  <c r="BF33" i="2"/>
  <c r="BF32" i="2"/>
  <c r="BF31" i="2"/>
  <c r="BF30" i="2"/>
  <c r="BF29" i="2"/>
  <c r="BF28" i="2"/>
  <c r="BF27" i="2"/>
  <c r="BF26" i="2"/>
  <c r="BF25" i="2"/>
  <c r="BF24" i="2"/>
  <c r="BF23" i="2"/>
  <c r="BF22" i="2"/>
  <c r="BF21" i="2"/>
  <c r="BF20" i="2"/>
  <c r="BF19" i="2"/>
  <c r="BF18" i="2"/>
  <c r="BF17" i="2"/>
  <c r="BF16" i="2"/>
  <c r="BF15" i="2"/>
  <c r="BF14" i="2"/>
  <c r="BF13" i="2"/>
  <c r="BF12" i="2"/>
  <c r="BF11" i="2"/>
  <c r="BF10" i="2"/>
  <c r="BF9" i="2"/>
  <c r="BF8" i="2"/>
  <c r="BF7" i="2"/>
  <c r="BF6" i="2"/>
  <c r="BF5" i="2"/>
  <c r="BF4" i="2"/>
  <c r="BF3" i="2"/>
  <c r="BG17" i="2"/>
  <c r="BI50" i="2"/>
  <c r="BI49" i="2"/>
  <c r="BI48" i="2"/>
  <c r="BI47" i="2"/>
  <c r="BI46" i="2"/>
  <c r="BI45" i="2"/>
  <c r="BI44" i="2"/>
  <c r="BI43" i="2"/>
  <c r="BI42" i="2"/>
  <c r="BI41" i="2"/>
  <c r="BI40" i="2"/>
  <c r="BI39" i="2"/>
  <c r="BI38" i="2"/>
  <c r="BI37" i="2"/>
  <c r="BI36" i="2"/>
  <c r="BI35" i="2"/>
  <c r="BI34" i="2"/>
  <c r="BI33" i="2"/>
  <c r="BI32" i="2"/>
  <c r="BI31" i="2"/>
  <c r="BI30" i="2"/>
  <c r="BI29" i="2"/>
  <c r="BI28" i="2"/>
  <c r="BI27" i="2"/>
  <c r="BI26" i="2"/>
  <c r="BI25" i="2"/>
  <c r="BI24" i="2"/>
  <c r="BI23" i="2"/>
  <c r="BI22" i="2"/>
  <c r="BI21" i="2"/>
  <c r="BI20" i="2"/>
  <c r="BI19" i="2"/>
  <c r="BI18" i="2"/>
  <c r="BI17" i="2"/>
  <c r="BI16" i="2"/>
  <c r="BI15" i="2"/>
  <c r="BI14" i="2"/>
  <c r="BI13" i="2"/>
  <c r="BI12" i="2"/>
  <c r="BI11" i="2"/>
  <c r="BI10" i="2"/>
  <c r="BI9" i="2"/>
  <c r="BI8" i="2"/>
  <c r="BI7" i="2"/>
  <c r="BI6" i="2"/>
  <c r="BI5" i="2"/>
  <c r="BI4" i="2"/>
  <c r="BI3" i="2"/>
  <c r="BH34" i="2"/>
  <c r="BH50" i="2"/>
  <c r="BG3" i="2"/>
  <c r="BG4" i="2"/>
  <c r="BG5" i="2"/>
  <c r="BG6" i="2"/>
  <c r="BG7" i="2"/>
  <c r="BG8" i="2"/>
  <c r="BG9" i="2"/>
  <c r="BG10" i="2"/>
  <c r="BG11" i="2"/>
  <c r="BG12" i="2"/>
  <c r="BG13" i="2"/>
  <c r="BG14" i="2"/>
  <c r="BG15" i="2"/>
  <c r="BG16" i="2"/>
  <c r="BG18" i="2"/>
  <c r="BG19" i="2"/>
  <c r="BG20" i="2"/>
  <c r="BG21" i="2"/>
  <c r="BG22" i="2"/>
  <c r="BG23" i="2"/>
  <c r="BG24" i="2"/>
  <c r="BG25" i="2"/>
  <c r="BG26" i="2"/>
  <c r="BG27" i="2"/>
  <c r="BG28" i="2"/>
  <c r="BG29" i="2"/>
  <c r="BG30" i="2"/>
  <c r="BG31" i="2"/>
  <c r="BG32" i="2"/>
  <c r="BG33" i="2"/>
  <c r="BG34" i="2"/>
  <c r="BG35" i="2"/>
  <c r="BG36" i="2"/>
  <c r="BG37" i="2"/>
  <c r="BG38" i="2"/>
  <c r="BG39" i="2"/>
  <c r="BG40" i="2"/>
  <c r="BG41" i="2"/>
  <c r="BG42" i="2"/>
  <c r="BG43" i="2"/>
  <c r="BG44" i="2"/>
  <c r="BG45" i="2"/>
  <c r="BG46" i="2"/>
  <c r="BG47" i="2"/>
  <c r="BG48" i="2"/>
  <c r="BG49" i="2"/>
  <c r="BG50" i="2"/>
  <c r="BH3" i="2"/>
  <c r="BH4" i="2"/>
  <c r="BH5" i="2"/>
  <c r="BH6" i="2"/>
  <c r="BH7" i="2"/>
  <c r="BH8" i="2"/>
  <c r="BH9" i="2"/>
  <c r="BH10" i="2"/>
  <c r="BH11" i="2"/>
  <c r="BH12" i="2"/>
  <c r="BH13" i="2"/>
  <c r="BH14" i="2"/>
  <c r="BH15" i="2"/>
  <c r="BH16" i="2"/>
  <c r="BH17" i="2"/>
  <c r="BH18" i="2"/>
  <c r="BH19" i="2"/>
  <c r="BH20" i="2"/>
  <c r="BH21" i="2"/>
  <c r="BH22" i="2"/>
  <c r="BH23" i="2"/>
  <c r="BH24" i="2"/>
  <c r="BH25" i="2"/>
  <c r="BH26" i="2"/>
  <c r="BH27" i="2"/>
  <c r="BH28" i="2"/>
  <c r="BH29" i="2"/>
  <c r="BH30" i="2"/>
  <c r="BH31" i="2"/>
  <c r="BH32" i="2"/>
  <c r="BH33" i="2"/>
  <c r="BH35" i="2"/>
  <c r="BH36" i="2"/>
  <c r="BH37" i="2"/>
  <c r="BH38" i="2"/>
  <c r="BH39" i="2"/>
  <c r="BH40" i="2"/>
  <c r="BH41" i="2"/>
  <c r="BH42" i="2"/>
  <c r="BH43" i="2"/>
  <c r="BH44" i="2"/>
  <c r="BH45" i="2"/>
  <c r="BH46" i="2"/>
  <c r="BH47" i="2"/>
  <c r="BH48" i="2"/>
  <c r="BH49" i="2"/>
  <c r="AR51" i="2"/>
  <c r="AR50" i="2"/>
  <c r="AR49" i="2"/>
  <c r="AR48" i="2"/>
  <c r="AR47" i="2"/>
  <c r="AR46" i="2"/>
  <c r="AR45" i="2"/>
  <c r="AR44" i="2"/>
  <c r="AR43" i="2"/>
  <c r="AR42" i="2"/>
  <c r="AR41" i="2"/>
  <c r="AR40" i="2"/>
  <c r="AR39" i="2"/>
  <c r="AR38" i="2"/>
  <c r="AR37" i="2"/>
  <c r="AR36" i="2"/>
  <c r="AR35" i="2"/>
  <c r="AR34" i="2"/>
  <c r="AR33" i="2"/>
  <c r="AR32" i="2"/>
  <c r="AR31" i="2"/>
  <c r="AR30" i="2"/>
  <c r="AR29" i="2"/>
  <c r="AR28" i="2"/>
  <c r="AR27" i="2"/>
  <c r="AR26" i="2"/>
  <c r="AR25" i="2"/>
  <c r="AR24" i="2"/>
  <c r="AR23" i="2"/>
  <c r="AR22" i="2"/>
  <c r="AR21" i="2"/>
  <c r="AR20" i="2"/>
  <c r="AR19" i="2"/>
  <c r="AR18" i="2"/>
  <c r="AR17" i="2"/>
  <c r="AR16" i="2"/>
  <c r="AR15" i="2"/>
  <c r="AR14" i="2"/>
  <c r="AR13" i="2"/>
  <c r="AR12" i="2"/>
  <c r="AR11" i="2"/>
  <c r="AR10" i="2"/>
  <c r="AR9" i="2"/>
  <c r="AR8" i="2"/>
  <c r="AR7" i="2"/>
  <c r="AR6" i="2"/>
  <c r="AR5" i="2"/>
  <c r="AR4" i="2"/>
  <c r="AV51" i="2"/>
  <c r="AV50" i="2"/>
  <c r="AV49" i="2"/>
  <c r="AV48" i="2"/>
  <c r="AV47" i="2"/>
  <c r="AV46" i="2"/>
  <c r="AV45" i="2"/>
  <c r="AV44" i="2"/>
  <c r="AV43" i="2"/>
  <c r="AV42" i="2"/>
  <c r="AV41" i="2"/>
  <c r="AV40" i="2"/>
  <c r="AV39" i="2"/>
  <c r="AV38" i="2"/>
  <c r="AV37" i="2"/>
  <c r="AV36" i="2"/>
  <c r="AV35" i="2"/>
  <c r="AV34" i="2"/>
  <c r="AV33" i="2"/>
  <c r="AV32" i="2"/>
  <c r="AV31" i="2"/>
  <c r="AV30" i="2"/>
  <c r="AV29" i="2"/>
  <c r="AV28" i="2"/>
  <c r="AV27" i="2"/>
  <c r="AV26" i="2"/>
  <c r="AV25" i="2"/>
  <c r="AV24" i="2"/>
  <c r="AV23" i="2"/>
  <c r="AV22" i="2"/>
  <c r="AV21" i="2"/>
  <c r="AV20" i="2"/>
  <c r="AV19" i="2"/>
  <c r="AV18" i="2"/>
  <c r="AV17" i="2"/>
  <c r="AV16" i="2"/>
  <c r="AV15" i="2"/>
  <c r="AV14" i="2"/>
  <c r="AV13" i="2"/>
  <c r="AV12" i="2"/>
  <c r="AV11" i="2"/>
  <c r="AV10" i="2"/>
  <c r="AV9" i="2"/>
  <c r="AV8" i="2"/>
  <c r="AV7" i="2"/>
  <c r="AV6" i="2"/>
  <c r="AV5" i="2"/>
  <c r="AV4" i="2"/>
  <c r="AW51" i="2"/>
  <c r="AS51" i="2"/>
  <c r="AW50" i="2"/>
  <c r="AS50" i="2"/>
  <c r="AW49" i="2"/>
  <c r="AS49" i="2"/>
  <c r="AW48" i="2"/>
  <c r="AS48" i="2"/>
  <c r="AW47" i="2"/>
  <c r="AS47" i="2"/>
  <c r="AW46" i="2"/>
  <c r="AS46" i="2"/>
  <c r="AW45" i="2"/>
  <c r="AS45" i="2"/>
  <c r="AW44" i="2"/>
  <c r="AS44" i="2"/>
  <c r="AW43" i="2"/>
  <c r="AS43" i="2"/>
  <c r="AW42" i="2"/>
  <c r="AS42" i="2"/>
  <c r="AW41" i="2"/>
  <c r="AS41" i="2"/>
  <c r="AW40" i="2"/>
  <c r="AS40" i="2"/>
  <c r="AW39" i="2"/>
  <c r="AS39" i="2"/>
  <c r="AW38" i="2"/>
  <c r="AS38" i="2"/>
  <c r="AW37" i="2"/>
  <c r="AS37" i="2"/>
  <c r="AW36" i="2"/>
  <c r="AS36" i="2"/>
  <c r="AW35" i="2"/>
  <c r="AS35" i="2"/>
  <c r="AW34" i="2"/>
  <c r="AS34" i="2"/>
  <c r="AW33" i="2"/>
  <c r="AS33" i="2"/>
  <c r="AW32" i="2"/>
  <c r="AS32" i="2"/>
  <c r="AW31" i="2"/>
  <c r="AS31" i="2"/>
  <c r="AW30" i="2"/>
  <c r="AS30" i="2"/>
  <c r="AW29" i="2"/>
  <c r="AS29" i="2"/>
  <c r="AW28" i="2"/>
  <c r="AS28" i="2"/>
  <c r="AW10" i="2"/>
  <c r="AS27" i="2"/>
  <c r="AW19" i="2"/>
  <c r="AS10" i="2"/>
  <c r="AS19" i="2"/>
  <c r="AS11" i="2"/>
  <c r="AS26" i="2"/>
  <c r="AW11" i="2"/>
  <c r="AW26" i="2"/>
  <c r="AW18" i="2"/>
  <c r="AS18" i="2"/>
  <c r="AW27" i="2"/>
  <c r="AW8" i="2"/>
  <c r="AS25" i="2"/>
  <c r="AW17" i="2"/>
  <c r="AS8" i="2"/>
  <c r="AS17" i="2"/>
  <c r="AW25" i="2"/>
  <c r="AW16" i="2"/>
  <c r="AW24" i="2"/>
  <c r="AS16" i="2"/>
  <c r="AS24" i="2"/>
  <c r="AW9" i="2"/>
  <c r="AS9" i="2"/>
  <c r="AS6" i="2"/>
  <c r="AS15" i="2"/>
  <c r="AS23" i="2"/>
  <c r="AW23" i="2"/>
  <c r="AW15" i="2"/>
  <c r="AW6" i="2"/>
  <c r="AW7" i="2"/>
  <c r="AS22" i="2"/>
  <c r="AS7" i="2"/>
  <c r="AW22" i="2"/>
  <c r="AW14" i="2"/>
  <c r="AS14" i="2"/>
  <c r="AS4" i="2"/>
  <c r="AS13" i="2"/>
  <c r="AS20" i="2"/>
  <c r="AW20" i="2"/>
  <c r="AW13" i="2"/>
  <c r="AW4" i="2"/>
  <c r="AW5" i="2"/>
  <c r="AS21" i="2"/>
  <c r="AS5" i="2"/>
  <c r="AW12" i="2"/>
  <c r="AS12" i="2"/>
  <c r="AW21" i="2"/>
  <c r="F13" i="211" l="1"/>
  <c r="F13" i="212"/>
  <c r="F13" i="208"/>
  <c r="F13" i="209"/>
  <c r="F13" i="210"/>
  <c r="F13" i="207"/>
  <c r="F13" i="206"/>
  <c r="F13" i="205"/>
  <c r="F13" i="204"/>
  <c r="F13" i="203"/>
  <c r="F13" i="200"/>
  <c r="F13" i="201"/>
  <c r="F13" i="202"/>
  <c r="F13" i="199"/>
  <c r="M13" i="212"/>
  <c r="V13" i="212" s="1"/>
  <c r="M13" i="211"/>
  <c r="V13" i="211" s="1"/>
  <c r="M13" i="210"/>
  <c r="V13" i="210" s="1"/>
  <c r="M13" i="208"/>
  <c r="V13" i="208" s="1"/>
  <c r="M13" i="209"/>
  <c r="V13" i="209" s="1"/>
  <c r="M13" i="207"/>
  <c r="V13" i="207" s="1"/>
  <c r="M13" i="206"/>
  <c r="V13" i="206" s="1"/>
  <c r="M13" i="205"/>
  <c r="V13" i="205" s="1"/>
  <c r="M13" i="204"/>
  <c r="V13" i="204" s="1"/>
  <c r="M13" i="202"/>
  <c r="V13" i="202" s="1"/>
  <c r="M13" i="203"/>
  <c r="V13" i="203" s="1"/>
  <c r="M13" i="201"/>
  <c r="V13" i="201" s="1"/>
  <c r="M13" i="200"/>
  <c r="V13" i="200" s="1"/>
  <c r="M13" i="199"/>
  <c r="V13" i="199" s="1"/>
  <c r="E13" i="212"/>
  <c r="E13" i="211"/>
  <c r="E13" i="210"/>
  <c r="E13" i="208"/>
  <c r="E13" i="209"/>
  <c r="E13" i="207"/>
  <c r="E13" i="206"/>
  <c r="E13" i="205"/>
  <c r="E13" i="204"/>
  <c r="E13" i="202"/>
  <c r="E13" i="200"/>
  <c r="E13" i="203"/>
  <c r="E13" i="201"/>
  <c r="E13" i="199"/>
  <c r="I13" i="212"/>
  <c r="R13" i="212" s="1"/>
  <c r="I13" i="211"/>
  <c r="R13" i="211" s="1"/>
  <c r="I13" i="210"/>
  <c r="R13" i="210" s="1"/>
  <c r="I13" i="208"/>
  <c r="R13" i="208" s="1"/>
  <c r="I13" i="209"/>
  <c r="R13" i="209" s="1"/>
  <c r="I13" i="205"/>
  <c r="R13" i="205" s="1"/>
  <c r="I13" i="207"/>
  <c r="R13" i="207" s="1"/>
  <c r="I13" i="206"/>
  <c r="R13" i="206" s="1"/>
  <c r="I13" i="204"/>
  <c r="R13" i="204" s="1"/>
  <c r="I13" i="201"/>
  <c r="R13" i="201" s="1"/>
  <c r="I13" i="202"/>
  <c r="R13" i="202" s="1"/>
  <c r="I13" i="203"/>
  <c r="R13" i="203" s="1"/>
  <c r="I13" i="200"/>
  <c r="R13" i="200" s="1"/>
  <c r="I13" i="199"/>
  <c r="R13" i="199" s="1"/>
  <c r="D13" i="212"/>
  <c r="D13" i="211"/>
  <c r="D13" i="210"/>
  <c r="D13" i="208"/>
  <c r="D13" i="209"/>
  <c r="D13" i="205"/>
  <c r="D13" i="207"/>
  <c r="D13" i="206"/>
  <c r="D13" i="201"/>
  <c r="D13" i="202"/>
  <c r="D13" i="204"/>
  <c r="D13" i="203"/>
  <c r="D13" i="200"/>
  <c r="D13" i="199"/>
  <c r="G13" i="211"/>
  <c r="P13" i="211" s="1"/>
  <c r="G13" i="212"/>
  <c r="P13" i="212" s="1"/>
  <c r="G13" i="210"/>
  <c r="P13" i="210" s="1"/>
  <c r="G13" i="209"/>
  <c r="P13" i="209" s="1"/>
  <c r="G13" i="208"/>
  <c r="P13" i="208" s="1"/>
  <c r="G13" i="206"/>
  <c r="P13" i="206" s="1"/>
  <c r="G13" i="205"/>
  <c r="P13" i="205" s="1"/>
  <c r="G13" i="204"/>
  <c r="P13" i="204" s="1"/>
  <c r="G13" i="207"/>
  <c r="P13" i="207" s="1"/>
  <c r="G13" i="203"/>
  <c r="P13" i="203" s="1"/>
  <c r="G13" i="201"/>
  <c r="P13" i="201" s="1"/>
  <c r="G13" i="202"/>
  <c r="P13" i="202" s="1"/>
  <c r="G13" i="200"/>
  <c r="P13" i="200" s="1"/>
  <c r="G13" i="199"/>
  <c r="P13" i="199" s="1"/>
  <c r="C13" i="211"/>
  <c r="C13" i="210"/>
  <c r="C13" i="212"/>
  <c r="C13" i="209"/>
  <c r="C13" i="208"/>
  <c r="C13" i="206"/>
  <c r="C13" i="205"/>
  <c r="C13" i="204"/>
  <c r="C13" i="207"/>
  <c r="C13" i="203"/>
  <c r="C13" i="200"/>
  <c r="C13" i="201"/>
  <c r="C13" i="202"/>
  <c r="C13" i="199"/>
  <c r="B11" i="212"/>
  <c r="P11" i="212" s="1"/>
  <c r="B11" i="211"/>
  <c r="P11" i="211" s="1"/>
  <c r="B11" i="210"/>
  <c r="P11" i="210" s="1"/>
  <c r="B11" i="208"/>
  <c r="P11" i="208" s="1"/>
  <c r="B11" i="209"/>
  <c r="P11" i="209" s="1"/>
  <c r="B11" i="207"/>
  <c r="P11" i="207" s="1"/>
  <c r="B11" i="206"/>
  <c r="P11" i="206" s="1"/>
  <c r="B11" i="205"/>
  <c r="P11" i="205" s="1"/>
  <c r="B11" i="202"/>
  <c r="P11" i="202" s="1"/>
  <c r="B11" i="203"/>
  <c r="P11" i="203" s="1"/>
  <c r="B11" i="200"/>
  <c r="P11" i="200" s="1"/>
  <c r="B11" i="204"/>
  <c r="P11" i="204" s="1"/>
  <c r="B11" i="201"/>
  <c r="P11" i="201" s="1"/>
  <c r="B11" i="199"/>
  <c r="P11" i="199" s="1"/>
  <c r="F81" i="212"/>
  <c r="F81" i="211"/>
  <c r="F81" i="210"/>
  <c r="F81" i="209"/>
  <c r="F81" i="208"/>
  <c r="F81" i="207"/>
  <c r="F81" i="204"/>
  <c r="F81" i="206"/>
  <c r="F81" i="205"/>
  <c r="F81" i="203"/>
  <c r="F81" i="201"/>
  <c r="F81" i="200"/>
  <c r="F81" i="202"/>
  <c r="F81" i="199"/>
  <c r="F79" i="212"/>
  <c r="F79" i="211"/>
  <c r="F79" i="210"/>
  <c r="F79" i="209"/>
  <c r="F79" i="208"/>
  <c r="F79" i="207"/>
  <c r="F79" i="206"/>
  <c r="F79" i="204"/>
  <c r="F79" i="203"/>
  <c r="F79" i="205"/>
  <c r="F79" i="202"/>
  <c r="F79" i="201"/>
  <c r="F79" i="200"/>
  <c r="F79" i="199"/>
  <c r="F76" i="212"/>
  <c r="F76" i="211"/>
  <c r="F76" i="210"/>
  <c r="F76" i="209"/>
  <c r="F76" i="207"/>
  <c r="F76" i="206"/>
  <c r="F76" i="208"/>
  <c r="F76" i="205"/>
  <c r="F76" i="203"/>
  <c r="F76" i="202"/>
  <c r="F76" i="201"/>
  <c r="F76" i="204"/>
  <c r="F76" i="200"/>
  <c r="F76" i="199"/>
  <c r="F73" i="212"/>
  <c r="F73" i="211"/>
  <c r="F73" i="210"/>
  <c r="F73" i="208"/>
  <c r="F73" i="209"/>
  <c r="F73" i="207"/>
  <c r="F73" i="206"/>
  <c r="F73" i="202"/>
  <c r="F73" i="204"/>
  <c r="F73" i="205"/>
  <c r="F73" i="203"/>
  <c r="F73" i="201"/>
  <c r="F73" i="200"/>
  <c r="F73" i="199"/>
  <c r="E69" i="212"/>
  <c r="E69" i="211"/>
  <c r="E69" i="210"/>
  <c r="E69" i="209"/>
  <c r="E69" i="207"/>
  <c r="E69" i="206"/>
  <c r="E69" i="208"/>
  <c r="E69" i="205"/>
  <c r="E69" i="203"/>
  <c r="E69" i="202"/>
  <c r="E69" i="204"/>
  <c r="E69" i="201"/>
  <c r="E69" i="200"/>
  <c r="E69" i="199"/>
  <c r="F62" i="212"/>
  <c r="F62" i="211"/>
  <c r="F62" i="210"/>
  <c r="F62" i="209"/>
  <c r="F62" i="206"/>
  <c r="F62" i="208"/>
  <c r="F62" i="207"/>
  <c r="F62" i="205"/>
  <c r="F62" i="204"/>
  <c r="F62" i="203"/>
  <c r="F62" i="201"/>
  <c r="F62" i="200"/>
  <c r="F62" i="202"/>
  <c r="F62" i="199"/>
  <c r="F56" i="212"/>
  <c r="F56" i="211"/>
  <c r="F56" i="210"/>
  <c r="F56" i="209"/>
  <c r="F56" i="208"/>
  <c r="F56" i="206"/>
  <c r="F56" i="207"/>
  <c r="F56" i="205"/>
  <c r="F56" i="204"/>
  <c r="F56" i="203"/>
  <c r="F56" i="202"/>
  <c r="F56" i="200"/>
  <c r="F56" i="201"/>
  <c r="F56" i="199"/>
  <c r="F52" i="212"/>
  <c r="F52" i="210"/>
  <c r="F52" i="211"/>
  <c r="F52" i="209"/>
  <c r="F52" i="207"/>
  <c r="F52" i="208"/>
  <c r="F52" i="206"/>
  <c r="F52" i="204"/>
  <c r="F52" i="203"/>
  <c r="F52" i="205"/>
  <c r="F52" i="202"/>
  <c r="F52" i="201"/>
  <c r="F52" i="200"/>
  <c r="F52" i="199"/>
  <c r="F49" i="211"/>
  <c r="F49" i="212"/>
  <c r="F49" i="210"/>
  <c r="F49" i="209"/>
  <c r="F49" i="208"/>
  <c r="F49" i="206"/>
  <c r="F49" i="207"/>
  <c r="F49" i="202"/>
  <c r="F49" i="205"/>
  <c r="F49" i="204"/>
  <c r="F49" i="203"/>
  <c r="F49" i="201"/>
  <c r="F49" i="200"/>
  <c r="F49" i="199"/>
  <c r="F47" i="211"/>
  <c r="F47" i="212"/>
  <c r="F47" i="210"/>
  <c r="F47" i="209"/>
  <c r="F47" i="208"/>
  <c r="F47" i="207"/>
  <c r="F47" i="206"/>
  <c r="F47" i="205"/>
  <c r="F47" i="204"/>
  <c r="F47" i="203"/>
  <c r="F47" i="200"/>
  <c r="F47" i="202"/>
  <c r="F47" i="201"/>
  <c r="F47" i="199"/>
  <c r="F46" i="1"/>
  <c r="F45" i="212"/>
  <c r="F45" i="211"/>
  <c r="F45" i="209"/>
  <c r="F45" i="210"/>
  <c r="F45" i="207"/>
  <c r="F45" i="208"/>
  <c r="F45" i="206"/>
  <c r="F45" i="205"/>
  <c r="F45" i="204"/>
  <c r="F45" i="203"/>
  <c r="F45" i="202"/>
  <c r="F45" i="201"/>
  <c r="F45" i="200"/>
  <c r="F45" i="199"/>
  <c r="F43" i="212"/>
  <c r="F43" i="211"/>
  <c r="F43" i="210"/>
  <c r="F43" i="209"/>
  <c r="F43" i="208"/>
  <c r="F43" i="207"/>
  <c r="F43" i="206"/>
  <c r="F43" i="203"/>
  <c r="F43" i="205"/>
  <c r="F43" i="204"/>
  <c r="F43" i="202"/>
  <c r="F43" i="200"/>
  <c r="F43" i="201"/>
  <c r="F43" i="199"/>
  <c r="F41" i="211"/>
  <c r="F41" i="212"/>
  <c r="F41" i="208"/>
  <c r="F41" i="210"/>
  <c r="F41" i="209"/>
  <c r="F41" i="206"/>
  <c r="F41" i="207"/>
  <c r="F41" i="205"/>
  <c r="F41" i="204"/>
  <c r="F41" i="203"/>
  <c r="F41" i="202"/>
  <c r="F41" i="200"/>
  <c r="F41" i="201"/>
  <c r="F41" i="199"/>
  <c r="F39" i="211"/>
  <c r="F39" i="212"/>
  <c r="F39" i="210"/>
  <c r="F39" i="209"/>
  <c r="F39" i="208"/>
  <c r="F39" i="207"/>
  <c r="F39" i="206"/>
  <c r="F39" i="205"/>
  <c r="F39" i="204"/>
  <c r="F39" i="202"/>
  <c r="F39" i="203"/>
  <c r="F39" i="200"/>
  <c r="F39" i="201"/>
  <c r="F39" i="199"/>
  <c r="F37" i="212"/>
  <c r="F37" i="211"/>
  <c r="F37" i="210"/>
  <c r="F37" i="208"/>
  <c r="F37" i="207"/>
  <c r="F37" i="205"/>
  <c r="F37" i="209"/>
  <c r="F37" i="206"/>
  <c r="F37" i="204"/>
  <c r="F37" i="202"/>
  <c r="F37" i="203"/>
  <c r="F37" i="201"/>
  <c r="F37" i="200"/>
  <c r="F37" i="199"/>
  <c r="F35" i="212"/>
  <c r="F35" i="211"/>
  <c r="F35" i="210"/>
  <c r="F35" i="209"/>
  <c r="F35" i="205"/>
  <c r="F35" i="208"/>
  <c r="F35" i="207"/>
  <c r="F35" i="206"/>
  <c r="F35" i="204"/>
  <c r="F35" i="203"/>
  <c r="F35" i="202"/>
  <c r="F35" i="200"/>
  <c r="F35" i="201"/>
  <c r="F35" i="199"/>
  <c r="F30" i="212"/>
  <c r="F30" i="211"/>
  <c r="F30" i="210"/>
  <c r="F30" i="209"/>
  <c r="F30" i="206"/>
  <c r="F30" i="207"/>
  <c r="F30" i="205"/>
  <c r="F30" i="208"/>
  <c r="F30" i="204"/>
  <c r="F30" i="202"/>
  <c r="F30" i="203"/>
  <c r="F30" i="201"/>
  <c r="F30" i="200"/>
  <c r="F30" i="199"/>
  <c r="F26" i="211"/>
  <c r="F26" i="212"/>
  <c r="F26" i="210"/>
  <c r="F26" i="207"/>
  <c r="F26" i="208"/>
  <c r="F26" i="209"/>
  <c r="F26" i="204"/>
  <c r="F26" i="205"/>
  <c r="F26" i="206"/>
  <c r="F26" i="203"/>
  <c r="F26" i="201"/>
  <c r="F26" i="202"/>
  <c r="F26" i="200"/>
  <c r="F26" i="199"/>
  <c r="F18" i="212"/>
  <c r="F18" i="211"/>
  <c r="F18" i="210"/>
  <c r="F18" i="207"/>
  <c r="F18" i="209"/>
  <c r="F18" i="208"/>
  <c r="F18" i="206"/>
  <c r="F18" i="205"/>
  <c r="F18" i="204"/>
  <c r="F18" i="203"/>
  <c r="F18" i="200"/>
  <c r="F18" i="201"/>
  <c r="F18" i="202"/>
  <c r="F18" i="199"/>
  <c r="F15" i="212"/>
  <c r="F15" i="211"/>
  <c r="F15" i="210"/>
  <c r="F15" i="209"/>
  <c r="F15" i="208"/>
  <c r="F15" i="205"/>
  <c r="F15" i="207"/>
  <c r="F15" i="203"/>
  <c r="F15" i="206"/>
  <c r="F15" i="204"/>
  <c r="F15" i="202"/>
  <c r="F15" i="200"/>
  <c r="F15" i="201"/>
  <c r="F15" i="199"/>
  <c r="F78" i="212"/>
  <c r="F78" i="211"/>
  <c r="F78" i="209"/>
  <c r="F78" i="210"/>
  <c r="F78" i="207"/>
  <c r="F78" i="208"/>
  <c r="F78" i="206"/>
  <c r="F78" i="205"/>
  <c r="F78" i="203"/>
  <c r="F78" i="202"/>
  <c r="F78" i="201"/>
  <c r="F78" i="204"/>
  <c r="F78" i="200"/>
  <c r="F78" i="199"/>
  <c r="F75" i="212"/>
  <c r="F75" i="211"/>
  <c r="F75" i="209"/>
  <c r="F75" i="210"/>
  <c r="F75" i="208"/>
  <c r="F75" i="206"/>
  <c r="F75" i="205"/>
  <c r="F75" i="207"/>
  <c r="F75" i="204"/>
  <c r="F75" i="203"/>
  <c r="F75" i="202"/>
  <c r="F75" i="201"/>
  <c r="F75" i="200"/>
  <c r="F75" i="199"/>
  <c r="F72" i="212"/>
  <c r="F72" i="211"/>
  <c r="F72" i="210"/>
  <c r="F72" i="209"/>
  <c r="F72" i="208"/>
  <c r="F72" i="207"/>
  <c r="F72" i="206"/>
  <c r="F72" i="205"/>
  <c r="F72" i="204"/>
  <c r="F72" i="203"/>
  <c r="F72" i="200"/>
  <c r="F72" i="202"/>
  <c r="F72" i="201"/>
  <c r="F72" i="199"/>
  <c r="F68" i="212"/>
  <c r="F68" i="211"/>
  <c r="F68" i="210"/>
  <c r="F68" i="209"/>
  <c r="F68" i="208"/>
  <c r="F68" i="207"/>
  <c r="F68" i="206"/>
  <c r="F68" i="205"/>
  <c r="F68" i="204"/>
  <c r="F68" i="203"/>
  <c r="F68" i="202"/>
  <c r="F68" i="201"/>
  <c r="F68" i="200"/>
  <c r="F68" i="199"/>
  <c r="F66" i="212"/>
  <c r="F66" i="211"/>
  <c r="F66" i="210"/>
  <c r="F66" i="209"/>
  <c r="F66" i="206"/>
  <c r="F66" i="205"/>
  <c r="F66" i="208"/>
  <c r="F66" i="207"/>
  <c r="F66" i="204"/>
  <c r="F66" i="203"/>
  <c r="F66" i="202"/>
  <c r="F66" i="201"/>
  <c r="F66" i="200"/>
  <c r="F66" i="199"/>
  <c r="F60" i="212"/>
  <c r="F60" i="211"/>
  <c r="F60" i="210"/>
  <c r="F60" i="209"/>
  <c r="F60" i="208"/>
  <c r="F60" i="207"/>
  <c r="F60" i="205"/>
  <c r="F60" i="206"/>
  <c r="F60" i="204"/>
  <c r="F60" i="203"/>
  <c r="F60" i="202"/>
  <c r="F60" i="201"/>
  <c r="F60" i="200"/>
  <c r="F60" i="199"/>
  <c r="F58" i="211"/>
  <c r="F58" i="212"/>
  <c r="F58" i="210"/>
  <c r="F58" i="209"/>
  <c r="F58" i="208"/>
  <c r="F58" i="207"/>
  <c r="F58" i="205"/>
  <c r="F58" i="206"/>
  <c r="F58" i="204"/>
  <c r="F58" i="203"/>
  <c r="F58" i="202"/>
  <c r="F58" i="200"/>
  <c r="F58" i="201"/>
  <c r="F58" i="199"/>
  <c r="F55" i="211"/>
  <c r="F55" i="212"/>
  <c r="F55" i="210"/>
  <c r="F55" i="209"/>
  <c r="F55" i="207"/>
  <c r="F55" i="206"/>
  <c r="F55" i="208"/>
  <c r="F55" i="205"/>
  <c r="F55" i="203"/>
  <c r="F55" i="204"/>
  <c r="F55" i="202"/>
  <c r="F55" i="200"/>
  <c r="F55" i="201"/>
  <c r="F55" i="199"/>
  <c r="F51" i="211"/>
  <c r="F51" i="212"/>
  <c r="F51" i="210"/>
  <c r="F51" i="209"/>
  <c r="F51" i="208"/>
  <c r="F51" i="207"/>
  <c r="F51" i="206"/>
  <c r="F51" i="204"/>
  <c r="F51" i="203"/>
  <c r="F51" i="202"/>
  <c r="F51" i="205"/>
  <c r="F51" i="201"/>
  <c r="F51" i="200"/>
  <c r="F51" i="199"/>
  <c r="F34" i="212"/>
  <c r="F34" i="211"/>
  <c r="F34" i="210"/>
  <c r="F34" i="208"/>
  <c r="F34" i="209"/>
  <c r="F34" i="206"/>
  <c r="F34" i="207"/>
  <c r="F34" i="203"/>
  <c r="F34" i="205"/>
  <c r="F34" i="204"/>
  <c r="F34" i="202"/>
  <c r="F34" i="200"/>
  <c r="F34" i="201"/>
  <c r="F34" i="199"/>
  <c r="F33" i="1"/>
  <c r="F32" i="212"/>
  <c r="F32" i="211"/>
  <c r="F32" i="210"/>
  <c r="F32" i="207"/>
  <c r="F32" i="209"/>
  <c r="F32" i="208"/>
  <c r="F32" i="205"/>
  <c r="F32" i="206"/>
  <c r="F32" i="203"/>
  <c r="F32" i="204"/>
  <c r="F32" i="202"/>
  <c r="F32" i="201"/>
  <c r="F32" i="200"/>
  <c r="F32" i="199"/>
  <c r="F29" i="212"/>
  <c r="F29" i="211"/>
  <c r="F29" i="210"/>
  <c r="F29" i="208"/>
  <c r="F29" i="209"/>
  <c r="F29" i="207"/>
  <c r="F29" i="206"/>
  <c r="F29" i="203"/>
  <c r="F29" i="204"/>
  <c r="F29" i="202"/>
  <c r="F29" i="205"/>
  <c r="F29" i="200"/>
  <c r="F29" i="201"/>
  <c r="F29" i="199"/>
  <c r="F22" i="212"/>
  <c r="F22" i="211"/>
  <c r="F22" i="210"/>
  <c r="F22" i="209"/>
  <c r="F22" i="208"/>
  <c r="F22" i="207"/>
  <c r="F22" i="206"/>
  <c r="F22" i="203"/>
  <c r="F22" i="205"/>
  <c r="F22" i="204"/>
  <c r="F22" i="202"/>
  <c r="F22" i="201"/>
  <c r="F22" i="200"/>
  <c r="F22" i="199"/>
  <c r="F60" i="17"/>
  <c r="F78" i="17"/>
  <c r="F80" i="212"/>
  <c r="F80" i="211"/>
  <c r="F80" i="210"/>
  <c r="F80" i="209"/>
  <c r="F80" i="208"/>
  <c r="F80" i="206"/>
  <c r="F80" i="207"/>
  <c r="F80" i="204"/>
  <c r="F80" i="202"/>
  <c r="F80" i="205"/>
  <c r="F80" i="203"/>
  <c r="F80" i="201"/>
  <c r="F80" i="200"/>
  <c r="F80" i="199"/>
  <c r="F74" i="212"/>
  <c r="F74" i="211"/>
  <c r="F74" i="210"/>
  <c r="F74" i="209"/>
  <c r="F74" i="208"/>
  <c r="F74" i="207"/>
  <c r="F74" i="206"/>
  <c r="F74" i="204"/>
  <c r="F74" i="203"/>
  <c r="F74" i="205"/>
  <c r="F74" i="202"/>
  <c r="F74" i="201"/>
  <c r="F74" i="200"/>
  <c r="F74" i="199"/>
  <c r="F71" i="212"/>
  <c r="F71" i="211"/>
  <c r="F71" i="210"/>
  <c r="F71" i="208"/>
  <c r="F71" i="209"/>
  <c r="F71" i="207"/>
  <c r="F71" i="206"/>
  <c r="F71" i="202"/>
  <c r="F71" i="205"/>
  <c r="F71" i="204"/>
  <c r="F71" i="203"/>
  <c r="F71" i="201"/>
  <c r="F71" i="200"/>
  <c r="F71" i="199"/>
  <c r="F67" i="212"/>
  <c r="F67" i="211"/>
  <c r="F67" i="210"/>
  <c r="F67" i="208"/>
  <c r="F67" i="209"/>
  <c r="F67" i="207"/>
  <c r="F67" i="206"/>
  <c r="F67" i="202"/>
  <c r="F67" i="205"/>
  <c r="F67" i="204"/>
  <c r="F67" i="203"/>
  <c r="F67" i="200"/>
  <c r="F67" i="201"/>
  <c r="F67" i="199"/>
  <c r="F61" i="212"/>
  <c r="F61" i="211"/>
  <c r="F61" i="210"/>
  <c r="F61" i="209"/>
  <c r="F61" i="208"/>
  <c r="F61" i="205"/>
  <c r="F61" i="207"/>
  <c r="F61" i="206"/>
  <c r="F61" i="204"/>
  <c r="F61" i="203"/>
  <c r="F61" i="201"/>
  <c r="F61" i="200"/>
  <c r="F61" i="202"/>
  <c r="F61" i="199"/>
  <c r="F57" i="211"/>
  <c r="F57" i="212"/>
  <c r="F57" i="210"/>
  <c r="F57" i="209"/>
  <c r="F57" i="208"/>
  <c r="F57" i="206"/>
  <c r="F57" i="207"/>
  <c r="F57" i="204"/>
  <c r="F57" i="202"/>
  <c r="F57" i="205"/>
  <c r="F57" i="203"/>
  <c r="F57" i="201"/>
  <c r="F57" i="200"/>
  <c r="F57" i="199"/>
  <c r="F54" i="211"/>
  <c r="F54" i="212"/>
  <c r="F54" i="209"/>
  <c r="F54" i="210"/>
  <c r="F54" i="208"/>
  <c r="F54" i="207"/>
  <c r="F54" i="206"/>
  <c r="F54" i="205"/>
  <c r="F54" i="204"/>
  <c r="F54" i="203"/>
  <c r="F54" i="202"/>
  <c r="F54" i="200"/>
  <c r="F54" i="201"/>
  <c r="F54" i="199"/>
  <c r="F50" i="211"/>
  <c r="F50" i="212"/>
  <c r="F50" i="210"/>
  <c r="F50" i="209"/>
  <c r="F50" i="206"/>
  <c r="F50" i="205"/>
  <c r="F50" i="208"/>
  <c r="F50" i="207"/>
  <c r="F50" i="202"/>
  <c r="F50" i="204"/>
  <c r="F50" i="203"/>
  <c r="F50" i="200"/>
  <c r="F50" i="201"/>
  <c r="F50" i="199"/>
  <c r="F48" i="212"/>
  <c r="F48" i="211"/>
  <c r="F48" i="210"/>
  <c r="F48" i="209"/>
  <c r="F48" i="208"/>
  <c r="F48" i="206"/>
  <c r="F48" i="207"/>
  <c r="F48" i="205"/>
  <c r="F48" i="204"/>
  <c r="F48" i="203"/>
  <c r="F48" i="200"/>
  <c r="F48" i="202"/>
  <c r="F48" i="201"/>
  <c r="F48" i="199"/>
  <c r="F46" i="211"/>
  <c r="F46" i="210"/>
  <c r="F46" i="212"/>
  <c r="F46" i="209"/>
  <c r="F46" i="208"/>
  <c r="F46" i="207"/>
  <c r="F46" i="206"/>
  <c r="F46" i="205"/>
  <c r="F46" i="204"/>
  <c r="F46" i="203"/>
  <c r="F46" i="201"/>
  <c r="F46" i="202"/>
  <c r="F46" i="200"/>
  <c r="F46" i="199"/>
  <c r="F44" i="212"/>
  <c r="F44" i="211"/>
  <c r="F44" i="210"/>
  <c r="F44" i="209"/>
  <c r="F44" i="208"/>
  <c r="F44" i="207"/>
  <c r="F44" i="206"/>
  <c r="F44" i="204"/>
  <c r="F44" i="203"/>
  <c r="F44" i="202"/>
  <c r="F44" i="205"/>
  <c r="F44" i="201"/>
  <c r="F44" i="200"/>
  <c r="F44" i="199"/>
  <c r="F42" i="212"/>
  <c r="F42" i="211"/>
  <c r="F42" i="210"/>
  <c r="F42" i="208"/>
  <c r="F42" i="209"/>
  <c r="F42" i="206"/>
  <c r="F42" i="207"/>
  <c r="F42" i="203"/>
  <c r="F42" i="205"/>
  <c r="F42" i="204"/>
  <c r="F42" i="202"/>
  <c r="F42" i="200"/>
  <c r="F42" i="201"/>
  <c r="F42" i="199"/>
  <c r="F40" i="211"/>
  <c r="F40" i="212"/>
  <c r="F40" i="210"/>
  <c r="F40" i="209"/>
  <c r="F40" i="208"/>
  <c r="F40" i="207"/>
  <c r="F40" i="206"/>
  <c r="F40" i="205"/>
  <c r="F40" i="204"/>
  <c r="F40" i="203"/>
  <c r="F40" i="202"/>
  <c r="F40" i="200"/>
  <c r="F40" i="201"/>
  <c r="F40" i="199"/>
  <c r="F38" i="210"/>
  <c r="F38" i="211"/>
  <c r="F38" i="212"/>
  <c r="F38" i="209"/>
  <c r="F38" i="208"/>
  <c r="F38" i="207"/>
  <c r="F38" i="205"/>
  <c r="F38" i="204"/>
  <c r="F38" i="203"/>
  <c r="F38" i="202"/>
  <c r="F38" i="206"/>
  <c r="F38" i="201"/>
  <c r="F38" i="200"/>
  <c r="F38" i="199"/>
  <c r="F36" i="212"/>
  <c r="F36" i="211"/>
  <c r="F36" i="210"/>
  <c r="F36" i="209"/>
  <c r="F36" i="208"/>
  <c r="F36" i="205"/>
  <c r="F36" i="207"/>
  <c r="F36" i="206"/>
  <c r="F36" i="204"/>
  <c r="F36" i="203"/>
  <c r="F36" i="201"/>
  <c r="F36" i="202"/>
  <c r="F36" i="200"/>
  <c r="F36" i="199"/>
  <c r="F28" i="211"/>
  <c r="F28" i="212"/>
  <c r="F28" i="210"/>
  <c r="F28" i="208"/>
  <c r="F28" i="209"/>
  <c r="F28" i="206"/>
  <c r="F28" i="207"/>
  <c r="F28" i="205"/>
  <c r="F28" i="204"/>
  <c r="F28" i="203"/>
  <c r="F28" i="202"/>
  <c r="F28" i="201"/>
  <c r="F28" i="200"/>
  <c r="F28" i="199"/>
  <c r="F25" i="211"/>
  <c r="F25" i="212"/>
  <c r="F25" i="209"/>
  <c r="F25" i="210"/>
  <c r="F25" i="207"/>
  <c r="F25" i="205"/>
  <c r="F25" i="208"/>
  <c r="F25" i="206"/>
  <c r="F25" i="204"/>
  <c r="F25" i="203"/>
  <c r="F25" i="202"/>
  <c r="F25" i="201"/>
  <c r="F25" i="200"/>
  <c r="F25" i="199"/>
  <c r="F77" i="212"/>
  <c r="F77" i="211"/>
  <c r="F77" i="210"/>
  <c r="F77" i="209"/>
  <c r="F77" i="206"/>
  <c r="F77" i="205"/>
  <c r="F77" i="208"/>
  <c r="F77" i="207"/>
  <c r="F77" i="204"/>
  <c r="F77" i="203"/>
  <c r="F77" i="202"/>
  <c r="F77" i="201"/>
  <c r="F77" i="200"/>
  <c r="F77" i="199"/>
  <c r="F70" i="212"/>
  <c r="F70" i="211"/>
  <c r="F70" i="210"/>
  <c r="F69" i="212"/>
  <c r="F69" i="211"/>
  <c r="F69" i="210"/>
  <c r="F70" i="209"/>
  <c r="F69" i="208"/>
  <c r="F69" i="209"/>
  <c r="F70" i="208"/>
  <c r="F69" i="207"/>
  <c r="F69" i="206"/>
  <c r="F70" i="207"/>
  <c r="F70" i="206"/>
  <c r="F70" i="204"/>
  <c r="F69" i="202"/>
  <c r="F70" i="203"/>
  <c r="F70" i="205"/>
  <c r="F69" i="204"/>
  <c r="F69" i="205"/>
  <c r="F69" i="203"/>
  <c r="F70" i="201"/>
  <c r="F70" i="200"/>
  <c r="F70" i="202"/>
  <c r="F69" i="201"/>
  <c r="F69" i="200"/>
  <c r="F69" i="199"/>
  <c r="F70" i="199"/>
  <c r="F59" i="211"/>
  <c r="F59" i="212"/>
  <c r="F59" i="208"/>
  <c r="F59" i="209"/>
  <c r="F59" i="210"/>
  <c r="F59" i="207"/>
  <c r="F59" i="205"/>
  <c r="F59" i="206"/>
  <c r="F59" i="204"/>
  <c r="F59" i="202"/>
  <c r="F59" i="203"/>
  <c r="F59" i="201"/>
  <c r="F59" i="200"/>
  <c r="F59" i="199"/>
  <c r="F53" i="212"/>
  <c r="F53" i="211"/>
  <c r="F53" i="210"/>
  <c r="F53" i="209"/>
  <c r="F53" i="207"/>
  <c r="F53" i="206"/>
  <c r="F53" i="208"/>
  <c r="F53" i="205"/>
  <c r="F53" i="204"/>
  <c r="F53" i="203"/>
  <c r="F53" i="202"/>
  <c r="F53" i="201"/>
  <c r="F53" i="200"/>
  <c r="F53" i="199"/>
  <c r="F33" i="211"/>
  <c r="F33" i="212"/>
  <c r="F33" i="210"/>
  <c r="F33" i="209"/>
  <c r="F33" i="208"/>
  <c r="F33" i="207"/>
  <c r="F33" i="205"/>
  <c r="F33" i="203"/>
  <c r="F33" i="206"/>
  <c r="F33" i="204"/>
  <c r="F33" i="202"/>
  <c r="F33" i="201"/>
  <c r="F33" i="200"/>
  <c r="F33" i="199"/>
  <c r="F27" i="211"/>
  <c r="F27" i="212"/>
  <c r="F27" i="210"/>
  <c r="F27" i="207"/>
  <c r="F27" i="208"/>
  <c r="F27" i="206"/>
  <c r="F27" i="209"/>
  <c r="F27" i="205"/>
  <c r="F27" i="203"/>
  <c r="F27" i="204"/>
  <c r="F27" i="200"/>
  <c r="F27" i="202"/>
  <c r="F27" i="201"/>
  <c r="F27" i="199"/>
  <c r="A12" i="198"/>
  <c r="A13" i="19"/>
  <c r="T81" i="210"/>
  <c r="T81" i="208"/>
  <c r="T81" i="206"/>
  <c r="T81" i="203"/>
  <c r="T81" i="204"/>
  <c r="T81" i="211"/>
  <c r="T81" i="207"/>
  <c r="T81" i="202"/>
  <c r="T81" i="201"/>
  <c r="T81" i="209"/>
  <c r="T81" i="205"/>
  <c r="T81" i="200"/>
  <c r="T81" i="212"/>
  <c r="T81" i="199"/>
  <c r="T81" i="17"/>
  <c r="R81" i="202"/>
  <c r="R81" i="210"/>
  <c r="AD81" i="210" s="1"/>
  <c r="R81" i="207"/>
  <c r="AD81" i="207" s="1"/>
  <c r="R81" i="212"/>
  <c r="R81" i="201"/>
  <c r="R81" i="205"/>
  <c r="AD81" i="205" s="1"/>
  <c r="R81" i="209"/>
  <c r="AD81" i="209" s="1"/>
  <c r="R81" i="200"/>
  <c r="AD81" i="200" s="1"/>
  <c r="R81" i="206"/>
  <c r="AD81" i="206" s="1"/>
  <c r="R81" i="204"/>
  <c r="AD81" i="204" s="1"/>
  <c r="R81" i="211"/>
  <c r="AD81" i="211" s="1"/>
  <c r="R81" i="203"/>
  <c r="AD81" i="203" s="1"/>
  <c r="R81" i="208"/>
  <c r="AD81" i="208" s="1"/>
  <c r="R81" i="199"/>
  <c r="AD81" i="199" s="1"/>
  <c r="R81" i="17"/>
  <c r="R80" i="209"/>
  <c r="R80" i="202"/>
  <c r="R80" i="207"/>
  <c r="R80" i="212"/>
  <c r="R80" i="204"/>
  <c r="R80" i="205"/>
  <c r="R80" i="211"/>
  <c r="R80" i="201"/>
  <c r="R80" i="210"/>
  <c r="R80" i="203"/>
  <c r="R80" i="200"/>
  <c r="R80" i="206"/>
  <c r="R80" i="208"/>
  <c r="R80" i="199"/>
  <c r="R80" i="17"/>
  <c r="T80" i="204"/>
  <c r="T80" i="208"/>
  <c r="T80" i="211"/>
  <c r="T80" i="202"/>
  <c r="T80" i="210"/>
  <c r="T80" i="212"/>
  <c r="T80" i="200"/>
  <c r="T80" i="205"/>
  <c r="T80" i="203"/>
  <c r="T80" i="207"/>
  <c r="T80" i="209"/>
  <c r="T80" i="201"/>
  <c r="T80" i="206"/>
  <c r="T80" i="199"/>
  <c r="T80" i="17"/>
  <c r="T79" i="206"/>
  <c r="T79" i="203"/>
  <c r="T79" i="208"/>
  <c r="T79" i="210"/>
  <c r="T79" i="207"/>
  <c r="T79" i="212"/>
  <c r="T79" i="211"/>
  <c r="T79" i="202"/>
  <c r="T79" i="205"/>
  <c r="T79" i="201"/>
  <c r="T79" i="204"/>
  <c r="T79" i="200"/>
  <c r="T79" i="209"/>
  <c r="T79" i="199"/>
  <c r="T79" i="17"/>
  <c r="R79" i="207"/>
  <c r="R79" i="202"/>
  <c r="R79" i="208"/>
  <c r="R79" i="200"/>
  <c r="AD79" i="200" s="1"/>
  <c r="R79" i="206"/>
  <c r="R79" i="209"/>
  <c r="AD79" i="209" s="1"/>
  <c r="R79" i="210"/>
  <c r="AD79" i="210" s="1"/>
  <c r="R79" i="203"/>
  <c r="AD79" i="203" s="1"/>
  <c r="R79" i="212"/>
  <c r="R79" i="211"/>
  <c r="AD79" i="211" s="1"/>
  <c r="R79" i="205"/>
  <c r="R79" i="204"/>
  <c r="AD79" i="204" s="1"/>
  <c r="R79" i="201"/>
  <c r="AD79" i="201" s="1"/>
  <c r="R79" i="199"/>
  <c r="AD79" i="199" s="1"/>
  <c r="R79" i="17"/>
  <c r="R78" i="208"/>
  <c r="R78" i="206"/>
  <c r="R78" i="203"/>
  <c r="R78" i="210"/>
  <c r="R78" i="211"/>
  <c r="R78" i="200"/>
  <c r="R78" i="201"/>
  <c r="R78" i="207"/>
  <c r="R78" i="209"/>
  <c r="R78" i="204"/>
  <c r="R78" i="212"/>
  <c r="R78" i="202"/>
  <c r="R78" i="205"/>
  <c r="R78" i="199"/>
  <c r="R78" i="17"/>
  <c r="T78" i="209"/>
  <c r="T78" i="207"/>
  <c r="T78" i="206"/>
  <c r="AD78" i="206" s="1"/>
  <c r="T78" i="203"/>
  <c r="AD78" i="203" s="1"/>
  <c r="T78" i="205"/>
  <c r="T78" i="200"/>
  <c r="T78" i="208"/>
  <c r="T78" i="210"/>
  <c r="AD78" i="210" s="1"/>
  <c r="T78" i="211"/>
  <c r="T78" i="212"/>
  <c r="T78" i="202"/>
  <c r="T78" i="204"/>
  <c r="T78" i="201"/>
  <c r="T78" i="199"/>
  <c r="T78" i="17"/>
  <c r="T77" i="202"/>
  <c r="T77" i="210"/>
  <c r="T77" i="200"/>
  <c r="T77" i="206"/>
  <c r="T77" i="212"/>
  <c r="T77" i="204"/>
  <c r="T77" i="201"/>
  <c r="T77" i="207"/>
  <c r="T77" i="211"/>
  <c r="T77" i="203"/>
  <c r="T77" i="209"/>
  <c r="T77" i="208"/>
  <c r="T77" i="205"/>
  <c r="T77" i="199"/>
  <c r="T77" i="17"/>
  <c r="R77" i="208"/>
  <c r="R77" i="204"/>
  <c r="R77" i="202"/>
  <c r="R77" i="211"/>
  <c r="R77" i="210"/>
  <c r="AD77" i="210" s="1"/>
  <c r="R77" i="203"/>
  <c r="AD77" i="203" s="1"/>
  <c r="R77" i="205"/>
  <c r="R77" i="200"/>
  <c r="AD77" i="200" s="1"/>
  <c r="R77" i="207"/>
  <c r="AD77" i="207" s="1"/>
  <c r="R77" i="209"/>
  <c r="AD77" i="209" s="1"/>
  <c r="R77" i="212"/>
  <c r="R77" i="201"/>
  <c r="AD77" i="201" s="1"/>
  <c r="R77" i="206"/>
  <c r="AD77" i="206" s="1"/>
  <c r="R77" i="199"/>
  <c r="AD77" i="199" s="1"/>
  <c r="R77" i="17"/>
  <c r="R76" i="208"/>
  <c r="R76" i="202"/>
  <c r="R76" i="203"/>
  <c r="R76" i="207"/>
  <c r="R76" i="210"/>
  <c r="R76" i="212"/>
  <c r="R76" i="200"/>
  <c r="R76" i="206"/>
  <c r="R76" i="209"/>
  <c r="R76" i="211"/>
  <c r="R76" i="205"/>
  <c r="R76" i="204"/>
  <c r="R76" i="201"/>
  <c r="R76" i="199"/>
  <c r="R76" i="17"/>
  <c r="T76" i="208"/>
  <c r="T76" i="206"/>
  <c r="T76" i="210"/>
  <c r="T76" i="207"/>
  <c r="T76" i="203"/>
  <c r="T76" i="211"/>
  <c r="T76" i="209"/>
  <c r="T76" i="202"/>
  <c r="T76" i="204"/>
  <c r="T76" i="212"/>
  <c r="T76" i="200"/>
  <c r="T76" i="205"/>
  <c r="T76" i="201"/>
  <c r="T76" i="199"/>
  <c r="T76" i="17"/>
  <c r="T75" i="207"/>
  <c r="T75" i="209"/>
  <c r="T75" i="206"/>
  <c r="T75" i="210"/>
  <c r="T75" i="211"/>
  <c r="T75" i="204"/>
  <c r="T75" i="205"/>
  <c r="T75" i="200"/>
  <c r="T75" i="203"/>
  <c r="T75" i="201"/>
  <c r="T75" i="208"/>
  <c r="T75" i="212"/>
  <c r="T75" i="202"/>
  <c r="T75" i="199"/>
  <c r="T75" i="17"/>
  <c r="R75" i="208"/>
  <c r="R75" i="207"/>
  <c r="R75" i="211"/>
  <c r="R75" i="206"/>
  <c r="R75" i="203"/>
  <c r="R75" i="210"/>
  <c r="AD75" i="210" s="1"/>
  <c r="R75" i="212"/>
  <c r="R75" i="205"/>
  <c r="AD75" i="205" s="1"/>
  <c r="R75" i="201"/>
  <c r="AD75" i="201" s="1"/>
  <c r="R75" i="204"/>
  <c r="AD75" i="204" s="1"/>
  <c r="R75" i="209"/>
  <c r="AD75" i="209" s="1"/>
  <c r="R75" i="202"/>
  <c r="R75" i="200"/>
  <c r="AD75" i="200" s="1"/>
  <c r="R75" i="199"/>
  <c r="AD75" i="199" s="1"/>
  <c r="R75" i="17"/>
  <c r="R74" i="209"/>
  <c r="R74" i="207"/>
  <c r="R74" i="206"/>
  <c r="R74" i="208"/>
  <c r="R74" i="201"/>
  <c r="R74" i="210"/>
  <c r="R74" i="200"/>
  <c r="R74" i="211"/>
  <c r="R74" i="212"/>
  <c r="R74" i="202"/>
  <c r="R74" i="204"/>
  <c r="R74" i="203"/>
  <c r="R74" i="205"/>
  <c r="R74" i="199"/>
  <c r="R74" i="17"/>
  <c r="T74" i="208"/>
  <c r="T74" i="210"/>
  <c r="T74" i="211"/>
  <c r="T74" i="204"/>
  <c r="T74" i="202"/>
  <c r="T74" i="207"/>
  <c r="AD74" i="207" s="1"/>
  <c r="T74" i="203"/>
  <c r="T74" i="201"/>
  <c r="T74" i="206"/>
  <c r="T74" i="209"/>
  <c r="T74" i="212"/>
  <c r="T74" i="205"/>
  <c r="T74" i="200"/>
  <c r="T74" i="199"/>
  <c r="T74" i="17"/>
  <c r="T73" i="211"/>
  <c r="T73" i="210"/>
  <c r="T73" i="208"/>
  <c r="T73" i="206"/>
  <c r="T73" i="207"/>
  <c r="T73" i="203"/>
  <c r="T73" i="202"/>
  <c r="T73" i="204"/>
  <c r="T73" i="201"/>
  <c r="T73" i="209"/>
  <c r="T73" i="205"/>
  <c r="T73" i="212"/>
  <c r="T73" i="200"/>
  <c r="T73" i="199"/>
  <c r="T73" i="17"/>
  <c r="R73" i="208"/>
  <c r="R73" i="202"/>
  <c r="R73" i="206"/>
  <c r="R73" i="209"/>
  <c r="AD73" i="209" s="1"/>
  <c r="R73" i="203"/>
  <c r="AD73" i="203" s="1"/>
  <c r="R73" i="205"/>
  <c r="AD73" i="205" s="1"/>
  <c r="R73" i="200"/>
  <c r="R73" i="210"/>
  <c r="AD73" i="210" s="1"/>
  <c r="R73" i="207"/>
  <c r="R73" i="212"/>
  <c r="AD73" i="212" s="1"/>
  <c r="R73" i="211"/>
  <c r="R73" i="204"/>
  <c r="AD73" i="204" s="1"/>
  <c r="R73" i="201"/>
  <c r="R73" i="199"/>
  <c r="AD73" i="199" s="1"/>
  <c r="R73" i="17"/>
  <c r="R72" i="208"/>
  <c r="R72" i="211"/>
  <c r="R72" i="203"/>
  <c r="R72" i="210"/>
  <c r="R72" i="206"/>
  <c r="R72" i="207"/>
  <c r="R72" i="202"/>
  <c r="R72" i="205"/>
  <c r="R72" i="201"/>
  <c r="R72" i="209"/>
  <c r="R72" i="204"/>
  <c r="R72" i="212"/>
  <c r="R72" i="200"/>
  <c r="R72" i="199"/>
  <c r="R72" i="17"/>
  <c r="T72" i="211"/>
  <c r="T72" i="202"/>
  <c r="T72" i="201"/>
  <c r="T72" i="207"/>
  <c r="T72" i="206"/>
  <c r="T72" i="209"/>
  <c r="T72" i="210"/>
  <c r="AD72" i="210" s="1"/>
  <c r="T72" i="212"/>
  <c r="T72" i="205"/>
  <c r="T72" i="200"/>
  <c r="T72" i="208"/>
  <c r="T72" i="203"/>
  <c r="AD72" i="203" s="1"/>
  <c r="T72" i="204"/>
  <c r="T72" i="199"/>
  <c r="T72" i="17"/>
  <c r="T71" i="210"/>
  <c r="T71" i="205"/>
  <c r="T71" i="204"/>
  <c r="T71" i="203"/>
  <c r="T71" i="211"/>
  <c r="T71" i="202"/>
  <c r="T71" i="212"/>
  <c r="T71" i="208"/>
  <c r="T71" i="207"/>
  <c r="T71" i="206"/>
  <c r="T71" i="209"/>
  <c r="T71" i="200"/>
  <c r="T71" i="201"/>
  <c r="T71" i="199"/>
  <c r="T71" i="17"/>
  <c r="R71" i="204"/>
  <c r="R71" i="201"/>
  <c r="AD71" i="201" s="1"/>
  <c r="R71" i="207"/>
  <c r="R71" i="208"/>
  <c r="AD71" i="208" s="1"/>
  <c r="R71" i="209"/>
  <c r="R71" i="212"/>
  <c r="AD71" i="212" s="1"/>
  <c r="R71" i="206"/>
  <c r="AD71" i="206" s="1"/>
  <c r="R71" i="210"/>
  <c r="R71" i="211"/>
  <c r="R71" i="202"/>
  <c r="AD71" i="202" s="1"/>
  <c r="R71" i="203"/>
  <c r="AD71" i="203" s="1"/>
  <c r="R71" i="205"/>
  <c r="AD71" i="205" s="1"/>
  <c r="R71" i="200"/>
  <c r="AD71" i="200" s="1"/>
  <c r="R71" i="199"/>
  <c r="AD71" i="199" s="1"/>
  <c r="R71" i="17"/>
  <c r="R70" i="212"/>
  <c r="R70" i="211"/>
  <c r="R70" i="206"/>
  <c r="R70" i="204"/>
  <c r="R70" i="202"/>
  <c r="R70" i="208"/>
  <c r="R70" i="203"/>
  <c r="R70" i="201"/>
  <c r="R70" i="205"/>
  <c r="R70" i="210"/>
  <c r="R70" i="207"/>
  <c r="R70" i="200"/>
  <c r="R70" i="209"/>
  <c r="R70" i="199"/>
  <c r="R70" i="17"/>
  <c r="T70" i="209"/>
  <c r="T70" i="208"/>
  <c r="T70" i="207"/>
  <c r="T70" i="202"/>
  <c r="T70" i="206"/>
  <c r="T70" i="203"/>
  <c r="T70" i="201"/>
  <c r="AD70" i="201" s="1"/>
  <c r="T70" i="211"/>
  <c r="AD70" i="211" s="1"/>
  <c r="T70" i="205"/>
  <c r="T70" i="212"/>
  <c r="T70" i="204"/>
  <c r="AD70" i="204" s="1"/>
  <c r="T70" i="210"/>
  <c r="AD70" i="210" s="1"/>
  <c r="T70" i="200"/>
  <c r="T70" i="199"/>
  <c r="T70" i="17"/>
  <c r="T69" i="205"/>
  <c r="T69" i="203"/>
  <c r="T69" i="211"/>
  <c r="T69" i="210"/>
  <c r="T69" i="208"/>
  <c r="T69" i="206"/>
  <c r="T69" i="207"/>
  <c r="T69" i="201"/>
  <c r="T69" i="209"/>
  <c r="T69" i="204"/>
  <c r="T69" i="200"/>
  <c r="T69" i="212"/>
  <c r="T69" i="202"/>
  <c r="T69" i="199"/>
  <c r="T69" i="17"/>
  <c r="R69" i="209"/>
  <c r="R69" i="207"/>
  <c r="AD69" i="207" s="1"/>
  <c r="R69" i="202"/>
  <c r="R69" i="208"/>
  <c r="R69" i="211"/>
  <c r="R69" i="200"/>
  <c r="AD69" i="200" s="1"/>
  <c r="R69" i="206"/>
  <c r="AD69" i="206" s="1"/>
  <c r="R69" i="212"/>
  <c r="AD69" i="212" s="1"/>
  <c r="R69" i="205"/>
  <c r="R69" i="201"/>
  <c r="AD69" i="201" s="1"/>
  <c r="R69" i="210"/>
  <c r="AD69" i="210" s="1"/>
  <c r="R69" i="203"/>
  <c r="AD69" i="203" s="1"/>
  <c r="R69" i="204"/>
  <c r="AD69" i="204" s="1"/>
  <c r="R69" i="199"/>
  <c r="AD69" i="199" s="1"/>
  <c r="R69" i="17"/>
  <c r="R68" i="207"/>
  <c r="R68" i="201"/>
  <c r="R68" i="203"/>
  <c r="R68" i="211"/>
  <c r="R68" i="208"/>
  <c r="R68" i="204"/>
  <c r="R68" i="210"/>
  <c r="R68" i="206"/>
  <c r="R68" i="205"/>
  <c r="R68" i="202"/>
  <c r="R68" i="212"/>
  <c r="R68" i="209"/>
  <c r="R68" i="200"/>
  <c r="R68" i="199"/>
  <c r="R68" i="17"/>
  <c r="T68" i="209"/>
  <c r="T68" i="206"/>
  <c r="AD68" i="206" s="1"/>
  <c r="T68" i="208"/>
  <c r="T68" i="204"/>
  <c r="AD68" i="204" s="1"/>
  <c r="T68" i="205"/>
  <c r="T68" i="200"/>
  <c r="T68" i="201"/>
  <c r="AD68" i="201" s="1"/>
  <c r="T68" i="207"/>
  <c r="AD68" i="207" s="1"/>
  <c r="T68" i="211"/>
  <c r="AD68" i="211" s="1"/>
  <c r="T68" i="202"/>
  <c r="T68" i="210"/>
  <c r="T68" i="212"/>
  <c r="T68" i="203"/>
  <c r="T68" i="199"/>
  <c r="T68" i="17"/>
  <c r="T67" i="210"/>
  <c r="T67" i="200"/>
  <c r="T67" i="212"/>
  <c r="T67" i="211"/>
  <c r="T67" i="209"/>
  <c r="T67" i="205"/>
  <c r="T67" i="202"/>
  <c r="T67" i="201"/>
  <c r="T67" i="204"/>
  <c r="T67" i="206"/>
  <c r="T67" i="203"/>
  <c r="T67" i="208"/>
  <c r="T67" i="207"/>
  <c r="T67" i="199"/>
  <c r="T67" i="17"/>
  <c r="R67" i="206"/>
  <c r="AD67" i="206" s="1"/>
  <c r="R67" i="203"/>
  <c r="AD67" i="203" s="1"/>
  <c r="R67" i="212"/>
  <c r="R67" i="201"/>
  <c r="AD67" i="201" s="1"/>
  <c r="R67" i="210"/>
  <c r="R67" i="208"/>
  <c r="AD67" i="208" s="1"/>
  <c r="R67" i="207"/>
  <c r="R67" i="204"/>
  <c r="R67" i="200"/>
  <c r="AD67" i="200" s="1"/>
  <c r="R67" i="211"/>
  <c r="AD67" i="211" s="1"/>
  <c r="R67" i="205"/>
  <c r="AD67" i="205" s="1"/>
  <c r="R67" i="202"/>
  <c r="AD67" i="202" s="1"/>
  <c r="R67" i="209"/>
  <c r="R67" i="199"/>
  <c r="AD67" i="199" s="1"/>
  <c r="R67" i="17"/>
  <c r="R66" i="211"/>
  <c r="AD66" i="211" s="1"/>
  <c r="R66" i="210"/>
  <c r="AD66" i="210" s="1"/>
  <c r="R66" i="207"/>
  <c r="AD66" i="207" s="1"/>
  <c r="R66" i="201"/>
  <c r="AD66" i="201" s="1"/>
  <c r="R66" i="205"/>
  <c r="AD66" i="205" s="1"/>
  <c r="R66" i="203"/>
  <c r="AD66" i="203" s="1"/>
  <c r="R66" i="200"/>
  <c r="AD66" i="200" s="1"/>
  <c r="R66" i="206"/>
  <c r="AD66" i="206" s="1"/>
  <c r="R66" i="212"/>
  <c r="AD66" i="212" s="1"/>
  <c r="R66" i="208"/>
  <c r="AD66" i="208" s="1"/>
  <c r="R66" i="204"/>
  <c r="AD66" i="204" s="1"/>
  <c r="R66" i="209"/>
  <c r="AD66" i="209" s="1"/>
  <c r="R66" i="202"/>
  <c r="AD66" i="202" s="1"/>
  <c r="R66" i="199"/>
  <c r="AD66" i="199" s="1"/>
  <c r="R66" i="17"/>
  <c r="BS7" i="18"/>
  <c r="S7" i="197"/>
  <c r="I7" i="18"/>
  <c r="E7" i="196"/>
  <c r="BQ7" i="18"/>
  <c r="Q7" i="197"/>
  <c r="F80" i="17"/>
  <c r="F71" i="17"/>
  <c r="F62" i="1"/>
  <c r="F58" i="1"/>
  <c r="F35" i="1"/>
  <c r="F31" i="1"/>
  <c r="F27" i="1"/>
  <c r="T84" i="1"/>
  <c r="F93" i="1"/>
  <c r="F60" i="1"/>
  <c r="F54" i="1"/>
  <c r="F43" i="1"/>
  <c r="F41" i="1"/>
  <c r="F39" i="1"/>
  <c r="F37" i="1"/>
  <c r="T79" i="1"/>
  <c r="F50" i="1"/>
  <c r="F48" i="1"/>
  <c r="F29" i="1"/>
  <c r="F74" i="17"/>
  <c r="T74" i="1"/>
  <c r="F105" i="1"/>
  <c r="E72" i="17" s="1"/>
  <c r="F81" i="1"/>
  <c r="F56" i="1"/>
  <c r="F52" i="1"/>
  <c r="F44" i="1"/>
  <c r="F42" i="1"/>
  <c r="F38" i="1"/>
  <c r="F36" i="1"/>
  <c r="E61" i="17"/>
  <c r="E70" i="17"/>
  <c r="E40" i="17"/>
  <c r="E28" i="17"/>
  <c r="E35" i="17"/>
  <c r="F75" i="17"/>
  <c r="E57" i="17"/>
  <c r="E53" i="17"/>
  <c r="G19" i="2"/>
  <c r="G56" i="2"/>
  <c r="F18" i="2"/>
  <c r="G42" i="2"/>
  <c r="BA8" i="19"/>
  <c r="AY8" i="19"/>
  <c r="AX8" i="19"/>
  <c r="AV8" i="19"/>
  <c r="AD8" i="19"/>
  <c r="Y8" i="19"/>
  <c r="X8" i="19"/>
  <c r="S8" i="19"/>
  <c r="L8" i="19"/>
  <c r="G35" i="2"/>
  <c r="G12" i="2"/>
  <c r="F25" i="2"/>
  <c r="AW8" i="19"/>
  <c r="AU8" i="19"/>
  <c r="AT8" i="19"/>
  <c r="AR8" i="19"/>
  <c r="V8" i="19"/>
  <c r="P8" i="19"/>
  <c r="N8" i="19"/>
  <c r="F34" i="2"/>
  <c r="F11" i="2"/>
  <c r="G5" i="2"/>
  <c r="G26" i="2"/>
  <c r="C25" i="2"/>
  <c r="F55" i="2"/>
  <c r="C7" i="2"/>
  <c r="C33" i="2"/>
  <c r="C5" i="2"/>
  <c r="C53" i="2"/>
  <c r="F48" i="2"/>
  <c r="D35" i="2"/>
  <c r="C27" i="2"/>
  <c r="D46" i="2"/>
  <c r="C35" i="2"/>
  <c r="F4" i="2"/>
  <c r="C55" i="2"/>
  <c r="C42" i="2"/>
  <c r="G55" i="2"/>
  <c r="D48" i="2"/>
  <c r="G49" i="2"/>
  <c r="F54" i="2"/>
  <c r="F41" i="2"/>
  <c r="D47" i="2"/>
  <c r="C6" i="2"/>
  <c r="D55" i="2"/>
  <c r="D53" i="2"/>
  <c r="C48" i="2"/>
  <c r="C46" i="2"/>
  <c r="C56" i="2"/>
  <c r="C54" i="2"/>
  <c r="D49" i="2"/>
  <c r="C40" i="2"/>
  <c r="C34" i="2"/>
  <c r="C32" i="2"/>
  <c r="C28" i="2"/>
  <c r="C26" i="2"/>
  <c r="D56" i="2"/>
  <c r="D54" i="2"/>
  <c r="C49" i="2"/>
  <c r="C47" i="2"/>
  <c r="C39" i="2"/>
  <c r="D28" i="2"/>
  <c r="E35" i="2"/>
  <c r="AD22" i="17"/>
  <c r="AD46" i="17"/>
  <c r="AD54" i="17"/>
  <c r="A13" i="18"/>
  <c r="BT7" i="19"/>
  <c r="L7" i="19"/>
  <c r="F7" i="196" s="1"/>
  <c r="BH7" i="19"/>
  <c r="F7" i="197" s="1"/>
  <c r="AD29" i="17"/>
  <c r="AD37" i="17"/>
  <c r="AD45" i="17"/>
  <c r="AD61" i="17"/>
  <c r="AD72" i="17"/>
  <c r="AD80" i="17"/>
  <c r="E55" i="2"/>
  <c r="AD15" i="17"/>
  <c r="AD17" i="17"/>
  <c r="AD19" i="17"/>
  <c r="AD47" i="17"/>
  <c r="AD49" i="17"/>
  <c r="AD51" i="17"/>
  <c r="AD62" i="17"/>
  <c r="AD67" i="17"/>
  <c r="AD69" i="17"/>
  <c r="AD71" i="17"/>
  <c r="AD73" i="17"/>
  <c r="AD30" i="17"/>
  <c r="AD32" i="17"/>
  <c r="AD34" i="17"/>
  <c r="AD36" i="17"/>
  <c r="AD38" i="17"/>
  <c r="AD23" i="17"/>
  <c r="AD25" i="17"/>
  <c r="AD27" i="17"/>
  <c r="AD40" i="17"/>
  <c r="AD42" i="17"/>
  <c r="AD44" i="17"/>
  <c r="AD55" i="17"/>
  <c r="AD57" i="17"/>
  <c r="AD59" i="17"/>
  <c r="AD77" i="17"/>
  <c r="AD79" i="17"/>
  <c r="AD81" i="17"/>
  <c r="AD16" i="17"/>
  <c r="AD18" i="17"/>
  <c r="AD20" i="17"/>
  <c r="AD31" i="17"/>
  <c r="AD33" i="17"/>
  <c r="AD35" i="17"/>
  <c r="AD48" i="17"/>
  <c r="AD50" i="17"/>
  <c r="AD52" i="17"/>
  <c r="AD66" i="17"/>
  <c r="AD68" i="17"/>
  <c r="AD70" i="17"/>
  <c r="AD21" i="17"/>
  <c r="AD24" i="17"/>
  <c r="AD26" i="17"/>
  <c r="AD28" i="17"/>
  <c r="AD39" i="17"/>
  <c r="AD41" i="17"/>
  <c r="AD43" i="17"/>
  <c r="AD53" i="17"/>
  <c r="AD56" i="17"/>
  <c r="AD58" i="17"/>
  <c r="AD60" i="17"/>
  <c r="AD74" i="17"/>
  <c r="AD76" i="17"/>
  <c r="AD75" i="17"/>
  <c r="AD78" i="17"/>
  <c r="D26" i="2"/>
  <c r="C4" i="2"/>
  <c r="C41" i="2"/>
  <c r="E7" i="2"/>
  <c r="E14" i="2"/>
  <c r="E42" i="2"/>
  <c r="E21" i="2"/>
  <c r="E49" i="2"/>
  <c r="E28" i="2"/>
  <c r="E56" i="2"/>
  <c r="D7" i="2"/>
  <c r="I7" i="2" s="1"/>
  <c r="D27" i="2"/>
  <c r="I27" i="2" s="1"/>
  <c r="D25" i="2"/>
  <c r="I25" i="2" s="1"/>
  <c r="D4" i="2"/>
  <c r="I54" i="2" l="1"/>
  <c r="E35" i="211"/>
  <c r="E35" i="212"/>
  <c r="E35" i="210"/>
  <c r="E35" i="208"/>
  <c r="E35" i="207"/>
  <c r="E35" i="206"/>
  <c r="E35" i="209"/>
  <c r="E35" i="203"/>
  <c r="E35" i="205"/>
  <c r="E35" i="204"/>
  <c r="E35" i="200"/>
  <c r="E35" i="202"/>
  <c r="E35" i="201"/>
  <c r="E35" i="199"/>
  <c r="E51" i="211"/>
  <c r="E51" i="212"/>
  <c r="E51" i="210"/>
  <c r="E51" i="209"/>
  <c r="E51" i="205"/>
  <c r="E51" i="208"/>
  <c r="E51" i="207"/>
  <c r="E51" i="206"/>
  <c r="E51" i="204"/>
  <c r="E51" i="203"/>
  <c r="E51" i="202"/>
  <c r="E51" i="201"/>
  <c r="E51" i="200"/>
  <c r="E51" i="199"/>
  <c r="E75" i="212"/>
  <c r="E75" i="211"/>
  <c r="E75" i="210"/>
  <c r="E75" i="208"/>
  <c r="E75" i="209"/>
  <c r="E75" i="207"/>
  <c r="E75" i="206"/>
  <c r="E75" i="205"/>
  <c r="E75" i="202"/>
  <c r="E75" i="204"/>
  <c r="E75" i="203"/>
  <c r="E75" i="201"/>
  <c r="E75" i="200"/>
  <c r="E75" i="199"/>
  <c r="E49" i="17"/>
  <c r="E49" i="211"/>
  <c r="E49" i="212"/>
  <c r="E49" i="210"/>
  <c r="E49" i="208"/>
  <c r="E49" i="209"/>
  <c r="E49" i="206"/>
  <c r="E49" i="207"/>
  <c r="E49" i="205"/>
  <c r="E49" i="203"/>
  <c r="E49" i="204"/>
  <c r="E49" i="201"/>
  <c r="E49" i="200"/>
  <c r="E49" i="202"/>
  <c r="E49" i="199"/>
  <c r="E40" i="212"/>
  <c r="E40" i="210"/>
  <c r="E40" i="211"/>
  <c r="E40" i="209"/>
  <c r="E40" i="208"/>
  <c r="E40" i="207"/>
  <c r="E40" i="206"/>
  <c r="E40" i="204"/>
  <c r="E40" i="203"/>
  <c r="E40" i="202"/>
  <c r="E40" i="205"/>
  <c r="E40" i="201"/>
  <c r="E40" i="200"/>
  <c r="E40" i="199"/>
  <c r="E70" i="212"/>
  <c r="E70" i="211"/>
  <c r="E70" i="210"/>
  <c r="E70" i="209"/>
  <c r="E70" i="206"/>
  <c r="E70" i="205"/>
  <c r="E70" i="208"/>
  <c r="E70" i="207"/>
  <c r="E70" i="204"/>
  <c r="E70" i="203"/>
  <c r="E70" i="202"/>
  <c r="E70" i="201"/>
  <c r="E70" i="200"/>
  <c r="E70" i="199"/>
  <c r="E34" i="211"/>
  <c r="E34" i="212"/>
  <c r="E34" i="210"/>
  <c r="E34" i="207"/>
  <c r="E34" i="209"/>
  <c r="E34" i="208"/>
  <c r="E34" i="205"/>
  <c r="E34" i="204"/>
  <c r="E34" i="203"/>
  <c r="E34" i="206"/>
  <c r="E34" i="201"/>
  <c r="E34" i="202"/>
  <c r="E34" i="200"/>
  <c r="E34" i="199"/>
  <c r="E37" i="211"/>
  <c r="E37" i="212"/>
  <c r="E37" i="210"/>
  <c r="E37" i="209"/>
  <c r="E37" i="208"/>
  <c r="E37" i="206"/>
  <c r="E37" i="207"/>
  <c r="E37" i="205"/>
  <c r="E37" i="204"/>
  <c r="E37" i="203"/>
  <c r="E37" i="202"/>
  <c r="E37" i="201"/>
  <c r="E37" i="200"/>
  <c r="E37" i="199"/>
  <c r="E55" i="212"/>
  <c r="E55" i="211"/>
  <c r="E55" i="208"/>
  <c r="E55" i="210"/>
  <c r="E55" i="209"/>
  <c r="E55" i="207"/>
  <c r="E55" i="206"/>
  <c r="E55" i="205"/>
  <c r="E55" i="204"/>
  <c r="E55" i="202"/>
  <c r="E55" i="203"/>
  <c r="E55" i="200"/>
  <c r="E55" i="201"/>
  <c r="E55" i="199"/>
  <c r="E76" i="212"/>
  <c r="E76" i="211"/>
  <c r="E76" i="210"/>
  <c r="E76" i="209"/>
  <c r="E76" i="208"/>
  <c r="E76" i="207"/>
  <c r="E76" i="206"/>
  <c r="E76" i="204"/>
  <c r="E76" i="203"/>
  <c r="E76" i="205"/>
  <c r="E76" i="200"/>
  <c r="E76" i="201"/>
  <c r="E76" i="202"/>
  <c r="E76" i="199"/>
  <c r="E42" i="211"/>
  <c r="E42" i="212"/>
  <c r="E42" i="210"/>
  <c r="E42" i="207"/>
  <c r="E42" i="209"/>
  <c r="E42" i="206"/>
  <c r="E42" i="208"/>
  <c r="E42" i="205"/>
  <c r="E42" i="204"/>
  <c r="E42" i="203"/>
  <c r="E42" i="202"/>
  <c r="E42" i="200"/>
  <c r="E42" i="201"/>
  <c r="E42" i="199"/>
  <c r="E77" i="212"/>
  <c r="E77" i="211"/>
  <c r="E77" i="210"/>
  <c r="E77" i="209"/>
  <c r="E77" i="208"/>
  <c r="E77" i="206"/>
  <c r="E77" i="207"/>
  <c r="E77" i="202"/>
  <c r="E77" i="205"/>
  <c r="E77" i="204"/>
  <c r="E77" i="203"/>
  <c r="E77" i="200"/>
  <c r="E77" i="201"/>
  <c r="E77" i="199"/>
  <c r="E57" i="211"/>
  <c r="E57" i="212"/>
  <c r="E57" i="210"/>
  <c r="E57" i="209"/>
  <c r="E57" i="208"/>
  <c r="E57" i="206"/>
  <c r="E57" i="207"/>
  <c r="E57" i="205"/>
  <c r="E57" i="204"/>
  <c r="E57" i="203"/>
  <c r="E57" i="202"/>
  <c r="E57" i="200"/>
  <c r="E57" i="201"/>
  <c r="E57" i="199"/>
  <c r="E42" i="17"/>
  <c r="E41" i="211"/>
  <c r="E41" i="210"/>
  <c r="E41" i="212"/>
  <c r="E41" i="209"/>
  <c r="E41" i="207"/>
  <c r="E41" i="208"/>
  <c r="E41" i="206"/>
  <c r="E41" i="204"/>
  <c r="E41" i="203"/>
  <c r="E41" i="205"/>
  <c r="E41" i="202"/>
  <c r="E41" i="201"/>
  <c r="E41" i="200"/>
  <c r="E41" i="199"/>
  <c r="E68" i="212"/>
  <c r="E68" i="211"/>
  <c r="E68" i="209"/>
  <c r="E68" i="210"/>
  <c r="E68" i="208"/>
  <c r="E68" i="206"/>
  <c r="E68" i="205"/>
  <c r="E68" i="207"/>
  <c r="E68" i="204"/>
  <c r="E68" i="203"/>
  <c r="E68" i="202"/>
  <c r="E68" i="201"/>
  <c r="E68" i="200"/>
  <c r="E68" i="199"/>
  <c r="E28" i="211"/>
  <c r="E28" i="212"/>
  <c r="E28" i="210"/>
  <c r="E28" i="209"/>
  <c r="E28" i="207"/>
  <c r="E28" i="208"/>
  <c r="E28" i="205"/>
  <c r="E28" i="206"/>
  <c r="E28" i="204"/>
  <c r="E28" i="203"/>
  <c r="E28" i="202"/>
  <c r="E28" i="201"/>
  <c r="E28" i="200"/>
  <c r="E28" i="199"/>
  <c r="E36" i="17"/>
  <c r="E36" i="211"/>
  <c r="E36" i="212"/>
  <c r="E36" i="210"/>
  <c r="E36" i="206"/>
  <c r="E36" i="209"/>
  <c r="E36" i="208"/>
  <c r="E36" i="207"/>
  <c r="E36" i="205"/>
  <c r="E36" i="203"/>
  <c r="E36" i="204"/>
  <c r="E36" i="202"/>
  <c r="E36" i="201"/>
  <c r="E36" i="200"/>
  <c r="E36" i="199"/>
  <c r="E53" i="212"/>
  <c r="E53" i="211"/>
  <c r="E53" i="210"/>
  <c r="E53" i="209"/>
  <c r="E53" i="208"/>
  <c r="E53" i="207"/>
  <c r="E53" i="205"/>
  <c r="E53" i="206"/>
  <c r="E53" i="204"/>
  <c r="E53" i="203"/>
  <c r="E53" i="202"/>
  <c r="E53" i="201"/>
  <c r="E53" i="200"/>
  <c r="E53" i="199"/>
  <c r="E26" i="211"/>
  <c r="E26" i="212"/>
  <c r="E26" i="209"/>
  <c r="E26" i="210"/>
  <c r="E26" i="207"/>
  <c r="E26" i="205"/>
  <c r="E26" i="208"/>
  <c r="E26" i="206"/>
  <c r="E26" i="203"/>
  <c r="E26" i="204"/>
  <c r="E26" i="202"/>
  <c r="E26" i="200"/>
  <c r="E26" i="201"/>
  <c r="E26" i="199"/>
  <c r="E61" i="212"/>
  <c r="E61" i="210"/>
  <c r="E61" i="211"/>
  <c r="E61" i="208"/>
  <c r="E61" i="209"/>
  <c r="E61" i="207"/>
  <c r="E61" i="206"/>
  <c r="E61" i="203"/>
  <c r="E61" i="205"/>
  <c r="E61" i="204"/>
  <c r="E61" i="202"/>
  <c r="E61" i="201"/>
  <c r="E61" i="200"/>
  <c r="E61" i="199"/>
  <c r="E32" i="17"/>
  <c r="E32" i="212"/>
  <c r="E32" i="211"/>
  <c r="E32" i="210"/>
  <c r="E32" i="209"/>
  <c r="E32" i="208"/>
  <c r="E32" i="207"/>
  <c r="E32" i="206"/>
  <c r="E32" i="204"/>
  <c r="E32" i="202"/>
  <c r="E32" i="205"/>
  <c r="E32" i="203"/>
  <c r="E32" i="201"/>
  <c r="E32" i="200"/>
  <c r="E32" i="199"/>
  <c r="E43" i="212"/>
  <c r="E43" i="211"/>
  <c r="E43" i="210"/>
  <c r="E43" i="209"/>
  <c r="E43" i="207"/>
  <c r="E43" i="206"/>
  <c r="E43" i="205"/>
  <c r="E43" i="208"/>
  <c r="E43" i="203"/>
  <c r="E43" i="204"/>
  <c r="E43" i="200"/>
  <c r="E43" i="202"/>
  <c r="E43" i="201"/>
  <c r="E43" i="199"/>
  <c r="E72" i="212"/>
  <c r="E72" i="211"/>
  <c r="E72" i="209"/>
  <c r="E72" i="210"/>
  <c r="E72" i="208"/>
  <c r="E72" i="206"/>
  <c r="E72" i="205"/>
  <c r="E72" i="207"/>
  <c r="E72" i="204"/>
  <c r="E72" i="203"/>
  <c r="E72" i="202"/>
  <c r="E72" i="201"/>
  <c r="E72" i="200"/>
  <c r="E72" i="199"/>
  <c r="E47" i="212"/>
  <c r="E47" i="211"/>
  <c r="E47" i="209"/>
  <c r="E47" i="210"/>
  <c r="E47" i="208"/>
  <c r="E47" i="207"/>
  <c r="E47" i="206"/>
  <c r="E47" i="205"/>
  <c r="E47" i="204"/>
  <c r="E47" i="203"/>
  <c r="E47" i="202"/>
  <c r="E47" i="201"/>
  <c r="E47" i="200"/>
  <c r="E47" i="199"/>
  <c r="E38" i="212"/>
  <c r="E38" i="211"/>
  <c r="E38" i="210"/>
  <c r="E38" i="208"/>
  <c r="E38" i="205"/>
  <c r="E38" i="207"/>
  <c r="E38" i="209"/>
  <c r="E38" i="206"/>
  <c r="E38" i="204"/>
  <c r="E38" i="203"/>
  <c r="E38" i="200"/>
  <c r="E38" i="201"/>
  <c r="E38" i="202"/>
  <c r="E38" i="199"/>
  <c r="E59" i="211"/>
  <c r="E59" i="210"/>
  <c r="E59" i="212"/>
  <c r="E59" i="209"/>
  <c r="E59" i="208"/>
  <c r="E59" i="207"/>
  <c r="E59" i="206"/>
  <c r="E59" i="203"/>
  <c r="E59" i="204"/>
  <c r="E59" i="205"/>
  <c r="E59" i="202"/>
  <c r="E59" i="201"/>
  <c r="E59" i="200"/>
  <c r="E59" i="199"/>
  <c r="E30" i="211"/>
  <c r="E30" i="212"/>
  <c r="E30" i="210"/>
  <c r="E30" i="208"/>
  <c r="E30" i="209"/>
  <c r="E30" i="206"/>
  <c r="E30" i="207"/>
  <c r="E30" i="203"/>
  <c r="E30" i="205"/>
  <c r="E30" i="204"/>
  <c r="E30" i="200"/>
  <c r="E30" i="202"/>
  <c r="E30" i="201"/>
  <c r="E30" i="199"/>
  <c r="E45" i="17"/>
  <c r="E45" i="212"/>
  <c r="E45" i="211"/>
  <c r="E45" i="210"/>
  <c r="E45" i="208"/>
  <c r="E45" i="209"/>
  <c r="E45" i="206"/>
  <c r="E45" i="207"/>
  <c r="E45" i="205"/>
  <c r="E45" i="204"/>
  <c r="E45" i="202"/>
  <c r="E45" i="203"/>
  <c r="E45" i="201"/>
  <c r="E45" i="200"/>
  <c r="E45" i="199"/>
  <c r="AD71" i="210"/>
  <c r="AD79" i="205"/>
  <c r="AD75" i="202"/>
  <c r="AD68" i="208"/>
  <c r="AD69" i="211"/>
  <c r="AD71" i="211"/>
  <c r="AD71" i="209"/>
  <c r="AD71" i="204"/>
  <c r="AD72" i="208"/>
  <c r="AD72" i="211"/>
  <c r="AD73" i="206"/>
  <c r="AD79" i="208"/>
  <c r="AD67" i="209"/>
  <c r="AD67" i="210"/>
  <c r="AD69" i="205"/>
  <c r="AD69" i="209"/>
  <c r="AD73" i="201"/>
  <c r="AD73" i="207"/>
  <c r="AD79" i="206"/>
  <c r="AD81" i="201"/>
  <c r="AD67" i="204"/>
  <c r="AD67" i="207"/>
  <c r="AD67" i="212"/>
  <c r="AD68" i="203"/>
  <c r="AD69" i="202"/>
  <c r="AD70" i="205"/>
  <c r="AD70" i="206"/>
  <c r="AD71" i="207"/>
  <c r="AD72" i="206"/>
  <c r="AD73" i="211"/>
  <c r="AD73" i="200"/>
  <c r="AD76" i="208"/>
  <c r="AD77" i="205"/>
  <c r="AD77" i="202"/>
  <c r="A14" i="19"/>
  <c r="A13" i="198"/>
  <c r="BV9" i="19"/>
  <c r="BV9" i="198"/>
  <c r="AD81" i="202"/>
  <c r="BU9" i="19"/>
  <c r="BU9" i="198"/>
  <c r="AD80" i="210"/>
  <c r="AD80" i="211"/>
  <c r="AD80" i="205"/>
  <c r="AD80" i="199"/>
  <c r="AD80" i="200"/>
  <c r="AD80" i="204"/>
  <c r="AD80" i="208"/>
  <c r="AD80" i="203"/>
  <c r="AD80" i="202"/>
  <c r="AD80" i="209"/>
  <c r="AD80" i="206"/>
  <c r="AD80" i="201"/>
  <c r="AD80" i="207"/>
  <c r="BT9" i="198"/>
  <c r="BT9" i="19"/>
  <c r="AD79" i="207"/>
  <c r="AD79" i="202"/>
  <c r="BS9" i="19"/>
  <c r="BS9" i="198"/>
  <c r="AD78" i="200"/>
  <c r="AD78" i="199"/>
  <c r="AD78" i="204"/>
  <c r="AD78" i="208"/>
  <c r="AD78" i="205"/>
  <c r="AD78" i="209"/>
  <c r="AD78" i="211"/>
  <c r="AD78" i="202"/>
  <c r="AD78" i="207"/>
  <c r="AD78" i="201"/>
  <c r="BR9" i="19"/>
  <c r="BR9" i="198"/>
  <c r="AD77" i="211"/>
  <c r="AD77" i="208"/>
  <c r="AD77" i="204"/>
  <c r="AD76" i="204"/>
  <c r="AD76" i="209"/>
  <c r="BQ9" i="198"/>
  <c r="BQ9" i="19"/>
  <c r="AD76" i="205"/>
  <c r="AD76" i="206"/>
  <c r="AD76" i="210"/>
  <c r="AD76" i="202"/>
  <c r="AD76" i="199"/>
  <c r="AD76" i="207"/>
  <c r="AD76" i="201"/>
  <c r="AD76" i="211"/>
  <c r="AD76" i="200"/>
  <c r="AD76" i="203"/>
  <c r="BP9" i="19"/>
  <c r="BP9" i="198"/>
  <c r="AD75" i="207"/>
  <c r="AD75" i="206"/>
  <c r="AD75" i="208"/>
  <c r="AD75" i="203"/>
  <c r="AD75" i="211"/>
  <c r="BO9" i="19"/>
  <c r="BO9" i="198"/>
  <c r="AD74" i="199"/>
  <c r="AD74" i="211"/>
  <c r="AD74" i="200"/>
  <c r="AD74" i="201"/>
  <c r="AD74" i="205"/>
  <c r="AD74" i="204"/>
  <c r="AD74" i="210"/>
  <c r="AD74" i="208"/>
  <c r="AD74" i="203"/>
  <c r="AD74" i="202"/>
  <c r="AD74" i="206"/>
  <c r="AD74" i="209"/>
  <c r="BN9" i="19"/>
  <c r="BN9" i="198"/>
  <c r="AD73" i="202"/>
  <c r="AD73" i="208"/>
  <c r="BM9" i="19"/>
  <c r="BM9" i="198"/>
  <c r="AD72" i="212"/>
  <c r="AD72" i="209"/>
  <c r="AD72" i="205"/>
  <c r="AD72" i="199"/>
  <c r="AD72" i="207"/>
  <c r="AD72" i="200"/>
  <c r="AD72" i="204"/>
  <c r="AD72" i="201"/>
  <c r="AD72" i="202"/>
  <c r="BL9" i="19"/>
  <c r="BL9" i="198"/>
  <c r="BK9" i="19"/>
  <c r="BK9" i="198"/>
  <c r="AD70" i="207"/>
  <c r="AD70" i="199"/>
  <c r="AD70" i="209"/>
  <c r="AD70" i="202"/>
  <c r="AD70" i="212"/>
  <c r="AD70" i="203"/>
  <c r="AD70" i="200"/>
  <c r="AD70" i="208"/>
  <c r="BJ9" i="198"/>
  <c r="BJ9" i="19"/>
  <c r="AD69" i="208"/>
  <c r="BI9" i="198"/>
  <c r="BI9" i="19"/>
  <c r="AD68" i="205"/>
  <c r="H6" i="205" s="1"/>
  <c r="M6" i="205" s="1"/>
  <c r="AD68" i="199"/>
  <c r="AD68" i="200"/>
  <c r="AD68" i="210"/>
  <c r="AD68" i="209"/>
  <c r="AD68" i="212"/>
  <c r="AD68" i="202"/>
  <c r="BH9" i="198"/>
  <c r="BH9" i="19"/>
  <c r="BG9" i="198"/>
  <c r="BG9" i="19"/>
  <c r="H6" i="204"/>
  <c r="M6" i="204" s="1"/>
  <c r="H6" i="203"/>
  <c r="M6" i="203" s="1"/>
  <c r="H6" i="199"/>
  <c r="M6" i="199" s="1"/>
  <c r="H6" i="206"/>
  <c r="M6" i="206" s="1"/>
  <c r="H6" i="211"/>
  <c r="M6" i="211" s="1"/>
  <c r="BR7" i="18"/>
  <c r="R7" i="197"/>
  <c r="I53" i="2"/>
  <c r="E51" i="17"/>
  <c r="E55" i="17"/>
  <c r="E47" i="17"/>
  <c r="E38" i="17"/>
  <c r="E41" i="17"/>
  <c r="E43" i="17"/>
  <c r="E68" i="17"/>
  <c r="E75" i="17"/>
  <c r="E34" i="17"/>
  <c r="E37" i="17"/>
  <c r="E77" i="17"/>
  <c r="E26" i="17"/>
  <c r="E30" i="17"/>
  <c r="E76" i="17"/>
  <c r="E59" i="17"/>
  <c r="H6" i="17"/>
  <c r="G6" i="17"/>
  <c r="I35" i="2"/>
  <c r="I26" i="2"/>
  <c r="I55" i="2"/>
  <c r="I56" i="2"/>
  <c r="I28" i="2"/>
  <c r="A14" i="18"/>
  <c r="BF7" i="18"/>
  <c r="BI7" i="19"/>
  <c r="G7" i="197" s="1"/>
  <c r="J7" i="18"/>
  <c r="M7" i="19"/>
  <c r="G7" i="196" s="1"/>
  <c r="BN7" i="18"/>
  <c r="N12" i="94"/>
  <c r="N20" i="94"/>
  <c r="N14" i="94"/>
  <c r="N18" i="94"/>
  <c r="N7" i="94"/>
  <c r="A7" i="94"/>
  <c r="N16" i="94"/>
  <c r="A10" i="94"/>
  <c r="N10" i="94"/>
  <c r="N17" i="94"/>
  <c r="N19" i="94"/>
  <c r="N13" i="94"/>
  <c r="N21" i="94"/>
  <c r="N15" i="94"/>
  <c r="A9" i="94"/>
  <c r="N9" i="94"/>
  <c r="A8" i="94"/>
  <c r="N8" i="94"/>
  <c r="N11" i="94"/>
  <c r="A11" i="94"/>
  <c r="H55" i="2"/>
  <c r="E4" i="2"/>
  <c r="E11" i="2"/>
  <c r="E18" i="2"/>
  <c r="E25" i="2"/>
  <c r="E32" i="2"/>
  <c r="E39" i="2"/>
  <c r="E46" i="2"/>
  <c r="E53" i="2"/>
  <c r="G6" i="2"/>
  <c r="F5" i="2"/>
  <c r="H5" i="2" s="1"/>
  <c r="G13" i="2"/>
  <c r="F12" i="2"/>
  <c r="H12" i="2" s="1"/>
  <c r="G20" i="2"/>
  <c r="F19" i="2"/>
  <c r="H19" i="2" s="1"/>
  <c r="G27" i="2"/>
  <c r="F26" i="2"/>
  <c r="H26" i="2" s="1"/>
  <c r="F35" i="2"/>
  <c r="H35" i="2" s="1"/>
  <c r="G32" i="2"/>
  <c r="F42" i="2"/>
  <c r="H42" i="2" s="1"/>
  <c r="G39" i="2"/>
  <c r="F49" i="2"/>
  <c r="H49" i="2" s="1"/>
  <c r="G46" i="2"/>
  <c r="F56" i="2"/>
  <c r="H56" i="2" s="1"/>
  <c r="G53" i="2"/>
  <c r="E5" i="2"/>
  <c r="E12" i="2"/>
  <c r="E19" i="2"/>
  <c r="E26" i="2"/>
  <c r="E33" i="2"/>
  <c r="E40" i="2"/>
  <c r="E47" i="2"/>
  <c r="E54" i="2"/>
  <c r="G7" i="2"/>
  <c r="F6" i="2"/>
  <c r="H6" i="2" s="1"/>
  <c r="G14" i="2"/>
  <c r="F13" i="2"/>
  <c r="H13" i="2" s="1"/>
  <c r="G21" i="2"/>
  <c r="F20" i="2"/>
  <c r="H20" i="2" s="1"/>
  <c r="G28" i="2"/>
  <c r="F27" i="2"/>
  <c r="H27" i="2" s="1"/>
  <c r="G33" i="2"/>
  <c r="F32" i="2"/>
  <c r="H32" i="2" s="1"/>
  <c r="G40" i="2"/>
  <c r="F39" i="2"/>
  <c r="H39" i="2" s="1"/>
  <c r="G47" i="2"/>
  <c r="F46" i="2"/>
  <c r="H46" i="2" s="1"/>
  <c r="G54" i="2"/>
  <c r="H54" i="2" s="1"/>
  <c r="F53" i="2"/>
  <c r="H53" i="2" s="1"/>
  <c r="E6" i="2"/>
  <c r="E13" i="2"/>
  <c r="E20" i="2"/>
  <c r="E27" i="2"/>
  <c r="E34" i="2"/>
  <c r="E41" i="2"/>
  <c r="E48" i="2"/>
  <c r="F7" i="2"/>
  <c r="H7" i="2" s="1"/>
  <c r="G4" i="2"/>
  <c r="H4" i="2" s="1"/>
  <c r="F14" i="2"/>
  <c r="H14" i="2" s="1"/>
  <c r="G11" i="2"/>
  <c r="H11" i="2" s="1"/>
  <c r="F21" i="2"/>
  <c r="H21" i="2" s="1"/>
  <c r="G18" i="2"/>
  <c r="H18" i="2" s="1"/>
  <c r="F28" i="2"/>
  <c r="H28" i="2" s="1"/>
  <c r="G25" i="2"/>
  <c r="H25" i="2" s="1"/>
  <c r="G34" i="2"/>
  <c r="H34" i="2" s="1"/>
  <c r="F33" i="2"/>
  <c r="H33" i="2" s="1"/>
  <c r="G41" i="2"/>
  <c r="H41" i="2" s="1"/>
  <c r="F40" i="2"/>
  <c r="H40" i="2" s="1"/>
  <c r="G48" i="2"/>
  <c r="H48" i="2" s="1"/>
  <c r="F47" i="2"/>
  <c r="H47" i="2" s="1"/>
  <c r="K53" i="2"/>
  <c r="T97" i="1"/>
  <c r="T113" i="1"/>
  <c r="T92" i="1"/>
  <c r="F111" i="1"/>
  <c r="C20" i="2"/>
  <c r="D20" i="2"/>
  <c r="C12" i="2"/>
  <c r="D12" i="2"/>
  <c r="F63" i="1"/>
  <c r="F57" i="1"/>
  <c r="F47" i="1"/>
  <c r="F34" i="1"/>
  <c r="T105" i="1"/>
  <c r="I49" i="2"/>
  <c r="I47" i="2"/>
  <c r="F99" i="1"/>
  <c r="D42" i="2"/>
  <c r="I42" i="2" s="1"/>
  <c r="D40" i="2"/>
  <c r="I40" i="2" s="1"/>
  <c r="C19" i="2"/>
  <c r="D19" i="2"/>
  <c r="C11" i="2"/>
  <c r="D11" i="2"/>
  <c r="I4" i="2"/>
  <c r="F69" i="1"/>
  <c r="F59" i="1"/>
  <c r="F53" i="1"/>
  <c r="T69" i="1"/>
  <c r="C18" i="2"/>
  <c r="D18" i="2"/>
  <c r="C14" i="2"/>
  <c r="D14" i="2"/>
  <c r="F55" i="1"/>
  <c r="F49" i="1"/>
  <c r="I48" i="2"/>
  <c r="I46" i="2"/>
  <c r="D41" i="2"/>
  <c r="I41" i="2" s="1"/>
  <c r="D39" i="2"/>
  <c r="I39" i="2" s="1"/>
  <c r="C21" i="2"/>
  <c r="D21" i="2"/>
  <c r="F75" i="1"/>
  <c r="C13" i="2"/>
  <c r="D13" i="2"/>
  <c r="F61" i="1"/>
  <c r="F51" i="1"/>
  <c r="F45" i="1"/>
  <c r="F28" i="1"/>
  <c r="D34" i="2"/>
  <c r="I34" i="2" s="1"/>
  <c r="D33" i="2"/>
  <c r="I33" i="2" s="1"/>
  <c r="D32" i="2"/>
  <c r="I32" i="2" s="1"/>
  <c r="D6" i="2"/>
  <c r="I6" i="2" s="1"/>
  <c r="D5" i="2"/>
  <c r="I5" i="2" s="1"/>
  <c r="F16" i="1"/>
  <c r="F30" i="1"/>
  <c r="F26" i="1"/>
  <c r="F23" i="1"/>
  <c r="F19" i="1"/>
  <c r="F40" i="1"/>
  <c r="G22" i="1"/>
  <c r="G18" i="1"/>
  <c r="G25" i="1"/>
  <c r="G21" i="1"/>
  <c r="G17" i="1"/>
  <c r="G32" i="1"/>
  <c r="G24" i="1"/>
  <c r="G20" i="1"/>
  <c r="K55" i="2" l="1"/>
  <c r="F23" i="212"/>
  <c r="F23" i="211"/>
  <c r="F23" i="210"/>
  <c r="F23" i="209"/>
  <c r="F23" i="205"/>
  <c r="F23" i="208"/>
  <c r="F23" i="207"/>
  <c r="F23" i="206"/>
  <c r="F23" i="203"/>
  <c r="F23" i="204"/>
  <c r="F23" i="202"/>
  <c r="F23" i="201"/>
  <c r="F23" i="200"/>
  <c r="F23" i="199"/>
  <c r="E18" i="212"/>
  <c r="E18" i="211"/>
  <c r="E18" i="209"/>
  <c r="E18" i="210"/>
  <c r="E18" i="208"/>
  <c r="E18" i="205"/>
  <c r="E18" i="207"/>
  <c r="E18" i="206"/>
  <c r="E18" i="203"/>
  <c r="E18" i="202"/>
  <c r="E18" i="204"/>
  <c r="E18" i="200"/>
  <c r="E18" i="201"/>
  <c r="E18" i="199"/>
  <c r="E50" i="211"/>
  <c r="E50" i="212"/>
  <c r="E50" i="210"/>
  <c r="E50" i="208"/>
  <c r="E50" i="209"/>
  <c r="E50" i="206"/>
  <c r="E50" i="207"/>
  <c r="E50" i="205"/>
  <c r="E50" i="204"/>
  <c r="E50" i="203"/>
  <c r="E50" i="200"/>
  <c r="E50" i="202"/>
  <c r="E50" i="201"/>
  <c r="E50" i="199"/>
  <c r="E66" i="212"/>
  <c r="E66" i="211"/>
  <c r="E66" i="210"/>
  <c r="E66" i="208"/>
  <c r="E66" i="209"/>
  <c r="E66" i="207"/>
  <c r="E66" i="206"/>
  <c r="E66" i="202"/>
  <c r="E66" i="204"/>
  <c r="E66" i="205"/>
  <c r="E66" i="203"/>
  <c r="E66" i="200"/>
  <c r="E66" i="201"/>
  <c r="E66" i="199"/>
  <c r="E73" i="212"/>
  <c r="E73" i="211"/>
  <c r="E73" i="210"/>
  <c r="E73" i="209"/>
  <c r="E73" i="207"/>
  <c r="E73" i="206"/>
  <c r="E73" i="208"/>
  <c r="E73" i="205"/>
  <c r="E73" i="203"/>
  <c r="E73" i="202"/>
  <c r="E73" i="201"/>
  <c r="E73" i="204"/>
  <c r="E73" i="200"/>
  <c r="E73" i="199"/>
  <c r="F31" i="212"/>
  <c r="F31" i="211"/>
  <c r="F31" i="210"/>
  <c r="F31" i="208"/>
  <c r="F31" i="209"/>
  <c r="F31" i="207"/>
  <c r="F31" i="205"/>
  <c r="F31" i="204"/>
  <c r="F31" i="206"/>
  <c r="F31" i="202"/>
  <c r="F31" i="203"/>
  <c r="F31" i="201"/>
  <c r="F31" i="200"/>
  <c r="F31" i="199"/>
  <c r="F17" i="212"/>
  <c r="F17" i="209"/>
  <c r="F17" i="211"/>
  <c r="F17" i="210"/>
  <c r="F17" i="208"/>
  <c r="F17" i="207"/>
  <c r="F17" i="205"/>
  <c r="F17" i="206"/>
  <c r="F17" i="204"/>
  <c r="F17" i="203"/>
  <c r="F17" i="202"/>
  <c r="F17" i="201"/>
  <c r="F17" i="200"/>
  <c r="F17" i="199"/>
  <c r="E22" i="212"/>
  <c r="E22" i="211"/>
  <c r="E22" i="210"/>
  <c r="E22" i="209"/>
  <c r="E22" i="208"/>
  <c r="E22" i="207"/>
  <c r="E22" i="206"/>
  <c r="E22" i="205"/>
  <c r="E22" i="204"/>
  <c r="E22" i="203"/>
  <c r="E22" i="202"/>
  <c r="E22" i="201"/>
  <c r="E22" i="200"/>
  <c r="E22" i="199"/>
  <c r="E60" i="211"/>
  <c r="E60" i="210"/>
  <c r="E60" i="212"/>
  <c r="E60" i="208"/>
  <c r="E60" i="209"/>
  <c r="E60" i="207"/>
  <c r="E60" i="206"/>
  <c r="E60" i="205"/>
  <c r="E60" i="203"/>
  <c r="E60" i="202"/>
  <c r="E60" i="204"/>
  <c r="E60" i="200"/>
  <c r="E60" i="201"/>
  <c r="E60" i="199"/>
  <c r="E74" i="212"/>
  <c r="E74" i="211"/>
  <c r="E74" i="210"/>
  <c r="E74" i="209"/>
  <c r="E74" i="206"/>
  <c r="E74" i="205"/>
  <c r="E74" i="208"/>
  <c r="E74" i="207"/>
  <c r="E74" i="204"/>
  <c r="E74" i="203"/>
  <c r="E74" i="202"/>
  <c r="E74" i="201"/>
  <c r="E74" i="200"/>
  <c r="E74" i="199"/>
  <c r="E46" i="212"/>
  <c r="E46" i="211"/>
  <c r="E46" i="209"/>
  <c r="E46" i="210"/>
  <c r="E46" i="208"/>
  <c r="E46" i="207"/>
  <c r="E46" i="206"/>
  <c r="E46" i="205"/>
  <c r="E46" i="204"/>
  <c r="E46" i="203"/>
  <c r="E46" i="202"/>
  <c r="E46" i="200"/>
  <c r="E46" i="201"/>
  <c r="E46" i="199"/>
  <c r="E78" i="212"/>
  <c r="E78" i="211"/>
  <c r="E78" i="210"/>
  <c r="E78" i="209"/>
  <c r="E78" i="208"/>
  <c r="E78" i="207"/>
  <c r="E78" i="206"/>
  <c r="E78" i="204"/>
  <c r="E78" i="205"/>
  <c r="E78" i="203"/>
  <c r="E78" i="201"/>
  <c r="E78" i="200"/>
  <c r="E78" i="202"/>
  <c r="E78" i="199"/>
  <c r="E67" i="212"/>
  <c r="E67" i="211"/>
  <c r="E67" i="210"/>
  <c r="E67" i="209"/>
  <c r="E67" i="208"/>
  <c r="E67" i="207"/>
  <c r="E67" i="206"/>
  <c r="E67" i="205"/>
  <c r="E67" i="203"/>
  <c r="E67" i="202"/>
  <c r="E67" i="204"/>
  <c r="E67" i="200"/>
  <c r="E67" i="201"/>
  <c r="E67" i="199"/>
  <c r="F16" i="212"/>
  <c r="F16" i="211"/>
  <c r="F16" i="210"/>
  <c r="F16" i="209"/>
  <c r="F16" i="208"/>
  <c r="F16" i="205"/>
  <c r="F16" i="207"/>
  <c r="F16" i="204"/>
  <c r="F16" i="203"/>
  <c r="F16" i="202"/>
  <c r="F16" i="206"/>
  <c r="F16" i="200"/>
  <c r="F16" i="201"/>
  <c r="F16" i="199"/>
  <c r="F24" i="212"/>
  <c r="F24" i="211"/>
  <c r="F24" i="210"/>
  <c r="F24" i="205"/>
  <c r="F24" i="209"/>
  <c r="F24" i="208"/>
  <c r="F24" i="207"/>
  <c r="F24" i="206"/>
  <c r="F24" i="204"/>
  <c r="F24" i="203"/>
  <c r="F24" i="202"/>
  <c r="F24" i="201"/>
  <c r="F24" i="200"/>
  <c r="F24" i="199"/>
  <c r="E71" i="212"/>
  <c r="E71" i="211"/>
  <c r="E71" i="210"/>
  <c r="E71" i="209"/>
  <c r="E71" i="208"/>
  <c r="E71" i="207"/>
  <c r="E71" i="206"/>
  <c r="E71" i="205"/>
  <c r="E71" i="203"/>
  <c r="E71" i="202"/>
  <c r="E71" i="204"/>
  <c r="E71" i="201"/>
  <c r="E71" i="200"/>
  <c r="E71" i="199"/>
  <c r="F21" i="212"/>
  <c r="F21" i="211"/>
  <c r="F21" i="210"/>
  <c r="F21" i="209"/>
  <c r="F21" i="206"/>
  <c r="F21" i="208"/>
  <c r="F21" i="207"/>
  <c r="F21" i="205"/>
  <c r="F21" i="203"/>
  <c r="F21" i="204"/>
  <c r="F21" i="200"/>
  <c r="F21" i="202"/>
  <c r="F21" i="201"/>
  <c r="F21" i="199"/>
  <c r="E25" i="212"/>
  <c r="E25" i="211"/>
  <c r="E25" i="210"/>
  <c r="E25" i="207"/>
  <c r="E25" i="209"/>
  <c r="E25" i="208"/>
  <c r="E25" i="205"/>
  <c r="E25" i="204"/>
  <c r="E25" i="203"/>
  <c r="E25" i="202"/>
  <c r="E25" i="206"/>
  <c r="E25" i="201"/>
  <c r="E25" i="200"/>
  <c r="E25" i="199"/>
  <c r="E27" i="211"/>
  <c r="E27" i="212"/>
  <c r="E27" i="210"/>
  <c r="E27" i="209"/>
  <c r="E27" i="207"/>
  <c r="E27" i="208"/>
  <c r="E27" i="205"/>
  <c r="E27" i="204"/>
  <c r="E27" i="202"/>
  <c r="E27" i="206"/>
  <c r="E27" i="203"/>
  <c r="E27" i="201"/>
  <c r="E27" i="200"/>
  <c r="E27" i="199"/>
  <c r="E52" i="211"/>
  <c r="E52" i="212"/>
  <c r="E52" i="210"/>
  <c r="E52" i="209"/>
  <c r="E52" i="208"/>
  <c r="E52" i="205"/>
  <c r="E52" i="207"/>
  <c r="E52" i="206"/>
  <c r="E52" i="204"/>
  <c r="E52" i="202"/>
  <c r="E52" i="203"/>
  <c r="E52" i="201"/>
  <c r="E52" i="200"/>
  <c r="E52" i="199"/>
  <c r="E56" i="212"/>
  <c r="E56" i="211"/>
  <c r="E56" i="209"/>
  <c r="E56" i="210"/>
  <c r="E56" i="207"/>
  <c r="E56" i="206"/>
  <c r="E56" i="208"/>
  <c r="E56" i="205"/>
  <c r="E56" i="204"/>
  <c r="E56" i="203"/>
  <c r="E56" i="202"/>
  <c r="E56" i="200"/>
  <c r="E56" i="201"/>
  <c r="E56" i="199"/>
  <c r="E81" i="212"/>
  <c r="E81" i="211"/>
  <c r="E81" i="209"/>
  <c r="E81" i="210"/>
  <c r="E81" i="206"/>
  <c r="E81" i="208"/>
  <c r="E81" i="205"/>
  <c r="E81" i="207"/>
  <c r="E81" i="204"/>
  <c r="E81" i="203"/>
  <c r="E81" i="202"/>
  <c r="E81" i="201"/>
  <c r="E81" i="200"/>
  <c r="E81" i="199"/>
  <c r="F19" i="212"/>
  <c r="F19" i="211"/>
  <c r="F19" i="210"/>
  <c r="F19" i="208"/>
  <c r="F19" i="207"/>
  <c r="F19" i="206"/>
  <c r="F19" i="209"/>
  <c r="F19" i="205"/>
  <c r="F19" i="204"/>
  <c r="F19" i="203"/>
  <c r="F19" i="202"/>
  <c r="F19" i="201"/>
  <c r="F19" i="200"/>
  <c r="F19" i="199"/>
  <c r="F20" i="211"/>
  <c r="F20" i="212"/>
  <c r="F20" i="210"/>
  <c r="F20" i="209"/>
  <c r="F20" i="208"/>
  <c r="F20" i="207"/>
  <c r="F20" i="206"/>
  <c r="F20" i="205"/>
  <c r="F20" i="203"/>
  <c r="F20" i="204"/>
  <c r="F20" i="202"/>
  <c r="F20" i="200"/>
  <c r="F20" i="201"/>
  <c r="F20" i="199"/>
  <c r="E39" i="212"/>
  <c r="E39" i="210"/>
  <c r="E39" i="211"/>
  <c r="E39" i="208"/>
  <c r="E39" i="209"/>
  <c r="E39" i="207"/>
  <c r="E39" i="203"/>
  <c r="E39" i="205"/>
  <c r="E39" i="204"/>
  <c r="E39" i="206"/>
  <c r="E39" i="202"/>
  <c r="E39" i="201"/>
  <c r="E39" i="200"/>
  <c r="E39" i="199"/>
  <c r="E29" i="211"/>
  <c r="E29" i="212"/>
  <c r="E29" i="210"/>
  <c r="E29" i="209"/>
  <c r="E29" i="208"/>
  <c r="E29" i="207"/>
  <c r="E29" i="205"/>
  <c r="E29" i="206"/>
  <c r="E29" i="203"/>
  <c r="E29" i="204"/>
  <c r="E29" i="201"/>
  <c r="E29" i="200"/>
  <c r="E29" i="202"/>
  <c r="E29" i="199"/>
  <c r="E44" i="212"/>
  <c r="E44" i="211"/>
  <c r="E44" i="210"/>
  <c r="E44" i="209"/>
  <c r="E44" i="208"/>
  <c r="E44" i="206"/>
  <c r="E44" i="205"/>
  <c r="E44" i="207"/>
  <c r="E44" i="204"/>
  <c r="E44" i="203"/>
  <c r="E44" i="202"/>
  <c r="E44" i="201"/>
  <c r="E44" i="200"/>
  <c r="E44" i="199"/>
  <c r="E48" i="212"/>
  <c r="E48" i="211"/>
  <c r="E48" i="209"/>
  <c r="E48" i="208"/>
  <c r="E48" i="210"/>
  <c r="E48" i="207"/>
  <c r="E48" i="206"/>
  <c r="E48" i="205"/>
  <c r="E48" i="203"/>
  <c r="E48" i="204"/>
  <c r="E48" i="202"/>
  <c r="E48" i="201"/>
  <c r="E48" i="200"/>
  <c r="E48" i="199"/>
  <c r="E58" i="211"/>
  <c r="E58" i="212"/>
  <c r="E58" i="210"/>
  <c r="E58" i="209"/>
  <c r="E58" i="206"/>
  <c r="E58" i="208"/>
  <c r="E58" i="207"/>
  <c r="E58" i="205"/>
  <c r="E58" i="204"/>
  <c r="E58" i="203"/>
  <c r="E58" i="202"/>
  <c r="E58" i="200"/>
  <c r="E58" i="201"/>
  <c r="E58" i="199"/>
  <c r="E80" i="212"/>
  <c r="E80" i="211"/>
  <c r="E80" i="210"/>
  <c r="E80" i="209"/>
  <c r="E80" i="207"/>
  <c r="E80" i="208"/>
  <c r="E80" i="206"/>
  <c r="E80" i="205"/>
  <c r="E80" i="203"/>
  <c r="E80" i="202"/>
  <c r="E80" i="201"/>
  <c r="E80" i="204"/>
  <c r="E80" i="200"/>
  <c r="E80" i="199"/>
  <c r="E62" i="212"/>
  <c r="E62" i="211"/>
  <c r="E62" i="210"/>
  <c r="E62" i="208"/>
  <c r="E62" i="209"/>
  <c r="E62" i="205"/>
  <c r="E62" i="206"/>
  <c r="E62" i="207"/>
  <c r="E62" i="204"/>
  <c r="E62" i="203"/>
  <c r="E62" i="202"/>
  <c r="E62" i="201"/>
  <c r="E62" i="200"/>
  <c r="E62" i="199"/>
  <c r="E79" i="212"/>
  <c r="E79" i="211"/>
  <c r="E79" i="209"/>
  <c r="E79" i="210"/>
  <c r="E79" i="206"/>
  <c r="E79" i="205"/>
  <c r="E79" i="207"/>
  <c r="E79" i="208"/>
  <c r="E79" i="204"/>
  <c r="E79" i="203"/>
  <c r="E79" i="202"/>
  <c r="E79" i="201"/>
  <c r="E79" i="200"/>
  <c r="E79" i="199"/>
  <c r="E15" i="211"/>
  <c r="E15" i="212"/>
  <c r="E15" i="210"/>
  <c r="E15" i="207"/>
  <c r="E15" i="206"/>
  <c r="E15" i="209"/>
  <c r="E15" i="208"/>
  <c r="E15" i="203"/>
  <c r="E15" i="205"/>
  <c r="E15" i="204"/>
  <c r="E15" i="202"/>
  <c r="E15" i="200"/>
  <c r="E15" i="201"/>
  <c r="E15" i="199"/>
  <c r="E54" i="212"/>
  <c r="E54" i="211"/>
  <c r="E54" i="210"/>
  <c r="E54" i="209"/>
  <c r="E54" i="208"/>
  <c r="E54" i="207"/>
  <c r="E54" i="206"/>
  <c r="E54" i="205"/>
  <c r="E54" i="202"/>
  <c r="E54" i="204"/>
  <c r="E54" i="203"/>
  <c r="E54" i="201"/>
  <c r="E54" i="200"/>
  <c r="E54" i="199"/>
  <c r="E33" i="212"/>
  <c r="E33" i="211"/>
  <c r="E33" i="210"/>
  <c r="E33" i="209"/>
  <c r="E33" i="208"/>
  <c r="E33" i="207"/>
  <c r="E33" i="206"/>
  <c r="E33" i="204"/>
  <c r="E33" i="203"/>
  <c r="E33" i="205"/>
  <c r="E33" i="202"/>
  <c r="E33" i="201"/>
  <c r="E33" i="200"/>
  <c r="E33" i="199"/>
  <c r="H6" i="202"/>
  <c r="M6" i="202" s="1"/>
  <c r="H6" i="201"/>
  <c r="M6" i="201" s="1"/>
  <c r="H6" i="210"/>
  <c r="M6" i="210" s="1"/>
  <c r="H6" i="200"/>
  <c r="M6" i="200" s="1"/>
  <c r="H6" i="208"/>
  <c r="M6" i="208" s="1"/>
  <c r="H6" i="207"/>
  <c r="M6" i="207" s="1"/>
  <c r="H6" i="212"/>
  <c r="M6" i="212" s="1"/>
  <c r="H6" i="209"/>
  <c r="M6" i="209" s="1"/>
  <c r="K25" i="2"/>
  <c r="A15" i="19"/>
  <c r="A14" i="198"/>
  <c r="M6" i="17"/>
  <c r="K28" i="2"/>
  <c r="K54" i="2"/>
  <c r="K26" i="2"/>
  <c r="K56" i="2"/>
  <c r="I21" i="2"/>
  <c r="I11" i="2"/>
  <c r="I20" i="2"/>
  <c r="K27" i="2"/>
  <c r="K41" i="2"/>
  <c r="I18" i="2"/>
  <c r="A15" i="18"/>
  <c r="K7" i="18"/>
  <c r="N7" i="19"/>
  <c r="H7" i="196" s="1"/>
  <c r="BP7" i="18"/>
  <c r="BO7" i="18"/>
  <c r="BJ7" i="19"/>
  <c r="H7" i="197" s="1"/>
  <c r="BG7" i="18"/>
  <c r="K48" i="2"/>
  <c r="I14" i="2"/>
  <c r="I13" i="2"/>
  <c r="I19" i="2"/>
  <c r="I12" i="2"/>
  <c r="K6" i="2"/>
  <c r="L6" i="2"/>
  <c r="M6" i="2"/>
  <c r="N6" i="2"/>
  <c r="N7" i="2"/>
  <c r="L7" i="2"/>
  <c r="M7" i="2"/>
  <c r="L33" i="2"/>
  <c r="N33" i="2"/>
  <c r="M33" i="2"/>
  <c r="K33" i="2"/>
  <c r="K39" i="2"/>
  <c r="M39" i="2"/>
  <c r="L41" i="2"/>
  <c r="N39" i="2"/>
  <c r="L39" i="2"/>
  <c r="M42" i="2"/>
  <c r="L42" i="2"/>
  <c r="N40" i="2"/>
  <c r="N42" i="2"/>
  <c r="M41" i="2"/>
  <c r="M40" i="2"/>
  <c r="L40" i="2"/>
  <c r="N41" i="2"/>
  <c r="M26" i="2"/>
  <c r="L28" i="2"/>
  <c r="L25" i="2"/>
  <c r="M27" i="2"/>
  <c r="N27" i="2"/>
  <c r="M28" i="2"/>
  <c r="L26" i="2"/>
  <c r="N25" i="2"/>
  <c r="M25" i="2"/>
  <c r="L27" i="2"/>
  <c r="N26" i="2"/>
  <c r="N28" i="2"/>
  <c r="K34" i="2"/>
  <c r="M34" i="2"/>
  <c r="L34" i="2"/>
  <c r="N34" i="2"/>
  <c r="F24" i="1"/>
  <c r="F23" i="17"/>
  <c r="F25" i="1"/>
  <c r="F24" i="17"/>
  <c r="E15" i="17"/>
  <c r="K5" i="2"/>
  <c r="M5" i="2"/>
  <c r="N5" i="2"/>
  <c r="L5" i="2"/>
  <c r="E44" i="17"/>
  <c r="E60" i="17"/>
  <c r="E58" i="17"/>
  <c r="K4" i="2"/>
  <c r="K7" i="2"/>
  <c r="L4" i="2"/>
  <c r="M4" i="2"/>
  <c r="N4" i="2"/>
  <c r="N35" i="2"/>
  <c r="M35" i="2"/>
  <c r="L35" i="2"/>
  <c r="F32" i="1"/>
  <c r="F31" i="17"/>
  <c r="F18" i="1"/>
  <c r="F17" i="17"/>
  <c r="E22" i="17"/>
  <c r="E29" i="17"/>
  <c r="E27" i="17"/>
  <c r="E50" i="17"/>
  <c r="K46" i="2"/>
  <c r="M46" i="2"/>
  <c r="N48" i="2"/>
  <c r="M49" i="2"/>
  <c r="L47" i="2"/>
  <c r="N46" i="2"/>
  <c r="M48" i="2"/>
  <c r="L48" i="2"/>
  <c r="N47" i="2"/>
  <c r="N49" i="2"/>
  <c r="L46" i="2"/>
  <c r="M47" i="2"/>
  <c r="L49" i="2"/>
  <c r="K40" i="2"/>
  <c r="K47" i="2"/>
  <c r="E33" i="17"/>
  <c r="E56" i="17"/>
  <c r="F17" i="1"/>
  <c r="F16" i="17"/>
  <c r="F22" i="1"/>
  <c r="F21" i="17"/>
  <c r="E39" i="17"/>
  <c r="K32" i="2"/>
  <c r="M32" i="2"/>
  <c r="L32" i="2"/>
  <c r="K35" i="2"/>
  <c r="N32" i="2"/>
  <c r="E48" i="17"/>
  <c r="K42" i="2"/>
  <c r="K49" i="2"/>
  <c r="E46" i="17"/>
  <c r="E62" i="17"/>
  <c r="E81" i="17"/>
  <c r="E79" i="17"/>
  <c r="M53" i="2"/>
  <c r="L56" i="2"/>
  <c r="L53" i="2"/>
  <c r="M56" i="2"/>
  <c r="N55" i="2"/>
  <c r="M55" i="2"/>
  <c r="L54" i="2"/>
  <c r="N53" i="2"/>
  <c r="M54" i="2"/>
  <c r="L55" i="2"/>
  <c r="N54" i="2"/>
  <c r="N56" i="2"/>
  <c r="F20" i="1"/>
  <c r="F19" i="17"/>
  <c r="F21" i="1"/>
  <c r="F20" i="17"/>
  <c r="E18" i="17"/>
  <c r="E25" i="17"/>
  <c r="E67" i="17"/>
  <c r="E54" i="17"/>
  <c r="E74" i="17"/>
  <c r="E52" i="17"/>
  <c r="E66" i="17"/>
  <c r="E71" i="17"/>
  <c r="E80" i="17"/>
  <c r="E73" i="17"/>
  <c r="E78" i="17"/>
  <c r="M19" i="2" l="1"/>
  <c r="E23" i="212"/>
  <c r="E23" i="210"/>
  <c r="E23" i="211"/>
  <c r="E23" i="209"/>
  <c r="E23" i="208"/>
  <c r="E23" i="207"/>
  <c r="E23" i="206"/>
  <c r="E23" i="203"/>
  <c r="E23" i="205"/>
  <c r="E23" i="204"/>
  <c r="E23" i="202"/>
  <c r="E23" i="200"/>
  <c r="E23" i="201"/>
  <c r="E23" i="199"/>
  <c r="E19" i="212"/>
  <c r="E19" i="211"/>
  <c r="E19" i="209"/>
  <c r="E19" i="210"/>
  <c r="E19" i="208"/>
  <c r="E19" i="207"/>
  <c r="E19" i="205"/>
  <c r="E19" i="204"/>
  <c r="E19" i="202"/>
  <c r="E19" i="206"/>
  <c r="E19" i="203"/>
  <c r="E19" i="201"/>
  <c r="E19" i="200"/>
  <c r="E19" i="199"/>
  <c r="E17" i="212"/>
  <c r="E17" i="211"/>
  <c r="E17" i="210"/>
  <c r="E17" i="208"/>
  <c r="E17" i="206"/>
  <c r="E17" i="209"/>
  <c r="E17" i="207"/>
  <c r="E17" i="205"/>
  <c r="E17" i="202"/>
  <c r="E17" i="204"/>
  <c r="E17" i="203"/>
  <c r="E17" i="200"/>
  <c r="E17" i="201"/>
  <c r="E17" i="199"/>
  <c r="E16" i="212"/>
  <c r="E16" i="210"/>
  <c r="E16" i="211"/>
  <c r="E16" i="208"/>
  <c r="E16" i="206"/>
  <c r="E16" i="209"/>
  <c r="E16" i="207"/>
  <c r="E16" i="205"/>
  <c r="E16" i="204"/>
  <c r="E16" i="203"/>
  <c r="E16" i="202"/>
  <c r="E16" i="200"/>
  <c r="E16" i="201"/>
  <c r="E16" i="199"/>
  <c r="E24" i="212"/>
  <c r="E24" i="211"/>
  <c r="E24" i="210"/>
  <c r="E24" i="209"/>
  <c r="E24" i="208"/>
  <c r="E24" i="207"/>
  <c r="E24" i="205"/>
  <c r="E24" i="204"/>
  <c r="E24" i="203"/>
  <c r="E24" i="206"/>
  <c r="E24" i="200"/>
  <c r="E24" i="202"/>
  <c r="E24" i="201"/>
  <c r="E24" i="199"/>
  <c r="E20" i="212"/>
  <c r="E20" i="211"/>
  <c r="E20" i="209"/>
  <c r="E20" i="210"/>
  <c r="E20" i="208"/>
  <c r="E20" i="207"/>
  <c r="E20" i="206"/>
  <c r="E20" i="204"/>
  <c r="E20" i="205"/>
  <c r="E20" i="203"/>
  <c r="E20" i="201"/>
  <c r="E20" i="202"/>
  <c r="E20" i="200"/>
  <c r="E20" i="199"/>
  <c r="E31" i="211"/>
  <c r="E31" i="212"/>
  <c r="E31" i="210"/>
  <c r="E31" i="209"/>
  <c r="E31" i="208"/>
  <c r="E31" i="207"/>
  <c r="E31" i="206"/>
  <c r="E31" i="205"/>
  <c r="E31" i="204"/>
  <c r="E31" i="203"/>
  <c r="E31" i="202"/>
  <c r="E31" i="201"/>
  <c r="E31" i="200"/>
  <c r="E31" i="199"/>
  <c r="E21" i="212"/>
  <c r="E21" i="211"/>
  <c r="E21" i="210"/>
  <c r="E21" i="209"/>
  <c r="E21" i="208"/>
  <c r="E21" i="207"/>
  <c r="E21" i="204"/>
  <c r="E21" i="206"/>
  <c r="E21" i="205"/>
  <c r="E21" i="203"/>
  <c r="E21" i="202"/>
  <c r="E21" i="201"/>
  <c r="E21" i="200"/>
  <c r="E21" i="199"/>
  <c r="A16" i="19"/>
  <c r="A15" i="198"/>
  <c r="A12" i="94"/>
  <c r="A42" i="2"/>
  <c r="N12" i="2"/>
  <c r="N21" i="2"/>
  <c r="M11" i="2"/>
  <c r="N11" i="2"/>
  <c r="A40" i="2"/>
  <c r="N18" i="2"/>
  <c r="M13" i="2"/>
  <c r="M20" i="2"/>
  <c r="L18" i="2"/>
  <c r="M21" i="2"/>
  <c r="M14" i="2"/>
  <c r="M12" i="2"/>
  <c r="K12" i="2"/>
  <c r="N13" i="2"/>
  <c r="N14" i="2"/>
  <c r="L11" i="2"/>
  <c r="K11" i="2"/>
  <c r="N20" i="2"/>
  <c r="L14" i="2"/>
  <c r="L13" i="2"/>
  <c r="L12" i="2"/>
  <c r="K14" i="2"/>
  <c r="K20" i="2"/>
  <c r="L21" i="2"/>
  <c r="N19" i="2"/>
  <c r="L19" i="2"/>
  <c r="K18" i="2"/>
  <c r="K19" i="2"/>
  <c r="M18" i="2"/>
  <c r="L20" i="2"/>
  <c r="K21" i="2"/>
  <c r="A35" i="2"/>
  <c r="K13" i="2"/>
  <c r="A16" i="18"/>
  <c r="BK7" i="19"/>
  <c r="I7" i="197" s="1"/>
  <c r="BH7" i="18"/>
  <c r="O7" i="19"/>
  <c r="I7" i="196" s="1"/>
  <c r="L7" i="18"/>
  <c r="A27" i="2"/>
  <c r="A41" i="2"/>
  <c r="A48" i="2"/>
  <c r="A7" i="2"/>
  <c r="A5" i="2"/>
  <c r="A53" i="2"/>
  <c r="A49" i="2"/>
  <c r="A47" i="2"/>
  <c r="A25" i="2"/>
  <c r="A33" i="2"/>
  <c r="E20" i="17"/>
  <c r="E21" i="17"/>
  <c r="A39" i="2"/>
  <c r="A32" i="2"/>
  <c r="E16" i="17"/>
  <c r="E17" i="17"/>
  <c r="A4" i="2"/>
  <c r="E23" i="17"/>
  <c r="A26" i="2"/>
  <c r="E19" i="17"/>
  <c r="A54" i="2"/>
  <c r="E31" i="17"/>
  <c r="A28" i="2"/>
  <c r="A55" i="2"/>
  <c r="A56" i="2"/>
  <c r="A46" i="2"/>
  <c r="E24" i="17"/>
  <c r="A34" i="2"/>
  <c r="A6" i="2"/>
  <c r="A14" i="2" l="1"/>
  <c r="A18" i="2"/>
  <c r="A19" i="2"/>
  <c r="A20" i="2"/>
  <c r="A21" i="2"/>
  <c r="A13" i="2"/>
  <c r="A11" i="2"/>
  <c r="P11" i="2" s="1"/>
  <c r="A12" i="2"/>
  <c r="A17" i="19"/>
  <c r="A16" i="198"/>
  <c r="A13" i="94"/>
  <c r="P56" i="2"/>
  <c r="R56" i="2" s="1"/>
  <c r="P25" i="2"/>
  <c r="U25" i="2" s="1"/>
  <c r="A17" i="18"/>
  <c r="P7" i="19"/>
  <c r="J7" i="196" s="1"/>
  <c r="M7" i="18"/>
  <c r="BL7" i="19"/>
  <c r="J7" i="197" s="1"/>
  <c r="BI7" i="18"/>
  <c r="P28" i="2"/>
  <c r="R28" i="2" s="1"/>
  <c r="P53" i="2"/>
  <c r="T53" i="2" s="1"/>
  <c r="P26" i="2"/>
  <c r="Q26" i="2" s="1"/>
  <c r="P27" i="2"/>
  <c r="P54" i="2"/>
  <c r="P19" i="2"/>
  <c r="P18" i="2"/>
  <c r="P7" i="2"/>
  <c r="P5" i="2"/>
  <c r="P6" i="2"/>
  <c r="P4" i="2"/>
  <c r="P34" i="2"/>
  <c r="P33" i="2"/>
  <c r="P35" i="2"/>
  <c r="P32" i="2"/>
  <c r="P55" i="2"/>
  <c r="P48" i="2"/>
  <c r="P47" i="2"/>
  <c r="P49" i="2"/>
  <c r="P46" i="2"/>
  <c r="P42" i="2"/>
  <c r="P39" i="2"/>
  <c r="P41" i="2"/>
  <c r="P40" i="2"/>
  <c r="P13" i="2" l="1"/>
  <c r="P21" i="2"/>
  <c r="P12" i="2"/>
  <c r="P20" i="2"/>
  <c r="T26" i="2"/>
  <c r="P14" i="2"/>
  <c r="A18" i="19"/>
  <c r="A17" i="198"/>
  <c r="A14" i="94"/>
  <c r="T56" i="2"/>
  <c r="V26" i="2"/>
  <c r="R26" i="2"/>
  <c r="R25" i="2"/>
  <c r="T25" i="2"/>
  <c r="S25" i="2"/>
  <c r="W56" i="2"/>
  <c r="Q56" i="2"/>
  <c r="V56" i="2"/>
  <c r="W26" i="2"/>
  <c r="U56" i="2"/>
  <c r="S56" i="2"/>
  <c r="U26" i="2"/>
  <c r="V25" i="2"/>
  <c r="S26" i="2"/>
  <c r="Q25" i="2"/>
  <c r="T28" i="2"/>
  <c r="W25" i="2"/>
  <c r="V28" i="2"/>
  <c r="W28" i="2"/>
  <c r="Q28" i="2"/>
  <c r="Q53" i="2"/>
  <c r="S53" i="2"/>
  <c r="S28" i="2"/>
  <c r="U53" i="2"/>
  <c r="A18" i="18"/>
  <c r="BM7" i="19"/>
  <c r="K7" i="197" s="1"/>
  <c r="BJ7" i="18"/>
  <c r="Q7" i="19"/>
  <c r="K7" i="196" s="1"/>
  <c r="N7" i="18"/>
  <c r="U28" i="2"/>
  <c r="W53" i="2"/>
  <c r="R53" i="2"/>
  <c r="V53" i="2"/>
  <c r="T40" i="2"/>
  <c r="U40" i="2"/>
  <c r="Q40" i="2"/>
  <c r="V40" i="2"/>
  <c r="R40" i="2"/>
  <c r="W40" i="2"/>
  <c r="S40" i="2"/>
  <c r="R46" i="2"/>
  <c r="Q46" i="2"/>
  <c r="T46" i="2"/>
  <c r="U46" i="2"/>
  <c r="V46" i="2"/>
  <c r="S46" i="2"/>
  <c r="W46" i="2"/>
  <c r="R55" i="2"/>
  <c r="W55" i="2"/>
  <c r="V55" i="2"/>
  <c r="U55" i="2"/>
  <c r="S55" i="2"/>
  <c r="Q55" i="2"/>
  <c r="T55" i="2"/>
  <c r="V34" i="2"/>
  <c r="S34" i="2"/>
  <c r="Q34" i="2"/>
  <c r="W34" i="2"/>
  <c r="R34" i="2"/>
  <c r="T34" i="2"/>
  <c r="U34" i="2"/>
  <c r="W7" i="2"/>
  <c r="S7" i="2"/>
  <c r="Q7" i="2"/>
  <c r="T7" i="2"/>
  <c r="U7" i="2"/>
  <c r="R7" i="2"/>
  <c r="V7" i="2"/>
  <c r="R18" i="2"/>
  <c r="T18" i="2"/>
  <c r="Q18" i="2"/>
  <c r="U18" i="2"/>
  <c r="V18" i="2"/>
  <c r="S18" i="2"/>
  <c r="W18" i="2"/>
  <c r="T54" i="2"/>
  <c r="V54" i="2"/>
  <c r="Q54" i="2"/>
  <c r="U54" i="2"/>
  <c r="R54" i="2"/>
  <c r="S54" i="2"/>
  <c r="W54" i="2"/>
  <c r="U11" i="2"/>
  <c r="S11" i="2"/>
  <c r="R11" i="2"/>
  <c r="W11" i="2"/>
  <c r="Q11" i="2"/>
  <c r="T11" i="2"/>
  <c r="V11" i="2"/>
  <c r="R41" i="2"/>
  <c r="V41" i="2"/>
  <c r="W41" i="2"/>
  <c r="S41" i="2"/>
  <c r="Q41" i="2"/>
  <c r="T41" i="2"/>
  <c r="U41" i="2"/>
  <c r="W49" i="2"/>
  <c r="Q49" i="2"/>
  <c r="T49" i="2"/>
  <c r="U49" i="2"/>
  <c r="S49" i="2"/>
  <c r="R49" i="2"/>
  <c r="V49" i="2"/>
  <c r="R32" i="2"/>
  <c r="T32" i="2"/>
  <c r="Q32" i="2"/>
  <c r="U32" i="2"/>
  <c r="V32" i="2"/>
  <c r="S32" i="2"/>
  <c r="W32" i="2"/>
  <c r="S4" i="2"/>
  <c r="T4" i="2"/>
  <c r="Q4" i="2"/>
  <c r="U4" i="2"/>
  <c r="V4" i="2"/>
  <c r="R4" i="2"/>
  <c r="W4" i="2"/>
  <c r="T21" i="2"/>
  <c r="W21" i="2"/>
  <c r="Q21" i="2"/>
  <c r="U21" i="2"/>
  <c r="S21" i="2"/>
  <c r="R21" i="2"/>
  <c r="V21" i="2"/>
  <c r="R27" i="2"/>
  <c r="T27" i="2"/>
  <c r="W27" i="2"/>
  <c r="V27" i="2"/>
  <c r="U27" i="2"/>
  <c r="S27" i="2"/>
  <c r="Q27" i="2"/>
  <c r="Q14" i="2"/>
  <c r="S14" i="2"/>
  <c r="R14" i="2"/>
  <c r="W14" i="2"/>
  <c r="T14" i="2"/>
  <c r="V14" i="2"/>
  <c r="U14" i="2"/>
  <c r="S39" i="2"/>
  <c r="T39" i="2"/>
  <c r="U39" i="2"/>
  <c r="R39" i="2"/>
  <c r="V39" i="2"/>
  <c r="Q39" i="2"/>
  <c r="W39" i="2"/>
  <c r="R47" i="2"/>
  <c r="T47" i="2"/>
  <c r="U47" i="2"/>
  <c r="S47" i="2"/>
  <c r="V47" i="2"/>
  <c r="W47" i="2"/>
  <c r="Q47" i="2"/>
  <c r="W35" i="2"/>
  <c r="Q35" i="2"/>
  <c r="U35" i="2"/>
  <c r="S35" i="2"/>
  <c r="R35" i="2"/>
  <c r="T35" i="2"/>
  <c r="V35" i="2"/>
  <c r="Q6" i="2"/>
  <c r="V6" i="2"/>
  <c r="W6" i="2"/>
  <c r="R6" i="2"/>
  <c r="S6" i="2"/>
  <c r="T6" i="2"/>
  <c r="U6" i="2"/>
  <c r="Y25" i="2"/>
  <c r="R19" i="2"/>
  <c r="U19" i="2"/>
  <c r="S19" i="2"/>
  <c r="V19" i="2"/>
  <c r="T19" i="2"/>
  <c r="W19" i="2"/>
  <c r="Q19" i="2"/>
  <c r="T12" i="2"/>
  <c r="V12" i="2"/>
  <c r="Q12" i="2"/>
  <c r="U12" i="2"/>
  <c r="R12" i="2"/>
  <c r="S12" i="2"/>
  <c r="W12" i="2"/>
  <c r="Q42" i="2"/>
  <c r="W42" i="2"/>
  <c r="S42" i="2"/>
  <c r="R42" i="2"/>
  <c r="T42" i="2"/>
  <c r="U42" i="2"/>
  <c r="V42" i="2"/>
  <c r="V48" i="2"/>
  <c r="S48" i="2"/>
  <c r="Q48" i="2"/>
  <c r="W48" i="2"/>
  <c r="R48" i="2"/>
  <c r="T48" i="2"/>
  <c r="U48" i="2"/>
  <c r="R33" i="2"/>
  <c r="U33" i="2"/>
  <c r="S33" i="2"/>
  <c r="V33" i="2"/>
  <c r="W33" i="2"/>
  <c r="Q33" i="2"/>
  <c r="T33" i="2"/>
  <c r="R5" i="2"/>
  <c r="U5" i="2"/>
  <c r="T5" i="2"/>
  <c r="V5" i="2"/>
  <c r="S5" i="2"/>
  <c r="Q5" i="2"/>
  <c r="W5" i="2"/>
  <c r="V20" i="2"/>
  <c r="S20" i="2"/>
  <c r="Q20" i="2"/>
  <c r="W20" i="2"/>
  <c r="R20" i="2"/>
  <c r="T20" i="2"/>
  <c r="U20" i="2"/>
  <c r="R13" i="2"/>
  <c r="W13" i="2"/>
  <c r="T13" i="2"/>
  <c r="V13" i="2"/>
  <c r="U13" i="2"/>
  <c r="S13" i="2"/>
  <c r="Q13" i="2"/>
  <c r="A19" i="19" l="1"/>
  <c r="A18" i="198"/>
  <c r="A15" i="94"/>
  <c r="A19" i="18"/>
  <c r="BN7" i="19"/>
  <c r="BK7" i="18"/>
  <c r="R7" i="19"/>
  <c r="L7" i="196" s="1"/>
  <c r="O7" i="18"/>
  <c r="Y27" i="2"/>
  <c r="Y55" i="2"/>
  <c r="Y53" i="2"/>
  <c r="Y54" i="2"/>
  <c r="Y26" i="2"/>
  <c r="Y6" i="2"/>
  <c r="Y14" i="2"/>
  <c r="Y34" i="2"/>
  <c r="Y49" i="2"/>
  <c r="Y28" i="2"/>
  <c r="Y7" i="2"/>
  <c r="Y33" i="2"/>
  <c r="Y32" i="2"/>
  <c r="Y42" i="2"/>
  <c r="Y20" i="2"/>
  <c r="Y40" i="2"/>
  <c r="Y39" i="2"/>
  <c r="Y12" i="2"/>
  <c r="Y11" i="2"/>
  <c r="Y35" i="2"/>
  <c r="Y56" i="2"/>
  <c r="Y41" i="2"/>
  <c r="Y21" i="2"/>
  <c r="Y5" i="2"/>
  <c r="Y4" i="2"/>
  <c r="Y13" i="2"/>
  <c r="Y48" i="2"/>
  <c r="Y19" i="2"/>
  <c r="Y18" i="2"/>
  <c r="Y47" i="2"/>
  <c r="Y46" i="2"/>
  <c r="A20" i="19" l="1"/>
  <c r="A19" i="198"/>
  <c r="A16" i="94"/>
  <c r="BL7" i="18"/>
  <c r="L7" i="197"/>
  <c r="E8" i="197" s="1"/>
  <c r="F8" i="197" s="1"/>
  <c r="G8" i="197" s="1"/>
  <c r="H8" i="197" s="1"/>
  <c r="I8" i="197" s="1"/>
  <c r="J8" i="197" s="1"/>
  <c r="K8" i="197" s="1"/>
  <c r="L8" i="197" s="1"/>
  <c r="M8" i="197" s="1"/>
  <c r="N8" i="197" s="1"/>
  <c r="O8" i="197" s="1"/>
  <c r="P8" i="197" s="1"/>
  <c r="Q8" i="197" s="1"/>
  <c r="R8" i="197" s="1"/>
  <c r="S8" i="197" s="1"/>
  <c r="T8" i="197" s="1"/>
  <c r="A20" i="18"/>
  <c r="S7" i="19"/>
  <c r="M7" i="196" s="1"/>
  <c r="P7" i="18"/>
  <c r="AZ49" i="2"/>
  <c r="AZ45" i="2"/>
  <c r="AZ41" i="2"/>
  <c r="AZ37" i="2"/>
  <c r="AZ33" i="2"/>
  <c r="AZ29" i="2"/>
  <c r="AZ25" i="2"/>
  <c r="AZ21" i="2"/>
  <c r="AZ17" i="2"/>
  <c r="AZ13" i="2"/>
  <c r="AZ9" i="2"/>
  <c r="AZ5" i="2"/>
  <c r="BC49" i="2"/>
  <c r="BC45" i="2"/>
  <c r="BC41" i="2"/>
  <c r="BC37" i="2"/>
  <c r="BC33" i="2"/>
  <c r="BC29" i="2"/>
  <c r="BC25" i="2"/>
  <c r="BC21" i="2"/>
  <c r="BC17" i="2"/>
  <c r="BC13" i="2"/>
  <c r="BC9" i="2"/>
  <c r="BC5" i="2"/>
  <c r="BA49" i="2"/>
  <c r="BA45" i="2"/>
  <c r="BA41" i="2"/>
  <c r="BA37" i="2"/>
  <c r="BA33" i="2"/>
  <c r="BA29" i="2"/>
  <c r="BA25" i="2"/>
  <c r="BA21" i="2"/>
  <c r="BA17" i="2"/>
  <c r="BA13" i="2"/>
  <c r="BA9" i="2"/>
  <c r="BA5" i="2"/>
  <c r="BD49" i="2"/>
  <c r="BD45" i="2"/>
  <c r="BD41" i="2"/>
  <c r="BD37" i="2"/>
  <c r="BD33" i="2"/>
  <c r="BD29" i="2"/>
  <c r="BD25" i="2"/>
  <c r="BD21" i="2"/>
  <c r="BD17" i="2"/>
  <c r="BD13" i="2"/>
  <c r="BD9" i="2"/>
  <c r="BD5" i="2"/>
  <c r="BB29" i="2"/>
  <c r="AZ48" i="2"/>
  <c r="AZ44" i="2"/>
  <c r="AZ40" i="2"/>
  <c r="AZ36" i="2"/>
  <c r="AZ32" i="2"/>
  <c r="AZ28" i="2"/>
  <c r="AZ24" i="2"/>
  <c r="AZ20" i="2"/>
  <c r="AZ16" i="2"/>
  <c r="AZ12" i="2"/>
  <c r="AZ8" i="2"/>
  <c r="AZ4" i="2"/>
  <c r="BC48" i="2"/>
  <c r="BC44" i="2"/>
  <c r="BC40" i="2"/>
  <c r="BC36" i="2"/>
  <c r="BC32" i="2"/>
  <c r="BC28" i="2"/>
  <c r="BC24" i="2"/>
  <c r="BC20" i="2"/>
  <c r="BC16" i="2"/>
  <c r="BC12" i="2"/>
  <c r="BC8" i="2"/>
  <c r="BC4" i="2"/>
  <c r="BB41" i="2"/>
  <c r="AY50" i="2"/>
  <c r="AY46" i="2"/>
  <c r="AY42" i="2"/>
  <c r="AY38" i="2"/>
  <c r="AY34" i="2"/>
  <c r="AY30" i="2"/>
  <c r="AY26" i="2"/>
  <c r="AY22" i="2"/>
  <c r="AY18" i="2"/>
  <c r="AY14" i="2"/>
  <c r="AY10" i="2"/>
  <c r="AY6" i="2"/>
  <c r="BB50" i="2"/>
  <c r="BB46" i="2"/>
  <c r="BB42" i="2"/>
  <c r="BB38" i="2"/>
  <c r="BB34" i="2"/>
  <c r="BB30" i="2"/>
  <c r="BB26" i="2"/>
  <c r="BB22" i="2"/>
  <c r="BB18" i="2"/>
  <c r="BB14" i="2"/>
  <c r="BB10" i="2"/>
  <c r="BB6" i="2"/>
  <c r="AZ51" i="2"/>
  <c r="AZ47" i="2"/>
  <c r="AZ43" i="2"/>
  <c r="AZ39" i="2"/>
  <c r="AZ35" i="2"/>
  <c r="AZ31" i="2"/>
  <c r="AZ27" i="2"/>
  <c r="AZ23" i="2"/>
  <c r="AZ19" i="2"/>
  <c r="AZ15" i="2"/>
  <c r="AZ11" i="2"/>
  <c r="AZ7" i="2"/>
  <c r="BC51" i="2"/>
  <c r="BC47" i="2"/>
  <c r="BC43" i="2"/>
  <c r="BC39" i="2"/>
  <c r="BC35" i="2"/>
  <c r="BC31" i="2"/>
  <c r="BC27" i="2"/>
  <c r="BC23" i="2"/>
  <c r="BC19" i="2"/>
  <c r="BC15" i="2"/>
  <c r="BC11" i="2"/>
  <c r="BC7" i="2"/>
  <c r="BB33" i="2"/>
  <c r="AY49" i="2"/>
  <c r="AY45" i="2"/>
  <c r="AY41" i="2"/>
  <c r="AY37" i="2"/>
  <c r="AY33" i="2"/>
  <c r="AY29" i="2"/>
  <c r="AY25" i="2"/>
  <c r="AY21" i="2"/>
  <c r="AY17" i="2"/>
  <c r="AY13" i="2"/>
  <c r="AY9" i="2"/>
  <c r="AY5" i="2"/>
  <c r="BB49" i="2"/>
  <c r="BB45" i="2"/>
  <c r="BB37" i="2"/>
  <c r="BB25" i="2"/>
  <c r="BB21" i="2"/>
  <c r="BB17" i="2"/>
  <c r="BB13" i="2"/>
  <c r="BB9" i="2"/>
  <c r="BB5" i="2"/>
  <c r="AZ50" i="2"/>
  <c r="AZ46" i="2"/>
  <c r="AZ42" i="2"/>
  <c r="AZ38" i="2"/>
  <c r="AZ34" i="2"/>
  <c r="AZ30" i="2"/>
  <c r="AZ26" i="2"/>
  <c r="AZ22" i="2"/>
  <c r="AZ18" i="2"/>
  <c r="AZ14" i="2"/>
  <c r="AZ10" i="2"/>
  <c r="AZ6" i="2"/>
  <c r="BC50" i="2"/>
  <c r="BC46" i="2"/>
  <c r="BC42" i="2"/>
  <c r="BC38" i="2"/>
  <c r="BC34" i="2"/>
  <c r="BC30" i="2"/>
  <c r="BC26" i="2"/>
  <c r="BC22" i="2"/>
  <c r="BC18" i="2"/>
  <c r="BC14" i="2"/>
  <c r="BC10" i="2"/>
  <c r="BC6" i="2"/>
  <c r="BA50" i="2"/>
  <c r="BA46" i="2"/>
  <c r="BA42" i="2"/>
  <c r="BA38" i="2"/>
  <c r="BA34" i="2"/>
  <c r="BA30" i="2"/>
  <c r="BA26" i="2"/>
  <c r="BA22" i="2"/>
  <c r="BA18" i="2"/>
  <c r="BA14" i="2"/>
  <c r="BA10" i="2"/>
  <c r="BA6" i="2"/>
  <c r="BD50" i="2"/>
  <c r="BD46" i="2"/>
  <c r="BD42" i="2"/>
  <c r="BD38" i="2"/>
  <c r="BD34" i="2"/>
  <c r="BD30" i="2"/>
  <c r="BD26" i="2"/>
  <c r="BD22" i="2"/>
  <c r="BD18" i="2"/>
  <c r="BD14" i="2"/>
  <c r="BD10" i="2"/>
  <c r="BD6" i="2"/>
  <c r="BB19" i="2"/>
  <c r="BB35" i="2"/>
  <c r="BB51" i="2"/>
  <c r="AY19" i="2"/>
  <c r="AY35" i="2"/>
  <c r="AY51" i="2"/>
  <c r="BB16" i="2"/>
  <c r="BB32" i="2"/>
  <c r="BB48" i="2"/>
  <c r="AY20" i="2"/>
  <c r="AY36" i="2"/>
  <c r="BD19" i="2"/>
  <c r="BD35" i="2"/>
  <c r="BD51" i="2"/>
  <c r="BA19" i="2"/>
  <c r="BA35" i="2"/>
  <c r="BA51" i="2"/>
  <c r="BD12" i="2"/>
  <c r="BD28" i="2"/>
  <c r="BD44" i="2"/>
  <c r="BA12" i="2"/>
  <c r="BA28" i="2"/>
  <c r="BA44" i="2"/>
  <c r="BB7" i="2"/>
  <c r="BB23" i="2"/>
  <c r="BB39" i="2"/>
  <c r="AY7" i="2"/>
  <c r="AY23" i="2"/>
  <c r="AY39" i="2"/>
  <c r="BB4" i="2"/>
  <c r="BB20" i="2"/>
  <c r="BB36" i="2"/>
  <c r="AY8" i="2"/>
  <c r="AY24" i="2"/>
  <c r="AY40" i="2"/>
  <c r="BD7" i="2"/>
  <c r="BD23" i="2"/>
  <c r="BD39" i="2"/>
  <c r="BA7" i="2"/>
  <c r="BA23" i="2"/>
  <c r="BA39" i="2"/>
  <c r="BD16" i="2"/>
  <c r="BD32" i="2"/>
  <c r="BD48" i="2"/>
  <c r="BA16" i="2"/>
  <c r="BA32" i="2"/>
  <c r="BA48" i="2"/>
  <c r="BB11" i="2"/>
  <c r="BB27" i="2"/>
  <c r="BB43" i="2"/>
  <c r="AY11" i="2"/>
  <c r="AY27" i="2"/>
  <c r="AY43" i="2"/>
  <c r="BB8" i="2"/>
  <c r="BB24" i="2"/>
  <c r="BB40" i="2"/>
  <c r="AY12" i="2"/>
  <c r="AY28" i="2"/>
  <c r="AY44" i="2"/>
  <c r="BD11" i="2"/>
  <c r="BD27" i="2"/>
  <c r="BD43" i="2"/>
  <c r="BA11" i="2"/>
  <c r="BA27" i="2"/>
  <c r="BA43" i="2"/>
  <c r="BD4" i="2"/>
  <c r="BD20" i="2"/>
  <c r="BD36" i="2"/>
  <c r="BA4" i="2"/>
  <c r="BA20" i="2"/>
  <c r="BA36" i="2"/>
  <c r="AY4" i="2"/>
  <c r="BB15" i="2"/>
  <c r="BB31" i="2"/>
  <c r="BB47" i="2"/>
  <c r="AY15" i="2"/>
  <c r="AY31" i="2"/>
  <c r="AY47" i="2"/>
  <c r="BB12" i="2"/>
  <c r="BB28" i="2"/>
  <c r="BB44" i="2"/>
  <c r="AY16" i="2"/>
  <c r="AY32" i="2"/>
  <c r="AY48" i="2"/>
  <c r="BD15" i="2"/>
  <c r="BD31" i="2"/>
  <c r="BD47" i="2"/>
  <c r="BA15" i="2"/>
  <c r="BA31" i="2"/>
  <c r="BA47" i="2"/>
  <c r="BD8" i="2"/>
  <c r="BD24" i="2"/>
  <c r="BD40" i="2"/>
  <c r="BA8" i="2"/>
  <c r="BA24" i="2"/>
  <c r="BA40" i="2"/>
  <c r="AA5" i="2" l="1"/>
  <c r="A21" i="19"/>
  <c r="A20" i="198"/>
  <c r="A17" i="94"/>
  <c r="AA40" i="2"/>
  <c r="AA20" i="2"/>
  <c r="AA33" i="2"/>
  <c r="AA21" i="2"/>
  <c r="AC32" i="2"/>
  <c r="A21" i="18"/>
  <c r="T7" i="19"/>
  <c r="N7" i="196" s="1"/>
  <c r="Q7" i="18"/>
  <c r="AD35" i="2"/>
  <c r="AC39" i="2"/>
  <c r="AD46" i="2"/>
  <c r="AD39" i="2"/>
  <c r="AC11" i="2"/>
  <c r="AD32" i="2"/>
  <c r="Z7" i="2"/>
  <c r="AD48" i="2"/>
  <c r="AD4" i="2"/>
  <c r="AB56" i="2"/>
  <c r="AA4" i="2"/>
  <c r="AB47" i="2"/>
  <c r="Z53" i="2"/>
  <c r="Z25" i="2"/>
  <c r="Z55" i="2"/>
  <c r="AC14" i="2"/>
  <c r="Z14" i="2"/>
  <c r="Z34" i="2"/>
  <c r="AC49" i="2"/>
  <c r="Z28" i="2"/>
  <c r="AC53" i="2"/>
  <c r="AC54" i="2"/>
  <c r="Z54" i="2"/>
  <c r="Z26" i="2"/>
  <c r="Z27" i="2"/>
  <c r="AC55" i="2"/>
  <c r="AC26" i="2"/>
  <c r="AC34" i="2"/>
  <c r="AC28" i="2"/>
  <c r="AC25" i="2"/>
  <c r="AC6" i="2"/>
  <c r="Z6" i="2"/>
  <c r="AC27" i="2"/>
  <c r="Z49" i="2"/>
  <c r="AB12" i="2"/>
  <c r="AA12" i="2"/>
  <c r="AD41" i="2"/>
  <c r="AA41" i="2"/>
  <c r="AC13" i="2"/>
  <c r="Z47" i="2"/>
  <c r="AC47" i="2"/>
  <c r="AA7" i="2"/>
  <c r="AF7" i="2" s="1"/>
  <c r="AC7" i="2"/>
  <c r="AA11" i="2"/>
  <c r="Z11" i="2"/>
  <c r="AC21" i="2"/>
  <c r="AA48" i="2"/>
  <c r="Z48" i="2"/>
  <c r="Z40" i="2"/>
  <c r="AF40" i="2" s="1"/>
  <c r="AA35" i="2"/>
  <c r="AB19" i="2"/>
  <c r="AD19" i="2"/>
  <c r="AC19" i="2"/>
  <c r="AA32" i="2"/>
  <c r="AD56" i="2"/>
  <c r="Z56" i="2"/>
  <c r="AA53" i="2"/>
  <c r="AA54" i="2"/>
  <c r="AA25" i="2"/>
  <c r="AA26" i="2"/>
  <c r="AA6" i="2"/>
  <c r="AA27" i="2"/>
  <c r="AA55" i="2"/>
  <c r="AA14" i="2"/>
  <c r="AA34" i="2"/>
  <c r="AA49" i="2"/>
  <c r="AA28" i="2"/>
  <c r="Z4" i="2"/>
  <c r="AF4" i="2" s="1"/>
  <c r="AC18" i="2"/>
  <c r="AB41" i="2"/>
  <c r="AA13" i="2"/>
  <c r="AA47" i="2"/>
  <c r="AB7" i="2"/>
  <c r="AC20" i="2"/>
  <c r="AB11" i="2"/>
  <c r="AB21" i="2"/>
  <c r="AD21" i="2"/>
  <c r="Z46" i="2"/>
  <c r="AC46" i="2"/>
  <c r="AE46" i="2" s="1"/>
  <c r="AB46" i="2"/>
  <c r="AC33" i="2"/>
  <c r="AB33" i="2"/>
  <c r="Z35" i="2"/>
  <c r="AF35" i="2" s="1"/>
  <c r="AB35" i="2"/>
  <c r="AC5" i="2"/>
  <c r="AD5" i="2"/>
  <c r="Z19" i="2"/>
  <c r="Z32" i="2"/>
  <c r="AF32" i="2" s="1"/>
  <c r="AA39" i="2"/>
  <c r="Z39" i="2"/>
  <c r="AB39" i="2"/>
  <c r="AA56" i="2"/>
  <c r="AC4" i="2"/>
  <c r="AE4" i="2" s="1"/>
  <c r="AD18" i="2"/>
  <c r="AB18" i="2"/>
  <c r="AD42" i="2"/>
  <c r="AB42" i="2"/>
  <c r="Z12" i="2"/>
  <c r="AF12" i="2" s="1"/>
  <c r="AD13" i="2"/>
  <c r="AD47" i="2"/>
  <c r="AE32" i="2"/>
  <c r="AD7" i="2"/>
  <c r="AD20" i="2"/>
  <c r="AB20" i="2"/>
  <c r="Z20" i="2"/>
  <c r="AF20" i="2" s="1"/>
  <c r="AD11" i="2"/>
  <c r="AE11" i="2" s="1"/>
  <c r="Z21" i="2"/>
  <c r="AF21" i="2" s="1"/>
  <c r="AC48" i="2"/>
  <c r="AE48" i="2" s="1"/>
  <c r="AB48" i="2"/>
  <c r="AA46" i="2"/>
  <c r="AD33" i="2"/>
  <c r="Z33" i="2"/>
  <c r="AF33" i="2" s="1"/>
  <c r="AD40" i="2"/>
  <c r="AC40" i="2"/>
  <c r="AB40" i="2"/>
  <c r="AC35" i="2"/>
  <c r="AE35" i="2" s="1"/>
  <c r="AB5" i="2"/>
  <c r="Z5" i="2"/>
  <c r="AF5" i="2" s="1"/>
  <c r="AA19" i="2"/>
  <c r="AB32" i="2"/>
  <c r="AC56" i="2"/>
  <c r="AE56" i="2" s="1"/>
  <c r="AD54" i="2"/>
  <c r="AD26" i="2"/>
  <c r="AB14" i="2"/>
  <c r="AB34" i="2"/>
  <c r="AD53" i="2"/>
  <c r="AB55" i="2"/>
  <c r="AB54" i="2"/>
  <c r="AB6" i="2"/>
  <c r="AD14" i="2"/>
  <c r="AB49" i="2"/>
  <c r="AB28" i="2"/>
  <c r="AB53" i="2"/>
  <c r="AB25" i="2"/>
  <c r="AD25" i="2"/>
  <c r="AD55" i="2"/>
  <c r="AD6" i="2"/>
  <c r="AB27" i="2"/>
  <c r="AD27" i="2"/>
  <c r="AD34" i="2"/>
  <c r="AD28" i="2"/>
  <c r="AB26" i="2"/>
  <c r="AD49" i="2"/>
  <c r="AB4" i="2"/>
  <c r="Z18" i="2"/>
  <c r="AA18" i="2"/>
  <c r="Z42" i="2"/>
  <c r="AC42" i="2"/>
  <c r="AE42" i="2" s="1"/>
  <c r="AA42" i="2"/>
  <c r="AD12" i="2"/>
  <c r="AC12" i="2"/>
  <c r="AC41" i="2"/>
  <c r="AE41" i="2" s="1"/>
  <c r="Z41" i="2"/>
  <c r="AF41" i="2" s="1"/>
  <c r="AB13" i="2"/>
  <c r="Z13" i="2"/>
  <c r="AF13" i="2" s="1"/>
  <c r="AE39" i="2" l="1"/>
  <c r="A22" i="19"/>
  <c r="A21" i="198"/>
  <c r="A18" i="94"/>
  <c r="AE12" i="2"/>
  <c r="AE19" i="2"/>
  <c r="AF11" i="2"/>
  <c r="A22" i="18"/>
  <c r="U7" i="19"/>
  <c r="O7" i="196" s="1"/>
  <c r="R7" i="18"/>
  <c r="AF42" i="2"/>
  <c r="AE40" i="2"/>
  <c r="AF48" i="2"/>
  <c r="AF39" i="2"/>
  <c r="AE18" i="2"/>
  <c r="AF49" i="2"/>
  <c r="AF25" i="2"/>
  <c r="AF18" i="2"/>
  <c r="AE5" i="2"/>
  <c r="AE33" i="2"/>
  <c r="AE21" i="2"/>
  <c r="AE6" i="2"/>
  <c r="AE26" i="2"/>
  <c r="AF54" i="2"/>
  <c r="AE49" i="2"/>
  <c r="AF55" i="2"/>
  <c r="AE47" i="2"/>
  <c r="AE25" i="2"/>
  <c r="AE55" i="2"/>
  <c r="AE54" i="2"/>
  <c r="AF34" i="2"/>
  <c r="AG34" i="2" s="1"/>
  <c r="AF19" i="2"/>
  <c r="AF56" i="2"/>
  <c r="AF47" i="2"/>
  <c r="AE27" i="2"/>
  <c r="AE28" i="2"/>
  <c r="AF27" i="2"/>
  <c r="AE53" i="2"/>
  <c r="AF14" i="2"/>
  <c r="AF53" i="2"/>
  <c r="AF46" i="2"/>
  <c r="AE20" i="2"/>
  <c r="AE7" i="2"/>
  <c r="AE13" i="2"/>
  <c r="AF6" i="2"/>
  <c r="AG6" i="2" s="1"/>
  <c r="AE34" i="2"/>
  <c r="AF26" i="2"/>
  <c r="AF28" i="2"/>
  <c r="AE14" i="2"/>
  <c r="AI39" i="2" l="1"/>
  <c r="AH42" i="2"/>
  <c r="AG41" i="2"/>
  <c r="A23" i="19"/>
  <c r="A22" i="198"/>
  <c r="A19" i="94"/>
  <c r="AH40" i="2"/>
  <c r="AI34" i="2"/>
  <c r="AI42" i="2"/>
  <c r="AI40" i="2"/>
  <c r="AG14" i="2"/>
  <c r="AH39" i="2"/>
  <c r="AG48" i="2"/>
  <c r="A23" i="18"/>
  <c r="V7" i="19"/>
  <c r="P7" i="196" s="1"/>
  <c r="S7" i="18"/>
  <c r="AG40" i="2"/>
  <c r="AI25" i="2"/>
  <c r="AG39" i="2"/>
  <c r="AH41" i="2"/>
  <c r="AG35" i="2"/>
  <c r="AG42" i="2"/>
  <c r="AH11" i="2"/>
  <c r="AI41" i="2"/>
  <c r="AG19" i="2"/>
  <c r="AG4" i="2"/>
  <c r="AG13" i="2"/>
  <c r="AI14" i="2"/>
  <c r="AI33" i="2"/>
  <c r="AH28" i="2"/>
  <c r="AI11" i="2"/>
  <c r="AH6" i="2"/>
  <c r="AG5" i="2"/>
  <c r="AG27" i="2"/>
  <c r="AH13" i="2"/>
  <c r="AG55" i="2"/>
  <c r="AG20" i="2"/>
  <c r="AH49" i="2"/>
  <c r="AI49" i="2"/>
  <c r="AI46" i="2"/>
  <c r="AI48" i="2"/>
  <c r="AH48" i="2"/>
  <c r="AI47" i="2"/>
  <c r="AH46" i="2"/>
  <c r="AG46" i="2"/>
  <c r="AH47" i="2"/>
  <c r="X39" i="2"/>
  <c r="AG53" i="2"/>
  <c r="AH53" i="2"/>
  <c r="AI53" i="2"/>
  <c r="AI54" i="2"/>
  <c r="AH55" i="2"/>
  <c r="AI55" i="2"/>
  <c r="AH54" i="2"/>
  <c r="AI56" i="2"/>
  <c r="AH56" i="2"/>
  <c r="AG56" i="2"/>
  <c r="AH5" i="2"/>
  <c r="AI7" i="2"/>
  <c r="AI6" i="2"/>
  <c r="AG21" i="2"/>
  <c r="AI26" i="2"/>
  <c r="AH12" i="2"/>
  <c r="AI12" i="2"/>
  <c r="X40" i="2"/>
  <c r="AH34" i="2"/>
  <c r="AH19" i="2"/>
  <c r="AG18" i="2"/>
  <c r="AI19" i="2"/>
  <c r="AH20" i="2"/>
  <c r="AH21" i="2"/>
  <c r="AH18" i="2"/>
  <c r="AI21" i="2"/>
  <c r="AI20" i="2"/>
  <c r="AI18" i="2"/>
  <c r="AG28" i="2"/>
  <c r="AH7" i="2"/>
  <c r="AI5" i="2"/>
  <c r="X42" i="2"/>
  <c r="AI28" i="2"/>
  <c r="AI27" i="2"/>
  <c r="X34" i="2"/>
  <c r="AG49" i="2"/>
  <c r="AG11" i="2"/>
  <c r="AH35" i="2"/>
  <c r="AI35" i="2"/>
  <c r="AI32" i="2"/>
  <c r="AG54" i="2"/>
  <c r="AL41" i="2"/>
  <c r="AH25" i="2"/>
  <c r="AG26" i="2"/>
  <c r="AG12" i="2"/>
  <c r="AG47" i="2"/>
  <c r="AI4" i="2"/>
  <c r="AH4" i="2"/>
  <c r="AH27" i="2"/>
  <c r="AG25" i="2"/>
  <c r="AH26" i="2"/>
  <c r="AI13" i="2"/>
  <c r="X13" i="2" s="1"/>
  <c r="AH14" i="2"/>
  <c r="AH33" i="2"/>
  <c r="AG32" i="2"/>
  <c r="AH32" i="2"/>
  <c r="AG33" i="2"/>
  <c r="AG7" i="2"/>
  <c r="AL39" i="2" l="1"/>
  <c r="AN39" i="2" s="1"/>
  <c r="AM39" i="2" s="1"/>
  <c r="A24" i="19"/>
  <c r="A23" i="198"/>
  <c r="A20" i="94"/>
  <c r="X27" i="2"/>
  <c r="AL40" i="2"/>
  <c r="AN40" i="2" s="1"/>
  <c r="X19" i="2"/>
  <c r="X41" i="2"/>
  <c r="AL42" i="2"/>
  <c r="AN42" i="2" s="1"/>
  <c r="W7" i="19"/>
  <c r="Q7" i="196" s="1"/>
  <c r="T7" i="18"/>
  <c r="X55" i="2"/>
  <c r="AL35" i="2"/>
  <c r="AN35" i="2" s="1"/>
  <c r="AL19" i="2"/>
  <c r="AN19" i="2" s="1"/>
  <c r="AL34" i="2"/>
  <c r="AN34" i="2" s="1"/>
  <c r="AL13" i="2"/>
  <c r="AN13" i="2" s="1"/>
  <c r="AL5" i="2"/>
  <c r="AN5" i="2" s="1"/>
  <c r="AL14" i="2"/>
  <c r="AN14" i="2" s="1"/>
  <c r="AL27" i="2"/>
  <c r="AN27" i="2" s="1"/>
  <c r="AL48" i="2"/>
  <c r="AN48" i="2" s="1"/>
  <c r="X14" i="2"/>
  <c r="AL55" i="2"/>
  <c r="AN55" i="2" s="1"/>
  <c r="AL7" i="2"/>
  <c r="X53" i="2"/>
  <c r="AL53" i="2"/>
  <c r="X33" i="2"/>
  <c r="AL33" i="2"/>
  <c r="AL6" i="2"/>
  <c r="AL4" i="2"/>
  <c r="X48" i="2"/>
  <c r="X25" i="2"/>
  <c r="AL25" i="2"/>
  <c r="AL46" i="2"/>
  <c r="X46" i="2"/>
  <c r="X35" i="2"/>
  <c r="AL47" i="2"/>
  <c r="X47" i="2"/>
  <c r="AN41" i="2"/>
  <c r="AL11" i="2"/>
  <c r="X11" i="2"/>
  <c r="AL28" i="2"/>
  <c r="X28" i="2"/>
  <c r="AL18" i="2"/>
  <c r="X18" i="2"/>
  <c r="AL20" i="2"/>
  <c r="X20" i="2"/>
  <c r="X26" i="2"/>
  <c r="AL26" i="2"/>
  <c r="AL54" i="2"/>
  <c r="X54" i="2"/>
  <c r="X32" i="2"/>
  <c r="AL32" i="2"/>
  <c r="AL12" i="2"/>
  <c r="X12" i="2"/>
  <c r="AL49" i="2"/>
  <c r="X49" i="2"/>
  <c r="AL21" i="2"/>
  <c r="X21" i="2"/>
  <c r="X56" i="2"/>
  <c r="AL56" i="2"/>
  <c r="AM40" i="2" l="1"/>
  <c r="AM41" i="2" s="1"/>
  <c r="AM42" i="2" s="1"/>
  <c r="A24" i="198"/>
  <c r="A21" i="94"/>
  <c r="X7" i="19"/>
  <c r="R7" i="196" s="1"/>
  <c r="U7" i="18"/>
  <c r="AN49" i="2"/>
  <c r="AN20" i="2"/>
  <c r="AN18" i="2"/>
  <c r="AM18" i="2" s="1"/>
  <c r="AM19" i="2" s="1"/>
  <c r="AN11" i="2"/>
  <c r="AM11" i="2" s="1"/>
  <c r="AN47" i="2"/>
  <c r="AN25" i="2"/>
  <c r="AM25" i="2" s="1"/>
  <c r="AN4" i="2"/>
  <c r="AM4" i="2" s="1"/>
  <c r="AN33" i="2"/>
  <c r="AN7" i="2"/>
  <c r="AN6" i="2"/>
  <c r="AN21" i="2"/>
  <c r="AN12" i="2"/>
  <c r="AN26" i="2"/>
  <c r="AN28" i="2"/>
  <c r="AN53" i="2"/>
  <c r="AM53" i="2" s="1"/>
  <c r="AN54" i="2"/>
  <c r="AN56" i="2"/>
  <c r="AN32" i="2"/>
  <c r="AM32" i="2" s="1"/>
  <c r="AN46" i="2"/>
  <c r="AM46" i="2" s="1"/>
  <c r="AM12" i="2" l="1"/>
  <c r="AM13" i="2" s="1"/>
  <c r="AM14" i="2" s="1"/>
  <c r="AJ48" i="1"/>
  <c r="AM26" i="2"/>
  <c r="AM27" i="2" s="1"/>
  <c r="AM28" i="2" s="1"/>
  <c r="AJ33" i="1" s="1"/>
  <c r="AJ46" i="1"/>
  <c r="Y7" i="19"/>
  <c r="S7" i="196" s="1"/>
  <c r="V7" i="18"/>
  <c r="AJ45" i="1"/>
  <c r="AK39" i="2" s="1"/>
  <c r="AJ47" i="1"/>
  <c r="AM54" i="2"/>
  <c r="AM55" i="2" s="1"/>
  <c r="AM56" i="2" s="1"/>
  <c r="AM47" i="2"/>
  <c r="AM48" i="2" s="1"/>
  <c r="AM49" i="2" s="1"/>
  <c r="AM33" i="2"/>
  <c r="AM34" i="2" s="1"/>
  <c r="AM35" i="2" s="1"/>
  <c r="AM20" i="2"/>
  <c r="AM21" i="2" s="1"/>
  <c r="AJ30" i="1" s="1"/>
  <c r="AM5" i="2"/>
  <c r="AP19" i="19"/>
  <c r="AI22" i="19"/>
  <c r="AC11" i="19"/>
  <c r="L23" i="19"/>
  <c r="W10" i="19"/>
  <c r="BT23" i="19"/>
  <c r="AU14" i="19"/>
  <c r="Y22" i="19"/>
  <c r="BK23" i="19"/>
  <c r="BC13" i="19"/>
  <c r="AP15" i="19"/>
  <c r="AE23" i="19"/>
  <c r="P12" i="19"/>
  <c r="BF23" i="19"/>
  <c r="BI24" i="19"/>
  <c r="AI11" i="19"/>
  <c r="Y12" i="19"/>
  <c r="V20" i="19"/>
  <c r="BS23" i="19"/>
  <c r="AM15" i="19"/>
  <c r="BL15" i="19"/>
  <c r="AD19" i="19"/>
  <c r="BP20" i="19"/>
  <c r="BD10" i="19"/>
  <c r="AI24" i="19"/>
  <c r="BC18" i="19"/>
  <c r="O20" i="19"/>
  <c r="AF16" i="19"/>
  <c r="AF18" i="19"/>
  <c r="BQ10" i="19"/>
  <c r="AI16" i="19"/>
  <c r="AV14" i="19"/>
  <c r="BK13" i="19"/>
  <c r="P23" i="19"/>
  <c r="AM21" i="19"/>
  <c r="BU10" i="19"/>
  <c r="AQ13" i="19"/>
  <c r="BL18" i="19"/>
  <c r="BS11" i="19"/>
  <c r="BD11" i="19"/>
  <c r="BJ21" i="19"/>
  <c r="AD23" i="19"/>
  <c r="AA12" i="19"/>
  <c r="AZ19" i="19"/>
  <c r="BA12" i="19"/>
  <c r="AT22" i="19"/>
  <c r="AO10" i="19"/>
  <c r="BT22" i="19"/>
  <c r="BH21" i="19"/>
  <c r="AS10" i="19"/>
  <c r="AM20" i="19"/>
  <c r="AU17" i="19"/>
  <c r="AO18" i="19"/>
  <c r="R16" i="19"/>
  <c r="AA11" i="19"/>
  <c r="AZ14" i="19"/>
  <c r="BF20" i="19"/>
  <c r="BO11" i="19"/>
  <c r="BG19" i="19"/>
  <c r="BA19" i="19"/>
  <c r="X14" i="19"/>
  <c r="K23" i="19"/>
  <c r="BD20" i="19"/>
  <c r="O24" i="19"/>
  <c r="AC24" i="19"/>
  <c r="R15" i="19"/>
  <c r="BQ23" i="19"/>
  <c r="BA24" i="19"/>
  <c r="BO16" i="19"/>
  <c r="AF17" i="19"/>
  <c r="AE10" i="19"/>
  <c r="AX17" i="19"/>
  <c r="T13" i="19"/>
  <c r="AS12" i="19"/>
  <c r="BN19" i="19"/>
  <c r="BE21" i="19"/>
  <c r="BR12" i="19"/>
  <c r="U24" i="19"/>
  <c r="X13" i="19"/>
  <c r="AS15" i="19"/>
  <c r="AB20" i="19"/>
  <c r="AR23" i="19"/>
  <c r="AP12" i="19"/>
  <c r="AF14" i="19"/>
  <c r="BH15" i="19"/>
  <c r="Q22" i="19"/>
  <c r="BJ22" i="19"/>
  <c r="Y19" i="19"/>
  <c r="N21" i="19"/>
  <c r="M15" i="19"/>
  <c r="Y21" i="19"/>
  <c r="AY16" i="19"/>
  <c r="AD10" i="19"/>
  <c r="AV19" i="19"/>
  <c r="V16" i="19"/>
  <c r="N22" i="19"/>
  <c r="Z17" i="19"/>
  <c r="BC12" i="19"/>
  <c r="AL14" i="19"/>
  <c r="BJ19" i="19"/>
  <c r="AM12" i="19"/>
  <c r="AM13" i="19"/>
  <c r="AD11" i="19"/>
  <c r="R24" i="19"/>
  <c r="AD24" i="19"/>
  <c r="BL12" i="19"/>
  <c r="AW24" i="19"/>
  <c r="BF15" i="19"/>
  <c r="AT11" i="19"/>
  <c r="K14" i="19"/>
  <c r="AE18" i="19"/>
  <c r="AI12" i="19"/>
  <c r="AL10" i="19"/>
  <c r="BS22" i="19"/>
  <c r="BB16" i="19"/>
  <c r="AO13" i="19"/>
  <c r="AH10" i="19"/>
  <c r="L21" i="19"/>
  <c r="BS14" i="19"/>
  <c r="AO23" i="19"/>
  <c r="U20" i="19"/>
  <c r="AU23" i="19"/>
  <c r="BA14" i="19"/>
  <c r="N24" i="19"/>
  <c r="O12" i="19"/>
  <c r="AN15" i="19"/>
  <c r="AA23" i="19"/>
  <c r="AT15" i="19"/>
  <c r="Z16" i="19"/>
  <c r="W13" i="19"/>
  <c r="AX24" i="19"/>
  <c r="AY23" i="19"/>
  <c r="AA13" i="19"/>
  <c r="AY21" i="19"/>
  <c r="R13" i="19"/>
  <c r="AC22" i="19"/>
  <c r="AF23" i="19"/>
  <c r="BN23" i="19"/>
  <c r="AZ23" i="19"/>
  <c r="BF11" i="19"/>
  <c r="BV22" i="19"/>
  <c r="V22" i="19"/>
  <c r="AC12" i="19"/>
  <c r="BR19" i="19"/>
  <c r="AM17" i="19"/>
  <c r="AP23" i="19"/>
  <c r="BC15" i="19"/>
  <c r="K12" i="19"/>
  <c r="AO16" i="19"/>
  <c r="AJ24" i="19"/>
  <c r="AG13" i="19"/>
  <c r="AC13" i="19"/>
  <c r="L19" i="19"/>
  <c r="U11" i="19"/>
  <c r="AG17" i="19"/>
  <c r="U23" i="19"/>
  <c r="BK18" i="19"/>
  <c r="AQ22" i="19"/>
  <c r="AZ12" i="19"/>
  <c r="AL17" i="19"/>
  <c r="M23" i="19"/>
  <c r="AJ21" i="19"/>
  <c r="AN19" i="19"/>
  <c r="T24" i="19"/>
  <c r="L18" i="19"/>
  <c r="AS19" i="19"/>
  <c r="BL24" i="19"/>
  <c r="V10" i="19"/>
  <c r="AP18" i="19"/>
  <c r="AQ20" i="19"/>
  <c r="BC24" i="19"/>
  <c r="M18" i="19"/>
  <c r="AU16" i="19"/>
  <c r="BQ18" i="19"/>
  <c r="AW19" i="19"/>
  <c r="AA22" i="19"/>
  <c r="S17" i="19"/>
  <c r="AM18" i="19"/>
  <c r="L22" i="19"/>
  <c r="P18" i="19"/>
  <c r="AL21" i="19"/>
  <c r="AG10" i="19"/>
  <c r="U10" i="19"/>
  <c r="BQ11" i="19"/>
  <c r="BK22" i="19"/>
  <c r="AL19" i="19"/>
  <c r="L15" i="19"/>
  <c r="Q19" i="19"/>
  <c r="BC21" i="19"/>
  <c r="O21" i="19"/>
  <c r="AG24" i="19"/>
  <c r="P20" i="19"/>
  <c r="AU18" i="19"/>
  <c r="AH19" i="19"/>
  <c r="BK20" i="19"/>
  <c r="AR13" i="19"/>
  <c r="AZ13" i="19"/>
  <c r="BO17" i="19"/>
  <c r="BK12" i="19"/>
  <c r="V13" i="19"/>
  <c r="AE14" i="19"/>
  <c r="BJ12" i="19"/>
  <c r="T21" i="19"/>
  <c r="N23" i="19"/>
  <c r="BF16" i="19"/>
  <c r="BR11" i="19"/>
  <c r="BJ23" i="19"/>
  <c r="AT20" i="19"/>
  <c r="AO15" i="19"/>
  <c r="P24" i="19"/>
  <c r="BN21" i="19"/>
  <c r="AS17" i="19"/>
  <c r="BL17" i="19"/>
  <c r="BV10" i="19"/>
  <c r="BB12" i="19"/>
  <c r="AI18" i="19"/>
  <c r="BF21" i="19"/>
  <c r="Z18" i="19"/>
  <c r="L16" i="19"/>
  <c r="BA15" i="19"/>
  <c r="AO14" i="19"/>
  <c r="AX15" i="19"/>
  <c r="AI23" i="19"/>
  <c r="W18" i="19"/>
  <c r="BQ21" i="19"/>
  <c r="BP13" i="19"/>
  <c r="L24" i="19"/>
  <c r="AI21" i="19"/>
  <c r="AI19" i="19"/>
  <c r="AK24" i="19"/>
  <c r="AQ16" i="19"/>
  <c r="AC23" i="19"/>
  <c r="BR20" i="19"/>
  <c r="AZ20" i="19"/>
  <c r="AL22" i="19"/>
  <c r="BI14" i="19"/>
  <c r="AJ17" i="19"/>
  <c r="BJ13" i="19"/>
  <c r="BI15" i="19"/>
  <c r="BR23" i="19"/>
  <c r="AA10" i="19"/>
  <c r="AC10" i="19"/>
  <c r="AE15" i="19"/>
  <c r="Z21" i="19"/>
  <c r="BL19" i="19"/>
  <c r="BG10" i="19"/>
  <c r="Q18" i="19"/>
  <c r="AP14" i="19"/>
  <c r="Z22" i="19"/>
  <c r="AZ17" i="19"/>
  <c r="BI19" i="19"/>
  <c r="P19" i="19"/>
  <c r="AB10" i="19"/>
  <c r="BE22" i="19"/>
  <c r="AW12" i="19"/>
  <c r="AB22" i="19"/>
  <c r="AV24" i="19"/>
  <c r="BI11" i="19"/>
  <c r="BA21" i="19"/>
  <c r="Q12" i="19"/>
  <c r="AE13" i="19"/>
  <c r="M20" i="19"/>
  <c r="BT17" i="19"/>
  <c r="BQ22" i="19"/>
  <c r="BF14" i="19"/>
  <c r="O13" i="19"/>
  <c r="AG16" i="19"/>
  <c r="BS24" i="19"/>
  <c r="AY17" i="19"/>
  <c r="AH14" i="19"/>
  <c r="Q17" i="19"/>
  <c r="BC17" i="19"/>
  <c r="AE21" i="19"/>
  <c r="AY12" i="19"/>
  <c r="AZ15" i="19"/>
  <c r="AR14" i="19"/>
  <c r="AS21" i="19"/>
  <c r="BT15" i="19"/>
  <c r="BE11" i="19"/>
  <c r="L12" i="19"/>
  <c r="V17" i="19"/>
  <c r="AU13" i="19"/>
  <c r="Y20" i="19"/>
  <c r="BN24" i="19"/>
  <c r="AR11" i="19"/>
  <c r="BL10" i="19"/>
  <c r="BG21" i="19"/>
  <c r="BL20" i="19"/>
  <c r="BQ16" i="19"/>
  <c r="AM23" i="19"/>
  <c r="AX22" i="19"/>
  <c r="BT12" i="19"/>
  <c r="BP19" i="19"/>
  <c r="U16" i="19"/>
  <c r="Z19" i="19"/>
  <c r="X16" i="19"/>
  <c r="AX13" i="19"/>
  <c r="AF10" i="19"/>
  <c r="T14" i="19"/>
  <c r="AH21" i="19"/>
  <c r="AT23" i="19"/>
  <c r="AM10" i="19"/>
  <c r="AQ12" i="19"/>
  <c r="AG20" i="19"/>
  <c r="BV13" i="19"/>
  <c r="W17" i="19"/>
  <c r="BE23" i="19"/>
  <c r="AV12" i="19"/>
  <c r="AP13" i="19"/>
  <c r="AW23" i="19"/>
  <c r="AD14" i="19"/>
  <c r="AE24" i="19"/>
  <c r="BO21" i="19"/>
  <c r="BB19" i="19"/>
  <c r="AB15" i="19"/>
  <c r="U18" i="19"/>
  <c r="AL20" i="19"/>
  <c r="AC15" i="19"/>
  <c r="T22" i="19"/>
  <c r="M10" i="19"/>
  <c r="AF11" i="19"/>
  <c r="K22" i="19"/>
  <c r="S16" i="19"/>
  <c r="AF20" i="19"/>
  <c r="R21" i="19"/>
  <c r="BD18" i="19"/>
  <c r="M14" i="19"/>
  <c r="BA22" i="19"/>
  <c r="R11" i="19"/>
  <c r="K16" i="19"/>
  <c r="AW17" i="19"/>
  <c r="AG22" i="19"/>
  <c r="W16" i="19"/>
  <c r="AK17" i="19"/>
  <c r="AK11" i="19"/>
  <c r="AM19" i="19"/>
  <c r="AZ11" i="19"/>
  <c r="X23" i="19"/>
  <c r="AS16" i="19"/>
  <c r="M16" i="19"/>
  <c r="AE17" i="19"/>
  <c r="AT14" i="19"/>
  <c r="M21" i="19"/>
  <c r="O19" i="19"/>
  <c r="AX11" i="19"/>
  <c r="BF22" i="19"/>
  <c r="X20" i="19"/>
  <c r="BA16" i="19"/>
  <c r="AV20" i="19"/>
  <c r="AV23" i="19"/>
  <c r="Z13" i="19"/>
  <c r="BV15" i="19"/>
  <c r="BT10" i="19"/>
  <c r="AE22" i="19"/>
  <c r="S11" i="19"/>
  <c r="Q11" i="19"/>
  <c r="L11" i="19"/>
  <c r="AW20" i="19"/>
  <c r="AI20" i="19"/>
  <c r="BK21" i="19"/>
  <c r="O23" i="19"/>
  <c r="BG12" i="19"/>
  <c r="AX12" i="19"/>
  <c r="BV16" i="19"/>
  <c r="AO20" i="19"/>
  <c r="AQ17" i="19"/>
  <c r="S23" i="19"/>
  <c r="BR17" i="19"/>
  <c r="N16" i="19"/>
  <c r="AL12" i="19"/>
  <c r="BK24" i="19"/>
  <c r="Y18" i="19"/>
  <c r="BI12" i="19"/>
  <c r="AQ19" i="19"/>
  <c r="S14" i="19"/>
  <c r="Y10" i="19"/>
  <c r="O15" i="19"/>
  <c r="Q10" i="19"/>
  <c r="X11" i="19"/>
  <c r="AH13" i="19"/>
  <c r="X17" i="19"/>
  <c r="BR15" i="19"/>
  <c r="M24" i="19"/>
  <c r="AS24" i="19"/>
  <c r="BE17" i="19"/>
  <c r="BS19" i="19"/>
  <c r="AR22" i="19"/>
  <c r="T16" i="19"/>
  <c r="N19" i="19"/>
  <c r="BL13" i="19"/>
  <c r="AU21" i="19"/>
  <c r="BC11" i="19"/>
  <c r="W24" i="19"/>
  <c r="K17" i="19"/>
  <c r="AZ22" i="19"/>
  <c r="AK15" i="19"/>
  <c r="AR16" i="19"/>
  <c r="AY15" i="19"/>
  <c r="AV17" i="19"/>
  <c r="BB10" i="19"/>
  <c r="BU18" i="19"/>
  <c r="AB12" i="19"/>
  <c r="BC14" i="19"/>
  <c r="BL21" i="19"/>
  <c r="Q23" i="19"/>
  <c r="AV22" i="19"/>
  <c r="AQ24" i="19"/>
  <c r="AB17" i="19"/>
  <c r="BN15" i="19"/>
  <c r="AV16" i="19"/>
  <c r="L10" i="19"/>
  <c r="AG18" i="19"/>
  <c r="AP20" i="19"/>
  <c r="V11" i="19"/>
  <c r="R20" i="19"/>
  <c r="AB14" i="19"/>
  <c r="AS20" i="19"/>
  <c r="AD22" i="19"/>
  <c r="AQ15" i="19"/>
  <c r="AG21" i="19"/>
  <c r="BI22" i="19"/>
  <c r="S24" i="19"/>
  <c r="Q14" i="19"/>
  <c r="BB14" i="19"/>
  <c r="AF24" i="19"/>
  <c r="BT16" i="19"/>
  <c r="BE15" i="19"/>
  <c r="N10" i="19"/>
  <c r="Z14" i="19"/>
  <c r="BB11" i="19"/>
  <c r="BS20" i="19"/>
  <c r="BR10" i="19"/>
  <c r="AH23" i="19"/>
  <c r="AD15" i="19"/>
  <c r="BM13" i="19"/>
  <c r="L13" i="19"/>
  <c r="AT12" i="19"/>
  <c r="AO12" i="19"/>
  <c r="Z11" i="19"/>
  <c r="AM22" i="19"/>
  <c r="Z20" i="19"/>
  <c r="AB13" i="19"/>
  <c r="BC23" i="19"/>
  <c r="BE24" i="19"/>
  <c r="AN16" i="19"/>
  <c r="AI17" i="19"/>
  <c r="BT19" i="19"/>
  <c r="BB21" i="19"/>
  <c r="BB13" i="19"/>
  <c r="AA24" i="19"/>
  <c r="U21" i="19"/>
  <c r="BD24" i="19"/>
  <c r="AR24" i="19"/>
  <c r="AP22" i="19"/>
  <c r="AJ18" i="19"/>
  <c r="K13" i="19"/>
  <c r="U14" i="19"/>
  <c r="BN20" i="19"/>
  <c r="BB15" i="19"/>
  <c r="BO15" i="19"/>
  <c r="BM10" i="19"/>
  <c r="BO14" i="19"/>
  <c r="AB21" i="19"/>
  <c r="BS16" i="19"/>
  <c r="P16" i="19"/>
  <c r="V15" i="19"/>
  <c r="BU23" i="19"/>
  <c r="BE14" i="19"/>
  <c r="AV13" i="19"/>
  <c r="AJ19" i="19"/>
  <c r="S21" i="19"/>
  <c r="AY22" i="19"/>
  <c r="AR20" i="19"/>
  <c r="AZ10" i="19"/>
  <c r="T19" i="19"/>
  <c r="R23" i="19"/>
  <c r="AP17" i="19"/>
  <c r="BG24" i="19"/>
  <c r="R22" i="19"/>
  <c r="AL15" i="19"/>
  <c r="AW18" i="19"/>
  <c r="AN12" i="19"/>
  <c r="AU20" i="19"/>
  <c r="AH20" i="19"/>
  <c r="BF24" i="19"/>
  <c r="AD13" i="19"/>
  <c r="AA18" i="19"/>
  <c r="T18" i="19"/>
  <c r="AU24" i="19"/>
  <c r="BS21" i="19"/>
  <c r="AJ23" i="19"/>
  <c r="AT13" i="19"/>
  <c r="BR16" i="19"/>
  <c r="R14" i="19"/>
  <c r="L17" i="19"/>
  <c r="BH16" i="19"/>
  <c r="AZ16" i="19"/>
  <c r="AW21" i="19"/>
  <c r="AP16" i="19"/>
  <c r="BK19" i="19"/>
  <c r="AT17" i="19"/>
  <c r="AG19" i="19"/>
  <c r="AU19" i="19"/>
  <c r="AC16" i="19"/>
  <c r="BS13" i="19"/>
  <c r="AB18" i="19"/>
  <c r="BJ15" i="19"/>
  <c r="AG14" i="19"/>
  <c r="K19" i="19"/>
  <c r="BI21" i="19"/>
  <c r="BA11" i="19"/>
  <c r="AC20" i="19"/>
  <c r="AN11" i="19"/>
  <c r="O10" i="19"/>
  <c r="AN20" i="19"/>
  <c r="Q15" i="19"/>
  <c r="AN18" i="19"/>
  <c r="BE20" i="19"/>
  <c r="AS23" i="19"/>
  <c r="BQ12" i="19"/>
  <c r="AA14" i="19"/>
  <c r="AW16" i="19"/>
  <c r="BM17" i="19"/>
  <c r="AM14" i="19"/>
  <c r="BF13" i="19"/>
  <c r="AO21" i="19"/>
  <c r="AK12" i="19"/>
  <c r="BM21" i="19"/>
  <c r="O11" i="19"/>
  <c r="AH15" i="19"/>
  <c r="BD15" i="19"/>
  <c r="W20" i="19"/>
  <c r="Y16" i="19"/>
  <c r="BT24" i="19"/>
  <c r="Y17" i="19"/>
  <c r="BJ18" i="19"/>
  <c r="BP12" i="19"/>
  <c r="N12" i="19"/>
  <c r="K18" i="19"/>
  <c r="AA15" i="19"/>
  <c r="Y14" i="19"/>
  <c r="BC10" i="19"/>
  <c r="AW11" i="19"/>
  <c r="N17" i="19"/>
  <c r="AH16" i="19"/>
  <c r="AC21" i="19"/>
  <c r="AH18" i="19"/>
  <c r="N11" i="19"/>
  <c r="P21" i="19"/>
  <c r="AJ15" i="19"/>
  <c r="AD12" i="19"/>
  <c r="BL16" i="19"/>
  <c r="BE10" i="19"/>
  <c r="AR21" i="19"/>
  <c r="BC16" i="19"/>
  <c r="BA20" i="19"/>
  <c r="AA20" i="19"/>
  <c r="BU19" i="19"/>
  <c r="BN10" i="19"/>
  <c r="AK21" i="19"/>
  <c r="S10" i="19"/>
  <c r="AC17" i="19"/>
  <c r="BM16" i="19"/>
  <c r="BG22" i="19"/>
  <c r="BO20" i="19"/>
  <c r="AF15" i="19"/>
  <c r="P10" i="19"/>
  <c r="V24" i="19"/>
  <c r="AF19" i="19"/>
  <c r="Y11" i="19"/>
  <c r="Y15" i="19"/>
  <c r="BD12" i="19"/>
  <c r="AG11" i="19"/>
  <c r="AU12" i="19"/>
  <c r="R10" i="19"/>
  <c r="AR12" i="19"/>
  <c r="BM15" i="19"/>
  <c r="BU11" i="19"/>
  <c r="AE19" i="19"/>
  <c r="AN23" i="19"/>
  <c r="AL18" i="19"/>
  <c r="K24" i="19"/>
  <c r="AK19" i="19"/>
  <c r="AV10" i="19"/>
  <c r="BB22" i="19"/>
  <c r="BQ13" i="19"/>
  <c r="AP21" i="19"/>
  <c r="AJ11" i="19"/>
  <c r="BN18" i="19"/>
  <c r="X15" i="19"/>
  <c r="O16" i="19"/>
  <c r="BH23" i="19"/>
  <c r="BG20" i="19"/>
  <c r="AH22" i="19"/>
  <c r="AS22" i="19"/>
  <c r="AT21" i="19"/>
  <c r="BP14" i="19"/>
  <c r="BV14" i="19"/>
  <c r="AZ18" i="19"/>
  <c r="AG15" i="19"/>
  <c r="BF12" i="19"/>
  <c r="K15" i="19"/>
  <c r="BJ14" i="19"/>
  <c r="AD20" i="19"/>
  <c r="AP11" i="19"/>
  <c r="BN14" i="19"/>
  <c r="BL23" i="19"/>
  <c r="BG17" i="19"/>
  <c r="AT18" i="19"/>
  <c r="AA21" i="19"/>
  <c r="N18" i="19"/>
  <c r="X10" i="19"/>
  <c r="AG23" i="19"/>
  <c r="Y24" i="19"/>
  <c r="BT11" i="19"/>
  <c r="Q21" i="19"/>
  <c r="X19" i="19"/>
  <c r="BA13" i="19"/>
  <c r="O17" i="19"/>
  <c r="BP23" i="19"/>
  <c r="T11" i="19"/>
  <c r="M11" i="19"/>
  <c r="AS14" i="19"/>
  <c r="BK11" i="19"/>
  <c r="BG16" i="19"/>
  <c r="BF10" i="19"/>
  <c r="U19" i="19"/>
  <c r="BM23" i="19"/>
  <c r="BP21" i="19"/>
  <c r="Z23" i="19"/>
  <c r="BR18" i="19"/>
  <c r="BP11" i="19"/>
  <c r="M13" i="19"/>
  <c r="AN21" i="19"/>
  <c r="AQ14" i="19"/>
  <c r="BM12" i="19"/>
  <c r="BN16" i="19"/>
  <c r="P15" i="19"/>
  <c r="P13" i="19"/>
  <c r="AW14" i="19"/>
  <c r="AR19" i="19"/>
  <c r="M12" i="19"/>
  <c r="BD23" i="19"/>
  <c r="K11" i="19"/>
  <c r="BU21" i="19"/>
  <c r="BE16" i="19"/>
  <c r="BP18" i="19"/>
  <c r="AL13" i="19"/>
  <c r="AH11" i="19"/>
  <c r="BO24" i="19"/>
  <c r="BK10" i="19"/>
  <c r="U22" i="19"/>
  <c r="Q16" i="19"/>
  <c r="AD18" i="19"/>
  <c r="W11" i="19"/>
  <c r="BS10" i="19"/>
  <c r="AJ16" i="19"/>
  <c r="V12" i="19"/>
  <c r="R12" i="19"/>
  <c r="BV21" i="19"/>
  <c r="BG13" i="19"/>
  <c r="AA19" i="19"/>
  <c r="BI16" i="19"/>
  <c r="AY11" i="19"/>
  <c r="AX10" i="19"/>
  <c r="BH13" i="19"/>
  <c r="O22" i="19"/>
  <c r="BG23" i="19"/>
  <c r="AL11" i="19"/>
  <c r="S18" i="19"/>
  <c r="AO22" i="19"/>
  <c r="AY20" i="19"/>
  <c r="BN22" i="19"/>
  <c r="N14" i="19"/>
  <c r="BK14" i="19"/>
  <c r="BP22" i="19"/>
  <c r="AL24" i="19"/>
  <c r="P17" i="19"/>
  <c r="BA18" i="19"/>
  <c r="BM22" i="19"/>
  <c r="AB11" i="19"/>
  <c r="AB19" i="19"/>
  <c r="AK23" i="19"/>
  <c r="P22" i="19"/>
  <c r="AQ23" i="19"/>
  <c r="Y13" i="19"/>
  <c r="X12" i="19"/>
  <c r="BV20" i="19"/>
  <c r="N20" i="19"/>
  <c r="BF17" i="19"/>
  <c r="AK22" i="19"/>
  <c r="BC19" i="19"/>
  <c r="BR24" i="19"/>
  <c r="AO24" i="19"/>
  <c r="BH20" i="19"/>
  <c r="AF21" i="19"/>
  <c r="BE18" i="19"/>
  <c r="BJ17" i="19"/>
  <c r="S12" i="19"/>
  <c r="BV23" i="19"/>
  <c r="BH11" i="19"/>
  <c r="BG15" i="19"/>
  <c r="AY14" i="19"/>
  <c r="BE12" i="19"/>
  <c r="AX19" i="19"/>
  <c r="AV21" i="19"/>
  <c r="R19" i="19"/>
  <c r="S13" i="19"/>
  <c r="M22" i="19"/>
  <c r="Z15" i="19"/>
  <c r="BV17" i="19"/>
  <c r="S15" i="19"/>
  <c r="BD22" i="19"/>
  <c r="N15" i="19"/>
  <c r="Z10" i="19"/>
  <c r="AF12" i="19"/>
  <c r="AV18" i="19"/>
  <c r="BI18" i="19"/>
  <c r="AN14" i="19"/>
  <c r="BC22" i="19"/>
  <c r="V23" i="19"/>
  <c r="AF22" i="19"/>
  <c r="P14" i="19"/>
  <c r="AY10" i="19"/>
  <c r="AQ10" i="19"/>
  <c r="AL23" i="19"/>
  <c r="AC19" i="19"/>
  <c r="BD13" i="19"/>
  <c r="Y23" i="19"/>
  <c r="W22" i="19"/>
  <c r="AU15" i="19"/>
  <c r="AU11" i="19"/>
  <c r="BE13" i="19"/>
  <c r="AX16" i="19"/>
  <c r="AA16" i="19"/>
  <c r="BU14" i="19"/>
  <c r="O18" i="19"/>
  <c r="BH18" i="19"/>
  <c r="W12" i="19"/>
  <c r="AY24" i="19"/>
  <c r="AX20" i="19"/>
  <c r="AW15" i="19"/>
  <c r="AH24" i="19"/>
  <c r="W21" i="19"/>
  <c r="AL16" i="19"/>
  <c r="AK14" i="19"/>
  <c r="BU17" i="19"/>
  <c r="BH12" i="19"/>
  <c r="BK16" i="19"/>
  <c r="AI13" i="19"/>
  <c r="M17" i="19"/>
  <c r="S20" i="19"/>
  <c r="BU20" i="19"/>
  <c r="BK17" i="19"/>
  <c r="BB24" i="19"/>
  <c r="BL22" i="19"/>
  <c r="X22" i="19"/>
  <c r="R18" i="19"/>
  <c r="K21" i="19"/>
  <c r="AX18" i="19"/>
  <c r="BU15" i="19"/>
  <c r="AH12" i="19"/>
  <c r="BR13" i="19"/>
  <c r="T17" i="19"/>
  <c r="BA17" i="19"/>
  <c r="BV19" i="19"/>
  <c r="BR22" i="19"/>
  <c r="BV24" i="19"/>
  <c r="AX21" i="19"/>
  <c r="Z12" i="19"/>
  <c r="AP24" i="19"/>
  <c r="W15" i="19"/>
  <c r="AQ11" i="19"/>
  <c r="BN13" i="19"/>
  <c r="AS11" i="19"/>
  <c r="AB23" i="19"/>
  <c r="BP24" i="19"/>
  <c r="AA17" i="19"/>
  <c r="BQ20" i="19"/>
  <c r="R17" i="19"/>
  <c r="AV11" i="19"/>
  <c r="K10" i="19"/>
  <c r="BU16" i="19"/>
  <c r="BD19" i="19"/>
  <c r="BJ10" i="19"/>
  <c r="L20" i="19"/>
  <c r="AM16" i="19"/>
  <c r="BN17" i="19"/>
  <c r="BP17" i="19"/>
  <c r="BB23" i="19"/>
  <c r="AK20" i="19"/>
  <c r="AJ14" i="19"/>
  <c r="AQ21" i="19"/>
  <c r="Z24" i="19"/>
  <c r="BT21" i="19"/>
  <c r="BI20" i="19"/>
  <c r="BD21" i="19"/>
  <c r="AZ21" i="19"/>
  <c r="AD21" i="19"/>
  <c r="AD17" i="19"/>
  <c r="BQ14" i="19"/>
  <c r="AI14" i="19"/>
  <c r="BT13" i="19"/>
  <c r="AN22" i="19"/>
  <c r="AE16" i="19"/>
  <c r="AG12" i="19"/>
  <c r="BG14" i="19"/>
  <c r="BT14" i="19"/>
  <c r="BH19" i="19"/>
  <c r="AB16" i="19"/>
  <c r="BP16" i="19"/>
  <c r="V18" i="19"/>
  <c r="BD17" i="19"/>
  <c r="T12" i="19"/>
  <c r="V19" i="19"/>
  <c r="BR14" i="19"/>
  <c r="BJ11" i="19"/>
  <c r="BO12" i="19"/>
  <c r="S19" i="19"/>
  <c r="BS17" i="19"/>
  <c r="BO19" i="19"/>
  <c r="W19" i="19"/>
  <c r="AR10" i="19"/>
  <c r="BO18" i="19"/>
  <c r="AI10" i="19"/>
  <c r="BV18" i="19"/>
  <c r="AN17" i="19"/>
  <c r="V14" i="19"/>
  <c r="BH14" i="19"/>
  <c r="BU24" i="19"/>
  <c r="AT10" i="19"/>
  <c r="L14" i="19"/>
  <c r="W23" i="19"/>
  <c r="BC20" i="19"/>
  <c r="BL14" i="19"/>
  <c r="BO13" i="19"/>
  <c r="AS13" i="19"/>
  <c r="BV11" i="19"/>
  <c r="U15" i="19"/>
  <c r="AJ12" i="19"/>
  <c r="AJ22" i="19"/>
  <c r="AK10" i="19"/>
  <c r="AD16" i="19"/>
  <c r="BA10" i="19"/>
  <c r="BL11" i="19"/>
  <c r="Q20" i="19"/>
  <c r="BU13" i="19"/>
  <c r="U17" i="19"/>
  <c r="AW22" i="19"/>
  <c r="AN10" i="19"/>
  <c r="AH17" i="19"/>
  <c r="BM14" i="19"/>
  <c r="AR15" i="19"/>
  <c r="T10" i="19"/>
  <c r="AY13" i="19"/>
  <c r="T23" i="19"/>
  <c r="BI23" i="19"/>
  <c r="BR21" i="19"/>
  <c r="BM19" i="19"/>
  <c r="AV15" i="19"/>
  <c r="BH24" i="19"/>
  <c r="BD14" i="19"/>
  <c r="AW10" i="19"/>
  <c r="K20" i="19"/>
  <c r="AU22" i="19"/>
  <c r="AJ10" i="19"/>
  <c r="BH17" i="19"/>
  <c r="AP10" i="19"/>
  <c r="BO10" i="19"/>
  <c r="BJ24" i="19"/>
  <c r="BM24" i="19"/>
  <c r="BU12" i="19"/>
  <c r="AR18" i="19"/>
  <c r="BB20" i="19"/>
  <c r="BM11" i="19"/>
  <c r="AU10" i="19"/>
  <c r="AK13" i="19"/>
  <c r="N13" i="19"/>
  <c r="AN24" i="19"/>
  <c r="BN11" i="19"/>
  <c r="AO19" i="19"/>
  <c r="X21" i="19"/>
  <c r="AC14" i="19"/>
  <c r="O14" i="19"/>
  <c r="BQ19" i="19"/>
  <c r="BS18" i="19"/>
  <c r="AF13" i="19"/>
  <c r="BQ15" i="19"/>
  <c r="AX14" i="19"/>
  <c r="AQ18" i="19"/>
  <c r="BO22" i="19"/>
  <c r="BP15" i="19"/>
  <c r="BG18" i="19"/>
  <c r="AY19" i="19"/>
  <c r="AW13" i="19"/>
  <c r="AK18" i="19"/>
  <c r="M19" i="19"/>
  <c r="AJ20" i="19"/>
  <c r="BG11" i="19"/>
  <c r="AM24" i="19"/>
  <c r="S22" i="19"/>
  <c r="T20" i="19"/>
  <c r="BD16" i="19"/>
  <c r="BT18" i="19"/>
  <c r="BH10" i="19"/>
  <c r="AC18" i="19"/>
  <c r="AT19" i="19"/>
  <c r="U12" i="19"/>
  <c r="BO23" i="19"/>
  <c r="BF18" i="19"/>
  <c r="U13" i="19"/>
  <c r="BP10" i="19"/>
  <c r="BI13" i="19"/>
  <c r="BM20" i="19"/>
  <c r="BB18" i="19"/>
  <c r="AY18" i="19"/>
  <c r="AE20" i="19"/>
  <c r="BQ24" i="19"/>
  <c r="AJ13" i="19"/>
  <c r="AT16" i="19"/>
  <c r="BI17" i="19"/>
  <c r="BE19" i="19"/>
  <c r="AX23" i="19"/>
  <c r="BJ16" i="19"/>
  <c r="V21" i="19"/>
  <c r="AE11" i="19"/>
  <c r="AM11" i="19"/>
  <c r="BM18" i="19"/>
  <c r="BS12" i="19"/>
  <c r="AO11" i="19"/>
  <c r="AS18" i="19"/>
  <c r="T15" i="19"/>
  <c r="BS15" i="19"/>
  <c r="AO17" i="19"/>
  <c r="BK15" i="19"/>
  <c r="BN12" i="19"/>
  <c r="BH22" i="19"/>
  <c r="BI10" i="19"/>
  <c r="Q13" i="19"/>
  <c r="X18" i="19"/>
  <c r="AK16" i="19"/>
  <c r="BA23" i="19"/>
  <c r="X24" i="19"/>
  <c r="BB17" i="19"/>
  <c r="BT20" i="19"/>
  <c r="AE12" i="19"/>
  <c r="P11" i="19"/>
  <c r="BJ20" i="19"/>
  <c r="BU22" i="19"/>
  <c r="AB24" i="19"/>
  <c r="BQ17" i="19"/>
  <c r="AI15" i="19"/>
  <c r="AN13" i="19"/>
  <c r="AZ24" i="19"/>
  <c r="BF19" i="19"/>
  <c r="AR17" i="19"/>
  <c r="Q24" i="19"/>
  <c r="AT24" i="19"/>
  <c r="W14" i="19"/>
  <c r="BV12" i="19"/>
  <c r="H11" i="19" l="1"/>
  <c r="I11" i="19"/>
  <c r="I11" i="198" s="1"/>
  <c r="I18" i="19"/>
  <c r="I18" i="198" s="1"/>
  <c r="H18" i="19"/>
  <c r="H18" i="198" s="1"/>
  <c r="G20" i="19"/>
  <c r="F20" i="19"/>
  <c r="H14" i="19"/>
  <c r="H14" i="198" s="1"/>
  <c r="I14" i="19"/>
  <c r="I14" i="198" s="1"/>
  <c r="F10" i="19"/>
  <c r="G10" i="19"/>
  <c r="G10" i="198" s="1"/>
  <c r="F21" i="19"/>
  <c r="G21" i="19"/>
  <c r="G21" i="198" s="1"/>
  <c r="I15" i="19"/>
  <c r="I15" i="198" s="1"/>
  <c r="H15" i="19"/>
  <c r="H15" i="198" s="1"/>
  <c r="H23" i="19"/>
  <c r="H23" i="198" s="1"/>
  <c r="I23" i="19"/>
  <c r="I23" i="198" s="1"/>
  <c r="H13" i="19"/>
  <c r="H13" i="198" s="1"/>
  <c r="I13" i="19"/>
  <c r="I13" i="198" s="1"/>
  <c r="F11" i="19"/>
  <c r="G11" i="19"/>
  <c r="G11" i="198" s="1"/>
  <c r="I16" i="19"/>
  <c r="I16" i="198" s="1"/>
  <c r="H16" i="19"/>
  <c r="H16" i="198" s="1"/>
  <c r="H17" i="19"/>
  <c r="H17" i="198" s="1"/>
  <c r="I17" i="19"/>
  <c r="I17" i="198" s="1"/>
  <c r="G15" i="19"/>
  <c r="F15" i="19"/>
  <c r="I20" i="19"/>
  <c r="I20" i="198" s="1"/>
  <c r="H20" i="19"/>
  <c r="F24" i="19"/>
  <c r="F24" i="198" s="1"/>
  <c r="G24" i="19"/>
  <c r="H22" i="19"/>
  <c r="H22" i="198" s="1"/>
  <c r="I22" i="19"/>
  <c r="I22" i="198" s="1"/>
  <c r="F18" i="19"/>
  <c r="G18" i="19"/>
  <c r="F19" i="19"/>
  <c r="G19" i="19"/>
  <c r="H24" i="19"/>
  <c r="I24" i="19"/>
  <c r="I24" i="198" s="1"/>
  <c r="F13" i="19"/>
  <c r="G13" i="19"/>
  <c r="F17" i="19"/>
  <c r="F17" i="198" s="1"/>
  <c r="G17" i="19"/>
  <c r="G17" i="198" s="1"/>
  <c r="I12" i="19"/>
  <c r="I12" i="198" s="1"/>
  <c r="H12" i="19"/>
  <c r="H12" i="198" s="1"/>
  <c r="F16" i="19"/>
  <c r="F16" i="198" s="1"/>
  <c r="G16" i="19"/>
  <c r="F22" i="19"/>
  <c r="G22" i="19"/>
  <c r="I21" i="19"/>
  <c r="I21" i="198" s="1"/>
  <c r="H21" i="19"/>
  <c r="H10" i="19"/>
  <c r="H10" i="198" s="1"/>
  <c r="I10" i="19"/>
  <c r="I10" i="198" s="1"/>
  <c r="G12" i="19"/>
  <c r="G12" i="198" s="1"/>
  <c r="F12" i="19"/>
  <c r="G14" i="19"/>
  <c r="F14" i="19"/>
  <c r="F11" i="94" s="1"/>
  <c r="F23" i="19"/>
  <c r="G23" i="19"/>
  <c r="H19" i="19"/>
  <c r="H19" i="198" s="1"/>
  <c r="I19" i="19"/>
  <c r="I19" i="198" s="1"/>
  <c r="J11" i="94"/>
  <c r="F7" i="94"/>
  <c r="E12" i="19"/>
  <c r="E12" i="198" s="1"/>
  <c r="F12" i="94"/>
  <c r="J10" i="94"/>
  <c r="F19" i="94"/>
  <c r="G19" i="198"/>
  <c r="J13" i="94"/>
  <c r="E10" i="19"/>
  <c r="E10" i="198" s="1"/>
  <c r="E11" i="19"/>
  <c r="E11" i="198" s="1"/>
  <c r="F8" i="94"/>
  <c r="D17" i="19"/>
  <c r="F21" i="94"/>
  <c r="J7" i="94"/>
  <c r="D12" i="19"/>
  <c r="F10" i="94"/>
  <c r="D16" i="19"/>
  <c r="F15" i="94"/>
  <c r="F14" i="94"/>
  <c r="J15" i="94"/>
  <c r="J20" i="94"/>
  <c r="J14" i="94"/>
  <c r="J16" i="94"/>
  <c r="F13" i="94"/>
  <c r="J12" i="94"/>
  <c r="J19" i="94"/>
  <c r="J9" i="94"/>
  <c r="F18" i="94"/>
  <c r="J21" i="94"/>
  <c r="F17" i="94"/>
  <c r="E17" i="19"/>
  <c r="E17" i="198" s="1"/>
  <c r="E21" i="19"/>
  <c r="E21" i="198" s="1"/>
  <c r="F14" i="198"/>
  <c r="D14" i="19"/>
  <c r="D14" i="198" s="1"/>
  <c r="E14" i="19"/>
  <c r="E14" i="198" s="1"/>
  <c r="G14" i="198"/>
  <c r="D24" i="19"/>
  <c r="D24" i="198" s="1"/>
  <c r="H24" i="198"/>
  <c r="D12" i="198"/>
  <c r="D17" i="198"/>
  <c r="D16" i="198"/>
  <c r="AJ21" i="1"/>
  <c r="AJ22" i="1"/>
  <c r="AJ24" i="1"/>
  <c r="AJ23" i="1"/>
  <c r="AJ34" i="1"/>
  <c r="AK26" i="2" s="1"/>
  <c r="AJ41" i="1"/>
  <c r="AK41" i="2"/>
  <c r="Z7" i="19"/>
  <c r="T7" i="196" s="1"/>
  <c r="W7" i="18"/>
  <c r="AJ39" i="1"/>
  <c r="AK42" i="2"/>
  <c r="AK40" i="2"/>
  <c r="AJ54" i="1"/>
  <c r="AJ51" i="1"/>
  <c r="AK46" i="2" s="1"/>
  <c r="AJ36" i="1"/>
  <c r="AJ57" i="1"/>
  <c r="AJ60" i="1"/>
  <c r="AJ59" i="1"/>
  <c r="AJ58" i="1"/>
  <c r="AJ53" i="1"/>
  <c r="AM6" i="2"/>
  <c r="AM7" i="2" s="1"/>
  <c r="AJ42" i="1"/>
  <c r="AJ35" i="1"/>
  <c r="AJ52" i="1"/>
  <c r="AJ40" i="1"/>
  <c r="AK25" i="2"/>
  <c r="AJ29" i="1"/>
  <c r="AJ27" i="1"/>
  <c r="AJ28" i="1"/>
  <c r="E22" i="19" l="1"/>
  <c r="E22" i="198" s="1"/>
  <c r="G22" i="198"/>
  <c r="E13" i="19"/>
  <c r="E13" i="198" s="1"/>
  <c r="G13" i="198"/>
  <c r="H20" i="198"/>
  <c r="J17" i="94"/>
  <c r="G12" i="94"/>
  <c r="D22" i="19"/>
  <c r="F22" i="198"/>
  <c r="F13" i="198"/>
  <c r="D13" i="19"/>
  <c r="F19" i="198"/>
  <c r="D19" i="19"/>
  <c r="F16" i="94"/>
  <c r="D11" i="19"/>
  <c r="D11" i="198" s="1"/>
  <c r="F11" i="198"/>
  <c r="F21" i="198"/>
  <c r="D21" i="19"/>
  <c r="E19" i="19"/>
  <c r="E19" i="198" s="1"/>
  <c r="G23" i="198"/>
  <c r="E23" i="19"/>
  <c r="E23" i="198" s="1"/>
  <c r="F9" i="94"/>
  <c r="G15" i="94" s="1"/>
  <c r="F12" i="198"/>
  <c r="H21" i="198"/>
  <c r="J18" i="94"/>
  <c r="G16" i="198"/>
  <c r="E16" i="19"/>
  <c r="E16" i="198" s="1"/>
  <c r="G18" i="198"/>
  <c r="E18" i="19"/>
  <c r="E18" i="198" s="1"/>
  <c r="G24" i="198"/>
  <c r="E24" i="19"/>
  <c r="E24" i="198" s="1"/>
  <c r="F15" i="198"/>
  <c r="D15" i="19"/>
  <c r="D20" i="19"/>
  <c r="F20" i="198"/>
  <c r="G16" i="94"/>
  <c r="D23" i="19"/>
  <c r="F23" i="198"/>
  <c r="F20" i="94"/>
  <c r="D18" i="19"/>
  <c r="F18" i="198"/>
  <c r="G15" i="198"/>
  <c r="E15" i="19"/>
  <c r="E15" i="198" s="1"/>
  <c r="D10" i="19"/>
  <c r="F10" i="198"/>
  <c r="E20" i="19"/>
  <c r="E20" i="198" s="1"/>
  <c r="G20" i="198"/>
  <c r="H11" i="198"/>
  <c r="J8" i="94"/>
  <c r="G7" i="94"/>
  <c r="G10" i="94"/>
  <c r="G9" i="94"/>
  <c r="G18" i="94"/>
  <c r="G8" i="94"/>
  <c r="K12" i="94"/>
  <c r="K7" i="94"/>
  <c r="G11" i="94"/>
  <c r="K19" i="94"/>
  <c r="K8" i="94"/>
  <c r="K20" i="94"/>
  <c r="G20" i="94"/>
  <c r="AK14" i="2"/>
  <c r="K9" i="94"/>
  <c r="K18" i="94"/>
  <c r="K16" i="94"/>
  <c r="K14" i="94"/>
  <c r="AK12" i="2"/>
  <c r="K15" i="94"/>
  <c r="K17" i="94"/>
  <c r="AK11" i="2"/>
  <c r="K21" i="94"/>
  <c r="K11" i="94"/>
  <c r="K13" i="94"/>
  <c r="AK13" i="2"/>
  <c r="K10" i="94"/>
  <c r="L19" i="94"/>
  <c r="M19" i="94" s="1"/>
  <c r="L8" i="94"/>
  <c r="M8" i="94" s="1"/>
  <c r="L18" i="94"/>
  <c r="M18" i="94" s="1"/>
  <c r="L14" i="94"/>
  <c r="M14" i="94" s="1"/>
  <c r="L10" i="94"/>
  <c r="M10" i="94" s="1"/>
  <c r="L13" i="94"/>
  <c r="M13" i="94" s="1"/>
  <c r="L7" i="94"/>
  <c r="M7" i="94" s="1"/>
  <c r="L11" i="94"/>
  <c r="M11" i="94" s="1"/>
  <c r="L15" i="94"/>
  <c r="M15" i="94" s="1"/>
  <c r="L9" i="94"/>
  <c r="M9" i="94" s="1"/>
  <c r="AJ40" i="2"/>
  <c r="AK47" i="2"/>
  <c r="AK54" i="2"/>
  <c r="AJ42" i="2"/>
  <c r="AJ41" i="2"/>
  <c r="AK27" i="2"/>
  <c r="AJ39" i="2"/>
  <c r="AK53" i="2"/>
  <c r="AK34" i="2"/>
  <c r="AK28" i="2"/>
  <c r="AK55" i="2"/>
  <c r="AK32" i="2"/>
  <c r="AK33" i="2"/>
  <c r="AK49" i="2"/>
  <c r="AK48" i="2"/>
  <c r="AJ48" i="2" s="1"/>
  <c r="AA7" i="19"/>
  <c r="U7" i="196" s="1"/>
  <c r="X7" i="18"/>
  <c r="AK56" i="2"/>
  <c r="AJ17" i="1"/>
  <c r="AK35" i="2"/>
  <c r="AJ15" i="1"/>
  <c r="AK4" i="2" s="1"/>
  <c r="AJ16" i="1"/>
  <c r="AJ18" i="1"/>
  <c r="AK19" i="2"/>
  <c r="AK20" i="2"/>
  <c r="AK21" i="2"/>
  <c r="AK18" i="2"/>
  <c r="AJ12" i="2"/>
  <c r="AJ13" i="2"/>
  <c r="AJ11" i="2"/>
  <c r="AJ14" i="2"/>
  <c r="AJ25" i="2"/>
  <c r="AJ26" i="2"/>
  <c r="AJ28" i="2"/>
  <c r="AJ27" i="2"/>
  <c r="B19" i="94" l="1"/>
  <c r="D22" i="198"/>
  <c r="B10" i="94"/>
  <c r="D13" i="198"/>
  <c r="B20" i="94"/>
  <c r="D23" i="198"/>
  <c r="D20" i="198"/>
  <c r="B17" i="94"/>
  <c r="G14" i="94"/>
  <c r="G21" i="94"/>
  <c r="G17" i="94"/>
  <c r="G19" i="94"/>
  <c r="H19" i="94" s="1"/>
  <c r="I19" i="94" s="1"/>
  <c r="G13" i="94"/>
  <c r="D21" i="198"/>
  <c r="B18" i="94"/>
  <c r="B9" i="94"/>
  <c r="B11" i="94"/>
  <c r="B13" i="94"/>
  <c r="D10" i="198"/>
  <c r="B7" i="94"/>
  <c r="B14" i="94"/>
  <c r="B21" i="94"/>
  <c r="B15" i="94"/>
  <c r="D18" i="198"/>
  <c r="B12" i="94"/>
  <c r="D15" i="198"/>
  <c r="D19" i="198"/>
  <c r="B16" i="94"/>
  <c r="L17" i="94"/>
  <c r="M17" i="94" s="1"/>
  <c r="L21" i="94"/>
  <c r="M21" i="94" s="1"/>
  <c r="L20" i="94"/>
  <c r="M20" i="94" s="1"/>
  <c r="L12" i="94"/>
  <c r="M12" i="94" s="1"/>
  <c r="B17" i="197" s="1"/>
  <c r="L16" i="94"/>
  <c r="M16" i="94" s="1"/>
  <c r="B11" i="197"/>
  <c r="B9" i="197"/>
  <c r="B13" i="197"/>
  <c r="B10" i="197"/>
  <c r="B12" i="197"/>
  <c r="O26" i="2"/>
  <c r="O28" i="2"/>
  <c r="O25" i="2"/>
  <c r="O27" i="2"/>
  <c r="O40" i="2"/>
  <c r="O42" i="2"/>
  <c r="O41" i="2"/>
  <c r="O39" i="2"/>
  <c r="O12" i="2"/>
  <c r="O14" i="2"/>
  <c r="O11" i="2"/>
  <c r="O13" i="2"/>
  <c r="AJ47" i="2"/>
  <c r="AJ54" i="2"/>
  <c r="AJ35" i="2"/>
  <c r="AJ33" i="2"/>
  <c r="AK5" i="2"/>
  <c r="AK7" i="2"/>
  <c r="AK6" i="2"/>
  <c r="AJ56" i="2"/>
  <c r="AJ32" i="2"/>
  <c r="AJ34" i="2"/>
  <c r="AJ46" i="2"/>
  <c r="AJ53" i="2"/>
  <c r="AJ49" i="2"/>
  <c r="AJ55" i="2"/>
  <c r="AB7" i="19"/>
  <c r="V7" i="196" s="1"/>
  <c r="Y7" i="18"/>
  <c r="AJ20" i="2"/>
  <c r="AJ19" i="2"/>
  <c r="AJ18" i="2"/>
  <c r="AJ21" i="2"/>
  <c r="T45" i="1"/>
  <c r="H17" i="94" l="1"/>
  <c r="I17" i="94" s="1"/>
  <c r="H21" i="94"/>
  <c r="I21" i="94" s="1"/>
  <c r="H10" i="94"/>
  <c r="I10" i="94" s="1"/>
  <c r="H16" i="94"/>
  <c r="I16" i="94" s="1"/>
  <c r="H7" i="94"/>
  <c r="I7" i="94" s="1"/>
  <c r="H18" i="94"/>
  <c r="I18" i="94" s="1"/>
  <c r="H20" i="94"/>
  <c r="I20" i="94" s="1"/>
  <c r="H9" i="94"/>
  <c r="I9" i="94" s="1"/>
  <c r="H13" i="94"/>
  <c r="I13" i="94" s="1"/>
  <c r="H12" i="94"/>
  <c r="I12" i="94" s="1"/>
  <c r="H8" i="94"/>
  <c r="I8" i="94" s="1"/>
  <c r="H11" i="94"/>
  <c r="I11" i="94" s="1"/>
  <c r="H14" i="94"/>
  <c r="I14" i="94" s="1"/>
  <c r="H15" i="94"/>
  <c r="I15" i="94" s="1"/>
  <c r="B18" i="197"/>
  <c r="B16" i="197"/>
  <c r="B15" i="197"/>
  <c r="B22" i="197"/>
  <c r="B14" i="197"/>
  <c r="B19" i="197"/>
  <c r="B21" i="197"/>
  <c r="B20" i="197"/>
  <c r="B23" i="197"/>
  <c r="O54" i="2"/>
  <c r="O55" i="2"/>
  <c r="O53" i="2"/>
  <c r="T57" i="1" s="1"/>
  <c r="O56" i="2"/>
  <c r="O19" i="2"/>
  <c r="O20" i="2"/>
  <c r="O18" i="2"/>
  <c r="O21" i="2"/>
  <c r="O47" i="2"/>
  <c r="O49" i="2"/>
  <c r="O46" i="2"/>
  <c r="O48" i="2"/>
  <c r="O33" i="2"/>
  <c r="O32" i="2"/>
  <c r="O35" i="2"/>
  <c r="O34" i="2"/>
  <c r="AJ4" i="2"/>
  <c r="X4" i="2" s="1"/>
  <c r="AJ5" i="2"/>
  <c r="X5" i="2" s="1"/>
  <c r="AJ6" i="2"/>
  <c r="X6" i="2" s="1"/>
  <c r="AJ7" i="2"/>
  <c r="X7" i="2" s="1"/>
  <c r="T46" i="1"/>
  <c r="Y46" i="1" s="1"/>
  <c r="T48" i="1"/>
  <c r="AC48" i="1" s="1"/>
  <c r="T47" i="1"/>
  <c r="X47" i="1" s="1"/>
  <c r="AC7" i="19"/>
  <c r="W7" i="196" s="1"/>
  <c r="Z7" i="18"/>
  <c r="X45" i="1"/>
  <c r="Y45" i="1"/>
  <c r="AC45" i="1"/>
  <c r="W45" i="1"/>
  <c r="AA45" i="1"/>
  <c r="T51" i="1"/>
  <c r="T35" i="1"/>
  <c r="T36" i="1"/>
  <c r="T34" i="1"/>
  <c r="T33" i="1"/>
  <c r="T40" i="1"/>
  <c r="T22" i="1"/>
  <c r="T23" i="1"/>
  <c r="T24" i="1"/>
  <c r="T21" i="1"/>
  <c r="AC46" i="1"/>
  <c r="AA46" i="1"/>
  <c r="W46" i="1"/>
  <c r="B20" i="196" l="1"/>
  <c r="B12" i="196"/>
  <c r="B15" i="196"/>
  <c r="B17" i="196"/>
  <c r="B23" i="196"/>
  <c r="B14" i="196"/>
  <c r="B19" i="196"/>
  <c r="B18" i="196"/>
  <c r="B11" i="196"/>
  <c r="B16" i="196"/>
  <c r="B10" i="196"/>
  <c r="B21" i="196"/>
  <c r="B13" i="196"/>
  <c r="B9" i="196"/>
  <c r="B22" i="196"/>
  <c r="Y47" i="1"/>
  <c r="X46" i="1"/>
  <c r="O5" i="2"/>
  <c r="O6" i="2"/>
  <c r="O4" i="2"/>
  <c r="T15" i="1" s="1"/>
  <c r="O7" i="2"/>
  <c r="X48" i="1"/>
  <c r="T42" i="1"/>
  <c r="Y48" i="1"/>
  <c r="T53" i="1"/>
  <c r="T41" i="1"/>
  <c r="AA41" i="1" s="1"/>
  <c r="AA47" i="1"/>
  <c r="W47" i="1"/>
  <c r="V47" i="1" s="1"/>
  <c r="AC47" i="1"/>
  <c r="T39" i="1"/>
  <c r="AC39" i="1" s="1"/>
  <c r="AA48" i="1"/>
  <c r="W48" i="1"/>
  <c r="T59" i="1"/>
  <c r="T52" i="1"/>
  <c r="W52" i="1" s="1"/>
  <c r="T58" i="1"/>
  <c r="Y58" i="1" s="1"/>
  <c r="T54" i="1"/>
  <c r="Y54" i="1" s="1"/>
  <c r="T60" i="1"/>
  <c r="X60" i="1" s="1"/>
  <c r="V45" i="1"/>
  <c r="H105" i="1" s="1"/>
  <c r="AD7" i="19"/>
  <c r="X7" i="196" s="1"/>
  <c r="AA7" i="18"/>
  <c r="V46" i="1"/>
  <c r="N93" i="1" s="1"/>
  <c r="Y36" i="1"/>
  <c r="W36" i="1"/>
  <c r="AA36" i="1"/>
  <c r="X36" i="1"/>
  <c r="AC36" i="1"/>
  <c r="W21" i="1"/>
  <c r="X21" i="1"/>
  <c r="AA21" i="1"/>
  <c r="Y21" i="1"/>
  <c r="AC21" i="1"/>
  <c r="X24" i="1"/>
  <c r="AC24" i="1"/>
  <c r="AA24" i="1"/>
  <c r="Y24" i="1"/>
  <c r="W24" i="1"/>
  <c r="Y35" i="1"/>
  <c r="AC35" i="1"/>
  <c r="W35" i="1"/>
  <c r="AA35" i="1"/>
  <c r="X35" i="1"/>
  <c r="W40" i="1"/>
  <c r="X40" i="1"/>
  <c r="Y40" i="1"/>
  <c r="AA40" i="1"/>
  <c r="AC40" i="1"/>
  <c r="W53" i="1"/>
  <c r="X53" i="1"/>
  <c r="AC53" i="1"/>
  <c r="Y53" i="1"/>
  <c r="AA53" i="1"/>
  <c r="W59" i="1"/>
  <c r="X59" i="1"/>
  <c r="AC59" i="1"/>
  <c r="Y59" i="1"/>
  <c r="AA59" i="1"/>
  <c r="X23" i="1"/>
  <c r="AC23" i="1"/>
  <c r="AA23" i="1"/>
  <c r="Y23" i="1"/>
  <c r="W23" i="1"/>
  <c r="Y42" i="1"/>
  <c r="AC42" i="1"/>
  <c r="W42" i="1"/>
  <c r="AA42" i="1"/>
  <c r="X42" i="1"/>
  <c r="X33" i="1"/>
  <c r="AA33" i="1"/>
  <c r="Y33" i="1"/>
  <c r="AC33" i="1"/>
  <c r="W33" i="1"/>
  <c r="W51" i="1"/>
  <c r="X51" i="1"/>
  <c r="Y51" i="1"/>
  <c r="AC51" i="1"/>
  <c r="AA51" i="1"/>
  <c r="W57" i="1"/>
  <c r="X57" i="1"/>
  <c r="AA57" i="1"/>
  <c r="Y57" i="1"/>
  <c r="AC57" i="1"/>
  <c r="Y22" i="1"/>
  <c r="AC22" i="1"/>
  <c r="W22" i="1"/>
  <c r="X22" i="1"/>
  <c r="AA22" i="1"/>
  <c r="AC41" i="1"/>
  <c r="X34" i="1"/>
  <c r="Y34" i="1"/>
  <c r="AA34" i="1"/>
  <c r="W34" i="1"/>
  <c r="AC34" i="1"/>
  <c r="T29" i="1"/>
  <c r="T30" i="1"/>
  <c r="T27" i="1"/>
  <c r="T28" i="1"/>
  <c r="X54" i="1"/>
  <c r="X41" i="1" l="1"/>
  <c r="AA39" i="1"/>
  <c r="Y41" i="1"/>
  <c r="X52" i="1"/>
  <c r="W41" i="1"/>
  <c r="Y52" i="1"/>
  <c r="AC52" i="1"/>
  <c r="Y39" i="1"/>
  <c r="AA52" i="1"/>
  <c r="W39" i="1"/>
  <c r="X39" i="1"/>
  <c r="V48" i="1"/>
  <c r="AA54" i="1"/>
  <c r="AC54" i="1"/>
  <c r="W54" i="1"/>
  <c r="AC58" i="1"/>
  <c r="X58" i="1"/>
  <c r="M70" i="211"/>
  <c r="V70" i="211" s="1"/>
  <c r="M70" i="203"/>
  <c r="V70" i="203" s="1"/>
  <c r="M70" i="212"/>
  <c r="V70" i="212" s="1"/>
  <c r="M70" i="208"/>
  <c r="V70" i="208" s="1"/>
  <c r="M70" i="202"/>
  <c r="V70" i="202" s="1"/>
  <c r="M70" i="200"/>
  <c r="V70" i="200" s="1"/>
  <c r="M70" i="207"/>
  <c r="V70" i="207" s="1"/>
  <c r="M70" i="206"/>
  <c r="V70" i="206" s="1"/>
  <c r="M70" i="205"/>
  <c r="V70" i="205" s="1"/>
  <c r="M70" i="201"/>
  <c r="V70" i="201" s="1"/>
  <c r="M70" i="210"/>
  <c r="V70" i="210" s="1"/>
  <c r="M70" i="209"/>
  <c r="V70" i="209" s="1"/>
  <c r="M70" i="204"/>
  <c r="V70" i="204" s="1"/>
  <c r="M70" i="199"/>
  <c r="V70" i="199" s="1"/>
  <c r="G72" i="17"/>
  <c r="P72" i="17" s="1"/>
  <c r="G72" i="210"/>
  <c r="P72" i="210" s="1"/>
  <c r="G72" i="207"/>
  <c r="P72" i="207" s="1"/>
  <c r="G72" i="205"/>
  <c r="P72" i="205" s="1"/>
  <c r="G72" i="204"/>
  <c r="P72" i="204" s="1"/>
  <c r="G72" i="203"/>
  <c r="P72" i="203" s="1"/>
  <c r="G72" i="201"/>
  <c r="P72" i="201" s="1"/>
  <c r="G72" i="200"/>
  <c r="P72" i="200" s="1"/>
  <c r="G72" i="211"/>
  <c r="P72" i="211" s="1"/>
  <c r="G72" i="208"/>
  <c r="P72" i="208" s="1"/>
  <c r="G72" i="212"/>
  <c r="P72" i="212" s="1"/>
  <c r="G72" i="209"/>
  <c r="P72" i="209" s="1"/>
  <c r="G72" i="206"/>
  <c r="P72" i="206" s="1"/>
  <c r="G72" i="202"/>
  <c r="P72" i="202" s="1"/>
  <c r="G72" i="199"/>
  <c r="P72" i="199" s="1"/>
  <c r="W58" i="1"/>
  <c r="V58" i="1" s="1"/>
  <c r="N99" i="1" s="1"/>
  <c r="AA58" i="1"/>
  <c r="Y69" i="1"/>
  <c r="M70" i="17"/>
  <c r="V70" i="17" s="1"/>
  <c r="T18" i="1"/>
  <c r="AA18" i="1" s="1"/>
  <c r="T16" i="1"/>
  <c r="X16" i="1" s="1"/>
  <c r="T17" i="1"/>
  <c r="AC60" i="1"/>
  <c r="W60" i="1"/>
  <c r="Y60" i="1"/>
  <c r="AA60" i="1"/>
  <c r="V33" i="1"/>
  <c r="H81" i="1" s="1"/>
  <c r="V41" i="1"/>
  <c r="V51" i="1"/>
  <c r="H99" i="1" s="1"/>
  <c r="V42" i="1"/>
  <c r="V59" i="1"/>
  <c r="AE7" i="19"/>
  <c r="Y7" i="196" s="1"/>
  <c r="AB7" i="18"/>
  <c r="V54" i="1"/>
  <c r="AA30" i="1"/>
  <c r="W30" i="1"/>
  <c r="X30" i="1"/>
  <c r="AC30" i="1"/>
  <c r="Y30" i="1"/>
  <c r="AC18" i="1"/>
  <c r="V57" i="1"/>
  <c r="H111" i="1" s="1"/>
  <c r="V53" i="1"/>
  <c r="AA16" i="1"/>
  <c r="Y16" i="1"/>
  <c r="V21" i="1"/>
  <c r="H87" i="1" s="1"/>
  <c r="V36" i="1"/>
  <c r="W29" i="1"/>
  <c r="X29" i="1"/>
  <c r="AC29" i="1"/>
  <c r="Y29" i="1"/>
  <c r="AA29" i="1"/>
  <c r="W28" i="1"/>
  <c r="AC28" i="1"/>
  <c r="X28" i="1"/>
  <c r="AA28" i="1"/>
  <c r="Y28" i="1"/>
  <c r="V22" i="1"/>
  <c r="N69" i="1" s="1"/>
  <c r="V40" i="1"/>
  <c r="N105" i="1" s="1"/>
  <c r="BM8" i="198" s="1"/>
  <c r="V52" i="1"/>
  <c r="N111" i="1" s="1"/>
  <c r="V35" i="1"/>
  <c r="AA17" i="1"/>
  <c r="W17" i="1"/>
  <c r="X17" i="1"/>
  <c r="AC17" i="1"/>
  <c r="Y17" i="1"/>
  <c r="V39" i="1"/>
  <c r="H93" i="1" s="1"/>
  <c r="W27" i="1"/>
  <c r="X27" i="1"/>
  <c r="Y27" i="1"/>
  <c r="AC27" i="1"/>
  <c r="AA27" i="1"/>
  <c r="V34" i="1"/>
  <c r="N75" i="1" s="1"/>
  <c r="V23" i="1"/>
  <c r="X15" i="1"/>
  <c r="AA15" i="1"/>
  <c r="AC15" i="1"/>
  <c r="Y15" i="1"/>
  <c r="W15" i="1"/>
  <c r="V24" i="1"/>
  <c r="W16" i="1" l="1"/>
  <c r="AC16" i="1"/>
  <c r="Y18" i="1"/>
  <c r="M71" i="207"/>
  <c r="V71" i="207" s="1"/>
  <c r="M71" i="206"/>
  <c r="V71" i="206" s="1"/>
  <c r="M71" i="201"/>
  <c r="V71" i="201" s="1"/>
  <c r="M71" i="210"/>
  <c r="V71" i="210" s="1"/>
  <c r="M71" i="205"/>
  <c r="V71" i="205" s="1"/>
  <c r="M71" i="204"/>
  <c r="V71" i="204" s="1"/>
  <c r="M71" i="200"/>
  <c r="V71" i="200" s="1"/>
  <c r="M71" i="211"/>
  <c r="V71" i="211" s="1"/>
  <c r="M71" i="209"/>
  <c r="V71" i="209" s="1"/>
  <c r="M71" i="203"/>
  <c r="V71" i="203" s="1"/>
  <c r="M71" i="212"/>
  <c r="V71" i="212" s="1"/>
  <c r="M71" i="208"/>
  <c r="V71" i="208" s="1"/>
  <c r="M71" i="202"/>
  <c r="V71" i="202" s="1"/>
  <c r="M71" i="199"/>
  <c r="V71" i="199" s="1"/>
  <c r="M66" i="208"/>
  <c r="V66" i="208" s="1"/>
  <c r="M66" i="204"/>
  <c r="V66" i="204" s="1"/>
  <c r="M66" i="203"/>
  <c r="V66" i="203" s="1"/>
  <c r="M66" i="202"/>
  <c r="V66" i="202" s="1"/>
  <c r="M66" i="212"/>
  <c r="V66" i="212" s="1"/>
  <c r="M66" i="211"/>
  <c r="V66" i="211" s="1"/>
  <c r="M66" i="209"/>
  <c r="V66" i="209" s="1"/>
  <c r="M66" i="206"/>
  <c r="V66" i="206" s="1"/>
  <c r="M66" i="201"/>
  <c r="V66" i="201" s="1"/>
  <c r="M66" i="210"/>
  <c r="V66" i="210" s="1"/>
  <c r="M66" i="207"/>
  <c r="V66" i="207" s="1"/>
  <c r="M66" i="205"/>
  <c r="V66" i="205" s="1"/>
  <c r="M66" i="200"/>
  <c r="V66" i="200" s="1"/>
  <c r="M66" i="199"/>
  <c r="V66" i="199" s="1"/>
  <c r="M67" i="208"/>
  <c r="V67" i="208" s="1"/>
  <c r="M67" i="204"/>
  <c r="V67" i="204" s="1"/>
  <c r="M67" i="203"/>
  <c r="V67" i="203" s="1"/>
  <c r="M67" i="200"/>
  <c r="V67" i="200" s="1"/>
  <c r="M67" i="211"/>
  <c r="V67" i="211" s="1"/>
  <c r="M67" i="212"/>
  <c r="V67" i="212" s="1"/>
  <c r="M67" i="206"/>
  <c r="V67" i="206" s="1"/>
  <c r="M67" i="202"/>
  <c r="V67" i="202" s="1"/>
  <c r="M67" i="201"/>
  <c r="V67" i="201" s="1"/>
  <c r="M67" i="210"/>
  <c r="V67" i="210" s="1"/>
  <c r="M67" i="209"/>
  <c r="V67" i="209" s="1"/>
  <c r="M67" i="207"/>
  <c r="V67" i="207" s="1"/>
  <c r="M67" i="205"/>
  <c r="V67" i="205" s="1"/>
  <c r="M67" i="199"/>
  <c r="V67" i="199" s="1"/>
  <c r="G71" i="212"/>
  <c r="P71" i="212" s="1"/>
  <c r="G71" i="208"/>
  <c r="P71" i="208" s="1"/>
  <c r="G71" i="202"/>
  <c r="P71" i="202" s="1"/>
  <c r="G71" i="207"/>
  <c r="P71" i="207" s="1"/>
  <c r="G71" i="206"/>
  <c r="P71" i="206" s="1"/>
  <c r="G71" i="201"/>
  <c r="P71" i="201" s="1"/>
  <c r="G71" i="210"/>
  <c r="P71" i="210" s="1"/>
  <c r="G71" i="205"/>
  <c r="P71" i="205" s="1"/>
  <c r="G71" i="204"/>
  <c r="P71" i="204" s="1"/>
  <c r="G71" i="200"/>
  <c r="P71" i="200" s="1"/>
  <c r="G71" i="211"/>
  <c r="P71" i="211" s="1"/>
  <c r="G71" i="209"/>
  <c r="P71" i="209" s="1"/>
  <c r="G71" i="203"/>
  <c r="P71" i="203" s="1"/>
  <c r="G71" i="199"/>
  <c r="P71" i="199" s="1"/>
  <c r="BL8" i="198"/>
  <c r="G74" i="209"/>
  <c r="P74" i="209" s="1"/>
  <c r="G74" i="207"/>
  <c r="P74" i="207" s="1"/>
  <c r="G74" i="202"/>
  <c r="P74" i="202" s="1"/>
  <c r="G74" i="200"/>
  <c r="P74" i="200" s="1"/>
  <c r="G74" i="212"/>
  <c r="P74" i="212" s="1"/>
  <c r="G74" i="206"/>
  <c r="P74" i="206" s="1"/>
  <c r="G74" i="205"/>
  <c r="P74" i="205" s="1"/>
  <c r="G74" i="201"/>
  <c r="P74" i="201" s="1"/>
  <c r="G74" i="210"/>
  <c r="P74" i="210" s="1"/>
  <c r="G74" i="208"/>
  <c r="P74" i="208" s="1"/>
  <c r="G74" i="211"/>
  <c r="P74" i="211" s="1"/>
  <c r="G74" i="204"/>
  <c r="P74" i="204" s="1"/>
  <c r="G74" i="203"/>
  <c r="P74" i="203" s="1"/>
  <c r="G74" i="199"/>
  <c r="P74" i="199" s="1"/>
  <c r="M73" i="211"/>
  <c r="V73" i="211" s="1"/>
  <c r="M73" i="205"/>
  <c r="V73" i="205" s="1"/>
  <c r="M73" i="201"/>
  <c r="V73" i="201" s="1"/>
  <c r="M73" i="200"/>
  <c r="V73" i="200" s="1"/>
  <c r="M73" i="212"/>
  <c r="V73" i="212" s="1"/>
  <c r="M73" i="209"/>
  <c r="V73" i="209" s="1"/>
  <c r="M73" i="207"/>
  <c r="V73" i="207" s="1"/>
  <c r="M73" i="206"/>
  <c r="V73" i="206" s="1"/>
  <c r="M73" i="202"/>
  <c r="V73" i="202" s="1"/>
  <c r="M73" i="210"/>
  <c r="V73" i="210" s="1"/>
  <c r="M73" i="208"/>
  <c r="V73" i="208" s="1"/>
  <c r="M73" i="204"/>
  <c r="V73" i="204" s="1"/>
  <c r="M73" i="203"/>
  <c r="V73" i="203" s="1"/>
  <c r="M73" i="199"/>
  <c r="V73" i="199" s="1"/>
  <c r="G73" i="208"/>
  <c r="P73" i="208" s="1"/>
  <c r="G73" i="204"/>
  <c r="P73" i="204" s="1"/>
  <c r="G73" i="203"/>
  <c r="P73" i="203" s="1"/>
  <c r="G73" i="211"/>
  <c r="P73" i="211" s="1"/>
  <c r="G73" i="205"/>
  <c r="P73" i="205" s="1"/>
  <c r="G73" i="201"/>
  <c r="P73" i="201" s="1"/>
  <c r="G73" i="200"/>
  <c r="P73" i="200" s="1"/>
  <c r="G73" i="212"/>
  <c r="P73" i="212" s="1"/>
  <c r="G73" i="209"/>
  <c r="P73" i="209" s="1"/>
  <c r="G73" i="207"/>
  <c r="P73" i="207" s="1"/>
  <c r="G73" i="206"/>
  <c r="P73" i="206" s="1"/>
  <c r="G73" i="202"/>
  <c r="P73" i="202" s="1"/>
  <c r="G73" i="210"/>
  <c r="P73" i="210" s="1"/>
  <c r="G73" i="199"/>
  <c r="P73" i="199" s="1"/>
  <c r="BN8" i="198"/>
  <c r="G70" i="210"/>
  <c r="P70" i="210" s="1"/>
  <c r="G70" i="209"/>
  <c r="P70" i="209" s="1"/>
  <c r="G70" i="204"/>
  <c r="P70" i="204" s="1"/>
  <c r="G70" i="211"/>
  <c r="P70" i="211" s="1"/>
  <c r="G70" i="203"/>
  <c r="P70" i="203" s="1"/>
  <c r="G70" i="212"/>
  <c r="P70" i="212" s="1"/>
  <c r="G70" i="208"/>
  <c r="P70" i="208" s="1"/>
  <c r="G70" i="202"/>
  <c r="P70" i="202" s="1"/>
  <c r="G70" i="207"/>
  <c r="P70" i="207" s="1"/>
  <c r="G70" i="206"/>
  <c r="P70" i="206" s="1"/>
  <c r="G70" i="205"/>
  <c r="P70" i="205" s="1"/>
  <c r="G70" i="201"/>
  <c r="P70" i="201" s="1"/>
  <c r="G70" i="200"/>
  <c r="P70" i="200" s="1"/>
  <c r="G70" i="199"/>
  <c r="P70" i="199" s="1"/>
  <c r="BK8" i="198"/>
  <c r="M72" i="205"/>
  <c r="V72" i="205" s="1"/>
  <c r="M72" i="204"/>
  <c r="V72" i="204" s="1"/>
  <c r="M72" i="203"/>
  <c r="V72" i="203" s="1"/>
  <c r="M72" i="201"/>
  <c r="V72" i="201" s="1"/>
  <c r="M72" i="211"/>
  <c r="V72" i="211" s="1"/>
  <c r="M72" i="208"/>
  <c r="V72" i="208" s="1"/>
  <c r="M72" i="200"/>
  <c r="V72" i="200" s="1"/>
  <c r="M72" i="212"/>
  <c r="V72" i="212" s="1"/>
  <c r="M72" i="209"/>
  <c r="V72" i="209" s="1"/>
  <c r="M72" i="206"/>
  <c r="V72" i="206" s="1"/>
  <c r="M72" i="202"/>
  <c r="V72" i="202" s="1"/>
  <c r="M72" i="210"/>
  <c r="V72" i="210" s="1"/>
  <c r="M72" i="207"/>
  <c r="V72" i="207" s="1"/>
  <c r="M72" i="199"/>
  <c r="V72" i="199" s="1"/>
  <c r="X18" i="1"/>
  <c r="G74" i="17"/>
  <c r="P74" i="17" s="1"/>
  <c r="G69" i="210"/>
  <c r="P69" i="210" s="1"/>
  <c r="G69" i="205"/>
  <c r="P69" i="205" s="1"/>
  <c r="G69" i="204"/>
  <c r="P69" i="204" s="1"/>
  <c r="G69" i="209"/>
  <c r="P69" i="209" s="1"/>
  <c r="G69" i="203"/>
  <c r="P69" i="203" s="1"/>
  <c r="G69" i="212"/>
  <c r="P69" i="212" s="1"/>
  <c r="G69" i="211"/>
  <c r="P69" i="211" s="1"/>
  <c r="G69" i="207"/>
  <c r="P69" i="207" s="1"/>
  <c r="G69" i="208"/>
  <c r="P69" i="208" s="1"/>
  <c r="G69" i="206"/>
  <c r="P69" i="206" s="1"/>
  <c r="G69" i="202"/>
  <c r="P69" i="202" s="1"/>
  <c r="G69" i="201"/>
  <c r="P69" i="201" s="1"/>
  <c r="G69" i="200"/>
  <c r="P69" i="200" s="1"/>
  <c r="G69" i="199"/>
  <c r="P69" i="199" s="1"/>
  <c r="G68" i="207"/>
  <c r="P68" i="207" s="1"/>
  <c r="G68" i="206"/>
  <c r="P68" i="206" s="1"/>
  <c r="G68" i="202"/>
  <c r="P68" i="202" s="1"/>
  <c r="G68" i="201"/>
  <c r="P68" i="201" s="1"/>
  <c r="G68" i="200"/>
  <c r="P68" i="200" s="1"/>
  <c r="G68" i="210"/>
  <c r="P68" i="210" s="1"/>
  <c r="G68" i="208"/>
  <c r="P68" i="208" s="1"/>
  <c r="G68" i="205"/>
  <c r="P68" i="205" s="1"/>
  <c r="G68" i="209"/>
  <c r="P68" i="209" s="1"/>
  <c r="G68" i="204"/>
  <c r="P68" i="204" s="1"/>
  <c r="G68" i="203"/>
  <c r="P68" i="203" s="1"/>
  <c r="G68" i="212"/>
  <c r="P68" i="212" s="1"/>
  <c r="G68" i="211"/>
  <c r="P68" i="211" s="1"/>
  <c r="G68" i="199"/>
  <c r="P68" i="199" s="1"/>
  <c r="W18" i="1"/>
  <c r="G76" i="17"/>
  <c r="P76" i="17" s="1"/>
  <c r="BK8" i="19"/>
  <c r="AE84" i="1"/>
  <c r="AE97" i="1" s="1"/>
  <c r="V60" i="1"/>
  <c r="BM8" i="19"/>
  <c r="Y84" i="1"/>
  <c r="G68" i="17"/>
  <c r="P68" i="17" s="1"/>
  <c r="AE69" i="1"/>
  <c r="M71" i="17"/>
  <c r="G71" i="17"/>
  <c r="P71" i="17" s="1"/>
  <c r="BL8" i="19"/>
  <c r="AF7" i="19"/>
  <c r="Z7" i="196" s="1"/>
  <c r="AC7" i="18"/>
  <c r="BN8" i="19"/>
  <c r="V15" i="1"/>
  <c r="H69" i="1" s="1"/>
  <c r="V29" i="1"/>
  <c r="M67" i="17"/>
  <c r="V27" i="1"/>
  <c r="H75" i="1" s="1"/>
  <c r="V28" i="1"/>
  <c r="N81" i="1" s="1"/>
  <c r="BI8" i="198" s="1"/>
  <c r="V16" i="1"/>
  <c r="N87" i="1" s="1"/>
  <c r="M73" i="17"/>
  <c r="G70" i="17"/>
  <c r="P70" i="17" s="1"/>
  <c r="V17" i="1"/>
  <c r="M72" i="17"/>
  <c r="V30" i="1"/>
  <c r="M66" i="17"/>
  <c r="G69" i="17"/>
  <c r="P69" i="17" s="1"/>
  <c r="G73" i="17"/>
  <c r="P73" i="17" s="1"/>
  <c r="V18" i="1" l="1"/>
  <c r="M79" i="211"/>
  <c r="V79" i="211" s="1"/>
  <c r="M79" i="210"/>
  <c r="V79" i="210" s="1"/>
  <c r="M79" i="209"/>
  <c r="V79" i="209" s="1"/>
  <c r="M79" i="208"/>
  <c r="V79" i="208" s="1"/>
  <c r="M79" i="212"/>
  <c r="V79" i="212" s="1"/>
  <c r="M79" i="206"/>
  <c r="V79" i="206" s="1"/>
  <c r="M79" i="204"/>
  <c r="V79" i="204" s="1"/>
  <c r="M79" i="202"/>
  <c r="V79" i="202" s="1"/>
  <c r="M79" i="201"/>
  <c r="V79" i="201" s="1"/>
  <c r="M79" i="207"/>
  <c r="V79" i="207" s="1"/>
  <c r="M79" i="205"/>
  <c r="V79" i="205" s="1"/>
  <c r="M79" i="203"/>
  <c r="V79" i="203" s="1"/>
  <c r="M79" i="200"/>
  <c r="V79" i="200" s="1"/>
  <c r="M79" i="199"/>
  <c r="V79" i="199" s="1"/>
  <c r="M77" i="203"/>
  <c r="V77" i="203" s="1"/>
  <c r="M77" i="212"/>
  <c r="V77" i="212" s="1"/>
  <c r="M77" i="211"/>
  <c r="V77" i="211" s="1"/>
  <c r="M77" i="209"/>
  <c r="V77" i="209" s="1"/>
  <c r="M77" i="208"/>
  <c r="V77" i="208" s="1"/>
  <c r="M77" i="205"/>
  <c r="V77" i="205" s="1"/>
  <c r="M77" i="201"/>
  <c r="V77" i="201" s="1"/>
  <c r="M77" i="210"/>
  <c r="V77" i="210" s="1"/>
  <c r="M77" i="206"/>
  <c r="V77" i="206" s="1"/>
  <c r="M77" i="204"/>
  <c r="V77" i="204" s="1"/>
  <c r="M77" i="202"/>
  <c r="V77" i="202" s="1"/>
  <c r="M77" i="207"/>
  <c r="V77" i="207" s="1"/>
  <c r="M77" i="200"/>
  <c r="V77" i="200" s="1"/>
  <c r="M77" i="199"/>
  <c r="V77" i="199" s="1"/>
  <c r="M74" i="212"/>
  <c r="V74" i="212" s="1"/>
  <c r="M74" i="206"/>
  <c r="V74" i="206" s="1"/>
  <c r="M74" i="205"/>
  <c r="V74" i="205" s="1"/>
  <c r="M74" i="201"/>
  <c r="V74" i="201" s="1"/>
  <c r="M74" i="210"/>
  <c r="V74" i="210" s="1"/>
  <c r="M74" i="208"/>
  <c r="V74" i="208" s="1"/>
  <c r="M74" i="211"/>
  <c r="V74" i="211" s="1"/>
  <c r="M74" i="204"/>
  <c r="V74" i="204" s="1"/>
  <c r="M74" i="203"/>
  <c r="V74" i="203" s="1"/>
  <c r="M74" i="209"/>
  <c r="V74" i="209" s="1"/>
  <c r="M74" i="207"/>
  <c r="V74" i="207" s="1"/>
  <c r="M74" i="202"/>
  <c r="V74" i="202" s="1"/>
  <c r="M74" i="200"/>
  <c r="V74" i="200" s="1"/>
  <c r="M74" i="199"/>
  <c r="V74" i="199" s="1"/>
  <c r="G67" i="210"/>
  <c r="P67" i="210" s="1"/>
  <c r="G67" i="209"/>
  <c r="P67" i="209" s="1"/>
  <c r="G67" i="207"/>
  <c r="P67" i="207" s="1"/>
  <c r="G67" i="205"/>
  <c r="P67" i="205" s="1"/>
  <c r="G67" i="208"/>
  <c r="P67" i="208" s="1"/>
  <c r="G67" i="204"/>
  <c r="P67" i="204" s="1"/>
  <c r="G67" i="203"/>
  <c r="P67" i="203" s="1"/>
  <c r="G67" i="200"/>
  <c r="P67" i="200" s="1"/>
  <c r="G67" i="211"/>
  <c r="P67" i="211" s="1"/>
  <c r="G67" i="212"/>
  <c r="P67" i="212" s="1"/>
  <c r="G67" i="206"/>
  <c r="P67" i="206" s="1"/>
  <c r="G67" i="202"/>
  <c r="P67" i="202" s="1"/>
  <c r="G67" i="201"/>
  <c r="P67" i="201" s="1"/>
  <c r="G67" i="199"/>
  <c r="P67" i="199" s="1"/>
  <c r="BH8" i="198"/>
  <c r="M77" i="17"/>
  <c r="V77" i="17" s="1"/>
  <c r="M68" i="210"/>
  <c r="V68" i="210" s="1"/>
  <c r="M68" i="208"/>
  <c r="V68" i="208" s="1"/>
  <c r="M68" i="205"/>
  <c r="V68" i="205" s="1"/>
  <c r="M68" i="209"/>
  <c r="V68" i="209" s="1"/>
  <c r="M68" i="204"/>
  <c r="V68" i="204" s="1"/>
  <c r="M68" i="203"/>
  <c r="V68" i="203" s="1"/>
  <c r="M68" i="212"/>
  <c r="V68" i="212" s="1"/>
  <c r="M68" i="211"/>
  <c r="V68" i="211" s="1"/>
  <c r="M68" i="207"/>
  <c r="V68" i="207" s="1"/>
  <c r="M68" i="206"/>
  <c r="V68" i="206" s="1"/>
  <c r="M68" i="202"/>
  <c r="V68" i="202" s="1"/>
  <c r="M68" i="201"/>
  <c r="V68" i="201" s="1"/>
  <c r="M68" i="200"/>
  <c r="V68" i="200" s="1"/>
  <c r="M68" i="199"/>
  <c r="V68" i="199" s="1"/>
  <c r="G77" i="207"/>
  <c r="P77" i="207" s="1"/>
  <c r="G77" i="200"/>
  <c r="P77" i="200" s="1"/>
  <c r="G77" i="203"/>
  <c r="P77" i="203" s="1"/>
  <c r="G77" i="212"/>
  <c r="P77" i="212" s="1"/>
  <c r="G77" i="211"/>
  <c r="P77" i="211" s="1"/>
  <c r="G77" i="209"/>
  <c r="P77" i="209" s="1"/>
  <c r="G77" i="208"/>
  <c r="P77" i="208" s="1"/>
  <c r="G77" i="205"/>
  <c r="P77" i="205" s="1"/>
  <c r="G77" i="201"/>
  <c r="P77" i="201" s="1"/>
  <c r="G77" i="210"/>
  <c r="P77" i="210" s="1"/>
  <c r="G77" i="206"/>
  <c r="P77" i="206" s="1"/>
  <c r="G77" i="204"/>
  <c r="P77" i="204" s="1"/>
  <c r="G77" i="202"/>
  <c r="P77" i="202" s="1"/>
  <c r="G77" i="199"/>
  <c r="P77" i="199" s="1"/>
  <c r="BR8" i="198"/>
  <c r="BO8" i="198"/>
  <c r="M69" i="212"/>
  <c r="V69" i="212" s="1"/>
  <c r="M69" i="208"/>
  <c r="V69" i="208" s="1"/>
  <c r="M69" i="207"/>
  <c r="V69" i="207" s="1"/>
  <c r="M69" i="211"/>
  <c r="V69" i="211" s="1"/>
  <c r="M69" i="209"/>
  <c r="V69" i="209" s="1"/>
  <c r="M69" i="206"/>
  <c r="V69" i="206" s="1"/>
  <c r="M69" i="205"/>
  <c r="V69" i="205" s="1"/>
  <c r="M69" i="210"/>
  <c r="V69" i="210" s="1"/>
  <c r="M69" i="200"/>
  <c r="V69" i="200" s="1"/>
  <c r="M69" i="204"/>
  <c r="V69" i="204" s="1"/>
  <c r="M69" i="203"/>
  <c r="V69" i="203" s="1"/>
  <c r="M69" i="202"/>
  <c r="V69" i="202" s="1"/>
  <c r="M69" i="201"/>
  <c r="V69" i="201" s="1"/>
  <c r="M69" i="199"/>
  <c r="V69" i="199" s="1"/>
  <c r="BJ8" i="198"/>
  <c r="G66" i="209"/>
  <c r="P66" i="209" s="1"/>
  <c r="G66" i="208"/>
  <c r="P66" i="208" s="1"/>
  <c r="G66" i="207"/>
  <c r="P66" i="207" s="1"/>
  <c r="G66" i="212"/>
  <c r="P66" i="212" s="1"/>
  <c r="G66" i="206"/>
  <c r="P66" i="206" s="1"/>
  <c r="G66" i="205"/>
  <c r="P66" i="205" s="1"/>
  <c r="G66" i="211"/>
  <c r="P66" i="211" s="1"/>
  <c r="G66" i="210"/>
  <c r="P66" i="210" s="1"/>
  <c r="G66" i="204"/>
  <c r="P66" i="204" s="1"/>
  <c r="G66" i="202"/>
  <c r="P66" i="202" s="1"/>
  <c r="G66" i="201"/>
  <c r="P66" i="201" s="1"/>
  <c r="G66" i="203"/>
  <c r="P66" i="203" s="1"/>
  <c r="G66" i="200"/>
  <c r="P66" i="200" s="1"/>
  <c r="G66" i="199"/>
  <c r="P66" i="199" s="1"/>
  <c r="BG8" i="198"/>
  <c r="G76" i="210"/>
  <c r="P76" i="210" s="1"/>
  <c r="G76" i="209"/>
  <c r="P76" i="209" s="1"/>
  <c r="G76" i="206"/>
  <c r="P76" i="206" s="1"/>
  <c r="G76" i="207"/>
  <c r="P76" i="207" s="1"/>
  <c r="G76" i="205"/>
  <c r="P76" i="205" s="1"/>
  <c r="G76" i="212"/>
  <c r="P76" i="212" s="1"/>
  <c r="G76" i="208"/>
  <c r="P76" i="208" s="1"/>
  <c r="G76" i="211"/>
  <c r="P76" i="211" s="1"/>
  <c r="G76" i="201"/>
  <c r="P76" i="201" s="1"/>
  <c r="G76" i="203"/>
  <c r="P76" i="203" s="1"/>
  <c r="G76" i="202"/>
  <c r="P76" i="202" s="1"/>
  <c r="G76" i="204"/>
  <c r="P76" i="204" s="1"/>
  <c r="G76" i="200"/>
  <c r="P76" i="200" s="1"/>
  <c r="G76" i="199"/>
  <c r="P76" i="199" s="1"/>
  <c r="BJ8" i="19"/>
  <c r="Y74" i="1"/>
  <c r="G75" i="17" s="1"/>
  <c r="P75" i="17" s="1"/>
  <c r="BH8" i="19"/>
  <c r="AE74" i="1"/>
  <c r="BI8" i="19"/>
  <c r="G77" i="17"/>
  <c r="P77" i="17" s="1"/>
  <c r="BR8" i="19"/>
  <c r="M74" i="17"/>
  <c r="V74" i="17" s="1"/>
  <c r="BO8" i="19"/>
  <c r="M79" i="17"/>
  <c r="V79" i="17" s="1"/>
  <c r="AE113" i="1"/>
  <c r="V73" i="17"/>
  <c r="V71" i="17"/>
  <c r="V72" i="17"/>
  <c r="V67" i="17"/>
  <c r="V66" i="17"/>
  <c r="AG7" i="19"/>
  <c r="AA7" i="196" s="1"/>
  <c r="AD7" i="18"/>
  <c r="BG8" i="19"/>
  <c r="G66" i="17"/>
  <c r="P66" i="17" s="1"/>
  <c r="M69" i="17"/>
  <c r="M68" i="17"/>
  <c r="G67" i="17"/>
  <c r="P67" i="17" s="1"/>
  <c r="M78" i="211" l="1"/>
  <c r="V78" i="211" s="1"/>
  <c r="M78" i="203"/>
  <c r="V78" i="203" s="1"/>
  <c r="M78" i="212"/>
  <c r="V78" i="212" s="1"/>
  <c r="M78" i="210"/>
  <c r="V78" i="210" s="1"/>
  <c r="M78" i="209"/>
  <c r="V78" i="209" s="1"/>
  <c r="M78" i="208"/>
  <c r="V78" i="208" s="1"/>
  <c r="M78" i="204"/>
  <c r="V78" i="204" s="1"/>
  <c r="M78" i="202"/>
  <c r="V78" i="202" s="1"/>
  <c r="M78" i="201"/>
  <c r="V78" i="201" s="1"/>
  <c r="M78" i="206"/>
  <c r="V78" i="206" s="1"/>
  <c r="M78" i="205"/>
  <c r="V78" i="205" s="1"/>
  <c r="M78" i="207"/>
  <c r="V78" i="207" s="1"/>
  <c r="M78" i="200"/>
  <c r="V78" i="200" s="1"/>
  <c r="M78" i="199"/>
  <c r="V78" i="199" s="1"/>
  <c r="M76" i="207"/>
  <c r="V76" i="207" s="1"/>
  <c r="M76" i="212"/>
  <c r="V76" i="212" s="1"/>
  <c r="M76" i="211"/>
  <c r="V76" i="211" s="1"/>
  <c r="M76" i="205"/>
  <c r="V76" i="205" s="1"/>
  <c r="M76" i="203"/>
  <c r="V76" i="203" s="1"/>
  <c r="M76" i="201"/>
  <c r="V76" i="201" s="1"/>
  <c r="M76" i="209"/>
  <c r="V76" i="209" s="1"/>
  <c r="M76" i="204"/>
  <c r="V76" i="204" s="1"/>
  <c r="M76" i="210"/>
  <c r="V76" i="210" s="1"/>
  <c r="M76" i="208"/>
  <c r="V76" i="208" s="1"/>
  <c r="M76" i="206"/>
  <c r="V76" i="206" s="1"/>
  <c r="M76" i="202"/>
  <c r="V76" i="202" s="1"/>
  <c r="M76" i="200"/>
  <c r="V76" i="200" s="1"/>
  <c r="M76" i="199"/>
  <c r="V76" i="199" s="1"/>
  <c r="BQ8" i="198"/>
  <c r="M75" i="212"/>
  <c r="V75" i="212" s="1"/>
  <c r="M75" i="205"/>
  <c r="V75" i="205" s="1"/>
  <c r="M75" i="201"/>
  <c r="V75" i="201" s="1"/>
  <c r="M75" i="211"/>
  <c r="V75" i="211" s="1"/>
  <c r="M75" i="207"/>
  <c r="V75" i="207" s="1"/>
  <c r="M75" i="204"/>
  <c r="V75" i="204" s="1"/>
  <c r="M75" i="203"/>
  <c r="V75" i="203" s="1"/>
  <c r="M75" i="209"/>
  <c r="V75" i="209" s="1"/>
  <c r="M75" i="202"/>
  <c r="V75" i="202" s="1"/>
  <c r="M75" i="210"/>
  <c r="V75" i="210" s="1"/>
  <c r="M75" i="208"/>
  <c r="V75" i="208" s="1"/>
  <c r="M75" i="206"/>
  <c r="V75" i="206" s="1"/>
  <c r="M75" i="200"/>
  <c r="V75" i="200" s="1"/>
  <c r="M75" i="199"/>
  <c r="V75" i="199" s="1"/>
  <c r="M81" i="211"/>
  <c r="V81" i="211" s="1"/>
  <c r="M81" i="210"/>
  <c r="V81" i="210" s="1"/>
  <c r="M81" i="209"/>
  <c r="V81" i="209" s="1"/>
  <c r="M81" i="208"/>
  <c r="V81" i="208" s="1"/>
  <c r="M81" i="207"/>
  <c r="V81" i="207" s="1"/>
  <c r="M81" i="204"/>
  <c r="V81" i="204" s="1"/>
  <c r="M81" i="212"/>
  <c r="V81" i="212" s="1"/>
  <c r="M81" i="206"/>
  <c r="V81" i="206" s="1"/>
  <c r="M81" i="205"/>
  <c r="V81" i="205" s="1"/>
  <c r="M81" i="201"/>
  <c r="V81" i="201" s="1"/>
  <c r="M81" i="203"/>
  <c r="V81" i="203" s="1"/>
  <c r="M81" i="202"/>
  <c r="V81" i="202" s="1"/>
  <c r="M81" i="200"/>
  <c r="V81" i="200" s="1"/>
  <c r="M81" i="199"/>
  <c r="V81" i="199" s="1"/>
  <c r="G75" i="211"/>
  <c r="P75" i="211" s="1"/>
  <c r="G75" i="208"/>
  <c r="P75" i="208" s="1"/>
  <c r="G75" i="210"/>
  <c r="P75" i="210" s="1"/>
  <c r="G75" i="206"/>
  <c r="P75" i="206" s="1"/>
  <c r="G75" i="205"/>
  <c r="P75" i="205" s="1"/>
  <c r="G75" i="212"/>
  <c r="P75" i="212" s="1"/>
  <c r="G75" i="209"/>
  <c r="P75" i="209" s="1"/>
  <c r="G75" i="207"/>
  <c r="P75" i="207" s="1"/>
  <c r="G75" i="201"/>
  <c r="P75" i="201" s="1"/>
  <c r="G75" i="200"/>
  <c r="P75" i="200" s="1"/>
  <c r="G75" i="203"/>
  <c r="P75" i="203" s="1"/>
  <c r="G75" i="202"/>
  <c r="P75" i="202" s="1"/>
  <c r="G75" i="204"/>
  <c r="P75" i="204" s="1"/>
  <c r="G75" i="199"/>
  <c r="P75" i="199" s="1"/>
  <c r="BP8" i="198"/>
  <c r="BP8" i="19"/>
  <c r="M81" i="17"/>
  <c r="V81" i="17" s="1"/>
  <c r="N120" i="1"/>
  <c r="Y105" i="1"/>
  <c r="M78" i="17"/>
  <c r="V78" i="17" s="1"/>
  <c r="Y97" i="1"/>
  <c r="M76" i="17"/>
  <c r="V76" i="17" s="1"/>
  <c r="BQ8" i="19"/>
  <c r="M75" i="17"/>
  <c r="V75" i="17" s="1"/>
  <c r="V68" i="17"/>
  <c r="V69" i="17"/>
  <c r="AH7" i="19"/>
  <c r="AB7" i="196" s="1"/>
  <c r="AE7" i="18"/>
  <c r="G78" i="212" l="1"/>
  <c r="P78" i="212" s="1"/>
  <c r="G78" i="211"/>
  <c r="P78" i="211" s="1"/>
  <c r="G78" i="210"/>
  <c r="P78" i="210" s="1"/>
  <c r="G78" i="209"/>
  <c r="P78" i="209" s="1"/>
  <c r="G78" i="205"/>
  <c r="P78" i="205" s="1"/>
  <c r="G78" i="206"/>
  <c r="P78" i="206" s="1"/>
  <c r="G78" i="208"/>
  <c r="P78" i="208" s="1"/>
  <c r="G78" i="207"/>
  <c r="P78" i="207" s="1"/>
  <c r="G78" i="204"/>
  <c r="P78" i="204" s="1"/>
  <c r="G78" i="202"/>
  <c r="P78" i="202" s="1"/>
  <c r="G78" i="200"/>
  <c r="P78" i="200" s="1"/>
  <c r="G78" i="203"/>
  <c r="P78" i="203" s="1"/>
  <c r="G78" i="201"/>
  <c r="P78" i="201" s="1"/>
  <c r="G78" i="199"/>
  <c r="P78" i="199" s="1"/>
  <c r="BS8" i="198"/>
  <c r="G80" i="205"/>
  <c r="P80" i="205" s="1"/>
  <c r="G80" i="212"/>
  <c r="P80" i="212" s="1"/>
  <c r="G80" i="211"/>
  <c r="P80" i="211" s="1"/>
  <c r="G80" i="210"/>
  <c r="P80" i="210" s="1"/>
  <c r="G80" i="209"/>
  <c r="P80" i="209" s="1"/>
  <c r="G80" i="204"/>
  <c r="P80" i="204" s="1"/>
  <c r="G80" i="208"/>
  <c r="P80" i="208" s="1"/>
  <c r="G80" i="207"/>
  <c r="P80" i="207" s="1"/>
  <c r="G80" i="206"/>
  <c r="P80" i="206" s="1"/>
  <c r="G80" i="203"/>
  <c r="P80" i="203" s="1"/>
  <c r="G80" i="202"/>
  <c r="P80" i="202" s="1"/>
  <c r="G80" i="201"/>
  <c r="P80" i="201" s="1"/>
  <c r="G80" i="200"/>
  <c r="P80" i="200" s="1"/>
  <c r="G80" i="199"/>
  <c r="P80" i="199" s="1"/>
  <c r="G79" i="208"/>
  <c r="P79" i="208" s="1"/>
  <c r="G79" i="206"/>
  <c r="P79" i="206" s="1"/>
  <c r="G79" i="205"/>
  <c r="P79" i="205" s="1"/>
  <c r="G79" i="207"/>
  <c r="P79" i="207" s="1"/>
  <c r="G79" i="212"/>
  <c r="P79" i="212" s="1"/>
  <c r="G79" i="211"/>
  <c r="P79" i="211" s="1"/>
  <c r="G79" i="210"/>
  <c r="P79" i="210" s="1"/>
  <c r="G79" i="209"/>
  <c r="P79" i="209" s="1"/>
  <c r="G79" i="200"/>
  <c r="P79" i="200" s="1"/>
  <c r="G79" i="201"/>
  <c r="P79" i="201" s="1"/>
  <c r="G79" i="203"/>
  <c r="P79" i="203" s="1"/>
  <c r="G79" i="204"/>
  <c r="P79" i="204" s="1"/>
  <c r="G79" i="202"/>
  <c r="P79" i="202" s="1"/>
  <c r="G79" i="199"/>
  <c r="P79" i="199" s="1"/>
  <c r="BT8" i="198"/>
  <c r="G78" i="17"/>
  <c r="P78" i="17" s="1"/>
  <c r="BS8" i="19"/>
  <c r="Y113" i="1"/>
  <c r="BT8" i="19"/>
  <c r="G79" i="17"/>
  <c r="P79" i="17" s="1"/>
  <c r="AE105" i="1"/>
  <c r="G80" i="17"/>
  <c r="P80" i="17" s="1"/>
  <c r="AI7" i="19"/>
  <c r="AC7" i="196" s="1"/>
  <c r="AF7" i="18"/>
  <c r="M80" i="212" l="1"/>
  <c r="V80" i="212" s="1"/>
  <c r="M80" i="211"/>
  <c r="V80" i="211" s="1"/>
  <c r="M80" i="210"/>
  <c r="V80" i="210" s="1"/>
  <c r="M80" i="209"/>
  <c r="V80" i="209" s="1"/>
  <c r="M80" i="208"/>
  <c r="V80" i="208" s="1"/>
  <c r="M80" i="207"/>
  <c r="V80" i="207" s="1"/>
  <c r="M80" i="206"/>
  <c r="V80" i="206" s="1"/>
  <c r="M80" i="205"/>
  <c r="V80" i="205" s="1"/>
  <c r="M80" i="202"/>
  <c r="V80" i="202" s="1"/>
  <c r="M80" i="201"/>
  <c r="V80" i="201" s="1"/>
  <c r="M80" i="204"/>
  <c r="V80" i="204" s="1"/>
  <c r="M80" i="203"/>
  <c r="V80" i="203" s="1"/>
  <c r="M80" i="200"/>
  <c r="V80" i="200" s="1"/>
  <c r="M80" i="199"/>
  <c r="V80" i="199" s="1"/>
  <c r="BU8" i="198"/>
  <c r="G81" i="211"/>
  <c r="P81" i="211" s="1"/>
  <c r="G81" i="210"/>
  <c r="P81" i="210" s="1"/>
  <c r="G81" i="209"/>
  <c r="P81" i="209" s="1"/>
  <c r="G81" i="208"/>
  <c r="P81" i="208" s="1"/>
  <c r="G81" i="207"/>
  <c r="P81" i="207" s="1"/>
  <c r="G81" i="204"/>
  <c r="P81" i="204" s="1"/>
  <c r="G81" i="212"/>
  <c r="P81" i="212" s="1"/>
  <c r="G81" i="206"/>
  <c r="P81" i="206" s="1"/>
  <c r="G81" i="205"/>
  <c r="P81" i="205" s="1"/>
  <c r="G81" i="202"/>
  <c r="P81" i="202" s="1"/>
  <c r="G81" i="201"/>
  <c r="P81" i="201" s="1"/>
  <c r="G81" i="203"/>
  <c r="P81" i="203" s="1"/>
  <c r="G81" i="200"/>
  <c r="P81" i="200" s="1"/>
  <c r="G81" i="199"/>
  <c r="P81" i="199" s="1"/>
  <c r="BV8" i="198"/>
  <c r="BU8" i="19"/>
  <c r="G81" i="17"/>
  <c r="P81" i="17" s="1"/>
  <c r="BV8" i="19"/>
  <c r="M80" i="17"/>
  <c r="V80" i="17" s="1"/>
  <c r="AJ7" i="19"/>
  <c r="AD7" i="196" s="1"/>
  <c r="AG7" i="18"/>
  <c r="AK7" i="19" l="1"/>
  <c r="AE7" i="196" s="1"/>
  <c r="AH7" i="18"/>
  <c r="AL7" i="19" l="1"/>
  <c r="AF7" i="196" s="1"/>
  <c r="AI7" i="18"/>
  <c r="AM7" i="19" l="1"/>
  <c r="AG7" i="196" s="1"/>
  <c r="AJ7" i="18"/>
  <c r="AN7" i="19" l="1"/>
  <c r="AH7" i="196" s="1"/>
  <c r="AK7" i="18"/>
  <c r="AO7" i="19" l="1"/>
  <c r="AI7" i="196" s="1"/>
  <c r="AL7" i="18"/>
  <c r="AP7" i="19" l="1"/>
  <c r="AJ7" i="196" s="1"/>
  <c r="AM7" i="18"/>
  <c r="B8" i="94"/>
  <c r="C7" i="94" l="1"/>
  <c r="C16" i="94"/>
  <c r="C15" i="94"/>
  <c r="C10" i="94"/>
  <c r="C12" i="94"/>
  <c r="C11" i="94"/>
  <c r="C21" i="94"/>
  <c r="C9" i="94"/>
  <c r="C8" i="94"/>
  <c r="C18" i="94"/>
  <c r="C17" i="94"/>
  <c r="C20" i="94"/>
  <c r="C19" i="94"/>
  <c r="C14" i="94"/>
  <c r="C13" i="94"/>
  <c r="AQ7" i="19"/>
  <c r="AK7" i="196" s="1"/>
  <c r="AN7" i="18"/>
  <c r="D7" i="94" l="1"/>
  <c r="D8" i="94"/>
  <c r="D17" i="94"/>
  <c r="E17" i="94" s="1"/>
  <c r="D12" i="94"/>
  <c r="E12" i="94" s="1"/>
  <c r="D11" i="94"/>
  <c r="E11" i="94" s="1"/>
  <c r="D10" i="94"/>
  <c r="E10" i="94" s="1"/>
  <c r="D18" i="94"/>
  <c r="E18" i="94" s="1"/>
  <c r="D9" i="94"/>
  <c r="E9" i="94" s="1"/>
  <c r="D14" i="94"/>
  <c r="E14" i="94" s="1"/>
  <c r="D16" i="94"/>
  <c r="E16" i="94" s="1"/>
  <c r="D20" i="94"/>
  <c r="E20" i="94" s="1"/>
  <c r="D19" i="94"/>
  <c r="E19" i="94" s="1"/>
  <c r="D13" i="94"/>
  <c r="E13" i="94" s="1"/>
  <c r="D21" i="94"/>
  <c r="E21" i="94" s="1"/>
  <c r="D15" i="94"/>
  <c r="E15" i="94" s="1"/>
  <c r="E8" i="94"/>
  <c r="E7" i="94"/>
  <c r="AR7" i="19"/>
  <c r="AL7" i="196" s="1"/>
  <c r="AO7" i="18"/>
  <c r="B9" i="18" l="1"/>
  <c r="B20" i="18"/>
  <c r="B16" i="18"/>
  <c r="B12" i="18"/>
  <c r="B23" i="18"/>
  <c r="B19" i="18"/>
  <c r="B15" i="18"/>
  <c r="B11" i="18"/>
  <c r="B22" i="18"/>
  <c r="B18" i="18"/>
  <c r="B14" i="18"/>
  <c r="B21" i="18"/>
  <c r="B17" i="18"/>
  <c r="B13" i="18"/>
  <c r="B10" i="18"/>
  <c r="AS7" i="19"/>
  <c r="AM7" i="196" s="1"/>
  <c r="AP7" i="18"/>
  <c r="T20" i="197" l="1"/>
  <c r="D20" i="197"/>
  <c r="K20" i="197"/>
  <c r="R20" i="197"/>
  <c r="E20" i="197"/>
  <c r="P20" i="197"/>
  <c r="G20" i="197"/>
  <c r="N20" i="197"/>
  <c r="I20" i="197"/>
  <c r="L20" i="197"/>
  <c r="S20" i="197"/>
  <c r="C20" i="197"/>
  <c r="J20" i="197"/>
  <c r="H20" i="197"/>
  <c r="O20" i="197"/>
  <c r="F20" i="197"/>
  <c r="Q20" i="197"/>
  <c r="M20" i="197"/>
  <c r="P16" i="197"/>
  <c r="G16" i="197"/>
  <c r="N16" i="197"/>
  <c r="I16" i="197"/>
  <c r="L16" i="197"/>
  <c r="S16" i="197"/>
  <c r="C16" i="197"/>
  <c r="J16" i="197"/>
  <c r="H16" i="197"/>
  <c r="O16" i="197"/>
  <c r="F16" i="197"/>
  <c r="Q16" i="197"/>
  <c r="T16" i="197"/>
  <c r="D16" i="197"/>
  <c r="K16" i="197"/>
  <c r="R16" i="197"/>
  <c r="M16" i="197"/>
  <c r="E16" i="197"/>
  <c r="P12" i="197"/>
  <c r="G12" i="197"/>
  <c r="N12" i="197"/>
  <c r="I12" i="197"/>
  <c r="L12" i="197"/>
  <c r="S12" i="197"/>
  <c r="C12" i="197"/>
  <c r="J12" i="197"/>
  <c r="H12" i="197"/>
  <c r="O12" i="197"/>
  <c r="F12" i="197"/>
  <c r="Q12" i="197"/>
  <c r="T12" i="197"/>
  <c r="D12" i="197"/>
  <c r="K12" i="197"/>
  <c r="R12" i="197"/>
  <c r="M12" i="197"/>
  <c r="E12" i="197"/>
  <c r="D23" i="197"/>
  <c r="P23" i="197"/>
  <c r="G23" i="197"/>
  <c r="N23" i="197"/>
  <c r="I23" i="197"/>
  <c r="C23" i="197"/>
  <c r="L23" i="197"/>
  <c r="S23" i="197"/>
  <c r="J23" i="197"/>
  <c r="E23" i="197"/>
  <c r="H23" i="197"/>
  <c r="O23" i="197"/>
  <c r="F23" i="197"/>
  <c r="Q23" i="197"/>
  <c r="T23" i="197"/>
  <c r="K23" i="197"/>
  <c r="R23" i="197"/>
  <c r="M23" i="197"/>
  <c r="M19" i="197"/>
  <c r="P19" i="197"/>
  <c r="G19" i="197"/>
  <c r="N19" i="197"/>
  <c r="I19" i="197"/>
  <c r="L19" i="197"/>
  <c r="S19" i="197"/>
  <c r="C19" i="197"/>
  <c r="J19" i="197"/>
  <c r="H19" i="197"/>
  <c r="O19" i="197"/>
  <c r="F19" i="197"/>
  <c r="Q19" i="197"/>
  <c r="T19" i="197"/>
  <c r="D19" i="197"/>
  <c r="K19" i="197"/>
  <c r="R19" i="197"/>
  <c r="E19" i="197"/>
  <c r="M15" i="197"/>
  <c r="P15" i="197"/>
  <c r="G15" i="197"/>
  <c r="N15" i="197"/>
  <c r="I15" i="197"/>
  <c r="L15" i="197"/>
  <c r="S15" i="197"/>
  <c r="J15" i="197"/>
  <c r="C15" i="197"/>
  <c r="H15" i="197"/>
  <c r="O15" i="197"/>
  <c r="F15" i="197"/>
  <c r="Q15" i="197"/>
  <c r="T15" i="197"/>
  <c r="D15" i="197"/>
  <c r="K15" i="197"/>
  <c r="R15" i="197"/>
  <c r="E15" i="197"/>
  <c r="P11" i="197"/>
  <c r="G11" i="197"/>
  <c r="N11" i="197"/>
  <c r="I11" i="197"/>
  <c r="L11" i="197"/>
  <c r="S11" i="197"/>
  <c r="C11" i="197"/>
  <c r="E11" i="197"/>
  <c r="H11" i="197"/>
  <c r="O11" i="197"/>
  <c r="Q11" i="197"/>
  <c r="T11" i="197"/>
  <c r="D11" i="197"/>
  <c r="K11" i="197"/>
  <c r="R11" i="197"/>
  <c r="M11" i="197"/>
  <c r="J11" i="197"/>
  <c r="F11" i="197"/>
  <c r="P22" i="197"/>
  <c r="G22" i="197"/>
  <c r="N22" i="197"/>
  <c r="I22" i="197"/>
  <c r="L22" i="197"/>
  <c r="S22" i="197"/>
  <c r="C22" i="197"/>
  <c r="J22" i="197"/>
  <c r="E22" i="197"/>
  <c r="H22" i="197"/>
  <c r="O22" i="197"/>
  <c r="F22" i="197"/>
  <c r="Q22" i="197"/>
  <c r="T22" i="197"/>
  <c r="D22" i="197"/>
  <c r="K22" i="197"/>
  <c r="R22" i="197"/>
  <c r="M22" i="197"/>
  <c r="T18" i="197"/>
  <c r="D18" i="197"/>
  <c r="K18" i="197"/>
  <c r="R18" i="197"/>
  <c r="M18" i="197"/>
  <c r="E18" i="197"/>
  <c r="P18" i="197"/>
  <c r="G18" i="197"/>
  <c r="N18" i="197"/>
  <c r="I18" i="197"/>
  <c r="L18" i="197"/>
  <c r="S18" i="197"/>
  <c r="C18" i="197"/>
  <c r="J18" i="197"/>
  <c r="H18" i="197"/>
  <c r="O18" i="197"/>
  <c r="F18" i="197"/>
  <c r="Q18" i="197"/>
  <c r="P14" i="197"/>
  <c r="G14" i="197"/>
  <c r="N14" i="197"/>
  <c r="I14" i="197"/>
  <c r="L14" i="197"/>
  <c r="S14" i="197"/>
  <c r="C14" i="197"/>
  <c r="J14" i="197"/>
  <c r="H14" i="197"/>
  <c r="O14" i="197"/>
  <c r="F14" i="197"/>
  <c r="Q14" i="197"/>
  <c r="T14" i="197"/>
  <c r="D14" i="197"/>
  <c r="K14" i="197"/>
  <c r="R14" i="197"/>
  <c r="M14" i="197"/>
  <c r="E14" i="197"/>
  <c r="T10" i="197"/>
  <c r="D10" i="197"/>
  <c r="K10" i="197"/>
  <c r="J10" i="197"/>
  <c r="P10" i="197"/>
  <c r="G10" i="197"/>
  <c r="Q10" i="197"/>
  <c r="L10" i="197"/>
  <c r="S10" i="197"/>
  <c r="C10" i="197"/>
  <c r="M10" i="197"/>
  <c r="R10" i="197"/>
  <c r="H10" i="197"/>
  <c r="O10" i="197"/>
  <c r="I10" i="197"/>
  <c r="N10" i="197"/>
  <c r="E10" i="197"/>
  <c r="F10" i="197"/>
  <c r="P21" i="197"/>
  <c r="G21" i="197"/>
  <c r="N21" i="197"/>
  <c r="I21" i="197"/>
  <c r="L21" i="197"/>
  <c r="S21" i="197"/>
  <c r="C21" i="197"/>
  <c r="J21" i="197"/>
  <c r="E21" i="197"/>
  <c r="H21" i="197"/>
  <c r="O21" i="197"/>
  <c r="F21" i="197"/>
  <c r="Q21" i="197"/>
  <c r="T21" i="197"/>
  <c r="D21" i="197"/>
  <c r="K21" i="197"/>
  <c r="R21" i="197"/>
  <c r="M21" i="197"/>
  <c r="T17" i="197"/>
  <c r="D17" i="197"/>
  <c r="K17" i="197"/>
  <c r="R17" i="197"/>
  <c r="M17" i="197"/>
  <c r="E17" i="197"/>
  <c r="P17" i="197"/>
  <c r="G17" i="197"/>
  <c r="N17" i="197"/>
  <c r="I17" i="197"/>
  <c r="L17" i="197"/>
  <c r="S17" i="197"/>
  <c r="C17" i="197"/>
  <c r="J17" i="197"/>
  <c r="H17" i="197"/>
  <c r="O17" i="197"/>
  <c r="F17" i="197"/>
  <c r="Q17" i="197"/>
  <c r="T13" i="197"/>
  <c r="D13" i="197"/>
  <c r="K13" i="197"/>
  <c r="R13" i="197"/>
  <c r="M13" i="197"/>
  <c r="E13" i="197"/>
  <c r="P13" i="197"/>
  <c r="G13" i="197"/>
  <c r="N13" i="197"/>
  <c r="I13" i="197"/>
  <c r="L13" i="197"/>
  <c r="S13" i="197"/>
  <c r="C13" i="197"/>
  <c r="J13" i="197"/>
  <c r="H13" i="197"/>
  <c r="O13" i="197"/>
  <c r="F13" i="197"/>
  <c r="Q13" i="197"/>
  <c r="J9" i="197"/>
  <c r="F9" i="197"/>
  <c r="R9" i="197"/>
  <c r="N9" i="197"/>
  <c r="S9" i="197"/>
  <c r="Q9" i="197"/>
  <c r="G9" i="197"/>
  <c r="P9" i="197"/>
  <c r="E9" i="197"/>
  <c r="D9" i="197"/>
  <c r="I9" i="197"/>
  <c r="O9" i="197"/>
  <c r="H9" i="197"/>
  <c r="T9" i="197"/>
  <c r="M9" i="197"/>
  <c r="C9" i="197"/>
  <c r="L9" i="197"/>
  <c r="K9" i="197"/>
  <c r="AV20" i="196"/>
  <c r="AF20" i="196"/>
  <c r="P20" i="196"/>
  <c r="AM20" i="196"/>
  <c r="W20" i="196"/>
  <c r="G20" i="196"/>
  <c r="AW20" i="196"/>
  <c r="AG20" i="196"/>
  <c r="Q20" i="196"/>
  <c r="C20" i="196"/>
  <c r="R20" i="196"/>
  <c r="AD20" i="196"/>
  <c r="AP20" i="196"/>
  <c r="AL20" i="196"/>
  <c r="AR20" i="196"/>
  <c r="AB20" i="196"/>
  <c r="L20" i="196"/>
  <c r="AY20" i="196"/>
  <c r="AI20" i="196"/>
  <c r="S20" i="196"/>
  <c r="AS20" i="196"/>
  <c r="M20" i="196"/>
  <c r="D20" i="196"/>
  <c r="N20" i="196"/>
  <c r="Z20" i="196"/>
  <c r="V20" i="196"/>
  <c r="AC20" i="196"/>
  <c r="AN20" i="196"/>
  <c r="X20" i="196"/>
  <c r="H20" i="196"/>
  <c r="AU20" i="196"/>
  <c r="AE20" i="196"/>
  <c r="O20" i="196"/>
  <c r="AO20" i="196"/>
  <c r="Y20" i="196"/>
  <c r="I20" i="196"/>
  <c r="AX20" i="196"/>
  <c r="J20" i="196"/>
  <c r="F20" i="196"/>
  <c r="AZ20" i="196"/>
  <c r="AJ20" i="196"/>
  <c r="T20" i="196"/>
  <c r="AQ20" i="196"/>
  <c r="AA20" i="196"/>
  <c r="K20" i="196"/>
  <c r="AK20" i="196"/>
  <c r="U20" i="196"/>
  <c r="E20" i="196"/>
  <c r="AH20" i="196"/>
  <c r="AT20" i="196"/>
  <c r="K16" i="196"/>
  <c r="AX16" i="196"/>
  <c r="R16" i="196"/>
  <c r="AC16" i="196"/>
  <c r="AK16" i="196"/>
  <c r="E16" i="196"/>
  <c r="AV16" i="196"/>
  <c r="AF16" i="196"/>
  <c r="P16" i="196"/>
  <c r="AM16" i="196"/>
  <c r="W16" i="196"/>
  <c r="G16" i="196"/>
  <c r="AT16" i="196"/>
  <c r="AD16" i="196"/>
  <c r="N16" i="196"/>
  <c r="AO16" i="196"/>
  <c r="Y16" i="196"/>
  <c r="I16" i="196"/>
  <c r="L16" i="196"/>
  <c r="AY16" i="196"/>
  <c r="S16" i="196"/>
  <c r="Z16" i="196"/>
  <c r="J16" i="196"/>
  <c r="U16" i="196"/>
  <c r="AR16" i="196"/>
  <c r="AB16" i="196"/>
  <c r="AI16" i="196"/>
  <c r="AP16" i="196"/>
  <c r="AN16" i="196"/>
  <c r="X16" i="196"/>
  <c r="H16" i="196"/>
  <c r="AU16" i="196"/>
  <c r="AE16" i="196"/>
  <c r="O16" i="196"/>
  <c r="AL16" i="196"/>
  <c r="V16" i="196"/>
  <c r="F16" i="196"/>
  <c r="AW16" i="196"/>
  <c r="AG16" i="196"/>
  <c r="Q16" i="196"/>
  <c r="C16" i="196"/>
  <c r="AZ16" i="196"/>
  <c r="AJ16" i="196"/>
  <c r="T16" i="196"/>
  <c r="AQ16" i="196"/>
  <c r="AA16" i="196"/>
  <c r="AH16" i="196"/>
  <c r="D16" i="196"/>
  <c r="AS16" i="196"/>
  <c r="M16" i="196"/>
  <c r="R12" i="196"/>
  <c r="AV12" i="196"/>
  <c r="AF12" i="196"/>
  <c r="P12" i="196"/>
  <c r="AM12" i="196"/>
  <c r="W12" i="196"/>
  <c r="G12" i="196"/>
  <c r="AT12" i="196"/>
  <c r="AD12" i="196"/>
  <c r="N12" i="196"/>
  <c r="AO12" i="196"/>
  <c r="Y12" i="196"/>
  <c r="I12" i="196"/>
  <c r="AR12" i="196"/>
  <c r="AB12" i="196"/>
  <c r="L12" i="196"/>
  <c r="AY12" i="196"/>
  <c r="S12" i="196"/>
  <c r="AP12" i="196"/>
  <c r="Z12" i="196"/>
  <c r="J12" i="196"/>
  <c r="AK12" i="196"/>
  <c r="U12" i="196"/>
  <c r="E12" i="196"/>
  <c r="AI12" i="196"/>
  <c r="AN12" i="196"/>
  <c r="X12" i="196"/>
  <c r="H12" i="196"/>
  <c r="AU12" i="196"/>
  <c r="AE12" i="196"/>
  <c r="O12" i="196"/>
  <c r="AL12" i="196"/>
  <c r="V12" i="196"/>
  <c r="F12" i="196"/>
  <c r="AW12" i="196"/>
  <c r="AG12" i="196"/>
  <c r="Q12" i="196"/>
  <c r="C12" i="196"/>
  <c r="AZ12" i="196"/>
  <c r="AJ12" i="196"/>
  <c r="T12" i="196"/>
  <c r="AQ12" i="196"/>
  <c r="AA12" i="196"/>
  <c r="K12" i="196"/>
  <c r="AX12" i="196"/>
  <c r="AH12" i="196"/>
  <c r="D12" i="196"/>
  <c r="AS12" i="196"/>
  <c r="AC12" i="196"/>
  <c r="M12" i="196"/>
  <c r="AH23" i="196"/>
  <c r="AV23" i="196"/>
  <c r="AF23" i="196"/>
  <c r="P23" i="196"/>
  <c r="AM23" i="196"/>
  <c r="W23" i="196"/>
  <c r="G23" i="196"/>
  <c r="AT23" i="196"/>
  <c r="AD23" i="196"/>
  <c r="AO23" i="196"/>
  <c r="Y23" i="196"/>
  <c r="I23" i="196"/>
  <c r="J23" i="196"/>
  <c r="D23" i="196"/>
  <c r="AR23" i="196"/>
  <c r="AB23" i="196"/>
  <c r="L23" i="196"/>
  <c r="AY23" i="196"/>
  <c r="AI23" i="196"/>
  <c r="S23" i="196"/>
  <c r="AP23" i="196"/>
  <c r="AK23" i="196"/>
  <c r="U23" i="196"/>
  <c r="E23" i="196"/>
  <c r="V23" i="196"/>
  <c r="AN23" i="196"/>
  <c r="X23" i="196"/>
  <c r="H23" i="196"/>
  <c r="AU23" i="196"/>
  <c r="AE23" i="196"/>
  <c r="O23" i="196"/>
  <c r="AL23" i="196"/>
  <c r="AW23" i="196"/>
  <c r="AG23" i="196"/>
  <c r="Q23" i="196"/>
  <c r="C23" i="196"/>
  <c r="F23" i="196"/>
  <c r="AZ23" i="196"/>
  <c r="AJ23" i="196"/>
  <c r="T23" i="196"/>
  <c r="AQ23" i="196"/>
  <c r="AA23" i="196"/>
  <c r="K23" i="196"/>
  <c r="AX23" i="196"/>
  <c r="AS23" i="196"/>
  <c r="AC23" i="196"/>
  <c r="M23" i="196"/>
  <c r="Z23" i="196"/>
  <c r="R23" i="196"/>
  <c r="N23" i="196"/>
  <c r="AZ19" i="196"/>
  <c r="AJ19" i="196"/>
  <c r="T19" i="196"/>
  <c r="AQ19" i="196"/>
  <c r="AA19" i="196"/>
  <c r="K19" i="196"/>
  <c r="V19" i="196"/>
  <c r="AV19" i="196"/>
  <c r="AF19" i="196"/>
  <c r="P19" i="196"/>
  <c r="AM19" i="196"/>
  <c r="W19" i="196"/>
  <c r="G19" i="196"/>
  <c r="AW19" i="196"/>
  <c r="AG19" i="196"/>
  <c r="Q19" i="196"/>
  <c r="C19" i="196"/>
  <c r="J19" i="196"/>
  <c r="F19" i="196"/>
  <c r="R19" i="196"/>
  <c r="AD19" i="196"/>
  <c r="AS19" i="196"/>
  <c r="M19" i="196"/>
  <c r="D19" i="196"/>
  <c r="N19" i="196"/>
  <c r="AT19" i="196"/>
  <c r="AR19" i="196"/>
  <c r="AB19" i="196"/>
  <c r="L19" i="196"/>
  <c r="AY19" i="196"/>
  <c r="AI19" i="196"/>
  <c r="S19" i="196"/>
  <c r="AC19" i="196"/>
  <c r="AH19" i="196"/>
  <c r="AN19" i="196"/>
  <c r="X19" i="196"/>
  <c r="H19" i="196"/>
  <c r="AU19" i="196"/>
  <c r="AE19" i="196"/>
  <c r="O19" i="196"/>
  <c r="AO19" i="196"/>
  <c r="Y19" i="196"/>
  <c r="I19" i="196"/>
  <c r="AP19" i="196"/>
  <c r="AL19" i="196"/>
  <c r="AX19" i="196"/>
  <c r="AK19" i="196"/>
  <c r="U19" i="196"/>
  <c r="E19" i="196"/>
  <c r="Z19" i="196"/>
  <c r="AH15" i="196"/>
  <c r="AV15" i="196"/>
  <c r="AF15" i="196"/>
  <c r="P15" i="196"/>
  <c r="AM15" i="196"/>
  <c r="W15" i="196"/>
  <c r="G15" i="196"/>
  <c r="AT15" i="196"/>
  <c r="AD15" i="196"/>
  <c r="N15" i="196"/>
  <c r="AO15" i="196"/>
  <c r="Y15" i="196"/>
  <c r="I15" i="196"/>
  <c r="AR15" i="196"/>
  <c r="AB15" i="196"/>
  <c r="L15" i="196"/>
  <c r="AY15" i="196"/>
  <c r="S15" i="196"/>
  <c r="AP15" i="196"/>
  <c r="Z15" i="196"/>
  <c r="J15" i="196"/>
  <c r="AK15" i="196"/>
  <c r="U15" i="196"/>
  <c r="E15" i="196"/>
  <c r="AI15" i="196"/>
  <c r="AN15" i="196"/>
  <c r="X15" i="196"/>
  <c r="H15" i="196"/>
  <c r="AU15" i="196"/>
  <c r="AE15" i="196"/>
  <c r="O15" i="196"/>
  <c r="AL15" i="196"/>
  <c r="V15" i="196"/>
  <c r="F15" i="196"/>
  <c r="AW15" i="196"/>
  <c r="AG15" i="196"/>
  <c r="Q15" i="196"/>
  <c r="C15" i="196"/>
  <c r="AZ15" i="196"/>
  <c r="AJ15" i="196"/>
  <c r="T15" i="196"/>
  <c r="AQ15" i="196"/>
  <c r="AA15" i="196"/>
  <c r="K15" i="196"/>
  <c r="AX15" i="196"/>
  <c r="R15" i="196"/>
  <c r="D15" i="196"/>
  <c r="AS15" i="196"/>
  <c r="AC15" i="196"/>
  <c r="M15" i="196"/>
  <c r="AZ11" i="196"/>
  <c r="AJ11" i="196"/>
  <c r="T11" i="196"/>
  <c r="AQ11" i="196"/>
  <c r="AA11" i="196"/>
  <c r="K11" i="196"/>
  <c r="AX11" i="196"/>
  <c r="AH11" i="196"/>
  <c r="R11" i="196"/>
  <c r="D11" i="196"/>
  <c r="AS11" i="196"/>
  <c r="M11" i="196"/>
  <c r="I11" i="196"/>
  <c r="U11" i="196"/>
  <c r="AV11" i="196"/>
  <c r="AF11" i="196"/>
  <c r="P11" i="196"/>
  <c r="AM11" i="196"/>
  <c r="W11" i="196"/>
  <c r="G11" i="196"/>
  <c r="AT11" i="196"/>
  <c r="AD11" i="196"/>
  <c r="N11" i="196"/>
  <c r="Y11" i="196"/>
  <c r="E11" i="196"/>
  <c r="AR11" i="196"/>
  <c r="AB11" i="196"/>
  <c r="L11" i="196"/>
  <c r="AY11" i="196"/>
  <c r="AI11" i="196"/>
  <c r="S11" i="196"/>
  <c r="AP11" i="196"/>
  <c r="Z11" i="196"/>
  <c r="J11" i="196"/>
  <c r="AK11" i="196"/>
  <c r="AN11" i="196"/>
  <c r="X11" i="196"/>
  <c r="H11" i="196"/>
  <c r="AU11" i="196"/>
  <c r="AE11" i="196"/>
  <c r="O11" i="196"/>
  <c r="AL11" i="196"/>
  <c r="V11" i="196"/>
  <c r="F11" i="196"/>
  <c r="AW11" i="196"/>
  <c r="AG11" i="196"/>
  <c r="Q11" i="196"/>
  <c r="C11" i="196"/>
  <c r="AC11" i="196"/>
  <c r="AO11" i="196"/>
  <c r="AZ22" i="196"/>
  <c r="AJ22" i="196"/>
  <c r="T22" i="196"/>
  <c r="AQ22" i="196"/>
  <c r="AA22" i="196"/>
  <c r="K22" i="196"/>
  <c r="U22" i="196"/>
  <c r="AH22" i="196"/>
  <c r="AV22" i="196"/>
  <c r="AF22" i="196"/>
  <c r="P22" i="196"/>
  <c r="AM22" i="196"/>
  <c r="W22" i="196"/>
  <c r="G22" i="196"/>
  <c r="AW22" i="196"/>
  <c r="AG22" i="196"/>
  <c r="Q22" i="196"/>
  <c r="C22" i="196"/>
  <c r="R22" i="196"/>
  <c r="AD22" i="196"/>
  <c r="AP22" i="196"/>
  <c r="AL22" i="196"/>
  <c r="AC22" i="196"/>
  <c r="N22" i="196"/>
  <c r="V22" i="196"/>
  <c r="AR22" i="196"/>
  <c r="AB22" i="196"/>
  <c r="L22" i="196"/>
  <c r="AY22" i="196"/>
  <c r="AI22" i="196"/>
  <c r="S22" i="196"/>
  <c r="AS22" i="196"/>
  <c r="M22" i="196"/>
  <c r="D22" i="196"/>
  <c r="Z22" i="196"/>
  <c r="AN22" i="196"/>
  <c r="X22" i="196"/>
  <c r="H22" i="196"/>
  <c r="AU22" i="196"/>
  <c r="AE22" i="196"/>
  <c r="O22" i="196"/>
  <c r="AO22" i="196"/>
  <c r="Y22" i="196"/>
  <c r="I22" i="196"/>
  <c r="AX22" i="196"/>
  <c r="J22" i="196"/>
  <c r="F22" i="196"/>
  <c r="AK22" i="196"/>
  <c r="E22" i="196"/>
  <c r="AT22" i="196"/>
  <c r="K18" i="196"/>
  <c r="AV18" i="196"/>
  <c r="AF18" i="196"/>
  <c r="P18" i="196"/>
  <c r="AM18" i="196"/>
  <c r="W18" i="196"/>
  <c r="G18" i="196"/>
  <c r="AW18" i="196"/>
  <c r="AG18" i="196"/>
  <c r="Q18" i="196"/>
  <c r="AX18" i="196"/>
  <c r="D18" i="196"/>
  <c r="J18" i="196"/>
  <c r="V18" i="196"/>
  <c r="AR18" i="196"/>
  <c r="AB18" i="196"/>
  <c r="L18" i="196"/>
  <c r="AY18" i="196"/>
  <c r="AI18" i="196"/>
  <c r="S18" i="196"/>
  <c r="AS18" i="196"/>
  <c r="AC18" i="196"/>
  <c r="AH18" i="196"/>
  <c r="AT18" i="196"/>
  <c r="C18" i="196"/>
  <c r="F18" i="196"/>
  <c r="N18" i="196"/>
  <c r="AL18" i="196"/>
  <c r="M18" i="196"/>
  <c r="AN18" i="196"/>
  <c r="X18" i="196"/>
  <c r="H18" i="196"/>
  <c r="AU18" i="196"/>
  <c r="AE18" i="196"/>
  <c r="O18" i="196"/>
  <c r="AO18" i="196"/>
  <c r="Y18" i="196"/>
  <c r="I18" i="196"/>
  <c r="R18" i="196"/>
  <c r="AD18" i="196"/>
  <c r="AP18" i="196"/>
  <c r="AZ18" i="196"/>
  <c r="AJ18" i="196"/>
  <c r="T18" i="196"/>
  <c r="AQ18" i="196"/>
  <c r="AA18" i="196"/>
  <c r="AK18" i="196"/>
  <c r="U18" i="196"/>
  <c r="E18" i="196"/>
  <c r="Z18" i="196"/>
  <c r="AZ14" i="196"/>
  <c r="AJ14" i="196"/>
  <c r="T14" i="196"/>
  <c r="AQ14" i="196"/>
  <c r="AA14" i="196"/>
  <c r="K14" i="196"/>
  <c r="AX14" i="196"/>
  <c r="AH14" i="196"/>
  <c r="R14" i="196"/>
  <c r="D14" i="196"/>
  <c r="AS14" i="196"/>
  <c r="M14" i="196"/>
  <c r="U14" i="196"/>
  <c r="AV14" i="196"/>
  <c r="AF14" i="196"/>
  <c r="P14" i="196"/>
  <c r="AM14" i="196"/>
  <c r="W14" i="196"/>
  <c r="G14" i="196"/>
  <c r="AT14" i="196"/>
  <c r="AD14" i="196"/>
  <c r="N14" i="196"/>
  <c r="AO14" i="196"/>
  <c r="Y14" i="196"/>
  <c r="E14" i="196"/>
  <c r="AR14" i="196"/>
  <c r="AB14" i="196"/>
  <c r="L14" i="196"/>
  <c r="AY14" i="196"/>
  <c r="AI14" i="196"/>
  <c r="S14" i="196"/>
  <c r="AP14" i="196"/>
  <c r="Z14" i="196"/>
  <c r="J14" i="196"/>
  <c r="AN14" i="196"/>
  <c r="X14" i="196"/>
  <c r="H14" i="196"/>
  <c r="AU14" i="196"/>
  <c r="AE14" i="196"/>
  <c r="O14" i="196"/>
  <c r="AL14" i="196"/>
  <c r="V14" i="196"/>
  <c r="F14" i="196"/>
  <c r="AW14" i="196"/>
  <c r="AG14" i="196"/>
  <c r="Q14" i="196"/>
  <c r="C14" i="196"/>
  <c r="AC14" i="196"/>
  <c r="I14" i="196"/>
  <c r="AK14" i="196"/>
  <c r="AZ10" i="196"/>
  <c r="AJ10" i="196"/>
  <c r="T10" i="196"/>
  <c r="AQ10" i="196"/>
  <c r="AA10" i="196"/>
  <c r="K10" i="196"/>
  <c r="AH10" i="196"/>
  <c r="D10" i="196"/>
  <c r="AC10" i="196"/>
  <c r="Y10" i="196"/>
  <c r="AK10" i="196"/>
  <c r="E10" i="196"/>
  <c r="AV10" i="196"/>
  <c r="AF10" i="196"/>
  <c r="P10" i="196"/>
  <c r="AM10" i="196"/>
  <c r="W10" i="196"/>
  <c r="G10" i="196"/>
  <c r="AT10" i="196"/>
  <c r="AD10" i="196"/>
  <c r="N10" i="196"/>
  <c r="I10" i="196"/>
  <c r="U10" i="196"/>
  <c r="AR10" i="196"/>
  <c r="AB10" i="196"/>
  <c r="L10" i="196"/>
  <c r="AY10" i="196"/>
  <c r="AI10" i="196"/>
  <c r="S10" i="196"/>
  <c r="AP10" i="196"/>
  <c r="Z10" i="196"/>
  <c r="J10" i="196"/>
  <c r="AN10" i="196"/>
  <c r="X10" i="196"/>
  <c r="H10" i="196"/>
  <c r="AU10" i="196"/>
  <c r="AE10" i="196"/>
  <c r="O10" i="196"/>
  <c r="AL10" i="196"/>
  <c r="V10" i="196"/>
  <c r="F10" i="196"/>
  <c r="AW10" i="196"/>
  <c r="AG10" i="196"/>
  <c r="Q10" i="196"/>
  <c r="C10" i="196"/>
  <c r="AX10" i="196"/>
  <c r="R10" i="196"/>
  <c r="AS10" i="196"/>
  <c r="M10" i="196"/>
  <c r="AO10" i="196"/>
  <c r="T21" i="196"/>
  <c r="AQ21" i="196"/>
  <c r="K21" i="196"/>
  <c r="AK21" i="196"/>
  <c r="U21" i="196"/>
  <c r="E21" i="196"/>
  <c r="V21" i="196"/>
  <c r="AT21" i="196"/>
  <c r="AV21" i="196"/>
  <c r="AF21" i="196"/>
  <c r="P21" i="196"/>
  <c r="AM21" i="196"/>
  <c r="W21" i="196"/>
  <c r="G21" i="196"/>
  <c r="AW21" i="196"/>
  <c r="AG21" i="196"/>
  <c r="Q21" i="196"/>
  <c r="C21" i="196"/>
  <c r="J21" i="196"/>
  <c r="F21" i="196"/>
  <c r="R21" i="196"/>
  <c r="AD21" i="196"/>
  <c r="AR21" i="196"/>
  <c r="AB21" i="196"/>
  <c r="AY21" i="196"/>
  <c r="S21" i="196"/>
  <c r="AS21" i="196"/>
  <c r="M21" i="196"/>
  <c r="D21" i="196"/>
  <c r="N21" i="196"/>
  <c r="L21" i="196"/>
  <c r="AI21" i="196"/>
  <c r="AC21" i="196"/>
  <c r="AN21" i="196"/>
  <c r="X21" i="196"/>
  <c r="H21" i="196"/>
  <c r="AU21" i="196"/>
  <c r="AE21" i="196"/>
  <c r="O21" i="196"/>
  <c r="AO21" i="196"/>
  <c r="Y21" i="196"/>
  <c r="I21" i="196"/>
  <c r="AP21" i="196"/>
  <c r="AL21" i="196"/>
  <c r="AX21" i="196"/>
  <c r="AZ21" i="196"/>
  <c r="AJ21" i="196"/>
  <c r="AA21" i="196"/>
  <c r="Z21" i="196"/>
  <c r="AH21" i="196"/>
  <c r="AM17" i="196"/>
  <c r="W17" i="196"/>
  <c r="AZ17" i="196"/>
  <c r="AD17" i="196"/>
  <c r="L17" i="196"/>
  <c r="AS17" i="196"/>
  <c r="X17" i="196"/>
  <c r="G17" i="196"/>
  <c r="AL17" i="196"/>
  <c r="R17" i="196"/>
  <c r="D17" i="196"/>
  <c r="M17" i="196"/>
  <c r="Z17" i="196"/>
  <c r="E17" i="196"/>
  <c r="AY17" i="196"/>
  <c r="AI17" i="196"/>
  <c r="AT17" i="196"/>
  <c r="Y17" i="196"/>
  <c r="H17" i="196"/>
  <c r="AN17" i="196"/>
  <c r="S17" i="196"/>
  <c r="AG17" i="196"/>
  <c r="N17" i="196"/>
  <c r="U17" i="196"/>
  <c r="AU17" i="196"/>
  <c r="AE17" i="196"/>
  <c r="AO17" i="196"/>
  <c r="T17" i="196"/>
  <c r="AH17" i="196"/>
  <c r="O17" i="196"/>
  <c r="AW17" i="196"/>
  <c r="AB17" i="196"/>
  <c r="J17" i="196"/>
  <c r="AP17" i="196"/>
  <c r="AQ17" i="196"/>
  <c r="AA17" i="196"/>
  <c r="AJ17" i="196"/>
  <c r="P17" i="196"/>
  <c r="AX17" i="196"/>
  <c r="AC17" i="196"/>
  <c r="K17" i="196"/>
  <c r="AR17" i="196"/>
  <c r="V17" i="196"/>
  <c r="F17" i="196"/>
  <c r="AK17" i="196"/>
  <c r="Q17" i="196"/>
  <c r="C17" i="196"/>
  <c r="AF17" i="196"/>
  <c r="AV17" i="196"/>
  <c r="I17" i="196"/>
  <c r="K13" i="196"/>
  <c r="AX13" i="196"/>
  <c r="R13" i="196"/>
  <c r="AC13" i="196"/>
  <c r="AV13" i="196"/>
  <c r="AF13" i="196"/>
  <c r="P13" i="196"/>
  <c r="AM13" i="196"/>
  <c r="W13" i="196"/>
  <c r="G13" i="196"/>
  <c r="AT13" i="196"/>
  <c r="AD13" i="196"/>
  <c r="N13" i="196"/>
  <c r="AO13" i="196"/>
  <c r="Y13" i="196"/>
  <c r="I13" i="196"/>
  <c r="AY13" i="196"/>
  <c r="S13" i="196"/>
  <c r="Z13" i="196"/>
  <c r="E13" i="196"/>
  <c r="AR13" i="196"/>
  <c r="AB13" i="196"/>
  <c r="L13" i="196"/>
  <c r="AI13" i="196"/>
  <c r="AP13" i="196"/>
  <c r="AK13" i="196"/>
  <c r="AN13" i="196"/>
  <c r="X13" i="196"/>
  <c r="H13" i="196"/>
  <c r="AU13" i="196"/>
  <c r="AE13" i="196"/>
  <c r="O13" i="196"/>
  <c r="AL13" i="196"/>
  <c r="V13" i="196"/>
  <c r="F13" i="196"/>
  <c r="AW13" i="196"/>
  <c r="AG13" i="196"/>
  <c r="Q13" i="196"/>
  <c r="C13" i="196"/>
  <c r="AZ13" i="196"/>
  <c r="AJ13" i="196"/>
  <c r="T13" i="196"/>
  <c r="AQ13" i="196"/>
  <c r="AA13" i="196"/>
  <c r="AH13" i="196"/>
  <c r="D13" i="196"/>
  <c r="AS13" i="196"/>
  <c r="M13" i="196"/>
  <c r="J13" i="196"/>
  <c r="U13" i="196"/>
  <c r="AZ9" i="196"/>
  <c r="AV9" i="196"/>
  <c r="AR9" i="196"/>
  <c r="AN9" i="196"/>
  <c r="AJ9" i="196"/>
  <c r="AF9" i="196"/>
  <c r="AB9" i="196"/>
  <c r="X9" i="196"/>
  <c r="P9" i="196"/>
  <c r="L9" i="196"/>
  <c r="AT9" i="196"/>
  <c r="AD9" i="196"/>
  <c r="V9" i="196"/>
  <c r="N9" i="196"/>
  <c r="F9" i="196"/>
  <c r="D9" i="196"/>
  <c r="AX9" i="196"/>
  <c r="AP9" i="196"/>
  <c r="AL9" i="196"/>
  <c r="AH9" i="196"/>
  <c r="Z9" i="196"/>
  <c r="R9" i="196"/>
  <c r="J9" i="196"/>
  <c r="T9" i="196"/>
  <c r="H9" i="196"/>
  <c r="M9" i="196"/>
  <c r="AI9" i="196"/>
  <c r="G9" i="196"/>
  <c r="C9" i="196"/>
  <c r="Q9" i="196"/>
  <c r="AG9" i="196"/>
  <c r="AW9" i="196"/>
  <c r="W9" i="196"/>
  <c r="E9" i="196"/>
  <c r="U9" i="196"/>
  <c r="AK9" i="196"/>
  <c r="K9" i="196"/>
  <c r="AA9" i="196"/>
  <c r="AQ9" i="196"/>
  <c r="I9" i="196"/>
  <c r="Y9" i="196"/>
  <c r="AO9" i="196"/>
  <c r="O9" i="196"/>
  <c r="AE9" i="196"/>
  <c r="AU9" i="196"/>
  <c r="AC9" i="196"/>
  <c r="AS9" i="196"/>
  <c r="S9" i="196"/>
  <c r="AY9" i="196"/>
  <c r="AM9" i="196"/>
  <c r="BS17" i="18"/>
  <c r="BO17" i="18"/>
  <c r="BK17" i="18"/>
  <c r="BG17" i="18"/>
  <c r="BC17" i="18"/>
  <c r="AY17" i="18"/>
  <c r="AU17" i="18"/>
  <c r="AQ17" i="18"/>
  <c r="AM17" i="18"/>
  <c r="AI17" i="18"/>
  <c r="AE17" i="18"/>
  <c r="AA17" i="18"/>
  <c r="W17" i="18"/>
  <c r="S17" i="18"/>
  <c r="O17" i="18"/>
  <c r="K17" i="18"/>
  <c r="BR17" i="18"/>
  <c r="BN17" i="18"/>
  <c r="BJ17" i="18"/>
  <c r="BF17" i="18"/>
  <c r="BB17" i="18"/>
  <c r="AX17" i="18"/>
  <c r="AT17" i="18"/>
  <c r="AP17" i="18"/>
  <c r="AL17" i="18"/>
  <c r="AH17" i="18"/>
  <c r="AD17" i="18"/>
  <c r="Z17" i="18"/>
  <c r="V17" i="18"/>
  <c r="R17" i="18"/>
  <c r="N17" i="18"/>
  <c r="J17" i="18"/>
  <c r="BQ17" i="18"/>
  <c r="BM17" i="18"/>
  <c r="BI17" i="18"/>
  <c r="BE17" i="18"/>
  <c r="BA17" i="18"/>
  <c r="AW17" i="18"/>
  <c r="AS17" i="18"/>
  <c r="AO17" i="18"/>
  <c r="AK17" i="18"/>
  <c r="AG17" i="18"/>
  <c r="AC17" i="18"/>
  <c r="Y17" i="18"/>
  <c r="U17" i="18"/>
  <c r="Q17" i="18"/>
  <c r="M17" i="18"/>
  <c r="I17" i="18"/>
  <c r="BT17" i="18"/>
  <c r="BP17" i="18"/>
  <c r="BL17" i="18"/>
  <c r="BH17" i="18"/>
  <c r="BD17" i="18"/>
  <c r="AZ17" i="18"/>
  <c r="AV17" i="18"/>
  <c r="AR17" i="18"/>
  <c r="AN17" i="18"/>
  <c r="AJ17" i="18"/>
  <c r="AF17" i="18"/>
  <c r="AB17" i="18"/>
  <c r="X17" i="18"/>
  <c r="T17" i="18"/>
  <c r="P17" i="18"/>
  <c r="L17" i="18"/>
  <c r="BS20" i="18"/>
  <c r="BO20" i="18"/>
  <c r="BK20" i="18"/>
  <c r="BG20" i="18"/>
  <c r="BC20" i="18"/>
  <c r="AY20" i="18"/>
  <c r="AU20" i="18"/>
  <c r="AQ20" i="18"/>
  <c r="AM20" i="18"/>
  <c r="AI20" i="18"/>
  <c r="AE20" i="18"/>
  <c r="AA20" i="18"/>
  <c r="W20" i="18"/>
  <c r="S20" i="18"/>
  <c r="O20" i="18"/>
  <c r="K20" i="18"/>
  <c r="BR20" i="18"/>
  <c r="BN20" i="18"/>
  <c r="BJ20" i="18"/>
  <c r="BF20" i="18"/>
  <c r="BB20" i="18"/>
  <c r="AX20" i="18"/>
  <c r="AT20" i="18"/>
  <c r="AP20" i="18"/>
  <c r="AL20" i="18"/>
  <c r="AH20" i="18"/>
  <c r="AD20" i="18"/>
  <c r="Z20" i="18"/>
  <c r="V20" i="18"/>
  <c r="R20" i="18"/>
  <c r="N20" i="18"/>
  <c r="J20" i="18"/>
  <c r="BQ20" i="18"/>
  <c r="BM20" i="18"/>
  <c r="BI20" i="18"/>
  <c r="BE20" i="18"/>
  <c r="BA20" i="18"/>
  <c r="AW20" i="18"/>
  <c r="AS20" i="18"/>
  <c r="AO20" i="18"/>
  <c r="AK20" i="18"/>
  <c r="AG20" i="18"/>
  <c r="AC20" i="18"/>
  <c r="Y20" i="18"/>
  <c r="U20" i="18"/>
  <c r="Q20" i="18"/>
  <c r="M20" i="18"/>
  <c r="I20" i="18"/>
  <c r="BT20" i="18"/>
  <c r="BP20" i="18"/>
  <c r="BL20" i="18"/>
  <c r="BH20" i="18"/>
  <c r="BD20" i="18"/>
  <c r="AZ20" i="18"/>
  <c r="AV20" i="18"/>
  <c r="AR20" i="18"/>
  <c r="AN20" i="18"/>
  <c r="AJ20" i="18"/>
  <c r="AF20" i="18"/>
  <c r="AB20" i="18"/>
  <c r="X20" i="18"/>
  <c r="T20" i="18"/>
  <c r="P20" i="18"/>
  <c r="L20" i="18"/>
  <c r="BT10" i="18"/>
  <c r="BP10" i="18"/>
  <c r="BL10" i="18"/>
  <c r="BH10" i="18"/>
  <c r="BD10" i="18"/>
  <c r="AZ10" i="18"/>
  <c r="AV10" i="18"/>
  <c r="AR10" i="18"/>
  <c r="AN10" i="18"/>
  <c r="AJ10" i="18"/>
  <c r="AF10" i="18"/>
  <c r="AB10" i="18"/>
  <c r="X10" i="18"/>
  <c r="T10" i="18"/>
  <c r="P10" i="18"/>
  <c r="L10" i="18"/>
  <c r="BS10" i="18"/>
  <c r="BO10" i="18"/>
  <c r="BK10" i="18"/>
  <c r="BG10" i="18"/>
  <c r="BC10" i="18"/>
  <c r="AY10" i="18"/>
  <c r="AU10" i="18"/>
  <c r="AQ10" i="18"/>
  <c r="AM10" i="18"/>
  <c r="AI10" i="18"/>
  <c r="AE10" i="18"/>
  <c r="AA10" i="18"/>
  <c r="W10" i="18"/>
  <c r="S10" i="18"/>
  <c r="O10" i="18"/>
  <c r="K10" i="18"/>
  <c r="BR10" i="18"/>
  <c r="BN10" i="18"/>
  <c r="BJ10" i="18"/>
  <c r="BF10" i="18"/>
  <c r="BB10" i="18"/>
  <c r="AX10" i="18"/>
  <c r="AT10" i="18"/>
  <c r="AP10" i="18"/>
  <c r="AL10" i="18"/>
  <c r="AH10" i="18"/>
  <c r="AD10" i="18"/>
  <c r="Z10" i="18"/>
  <c r="V10" i="18"/>
  <c r="R10" i="18"/>
  <c r="N10" i="18"/>
  <c r="J10" i="18"/>
  <c r="BQ10" i="18"/>
  <c r="BM10" i="18"/>
  <c r="BI10" i="18"/>
  <c r="BE10" i="18"/>
  <c r="BA10" i="18"/>
  <c r="AW10" i="18"/>
  <c r="AS10" i="18"/>
  <c r="AO10" i="18"/>
  <c r="AK10" i="18"/>
  <c r="AG10" i="18"/>
  <c r="AC10" i="18"/>
  <c r="Y10" i="18"/>
  <c r="U10" i="18"/>
  <c r="Q10" i="18"/>
  <c r="M10" i="18"/>
  <c r="I10" i="18"/>
  <c r="BS18" i="18"/>
  <c r="BO18" i="18"/>
  <c r="BK18" i="18"/>
  <c r="BG18" i="18"/>
  <c r="BC18" i="18"/>
  <c r="AY18" i="18"/>
  <c r="AU18" i="18"/>
  <c r="AQ18" i="18"/>
  <c r="AM18" i="18"/>
  <c r="AI18" i="18"/>
  <c r="AE18" i="18"/>
  <c r="AA18" i="18"/>
  <c r="W18" i="18"/>
  <c r="S18" i="18"/>
  <c r="O18" i="18"/>
  <c r="K18" i="18"/>
  <c r="BR18" i="18"/>
  <c r="BN18" i="18"/>
  <c r="BJ18" i="18"/>
  <c r="BF18" i="18"/>
  <c r="BB18" i="18"/>
  <c r="AX18" i="18"/>
  <c r="AT18" i="18"/>
  <c r="AP18" i="18"/>
  <c r="AL18" i="18"/>
  <c r="AH18" i="18"/>
  <c r="AD18" i="18"/>
  <c r="Z18" i="18"/>
  <c r="V18" i="18"/>
  <c r="R18" i="18"/>
  <c r="N18" i="18"/>
  <c r="J18" i="18"/>
  <c r="BQ18" i="18"/>
  <c r="BM18" i="18"/>
  <c r="BI18" i="18"/>
  <c r="BE18" i="18"/>
  <c r="BA18" i="18"/>
  <c r="AW18" i="18"/>
  <c r="AS18" i="18"/>
  <c r="AO18" i="18"/>
  <c r="AK18" i="18"/>
  <c r="AG18" i="18"/>
  <c r="AC18" i="18"/>
  <c r="Y18" i="18"/>
  <c r="U18" i="18"/>
  <c r="Q18" i="18"/>
  <c r="M18" i="18"/>
  <c r="I18" i="18"/>
  <c r="BT18" i="18"/>
  <c r="BP18" i="18"/>
  <c r="BL18" i="18"/>
  <c r="BH18" i="18"/>
  <c r="BD18" i="18"/>
  <c r="AZ18" i="18"/>
  <c r="AV18" i="18"/>
  <c r="AR18" i="18"/>
  <c r="AN18" i="18"/>
  <c r="AJ18" i="18"/>
  <c r="AF18" i="18"/>
  <c r="AB18" i="18"/>
  <c r="X18" i="18"/>
  <c r="T18" i="18"/>
  <c r="P18" i="18"/>
  <c r="L18" i="18"/>
  <c r="BR13" i="18"/>
  <c r="BN13" i="18"/>
  <c r="BJ13" i="18"/>
  <c r="BF13" i="18"/>
  <c r="BB13" i="18"/>
  <c r="BT13" i="18"/>
  <c r="BP13" i="18"/>
  <c r="BL13" i="18"/>
  <c r="BH13" i="18"/>
  <c r="BD13" i="18"/>
  <c r="BO13" i="18"/>
  <c r="BG13" i="18"/>
  <c r="AZ13" i="18"/>
  <c r="AV13" i="18"/>
  <c r="AR13" i="18"/>
  <c r="AN13" i="18"/>
  <c r="AJ13" i="18"/>
  <c r="AF13" i="18"/>
  <c r="AB13" i="18"/>
  <c r="X13" i="18"/>
  <c r="T13" i="18"/>
  <c r="P13" i="18"/>
  <c r="L13" i="18"/>
  <c r="BM13" i="18"/>
  <c r="BE13" i="18"/>
  <c r="AY13" i="18"/>
  <c r="AU13" i="18"/>
  <c r="AQ13" i="18"/>
  <c r="AM13" i="18"/>
  <c r="AI13" i="18"/>
  <c r="AE13" i="18"/>
  <c r="AA13" i="18"/>
  <c r="W13" i="18"/>
  <c r="S13" i="18"/>
  <c r="O13" i="18"/>
  <c r="K13" i="18"/>
  <c r="BS13" i="18"/>
  <c r="BK13" i="18"/>
  <c r="BC13" i="18"/>
  <c r="AX13" i="18"/>
  <c r="AT13" i="18"/>
  <c r="AP13" i="18"/>
  <c r="AL13" i="18"/>
  <c r="AH13" i="18"/>
  <c r="AD13" i="18"/>
  <c r="Z13" i="18"/>
  <c r="V13" i="18"/>
  <c r="R13" i="18"/>
  <c r="N13" i="18"/>
  <c r="J13" i="18"/>
  <c r="BQ13" i="18"/>
  <c r="BI13" i="18"/>
  <c r="BA13" i="18"/>
  <c r="AW13" i="18"/>
  <c r="AS13" i="18"/>
  <c r="AO13" i="18"/>
  <c r="AK13" i="18"/>
  <c r="AG13" i="18"/>
  <c r="AC13" i="18"/>
  <c r="Y13" i="18"/>
  <c r="U13" i="18"/>
  <c r="Q13" i="18"/>
  <c r="M13" i="18"/>
  <c r="I13" i="18"/>
  <c r="BS21" i="18"/>
  <c r="BO21" i="18"/>
  <c r="BK21" i="18"/>
  <c r="BG21" i="18"/>
  <c r="BC21" i="18"/>
  <c r="AY21" i="18"/>
  <c r="AU21" i="18"/>
  <c r="AQ21" i="18"/>
  <c r="AM21" i="18"/>
  <c r="AI21" i="18"/>
  <c r="AE21" i="18"/>
  <c r="AA21" i="18"/>
  <c r="W21" i="18"/>
  <c r="S21" i="18"/>
  <c r="O21" i="18"/>
  <c r="K21" i="18"/>
  <c r="BR21" i="18"/>
  <c r="BN21" i="18"/>
  <c r="BJ21" i="18"/>
  <c r="BF21" i="18"/>
  <c r="BB21" i="18"/>
  <c r="AX21" i="18"/>
  <c r="AT21" i="18"/>
  <c r="AP21" i="18"/>
  <c r="AL21" i="18"/>
  <c r="AH21" i="18"/>
  <c r="AD21" i="18"/>
  <c r="Z21" i="18"/>
  <c r="V21" i="18"/>
  <c r="R21" i="18"/>
  <c r="N21" i="18"/>
  <c r="J21" i="18"/>
  <c r="BQ21" i="18"/>
  <c r="BM21" i="18"/>
  <c r="BI21" i="18"/>
  <c r="BE21" i="18"/>
  <c r="BA21" i="18"/>
  <c r="AW21" i="18"/>
  <c r="AS21" i="18"/>
  <c r="AO21" i="18"/>
  <c r="AK21" i="18"/>
  <c r="AG21" i="18"/>
  <c r="AC21" i="18"/>
  <c r="Y21" i="18"/>
  <c r="U21" i="18"/>
  <c r="Q21" i="18"/>
  <c r="M21" i="18"/>
  <c r="I21" i="18"/>
  <c r="BT21" i="18"/>
  <c r="BP21" i="18"/>
  <c r="BL21" i="18"/>
  <c r="BH21" i="18"/>
  <c r="BD21" i="18"/>
  <c r="AZ21" i="18"/>
  <c r="AV21" i="18"/>
  <c r="AR21" i="18"/>
  <c r="AN21" i="18"/>
  <c r="AJ21" i="18"/>
  <c r="AF21" i="18"/>
  <c r="AB21" i="18"/>
  <c r="X21" i="18"/>
  <c r="T21" i="18"/>
  <c r="P21" i="18"/>
  <c r="L21" i="18"/>
  <c r="BS15" i="18"/>
  <c r="BO15" i="18"/>
  <c r="BK15" i="18"/>
  <c r="BG15" i="18"/>
  <c r="BC15" i="18"/>
  <c r="AY15" i="18"/>
  <c r="AU15" i="18"/>
  <c r="AQ15" i="18"/>
  <c r="AM15" i="18"/>
  <c r="AI15" i="18"/>
  <c r="AE15" i="18"/>
  <c r="AA15" i="18"/>
  <c r="W15" i="18"/>
  <c r="S15" i="18"/>
  <c r="O15" i="18"/>
  <c r="K15" i="18"/>
  <c r="BR15" i="18"/>
  <c r="BN15" i="18"/>
  <c r="BJ15" i="18"/>
  <c r="BF15" i="18"/>
  <c r="BB15" i="18"/>
  <c r="AX15" i="18"/>
  <c r="AT15" i="18"/>
  <c r="AP15" i="18"/>
  <c r="AL15" i="18"/>
  <c r="AH15" i="18"/>
  <c r="AD15" i="18"/>
  <c r="Z15" i="18"/>
  <c r="V15" i="18"/>
  <c r="R15" i="18"/>
  <c r="N15" i="18"/>
  <c r="J15" i="18"/>
  <c r="BT15" i="18"/>
  <c r="BP15" i="18"/>
  <c r="BL15" i="18"/>
  <c r="BH15" i="18"/>
  <c r="BD15" i="18"/>
  <c r="AZ15" i="18"/>
  <c r="AV15" i="18"/>
  <c r="AR15" i="18"/>
  <c r="AN15" i="18"/>
  <c r="AJ15" i="18"/>
  <c r="AF15" i="18"/>
  <c r="AB15" i="18"/>
  <c r="X15" i="18"/>
  <c r="T15" i="18"/>
  <c r="P15" i="18"/>
  <c r="L15" i="18"/>
  <c r="BM15" i="18"/>
  <c r="AW15" i="18"/>
  <c r="AG15" i="18"/>
  <c r="Q15" i="18"/>
  <c r="BI15" i="18"/>
  <c r="AS15" i="18"/>
  <c r="AC15" i="18"/>
  <c r="M15" i="18"/>
  <c r="BE15" i="18"/>
  <c r="AO15" i="18"/>
  <c r="Y15" i="18"/>
  <c r="I15" i="18"/>
  <c r="BQ15" i="18"/>
  <c r="BA15" i="18"/>
  <c r="AK15" i="18"/>
  <c r="U15" i="18"/>
  <c r="BT11" i="18"/>
  <c r="BP11" i="18"/>
  <c r="BL11" i="18"/>
  <c r="BH11" i="18"/>
  <c r="BD11" i="18"/>
  <c r="AZ11" i="18"/>
  <c r="AV11" i="18"/>
  <c r="AR11" i="18"/>
  <c r="AN11" i="18"/>
  <c r="AJ11" i="18"/>
  <c r="AF11" i="18"/>
  <c r="AB11" i="18"/>
  <c r="X11" i="18"/>
  <c r="T11" i="18"/>
  <c r="P11" i="18"/>
  <c r="L11" i="18"/>
  <c r="BS11" i="18"/>
  <c r="BO11" i="18"/>
  <c r="BK11" i="18"/>
  <c r="BG11" i="18"/>
  <c r="BC11" i="18"/>
  <c r="AY11" i="18"/>
  <c r="AU11" i="18"/>
  <c r="AQ11" i="18"/>
  <c r="AM11" i="18"/>
  <c r="AI11" i="18"/>
  <c r="AE11" i="18"/>
  <c r="AA11" i="18"/>
  <c r="W11" i="18"/>
  <c r="S11" i="18"/>
  <c r="O11" i="18"/>
  <c r="K11" i="18"/>
  <c r="BR11" i="18"/>
  <c r="BN11" i="18"/>
  <c r="BJ11" i="18"/>
  <c r="BF11" i="18"/>
  <c r="BB11" i="18"/>
  <c r="AX11" i="18"/>
  <c r="AT11" i="18"/>
  <c r="AP11" i="18"/>
  <c r="AL11" i="18"/>
  <c r="AH11" i="18"/>
  <c r="AD11" i="18"/>
  <c r="Z11" i="18"/>
  <c r="V11" i="18"/>
  <c r="R11" i="18"/>
  <c r="N11" i="18"/>
  <c r="J11" i="18"/>
  <c r="BQ11" i="18"/>
  <c r="BM11" i="18"/>
  <c r="BI11" i="18"/>
  <c r="BE11" i="18"/>
  <c r="BA11" i="18"/>
  <c r="AW11" i="18"/>
  <c r="AS11" i="18"/>
  <c r="AO11" i="18"/>
  <c r="AK11" i="18"/>
  <c r="AG11" i="18"/>
  <c r="AC11" i="18"/>
  <c r="Y11" i="18"/>
  <c r="U11" i="18"/>
  <c r="Q11" i="18"/>
  <c r="M11" i="18"/>
  <c r="I11" i="18"/>
  <c r="BS23" i="18"/>
  <c r="BO23" i="18"/>
  <c r="BK23" i="18"/>
  <c r="BG23" i="18"/>
  <c r="BC23" i="18"/>
  <c r="AY23" i="18"/>
  <c r="AU23" i="18"/>
  <c r="AQ23" i="18"/>
  <c r="AM23" i="18"/>
  <c r="AI23" i="18"/>
  <c r="AE23" i="18"/>
  <c r="AA23" i="18"/>
  <c r="W23" i="18"/>
  <c r="S23" i="18"/>
  <c r="O23" i="18"/>
  <c r="K23" i="18"/>
  <c r="BR23" i="18"/>
  <c r="BN23" i="18"/>
  <c r="BJ23" i="18"/>
  <c r="BF23" i="18"/>
  <c r="BB23" i="18"/>
  <c r="AX23" i="18"/>
  <c r="AT23" i="18"/>
  <c r="AP23" i="18"/>
  <c r="AL23" i="18"/>
  <c r="AH23" i="18"/>
  <c r="AD23" i="18"/>
  <c r="Z23" i="18"/>
  <c r="V23" i="18"/>
  <c r="R23" i="18"/>
  <c r="N23" i="18"/>
  <c r="J23" i="18"/>
  <c r="BQ23" i="18"/>
  <c r="BM23" i="18"/>
  <c r="BI23" i="18"/>
  <c r="BE23" i="18"/>
  <c r="BA23" i="18"/>
  <c r="AW23" i="18"/>
  <c r="AS23" i="18"/>
  <c r="AO23" i="18"/>
  <c r="AK23" i="18"/>
  <c r="AG23" i="18"/>
  <c r="AC23" i="18"/>
  <c r="Y23" i="18"/>
  <c r="U23" i="18"/>
  <c r="Q23" i="18"/>
  <c r="M23" i="18"/>
  <c r="I23" i="18"/>
  <c r="BT23" i="18"/>
  <c r="BP23" i="18"/>
  <c r="BL23" i="18"/>
  <c r="BH23" i="18"/>
  <c r="BD23" i="18"/>
  <c r="AZ23" i="18"/>
  <c r="AV23" i="18"/>
  <c r="AR23" i="18"/>
  <c r="AN23" i="18"/>
  <c r="AJ23" i="18"/>
  <c r="AF23" i="18"/>
  <c r="AB23" i="18"/>
  <c r="X23" i="18"/>
  <c r="T23" i="18"/>
  <c r="P23" i="18"/>
  <c r="L23" i="18"/>
  <c r="BS16" i="18"/>
  <c r="BO16" i="18"/>
  <c r="BK16" i="18"/>
  <c r="BG16" i="18"/>
  <c r="BC16" i="18"/>
  <c r="AY16" i="18"/>
  <c r="AU16" i="18"/>
  <c r="AQ16" i="18"/>
  <c r="AM16" i="18"/>
  <c r="AI16" i="18"/>
  <c r="AE16" i="18"/>
  <c r="AA16" i="18"/>
  <c r="W16" i="18"/>
  <c r="S16" i="18"/>
  <c r="O16" i="18"/>
  <c r="K16" i="18"/>
  <c r="BR16" i="18"/>
  <c r="BN16" i="18"/>
  <c r="BJ16" i="18"/>
  <c r="BF16" i="18"/>
  <c r="BB16" i="18"/>
  <c r="AX16" i="18"/>
  <c r="AT16" i="18"/>
  <c r="AP16" i="18"/>
  <c r="AL16" i="18"/>
  <c r="AH16" i="18"/>
  <c r="AD16" i="18"/>
  <c r="Z16" i="18"/>
  <c r="V16" i="18"/>
  <c r="R16" i="18"/>
  <c r="N16" i="18"/>
  <c r="J16" i="18"/>
  <c r="BQ16" i="18"/>
  <c r="BM16" i="18"/>
  <c r="BI16" i="18"/>
  <c r="BE16" i="18"/>
  <c r="BA16" i="18"/>
  <c r="AW16" i="18"/>
  <c r="AS16" i="18"/>
  <c r="AO16" i="18"/>
  <c r="AK16" i="18"/>
  <c r="BT16" i="18"/>
  <c r="BP16" i="18"/>
  <c r="BL16" i="18"/>
  <c r="BH16" i="18"/>
  <c r="BD16" i="18"/>
  <c r="AZ16" i="18"/>
  <c r="AV16" i="18"/>
  <c r="AR16" i="18"/>
  <c r="AN16" i="18"/>
  <c r="AJ16" i="18"/>
  <c r="AF16" i="18"/>
  <c r="AB16" i="18"/>
  <c r="X16" i="18"/>
  <c r="T16" i="18"/>
  <c r="P16" i="18"/>
  <c r="L16" i="18"/>
  <c r="AG16" i="18"/>
  <c r="Q16" i="18"/>
  <c r="AC16" i="18"/>
  <c r="M16" i="18"/>
  <c r="Y16" i="18"/>
  <c r="I16" i="18"/>
  <c r="U16" i="18"/>
  <c r="BS19" i="18"/>
  <c r="BO19" i="18"/>
  <c r="BK19" i="18"/>
  <c r="BG19" i="18"/>
  <c r="BC19" i="18"/>
  <c r="AY19" i="18"/>
  <c r="AU19" i="18"/>
  <c r="AQ19" i="18"/>
  <c r="AM19" i="18"/>
  <c r="AI19" i="18"/>
  <c r="AE19" i="18"/>
  <c r="AA19" i="18"/>
  <c r="W19" i="18"/>
  <c r="S19" i="18"/>
  <c r="O19" i="18"/>
  <c r="K19" i="18"/>
  <c r="BR19" i="18"/>
  <c r="BN19" i="18"/>
  <c r="BJ19" i="18"/>
  <c r="BF19" i="18"/>
  <c r="BB19" i="18"/>
  <c r="AX19" i="18"/>
  <c r="AT19" i="18"/>
  <c r="AP19" i="18"/>
  <c r="AL19" i="18"/>
  <c r="AH19" i="18"/>
  <c r="AD19" i="18"/>
  <c r="Z19" i="18"/>
  <c r="V19" i="18"/>
  <c r="R19" i="18"/>
  <c r="N19" i="18"/>
  <c r="J19" i="18"/>
  <c r="BQ19" i="18"/>
  <c r="BM19" i="18"/>
  <c r="BI19" i="18"/>
  <c r="BE19" i="18"/>
  <c r="BA19" i="18"/>
  <c r="AW19" i="18"/>
  <c r="AS19" i="18"/>
  <c r="AO19" i="18"/>
  <c r="AK19" i="18"/>
  <c r="AG19" i="18"/>
  <c r="AC19" i="18"/>
  <c r="Y19" i="18"/>
  <c r="U19" i="18"/>
  <c r="Q19" i="18"/>
  <c r="M19" i="18"/>
  <c r="I19" i="18"/>
  <c r="BT19" i="18"/>
  <c r="BP19" i="18"/>
  <c r="BL19" i="18"/>
  <c r="BH19" i="18"/>
  <c r="BD19" i="18"/>
  <c r="AZ19" i="18"/>
  <c r="AV19" i="18"/>
  <c r="AR19" i="18"/>
  <c r="AN19" i="18"/>
  <c r="AJ19" i="18"/>
  <c r="AF19" i="18"/>
  <c r="AB19" i="18"/>
  <c r="X19" i="18"/>
  <c r="T19" i="18"/>
  <c r="P19" i="18"/>
  <c r="L19" i="18"/>
  <c r="BS14" i="18"/>
  <c r="BO14" i="18"/>
  <c r="BK14" i="18"/>
  <c r="BG14" i="18"/>
  <c r="BC14" i="18"/>
  <c r="BR14" i="18"/>
  <c r="BN14" i="18"/>
  <c r="BJ14" i="18"/>
  <c r="BF14" i="18"/>
  <c r="BB14" i="18"/>
  <c r="AX14" i="18"/>
  <c r="AT14" i="18"/>
  <c r="AP14" i="18"/>
  <c r="AL14" i="18"/>
  <c r="AH14" i="18"/>
  <c r="AD14" i="18"/>
  <c r="Z14" i="18"/>
  <c r="V14" i="18"/>
  <c r="R14" i="18"/>
  <c r="N14" i="18"/>
  <c r="J14" i="18"/>
  <c r="BT14" i="18"/>
  <c r="BP14" i="18"/>
  <c r="BL14" i="18"/>
  <c r="BH14" i="18"/>
  <c r="BD14" i="18"/>
  <c r="AZ14" i="18"/>
  <c r="AV14" i="18"/>
  <c r="AR14" i="18"/>
  <c r="AN14" i="18"/>
  <c r="AJ14" i="18"/>
  <c r="AF14" i="18"/>
  <c r="AB14" i="18"/>
  <c r="X14" i="18"/>
  <c r="T14" i="18"/>
  <c r="P14" i="18"/>
  <c r="L14" i="18"/>
  <c r="BM14" i="18"/>
  <c r="AY14" i="18"/>
  <c r="AQ14" i="18"/>
  <c r="AI14" i="18"/>
  <c r="AA14" i="18"/>
  <c r="S14" i="18"/>
  <c r="K14" i="18"/>
  <c r="BI14" i="18"/>
  <c r="AW14" i="18"/>
  <c r="AO14" i="18"/>
  <c r="AG14" i="18"/>
  <c r="Y14" i="18"/>
  <c r="Q14" i="18"/>
  <c r="I14" i="18"/>
  <c r="BE14" i="18"/>
  <c r="AU14" i="18"/>
  <c r="AM14" i="18"/>
  <c r="AE14" i="18"/>
  <c r="W14" i="18"/>
  <c r="O14" i="18"/>
  <c r="BQ14" i="18"/>
  <c r="BA14" i="18"/>
  <c r="AS14" i="18"/>
  <c r="AK14" i="18"/>
  <c r="AC14" i="18"/>
  <c r="U14" i="18"/>
  <c r="M14" i="18"/>
  <c r="BS22" i="18"/>
  <c r="BO22" i="18"/>
  <c r="BK22" i="18"/>
  <c r="BG22" i="18"/>
  <c r="BC22" i="18"/>
  <c r="AY22" i="18"/>
  <c r="AU22" i="18"/>
  <c r="AQ22" i="18"/>
  <c r="AM22" i="18"/>
  <c r="AI22" i="18"/>
  <c r="AE22" i="18"/>
  <c r="AA22" i="18"/>
  <c r="W22" i="18"/>
  <c r="S22" i="18"/>
  <c r="O22" i="18"/>
  <c r="K22" i="18"/>
  <c r="BR22" i="18"/>
  <c r="BN22" i="18"/>
  <c r="BJ22" i="18"/>
  <c r="BF22" i="18"/>
  <c r="BB22" i="18"/>
  <c r="AX22" i="18"/>
  <c r="AT22" i="18"/>
  <c r="AP22" i="18"/>
  <c r="AL22" i="18"/>
  <c r="AH22" i="18"/>
  <c r="AD22" i="18"/>
  <c r="Z22" i="18"/>
  <c r="V22" i="18"/>
  <c r="R22" i="18"/>
  <c r="N22" i="18"/>
  <c r="J22" i="18"/>
  <c r="BQ22" i="18"/>
  <c r="BM22" i="18"/>
  <c r="BI22" i="18"/>
  <c r="BE22" i="18"/>
  <c r="BA22" i="18"/>
  <c r="AW22" i="18"/>
  <c r="AS22" i="18"/>
  <c r="AO22" i="18"/>
  <c r="AK22" i="18"/>
  <c r="AG22" i="18"/>
  <c r="AC22" i="18"/>
  <c r="Y22" i="18"/>
  <c r="U22" i="18"/>
  <c r="Q22" i="18"/>
  <c r="M22" i="18"/>
  <c r="I22" i="18"/>
  <c r="BT22" i="18"/>
  <c r="BP22" i="18"/>
  <c r="BL22" i="18"/>
  <c r="BH22" i="18"/>
  <c r="BD22" i="18"/>
  <c r="AZ22" i="18"/>
  <c r="AV22" i="18"/>
  <c r="AR22" i="18"/>
  <c r="AN22" i="18"/>
  <c r="AJ22" i="18"/>
  <c r="AF22" i="18"/>
  <c r="AB22" i="18"/>
  <c r="X22" i="18"/>
  <c r="T22" i="18"/>
  <c r="P22" i="18"/>
  <c r="L22" i="18"/>
  <c r="BT12" i="18"/>
  <c r="BP12" i="18"/>
  <c r="BL12" i="18"/>
  <c r="BH12" i="18"/>
  <c r="BD12" i="18"/>
  <c r="AZ12" i="18"/>
  <c r="AV12" i="18"/>
  <c r="AR12" i="18"/>
  <c r="AN12" i="18"/>
  <c r="AJ12" i="18"/>
  <c r="AF12" i="18"/>
  <c r="AB12" i="18"/>
  <c r="X12" i="18"/>
  <c r="T12" i="18"/>
  <c r="P12" i="18"/>
  <c r="L12" i="18"/>
  <c r="BS12" i="18"/>
  <c r="BO12" i="18"/>
  <c r="BK12" i="18"/>
  <c r="BG12" i="18"/>
  <c r="BC12" i="18"/>
  <c r="AY12" i="18"/>
  <c r="AU12" i="18"/>
  <c r="AQ12" i="18"/>
  <c r="AM12" i="18"/>
  <c r="AI12" i="18"/>
  <c r="AE12" i="18"/>
  <c r="AA12" i="18"/>
  <c r="W12" i="18"/>
  <c r="S12" i="18"/>
  <c r="O12" i="18"/>
  <c r="K12" i="18"/>
  <c r="BR12" i="18"/>
  <c r="BN12" i="18"/>
  <c r="BJ12" i="18"/>
  <c r="BF12" i="18"/>
  <c r="BB12" i="18"/>
  <c r="AX12" i="18"/>
  <c r="AT12" i="18"/>
  <c r="AP12" i="18"/>
  <c r="AL12" i="18"/>
  <c r="AH12" i="18"/>
  <c r="AD12" i="18"/>
  <c r="Z12" i="18"/>
  <c r="V12" i="18"/>
  <c r="R12" i="18"/>
  <c r="N12" i="18"/>
  <c r="J12" i="18"/>
  <c r="BQ12" i="18"/>
  <c r="BM12" i="18"/>
  <c r="BI12" i="18"/>
  <c r="BE12" i="18"/>
  <c r="BA12" i="18"/>
  <c r="AW12" i="18"/>
  <c r="AS12" i="18"/>
  <c r="AO12" i="18"/>
  <c r="AK12" i="18"/>
  <c r="AG12" i="18"/>
  <c r="AC12" i="18"/>
  <c r="Y12" i="18"/>
  <c r="U12" i="18"/>
  <c r="Q12" i="18"/>
  <c r="M12" i="18"/>
  <c r="I12" i="18"/>
  <c r="I9" i="18"/>
  <c r="BT9" i="18"/>
  <c r="BP9" i="18"/>
  <c r="BL9" i="18"/>
  <c r="BH9" i="18"/>
  <c r="BD9" i="18"/>
  <c r="AZ9" i="18"/>
  <c r="AV9" i="18"/>
  <c r="AR9" i="18"/>
  <c r="AN9" i="18"/>
  <c r="AJ9" i="18"/>
  <c r="AF9" i="18"/>
  <c r="AB9" i="18"/>
  <c r="X9" i="18"/>
  <c r="T9" i="18"/>
  <c r="P9" i="18"/>
  <c r="L9" i="18"/>
  <c r="BS9" i="18"/>
  <c r="BO9" i="18"/>
  <c r="BK9" i="18"/>
  <c r="BG9" i="18"/>
  <c r="BC9" i="18"/>
  <c r="AY9" i="18"/>
  <c r="AU9" i="18"/>
  <c r="AQ9" i="18"/>
  <c r="AM9" i="18"/>
  <c r="AI9" i="18"/>
  <c r="AE9" i="18"/>
  <c r="AA9" i="18"/>
  <c r="W9" i="18"/>
  <c r="S9" i="18"/>
  <c r="O9" i="18"/>
  <c r="K9" i="18"/>
  <c r="BR9" i="18"/>
  <c r="BN9" i="18"/>
  <c r="BJ9" i="18"/>
  <c r="BF9" i="18"/>
  <c r="BB9" i="18"/>
  <c r="AX9" i="18"/>
  <c r="AT9" i="18"/>
  <c r="AP9" i="18"/>
  <c r="AL9" i="18"/>
  <c r="AH9" i="18"/>
  <c r="AD9" i="18"/>
  <c r="Z9" i="18"/>
  <c r="V9" i="18"/>
  <c r="R9" i="18"/>
  <c r="N9" i="18"/>
  <c r="J9" i="18"/>
  <c r="BQ9" i="18"/>
  <c r="BM9" i="18"/>
  <c r="BI9" i="18"/>
  <c r="BE9" i="18"/>
  <c r="BA9" i="18"/>
  <c r="AW9" i="18"/>
  <c r="AS9" i="18"/>
  <c r="AO9" i="18"/>
  <c r="AK9" i="18"/>
  <c r="AG9" i="18"/>
  <c r="AC9" i="18"/>
  <c r="Y9" i="18"/>
  <c r="U9" i="18"/>
  <c r="Q9" i="18"/>
  <c r="M9" i="18"/>
  <c r="H9" i="18"/>
  <c r="H17" i="18"/>
  <c r="G17" i="18"/>
  <c r="F17" i="18"/>
  <c r="E17" i="18"/>
  <c r="F20" i="18"/>
  <c r="E20" i="18"/>
  <c r="H20" i="18"/>
  <c r="G20" i="18"/>
  <c r="F18" i="18"/>
  <c r="E18" i="18"/>
  <c r="H18" i="18"/>
  <c r="G18" i="18"/>
  <c r="H13" i="18"/>
  <c r="G13" i="18"/>
  <c r="F13" i="18"/>
  <c r="E13" i="18"/>
  <c r="H21" i="18"/>
  <c r="G21" i="18"/>
  <c r="F21" i="18"/>
  <c r="E21" i="18"/>
  <c r="H15" i="18"/>
  <c r="G15" i="18"/>
  <c r="F15" i="18"/>
  <c r="E15" i="18"/>
  <c r="H11" i="18"/>
  <c r="G11" i="18"/>
  <c r="F11" i="18"/>
  <c r="E11" i="18"/>
  <c r="H23" i="18"/>
  <c r="G23" i="18"/>
  <c r="F23" i="18"/>
  <c r="E23" i="18"/>
  <c r="F10" i="18"/>
  <c r="E10" i="18"/>
  <c r="H10" i="18"/>
  <c r="G10" i="18"/>
  <c r="F16" i="18"/>
  <c r="E16" i="18"/>
  <c r="H16" i="18"/>
  <c r="G16" i="18"/>
  <c r="H19" i="18"/>
  <c r="G19" i="18"/>
  <c r="F19" i="18"/>
  <c r="E19" i="18"/>
  <c r="F14" i="18"/>
  <c r="E14" i="18"/>
  <c r="H14" i="18"/>
  <c r="G14" i="18"/>
  <c r="F22" i="18"/>
  <c r="E22" i="18"/>
  <c r="H22" i="18"/>
  <c r="G22" i="18"/>
  <c r="F12" i="18"/>
  <c r="E12" i="18"/>
  <c r="H12" i="18"/>
  <c r="G12" i="18"/>
  <c r="G9" i="18"/>
  <c r="F9" i="18"/>
  <c r="E9" i="18"/>
  <c r="AT7" i="19"/>
  <c r="AN7" i="196" s="1"/>
  <c r="AQ7" i="18"/>
  <c r="D9" i="18" l="1"/>
  <c r="D20" i="18"/>
  <c r="C19" i="18"/>
  <c r="C23" i="18"/>
  <c r="C11" i="18"/>
  <c r="C9" i="18"/>
  <c r="D19" i="18"/>
  <c r="D23" i="18"/>
  <c r="D11" i="18"/>
  <c r="C15" i="18"/>
  <c r="C21" i="18"/>
  <c r="C13" i="18"/>
  <c r="C17" i="18"/>
  <c r="D15" i="18"/>
  <c r="D21" i="18"/>
  <c r="D17" i="18"/>
  <c r="C12" i="18"/>
  <c r="D13" i="18"/>
  <c r="C22" i="18"/>
  <c r="C14" i="18"/>
  <c r="C16" i="18"/>
  <c r="C10" i="18"/>
  <c r="D12" i="18"/>
  <c r="D22" i="18"/>
  <c r="D14" i="18"/>
  <c r="D16" i="18"/>
  <c r="D10" i="18"/>
  <c r="C18" i="18"/>
  <c r="C20" i="18"/>
  <c r="D18" i="18"/>
  <c r="AU7" i="19"/>
  <c r="AO7" i="196" s="1"/>
  <c r="AR7" i="18"/>
  <c r="AV7" i="19" l="1"/>
  <c r="AP7" i="196" s="1"/>
  <c r="AS7" i="18"/>
  <c r="AW7" i="19" l="1"/>
  <c r="AQ7" i="196" s="1"/>
  <c r="AT7" i="18"/>
  <c r="AX7" i="19" l="1"/>
  <c r="AR7" i="196" s="1"/>
  <c r="AU7" i="18"/>
  <c r="AY7" i="19" l="1"/>
  <c r="AS7" i="196" s="1"/>
  <c r="AV7" i="18"/>
  <c r="AZ7" i="19" l="1"/>
  <c r="AT7" i="196" s="1"/>
  <c r="AW7" i="18"/>
  <c r="BA7" i="19" l="1"/>
  <c r="AU7" i="196" s="1"/>
  <c r="AX7" i="18"/>
  <c r="BB7" i="19" l="1"/>
  <c r="AV7" i="196" s="1"/>
  <c r="AY7" i="18"/>
  <c r="BC7" i="19" l="1"/>
  <c r="AW7" i="196" s="1"/>
  <c r="AZ7" i="18"/>
  <c r="BD7" i="19" l="1"/>
  <c r="AX7" i="196" s="1"/>
  <c r="BA7" i="18"/>
  <c r="BE7" i="19" l="1"/>
  <c r="AY7" i="196" s="1"/>
  <c r="BB7" i="18"/>
  <c r="BF7" i="19" l="1"/>
  <c r="BC7" i="18"/>
  <c r="BD7" i="18" l="1"/>
  <c r="AZ7" i="196"/>
  <c r="E8" i="196" s="1"/>
  <c r="F8" i="196" s="1"/>
  <c r="G8" i="196" s="1"/>
  <c r="H8" i="196" s="1"/>
  <c r="I8" i="196" s="1"/>
  <c r="J8" i="196" s="1"/>
  <c r="K8" i="196" s="1"/>
  <c r="L8" i="196" s="1"/>
  <c r="M8" i="196" s="1"/>
  <c r="N8" i="196" s="1"/>
  <c r="O8" i="196" s="1"/>
  <c r="P8" i="196" s="1"/>
  <c r="Q8" i="196" s="1"/>
  <c r="R8" i="196" s="1"/>
  <c r="S8" i="196" s="1"/>
  <c r="T8" i="196" s="1"/>
  <c r="U8" i="196" s="1"/>
  <c r="V8" i="196" s="1"/>
  <c r="W8" i="196" s="1"/>
  <c r="X8" i="196" s="1"/>
  <c r="Y8" i="196" s="1"/>
  <c r="Z8" i="196" s="1"/>
  <c r="AA8" i="196" s="1"/>
  <c r="AB8" i="196" s="1"/>
  <c r="AC8" i="196" s="1"/>
  <c r="AD8" i="196" s="1"/>
  <c r="AE8" i="196" s="1"/>
  <c r="AF8" i="196" s="1"/>
  <c r="AG8" i="196" s="1"/>
  <c r="AH8" i="196" s="1"/>
  <c r="AI8" i="196" s="1"/>
  <c r="AJ8" i="196" s="1"/>
  <c r="AK8" i="196" s="1"/>
  <c r="AL8" i="196" s="1"/>
  <c r="AM8" i="196" s="1"/>
  <c r="AN8" i="196" s="1"/>
  <c r="AO8" i="196" s="1"/>
  <c r="AP8" i="196" s="1"/>
  <c r="AQ8" i="196" s="1"/>
  <c r="AR8" i="196" s="1"/>
  <c r="AS8" i="196" s="1"/>
  <c r="AT8" i="196" s="1"/>
  <c r="AU8" i="196" s="1"/>
  <c r="AV8" i="196" s="1"/>
  <c r="AW8" i="196" s="1"/>
  <c r="AX8" i="196" s="1"/>
  <c r="AY8" i="196" s="1"/>
  <c r="AZ8" i="196" s="1"/>
  <c r="I8" i="18"/>
  <c r="J8" i="18" s="1"/>
  <c r="K8" i="18" s="1"/>
  <c r="L8" i="18" s="1"/>
  <c r="M8" i="18" s="1"/>
  <c r="N8" i="18" s="1"/>
  <c r="O8" i="18" s="1"/>
  <c r="P8" i="18" s="1"/>
  <c r="Q8" i="18" s="1"/>
  <c r="R8" i="18" s="1"/>
  <c r="S8" i="18" s="1"/>
  <c r="T8" i="18" s="1"/>
  <c r="U8" i="18" s="1"/>
  <c r="V8" i="18" s="1"/>
  <c r="W8" i="18" s="1"/>
  <c r="X8" i="18" s="1"/>
  <c r="Y8" i="18" s="1"/>
  <c r="Z8" i="18" s="1"/>
  <c r="AA8" i="18" s="1"/>
  <c r="AB8" i="18" s="1"/>
  <c r="AC8" i="18" s="1"/>
  <c r="AD8" i="18" s="1"/>
  <c r="AE8" i="18" s="1"/>
  <c r="AF8" i="18" s="1"/>
  <c r="AG8" i="18" s="1"/>
  <c r="AH8" i="18" s="1"/>
  <c r="AI8" i="18" s="1"/>
  <c r="AJ8" i="18" s="1"/>
  <c r="AK8" i="18" s="1"/>
  <c r="AL8" i="18" s="1"/>
  <c r="AM8" i="18" s="1"/>
  <c r="AN8" i="18" s="1"/>
  <c r="AO8" i="18" s="1"/>
  <c r="AP8" i="18" s="1"/>
  <c r="AQ8" i="18" s="1"/>
  <c r="AR8" i="18" s="1"/>
  <c r="AS8" i="18" s="1"/>
  <c r="AT8" i="18" s="1"/>
  <c r="AU8" i="18" s="1"/>
  <c r="AV8" i="18" s="1"/>
  <c r="AW8" i="18" s="1"/>
  <c r="AX8" i="18" s="1"/>
  <c r="AY8" i="18" s="1"/>
  <c r="AZ8" i="18" s="1"/>
  <c r="BA8" i="18" s="1"/>
  <c r="BB8" i="18" s="1"/>
  <c r="BC8" i="18" s="1"/>
  <c r="BD8" i="18" s="1"/>
  <c r="BE8" i="18" s="1"/>
  <c r="BF8" i="18" s="1"/>
  <c r="BG8" i="18" s="1"/>
  <c r="BH8" i="18" s="1"/>
  <c r="BI8" i="18" s="1"/>
  <c r="BJ8" i="18" s="1"/>
  <c r="BK8" i="18" s="1"/>
  <c r="BL8" i="18" s="1"/>
  <c r="BM8" i="18" s="1"/>
  <c r="BN8" i="18" s="1"/>
  <c r="BO8" i="18" s="1"/>
  <c r="BP8" i="18" s="1"/>
  <c r="BQ8" i="18" s="1"/>
  <c r="BR8" i="18" s="1"/>
  <c r="BS8" i="18" s="1"/>
  <c r="BT8" i="18" s="1"/>
  <c r="M7" i="17" l="1"/>
  <c r="M7" i="207"/>
  <c r="M7" i="202"/>
  <c r="M7" i="210"/>
  <c r="M7" i="209"/>
  <c r="M7" i="201"/>
  <c r="M7" i="200"/>
  <c r="M7" i="203"/>
  <c r="M7" i="205"/>
  <c r="M7" i="211"/>
  <c r="M7" i="199"/>
  <c r="M7" i="212"/>
  <c r="M7" i="206"/>
  <c r="M7" i="208"/>
  <c r="M7" i="204"/>
</calcChain>
</file>

<file path=xl/comments1.xml><?xml version="1.0" encoding="utf-8"?>
<comments xmlns="http://schemas.openxmlformats.org/spreadsheetml/2006/main">
  <authors>
    <author>Agam PC</author>
  </authors>
  <commentList>
    <comment ref="C5" authorId="0">
      <text>
        <r>
          <rPr>
            <b/>
            <sz val="9"/>
            <color indexed="81"/>
            <rFont val="Tahoma"/>
            <family val="2"/>
          </rPr>
          <t xml:space="preserve">Type "your new filename.xlsx" (include .xlsx eventhough your don't see extension in your new filename). It is case sensitive. Check for upper/lower case and extra spaces. Incorrect filename will give you "can't open the specified file" message and you can't move between individual player worksheets
</t>
        </r>
        <r>
          <rPr>
            <sz val="9"/>
            <color indexed="81"/>
            <rFont val="Tahoma"/>
            <family val="2"/>
          </rPr>
          <t xml:space="preserve">
</t>
        </r>
      </text>
    </comment>
  </commentList>
</comments>
</file>

<file path=xl/comments2.xml><?xml version="1.0" encoding="utf-8"?>
<comments xmlns="http://schemas.openxmlformats.org/spreadsheetml/2006/main">
  <authors>
    <author>Agam PC</author>
  </authors>
  <commentList>
    <comment ref="I7" authorId="0">
      <text>
        <r>
          <rPr>
            <b/>
            <sz val="9"/>
            <color indexed="81"/>
            <rFont val="Tahoma"/>
            <family val="2"/>
          </rPr>
          <t>Maximum points per match</t>
        </r>
      </text>
    </comment>
    <comment ref="I8" authorId="0">
      <text>
        <r>
          <rPr>
            <b/>
            <sz val="9"/>
            <color indexed="81"/>
            <rFont val="Tahoma"/>
            <family val="2"/>
          </rPr>
          <t>Remaining points until end of tournament</t>
        </r>
      </text>
    </comment>
  </commentList>
</comments>
</file>

<file path=xl/comments3.xml><?xml version="1.0" encoding="utf-8"?>
<comments xmlns="http://schemas.openxmlformats.org/spreadsheetml/2006/main">
  <authors>
    <author>Agam PC</author>
  </authors>
  <commentList>
    <comment ref="E7" authorId="0">
      <text>
        <r>
          <rPr>
            <b/>
            <sz val="9"/>
            <color indexed="81"/>
            <rFont val="Tahoma"/>
            <family val="2"/>
          </rPr>
          <t>Maximum points per match</t>
        </r>
      </text>
    </comment>
    <comment ref="E8" authorId="0">
      <text>
        <r>
          <rPr>
            <b/>
            <sz val="9"/>
            <color indexed="81"/>
            <rFont val="Tahoma"/>
            <family val="2"/>
          </rPr>
          <t>Remaining points until end of group stages</t>
        </r>
      </text>
    </comment>
  </commentList>
</comments>
</file>

<file path=xl/comments4.xml><?xml version="1.0" encoding="utf-8"?>
<comments xmlns="http://schemas.openxmlformats.org/spreadsheetml/2006/main">
  <authors>
    <author>Agam PC</author>
  </authors>
  <commentList>
    <comment ref="E7" authorId="0">
      <text>
        <r>
          <rPr>
            <b/>
            <sz val="9"/>
            <color indexed="81"/>
            <rFont val="Tahoma"/>
            <family val="2"/>
          </rPr>
          <t>Maximum points per match</t>
        </r>
      </text>
    </comment>
    <comment ref="E8" authorId="0">
      <text>
        <r>
          <rPr>
            <b/>
            <sz val="9"/>
            <color indexed="81"/>
            <rFont val="Tahoma"/>
            <family val="2"/>
          </rPr>
          <t>Remaining points until the end of knock out stages</t>
        </r>
      </text>
    </comment>
  </commentList>
</comments>
</file>

<file path=xl/comments5.xml><?xml version="1.0" encoding="utf-8"?>
<comments xmlns="http://schemas.openxmlformats.org/spreadsheetml/2006/main">
  <authors>
    <author>Agam PC</author>
  </authors>
  <commentList>
    <comment ref="S14" authorId="0">
      <text>
        <r>
          <rPr>
            <b/>
            <sz val="9"/>
            <color indexed="81"/>
            <rFont val="Tahoma"/>
            <family val="2"/>
          </rPr>
          <t>You can re-type the country name in all 8 tables if you found an error by the end of all group matches</t>
        </r>
      </text>
    </comment>
  </commentList>
</comments>
</file>

<file path=xl/sharedStrings.xml><?xml version="1.0" encoding="utf-8"?>
<sst xmlns="http://schemas.openxmlformats.org/spreadsheetml/2006/main" count="8340" uniqueCount="4198">
  <si>
    <t>Thắng trận 58</t>
  </si>
  <si>
    <t>Thắng trận 59</t>
  </si>
  <si>
    <t>Thắng trận 60</t>
  </si>
  <si>
    <t>Thắng trận 61</t>
  </si>
  <si>
    <t>Thắng trận 62</t>
  </si>
  <si>
    <t>Thắng trận 63</t>
  </si>
  <si>
    <t>Thắng trận 64</t>
  </si>
  <si>
    <t>Số trận</t>
  </si>
  <si>
    <t>Thắng</t>
  </si>
  <si>
    <t>Hoà</t>
  </si>
  <si>
    <t>Thua</t>
  </si>
  <si>
    <t>Bàn thắng</t>
  </si>
  <si>
    <t>Bàn thua</t>
  </si>
  <si>
    <t>Giải Nhì</t>
  </si>
  <si>
    <t>Thắng trận 49</t>
  </si>
  <si>
    <t>Thắng trận 50</t>
  </si>
  <si>
    <t>Thắng trận 51</t>
  </si>
  <si>
    <t>Thắng trận 52</t>
  </si>
  <si>
    <t>Thua trận 61</t>
  </si>
  <si>
    <t>Thua trận 62</t>
  </si>
  <si>
    <t>Νικητής Αγώνα 49</t>
  </si>
  <si>
    <t>Νικητής Αγώνα 50</t>
  </si>
  <si>
    <t>Νικητής Αγώνα 51</t>
  </si>
  <si>
    <t>Νικητής Αγώνα 52</t>
  </si>
  <si>
    <t>マッチ49勝者</t>
  </si>
  <si>
    <t>マッチ50勝者</t>
  </si>
  <si>
    <t>マッチ51勝者</t>
  </si>
  <si>
    <t>マッチ52勝者</t>
  </si>
  <si>
    <t>一致61ルーザー</t>
  </si>
  <si>
    <t>一致62ルーザー</t>
  </si>
  <si>
    <t>경기 49 수상작</t>
  </si>
  <si>
    <t>경기 50 수상작</t>
  </si>
  <si>
    <t>경기 51 수상작</t>
  </si>
  <si>
    <t>경기 52 수상작</t>
  </si>
  <si>
    <t>경기 61 멍청이</t>
  </si>
  <si>
    <t>경기 62 멍청이</t>
  </si>
  <si>
    <t>Winner Match 49</t>
  </si>
  <si>
    <t>Winner Match 51</t>
  </si>
  <si>
    <t>Winner Match 52</t>
  </si>
  <si>
    <t>Tazza tad-Dinja u Scoresheet Iskeda 2,010</t>
  </si>
  <si>
    <t>Tazza tad-Dinja 2,010 Champion</t>
  </si>
  <si>
    <t>Vencedor Jogo 49</t>
  </si>
  <si>
    <t>Vencedor Jogo 51</t>
  </si>
  <si>
    <t>Победитель матча 49</t>
  </si>
  <si>
    <t>Победитель матча 50</t>
  </si>
  <si>
    <t>Победитель матча 51</t>
  </si>
  <si>
    <t>Победитель матча 52</t>
  </si>
  <si>
    <t>Победник меча 49</t>
  </si>
  <si>
    <t>Победник меча 50</t>
  </si>
  <si>
    <t>Победник меча 51</t>
  </si>
  <si>
    <t>Победник меча 52</t>
  </si>
  <si>
    <t>Победник Губитник 61</t>
  </si>
  <si>
    <t>Победник Губитник 62</t>
  </si>
  <si>
    <t>Perdedor partido 61</t>
  </si>
  <si>
    <t>Perdedor partido 62</t>
  </si>
  <si>
    <t>Maç 49 Galibi</t>
  </si>
  <si>
    <t>Maç 50 Galibi</t>
  </si>
  <si>
    <t>Maç 51 Galibi</t>
  </si>
  <si>
    <t>Maç 52 Galibi</t>
  </si>
  <si>
    <t>Gruppenphase</t>
  </si>
  <si>
    <t>Uhrzeit</t>
  </si>
  <si>
    <t>Elfenbeinküste</t>
  </si>
  <si>
    <t>Achtelfinale</t>
  </si>
  <si>
    <t>Halbfinale</t>
  </si>
  <si>
    <t>Spiel #</t>
  </si>
  <si>
    <t>Estados Unidos</t>
  </si>
  <si>
    <t>Ganados</t>
  </si>
  <si>
    <t>Empatados</t>
  </si>
  <si>
    <t>Perdidos</t>
  </si>
  <si>
    <t>Goles a favor</t>
  </si>
  <si>
    <t>Goles en contra</t>
  </si>
  <si>
    <t>Partido #</t>
  </si>
  <si>
    <t>Resultado</t>
  </si>
  <si>
    <t>Octavos de final</t>
  </si>
  <si>
    <t>Partido por el Tercer puesto</t>
  </si>
  <si>
    <t>Kalah Pertandingan 61</t>
  </si>
  <si>
    <t>Kalah Pertandingan 62</t>
  </si>
  <si>
    <t>Δεύτερος Α Ομίλου</t>
  </si>
  <si>
    <t>Δεύτερος Β Ομίλου</t>
  </si>
  <si>
    <t>Δεύτερος Γ Ομίλου</t>
  </si>
  <si>
    <t>Δεύτερος Δ Ομίλου</t>
  </si>
  <si>
    <t>Δεύτερος Ε Ομίλου</t>
  </si>
  <si>
    <t>Δεύτερος ΣΤ Ομίλου</t>
  </si>
  <si>
    <t>Δεύτερος Ζ Ομίλου</t>
  </si>
  <si>
    <t>Δεύτερος Η Ομίλου</t>
  </si>
  <si>
    <t>Νίκες</t>
  </si>
  <si>
    <t>Ισοπαλίες</t>
  </si>
  <si>
    <t>Ήττες</t>
  </si>
  <si>
    <t>Γκολ υπέρ</t>
  </si>
  <si>
    <t>Γκολ κατά</t>
  </si>
  <si>
    <t>Βαθμοί</t>
  </si>
  <si>
    <t>Δεύτερη θέση</t>
  </si>
  <si>
    <t>Όμιλος Α</t>
  </si>
  <si>
    <t>Όμιλος Β</t>
  </si>
  <si>
    <t>Όμιλος Γ</t>
  </si>
  <si>
    <t>Όμιλος Δ</t>
  </si>
  <si>
    <t>Όμιλος Ε</t>
  </si>
  <si>
    <t>Όμιλος ΣΤ</t>
  </si>
  <si>
    <t>Όμιλος Ζ</t>
  </si>
  <si>
    <t>Όμιλος Η</t>
  </si>
  <si>
    <t>Ηττημένος Αγώνα 61</t>
  </si>
  <si>
    <t>Ηττημένος Αγώνα 62</t>
  </si>
  <si>
    <t>Urugway</t>
  </si>
  <si>
    <t>Korea Poludniowa</t>
  </si>
  <si>
    <t>Alegria</t>
  </si>
  <si>
    <t>Wlochy</t>
  </si>
  <si>
    <t>Wybrzeze Kosci Sloniowej</t>
  </si>
  <si>
    <t>Jezyk</t>
  </si>
  <si>
    <t>Strefa Czasu</t>
  </si>
  <si>
    <t>Czesc Grupowa</t>
  </si>
  <si>
    <t>Mecze</t>
  </si>
  <si>
    <t>Pozycja</t>
  </si>
  <si>
    <t>Wynik</t>
  </si>
  <si>
    <t>Runda 16</t>
  </si>
  <si>
    <t>Cwierc-finaly</t>
  </si>
  <si>
    <t>Pol-finaly</t>
  </si>
  <si>
    <t>Mecz o 3-cia pozycje</t>
  </si>
  <si>
    <t>Zwyciezca</t>
  </si>
  <si>
    <t>2gi finalista</t>
  </si>
  <si>
    <t>Dodatkowy czas</t>
  </si>
  <si>
    <t>Karne</t>
  </si>
  <si>
    <t>Mistrz</t>
  </si>
  <si>
    <t>Mecz</t>
  </si>
  <si>
    <t>Grupa A Zwyciezca</t>
  </si>
  <si>
    <t>Grupa B Zwyciezca</t>
  </si>
  <si>
    <t>Grupa C Zwyciezca</t>
  </si>
  <si>
    <t>Grupa D Zwyciezca</t>
  </si>
  <si>
    <t>Grupa E Zwyciezca</t>
  </si>
  <si>
    <t>Grupa F Zwyciezca</t>
  </si>
  <si>
    <t>Grupa G Zwyciezca</t>
  </si>
  <si>
    <t>Grupa H Zwyciezca</t>
  </si>
  <si>
    <t>Grupa A 2gi</t>
  </si>
  <si>
    <t>Grupa B 2gi</t>
  </si>
  <si>
    <t>Grupa C 2gi</t>
  </si>
  <si>
    <t>Grupa D 2gi</t>
  </si>
  <si>
    <t>Grupa E 2gi</t>
  </si>
  <si>
    <t>Grupa F 2gi</t>
  </si>
  <si>
    <t>Grupa G 2gi</t>
  </si>
  <si>
    <t>Grupa H 2gi</t>
  </si>
  <si>
    <t>Mecz 53 Zwyciezca</t>
  </si>
  <si>
    <t>Mecz 54 Zwyciezca</t>
  </si>
  <si>
    <t>Mecz 55 Zwyciezca</t>
  </si>
  <si>
    <t>Mecz 56 Zwyciezca</t>
  </si>
  <si>
    <t>Mecz 57 Zwyciezca</t>
  </si>
  <si>
    <t>Mecz 58 Zwyciezca</t>
  </si>
  <si>
    <t>Mecz 59 Zwyciezca</t>
  </si>
  <si>
    <t>Mecz 60 Zwyciezca</t>
  </si>
  <si>
    <t>Mecz 61 Zwyciezca</t>
  </si>
  <si>
    <t>Mecz 62 Zwyciezca</t>
  </si>
  <si>
    <t>Mecz 63 Zwyciezca</t>
  </si>
  <si>
    <t>Mecz 64 Zwyciezca</t>
  </si>
  <si>
    <t xml:space="preserve">Bramki Strzelone </t>
  </si>
  <si>
    <t>Bramki Stracone</t>
  </si>
  <si>
    <t>Punkty</t>
  </si>
  <si>
    <t>2gie miejsce</t>
  </si>
  <si>
    <t>Mecz 49 Zwyciezca</t>
  </si>
  <si>
    <t>Mecz 50 Zwyciezca</t>
  </si>
  <si>
    <t>Mecz 51 Zwyciezca</t>
  </si>
  <si>
    <t>Mecz 52 Zwyciezca</t>
  </si>
  <si>
    <t>Mecz 61 Przegrany</t>
  </si>
  <si>
    <t>Mecz 62 Przegrany</t>
  </si>
  <si>
    <t>Südkorea</t>
  </si>
  <si>
    <t>Tabellen</t>
  </si>
  <si>
    <t>Spiel um Platz 3</t>
  </si>
  <si>
    <t>Sieger</t>
  </si>
  <si>
    <t>Zweiter</t>
  </si>
  <si>
    <t>Reguläre Spielzeit</t>
  </si>
  <si>
    <t>Verlängerung</t>
  </si>
  <si>
    <t>Elfmeterschießen</t>
  </si>
  <si>
    <t>Meister</t>
  </si>
  <si>
    <t>Sieger Gruppe A</t>
  </si>
  <si>
    <t>Sieger Gruppe B</t>
  </si>
  <si>
    <t>Sieger Gruppe D</t>
  </si>
  <si>
    <t>Sieger Gruppe E</t>
  </si>
  <si>
    <t>Sieger Gruppe F</t>
  </si>
  <si>
    <t>Sieger Gruppe G</t>
  </si>
  <si>
    <t>Sieger Gruppe H</t>
  </si>
  <si>
    <t>Zweiter Gruppe A</t>
  </si>
  <si>
    <t>Zweiter Gruppe B</t>
  </si>
  <si>
    <t>Zweiter Gruppe C</t>
  </si>
  <si>
    <t>Zweiter Gruppe D</t>
  </si>
  <si>
    <t>Zweiter Gruppe E</t>
  </si>
  <si>
    <t>Zweiter Gruppe F</t>
  </si>
  <si>
    <t>Zweiter Gruppe G</t>
  </si>
  <si>
    <t>Zweiter Gruppe H</t>
  </si>
  <si>
    <t>Sieger Spiel 53</t>
  </si>
  <si>
    <t>Sieger Spiel 54</t>
  </si>
  <si>
    <t>Sieger Spiel 55</t>
  </si>
  <si>
    <t>Sieger Spiel 56</t>
  </si>
  <si>
    <t>Sieger Spiel 57</t>
  </si>
  <si>
    <t>Sieger Spiel 58</t>
  </si>
  <si>
    <t>Sieger Spiel 59</t>
  </si>
  <si>
    <t>Sieger Spiel 60</t>
  </si>
  <si>
    <t>Sieger Spiel 61</t>
  </si>
  <si>
    <t>Sieger Spiel 62</t>
  </si>
  <si>
    <t>Sieger Spiel 63</t>
  </si>
  <si>
    <t>Sieger Spiel 64</t>
  </si>
  <si>
    <t>Zweiter Platz</t>
  </si>
  <si>
    <t>Sieger Spiel 49</t>
  </si>
  <si>
    <t>Sieger Spiel 50</t>
  </si>
  <si>
    <t>Vinnare match 60</t>
  </si>
  <si>
    <t>Vinnare match 61</t>
  </si>
  <si>
    <t>Vinnare match 62</t>
  </si>
  <si>
    <t>Vinnare match 63</t>
  </si>
  <si>
    <t>Vinnare match 64</t>
  </si>
  <si>
    <t>Vinnare match 49</t>
  </si>
  <si>
    <t>Vinnare match 50</t>
  </si>
  <si>
    <t>Vinnare match 51</t>
  </si>
  <si>
    <t>Vinnare match 52</t>
  </si>
  <si>
    <t>Förlorare match 61</t>
  </si>
  <si>
    <t>Förlorare match 62</t>
  </si>
  <si>
    <t>Visit exceltemplate.net for more templates and updates</t>
  </si>
  <si>
    <t>Played</t>
  </si>
  <si>
    <t>Draw</t>
  </si>
  <si>
    <t>Lose</t>
  </si>
  <si>
    <t>Goal scored for</t>
  </si>
  <si>
    <t>Match 49 Winnaar</t>
  </si>
  <si>
    <t>Match 50 Winnaar</t>
  </si>
  <si>
    <t>Match 51 Winnaar</t>
  </si>
  <si>
    <t>Match 52 Winnaar</t>
  </si>
  <si>
    <t>Носител на срещата 49</t>
  </si>
  <si>
    <t>Носител на срещата 50</t>
  </si>
  <si>
    <t>Носител на срещата 51</t>
  </si>
  <si>
    <t>Носител на срещата 52</t>
  </si>
  <si>
    <t>Мачът 61 Loser</t>
  </si>
  <si>
    <t>Мачът 62 Loser</t>
  </si>
  <si>
    <t>Pemenang Pertandingan 49</t>
  </si>
  <si>
    <t>Pemenang Pertandingan 50</t>
  </si>
  <si>
    <t>Pemenang Pertandingan 51</t>
  </si>
  <si>
    <t>Pemenang Pertandingan 52</t>
  </si>
  <si>
    <t>Guanyador Partit 49</t>
  </si>
  <si>
    <t>Guanyador Partit 50</t>
  </si>
  <si>
    <t>Guanyador del partit 51</t>
  </si>
  <si>
    <t>Guanyador del partit 52</t>
  </si>
  <si>
    <t>Perdedor partit 61</t>
  </si>
  <si>
    <t>Perdedor partit 62</t>
  </si>
  <si>
    <t>Match Winner 49</t>
  </si>
  <si>
    <t>Winner Match 50</t>
  </si>
  <si>
    <t>Tabell</t>
  </si>
  <si>
    <t>16-delsfinaler</t>
  </si>
  <si>
    <t>Kamp om tredjeplassen</t>
  </si>
  <si>
    <t>Vinner</t>
  </si>
  <si>
    <t>Sølvvinner</t>
  </si>
  <si>
    <t>Ordinær tid</t>
  </si>
  <si>
    <t>Overtid</t>
  </si>
  <si>
    <t>Straffespark-konkurranse</t>
  </si>
  <si>
    <t>Kamp #</t>
  </si>
  <si>
    <t>Vinner Gruppe A</t>
  </si>
  <si>
    <t>Vinner Gruppe B</t>
  </si>
  <si>
    <t>Vinner Gruppe C</t>
  </si>
  <si>
    <t>Vinner Gruppe D</t>
  </si>
  <si>
    <t>Vinner Gruppe E</t>
  </si>
  <si>
    <t>Vinner Gruppe F</t>
  </si>
  <si>
    <t>Vinner Gruppe G</t>
  </si>
  <si>
    <t>Vinner Gruppe H</t>
  </si>
  <si>
    <t>Andreplass Gruppe A</t>
  </si>
  <si>
    <t>Andreplass Gruppe B</t>
  </si>
  <si>
    <t>Andreplass Gruppe C</t>
  </si>
  <si>
    <t>Andreplass Gruppe D</t>
  </si>
  <si>
    <t>Andreplass Gruppe E</t>
  </si>
  <si>
    <t>Andreplass Gruppe F</t>
  </si>
  <si>
    <t>Andreplass Gruppe G</t>
  </si>
  <si>
    <t>Andreplass Gruppe H</t>
  </si>
  <si>
    <t>Vinner Kamp 53</t>
  </si>
  <si>
    <t>Vinner Kamp 54</t>
  </si>
  <si>
    <t>Vinner Kamp 55</t>
  </si>
  <si>
    <t>Vinner Kamp 56</t>
  </si>
  <si>
    <t>Vinner Kamp 57</t>
  </si>
  <si>
    <t>Vinner Kamp 58</t>
  </si>
  <si>
    <t>Vinner Kamp 59</t>
  </si>
  <si>
    <t>Vinner Kamp 60</t>
  </si>
  <si>
    <t>Vinner Kamp 61</t>
  </si>
  <si>
    <t>Vinner Kamp 62</t>
  </si>
  <si>
    <t>Vinner Kamp 63</t>
  </si>
  <si>
    <t>Vinner Kamp 64</t>
  </si>
  <si>
    <t>Poeng</t>
  </si>
  <si>
    <t>Andreplass</t>
  </si>
  <si>
    <t>Vinner Kamp 49</t>
  </si>
  <si>
    <t>Vinner Kamp 50</t>
  </si>
  <si>
    <t>Vinner Kamp 51</t>
  </si>
  <si>
    <t>Vinner Kamp 52</t>
  </si>
  <si>
    <t>Taper Kamp 61</t>
  </si>
  <si>
    <t>Taper Kamp 62</t>
  </si>
  <si>
    <t>Coreia do Sul</t>
  </si>
  <si>
    <t>Autrália</t>
  </si>
  <si>
    <t>Draw Result</t>
  </si>
  <si>
    <t>Fase de Grupos</t>
  </si>
  <si>
    <t>Classificações</t>
  </si>
  <si>
    <t>Quartos de Final</t>
  </si>
  <si>
    <t>Vencido</t>
  </si>
  <si>
    <t>Tempo Regulamentar</t>
  </si>
  <si>
    <t>Prolongamento</t>
  </si>
  <si>
    <t>Vencedor Grupo A</t>
  </si>
  <si>
    <t>Vencedor Grupo B</t>
  </si>
  <si>
    <t>Vencedor Grupo D</t>
  </si>
  <si>
    <t>Vencedor Grupo F</t>
  </si>
  <si>
    <t>Vencedor Grupo G</t>
  </si>
  <si>
    <t>Vencedor Grupo H</t>
  </si>
  <si>
    <t>2º Classificado Grupo A</t>
  </si>
  <si>
    <t>2º Classificado Grupo B</t>
  </si>
  <si>
    <t>הפסדים (ה)</t>
  </si>
  <si>
    <t>שערי זכות (ש"ז)</t>
  </si>
  <si>
    <t>שערי חובה (ש''ח)</t>
  </si>
  <si>
    <t>נקודות (נק')</t>
  </si>
  <si>
    <t>מקום שני</t>
  </si>
  <si>
    <t>בית א'</t>
  </si>
  <si>
    <t>בית ב'</t>
  </si>
  <si>
    <t>בית ג'</t>
  </si>
  <si>
    <t>בית ד'</t>
  </si>
  <si>
    <t>בית ה'</t>
  </si>
  <si>
    <t>בית ו'</t>
  </si>
  <si>
    <t>בית ז'</t>
  </si>
  <si>
    <t>בית ח'</t>
  </si>
  <si>
    <t>מנצחת משחק מספר 49</t>
  </si>
  <si>
    <t>מנצחת משחק מספר 50</t>
  </si>
  <si>
    <t>מנצחת משחק מספר 51</t>
  </si>
  <si>
    <t>מנצחת משחק מספר 52</t>
  </si>
  <si>
    <t>מפסידה משחק מספר 61</t>
  </si>
  <si>
    <t>מפסידה במשחק מספר 62</t>
  </si>
  <si>
    <t>Icelandic</t>
  </si>
  <si>
    <t>Mexíkó</t>
  </si>
  <si>
    <t>Úrugvæ</t>
  </si>
  <si>
    <t>Frakkland</t>
  </si>
  <si>
    <t>Nígería</t>
  </si>
  <si>
    <t>Suður-Kórea</t>
  </si>
  <si>
    <t>Grikkland</t>
  </si>
  <si>
    <t>Alsír</t>
  </si>
  <si>
    <t>Þýskaland</t>
  </si>
  <si>
    <t>Ástralía</t>
  </si>
  <si>
    <t>Kamerún</t>
  </si>
  <si>
    <t>Ítalía</t>
  </si>
  <si>
    <t>Brasilía</t>
  </si>
  <si>
    <t>Fílabeinsströndin</t>
  </si>
  <si>
    <t>Portúgal</t>
  </si>
  <si>
    <t>Spánn</t>
  </si>
  <si>
    <t>Sviss</t>
  </si>
  <si>
    <t>Hondúras</t>
  </si>
  <si>
    <t>Tungumál</t>
  </si>
  <si>
    <t>Tímabelti</t>
  </si>
  <si>
    <t>Grup H İkincisi</t>
  </si>
  <si>
    <t>Oynanan</t>
  </si>
  <si>
    <t>Galibiyet</t>
  </si>
  <si>
    <t>Beraberlik</t>
  </si>
  <si>
    <t>Mağlubiyet</t>
  </si>
  <si>
    <t>Yediği Gol</t>
  </si>
  <si>
    <t>İkinci sıra</t>
  </si>
  <si>
    <t>Maç 61 Mağlubu</t>
  </si>
  <si>
    <t>Maç 62 Mağlubu</t>
  </si>
  <si>
    <t>Ottelun 60 voittaja</t>
  </si>
  <si>
    <t>Ottelun 61 voittaja</t>
  </si>
  <si>
    <t>Ottelun 62 voittaja</t>
  </si>
  <si>
    <t>Ottelun 63 voittaja</t>
  </si>
  <si>
    <t>Ottelun 64 voittaja</t>
  </si>
  <si>
    <t>Vieraile exceltemplate.net lisää malleja ja päivitykset</t>
  </si>
  <si>
    <t>Lohko E</t>
  </si>
  <si>
    <t>Lohko F</t>
  </si>
  <si>
    <t>Lohko G</t>
  </si>
  <si>
    <t>Lohko H</t>
  </si>
  <si>
    <t>Exceltemplate.net Visite pour des modèles et des mises à jour</t>
  </si>
  <si>
    <t>Groupe A</t>
  </si>
  <si>
    <t>Groupe B</t>
  </si>
  <si>
    <t>Groupe C</t>
  </si>
  <si>
    <t>Groupe D</t>
  </si>
  <si>
    <t>Groupe E</t>
  </si>
  <si>
    <t>Groupe F</t>
  </si>
  <si>
    <t>Groupe G</t>
  </si>
  <si>
    <t>Groupe H</t>
  </si>
  <si>
    <t>Sieger Gruppe C</t>
  </si>
  <si>
    <t>Besuchen Sie exceltemplate.net für mehrere Vorlagen und Updates</t>
  </si>
  <si>
    <t>Νικητής Αγώνα 53</t>
  </si>
  <si>
    <t>Νικητής Αγώνα 54</t>
  </si>
  <si>
    <t>Νικητής Αγώνα 55</t>
  </si>
  <si>
    <t>Νικητής Αγώνα 56</t>
  </si>
  <si>
    <t>Νικητής Αγώνα 57</t>
  </si>
  <si>
    <t>Νικητής Αγώνα 58</t>
  </si>
  <si>
    <t>Νικητής Αγώνα 59</t>
  </si>
  <si>
    <t>Νικητής Αγώνα 60</t>
  </si>
  <si>
    <t>Νικητής Αγώνα 61</t>
  </si>
  <si>
    <t>Νικητής Αγώνα 62</t>
  </si>
  <si>
    <t>Νικητής Αγώνα 63</t>
  </si>
  <si>
    <t>Νικητής Αγώνα 64</t>
  </si>
  <si>
    <t>Επισκεφθείτε exceltemplate.net για περισσότερα πρότυπα και ενημερώσεις</t>
  </si>
  <si>
    <t>D csoport győztese</t>
  </si>
  <si>
    <t>E csoport győztese</t>
  </si>
  <si>
    <t>F csoport győztese</t>
  </si>
  <si>
    <t>G csoport győztese</t>
  </si>
  <si>
    <t>H csoport győztese</t>
  </si>
  <si>
    <t>Látogassa exceltemplate.net További sablonok és frissítések</t>
  </si>
  <si>
    <t>C csoport</t>
  </si>
  <si>
    <t>D csoport</t>
  </si>
  <si>
    <t>E csoport</t>
  </si>
  <si>
    <t>F csoport</t>
  </si>
  <si>
    <t>G csoport</t>
  </si>
  <si>
    <t>H csoport</t>
  </si>
  <si>
    <t>Exceltemplate.net visita per i modelli più e aggiornamenti</t>
  </si>
  <si>
    <t>Secondo posto</t>
  </si>
  <si>
    <t>Gruppo A</t>
  </si>
  <si>
    <t>Gruppo B</t>
  </si>
  <si>
    <t>Gruppo C</t>
  </si>
  <si>
    <t>Gruppo D</t>
  </si>
  <si>
    <t>Gruppo E</t>
  </si>
  <si>
    <t>Gruppo F</t>
  </si>
  <si>
    <t>Gruppo G</t>
  </si>
  <si>
    <t>Gruppo H</t>
  </si>
  <si>
    <t>一致する＃</t>
  </si>
  <si>
    <t>グループ受賞</t>
  </si>
  <si>
    <t>グループBの勝者</t>
  </si>
  <si>
    <t>グループCの勝者</t>
  </si>
  <si>
    <t>グループDの勝者</t>
  </si>
  <si>
    <t>グループEの勝者</t>
  </si>
  <si>
    <t>グループFの勝者</t>
  </si>
  <si>
    <t>グループGの勝者</t>
  </si>
  <si>
    <t>グループHの勝者</t>
  </si>
  <si>
    <t>グループのランナーを開設する</t>
  </si>
  <si>
    <t>グループBのランナーを開設する</t>
  </si>
  <si>
    <t>グループCのランナーを開設する</t>
  </si>
  <si>
    <t>グループDランナーを開設する</t>
  </si>
  <si>
    <t>グループEのランナーを開設する</t>
  </si>
  <si>
    <t>グループFのランナーを開設する</t>
  </si>
  <si>
    <t>グループGのランナーを開設する</t>
  </si>
  <si>
    <t>グループHでは、ランナーを開設する</t>
  </si>
  <si>
    <t>マッチ53勝者</t>
  </si>
  <si>
    <t>マッチ54勝者</t>
  </si>
  <si>
    <t>マッチ55勝者</t>
  </si>
  <si>
    <t>マッチ56勝者</t>
  </si>
  <si>
    <t>マッチ57勝者</t>
  </si>
  <si>
    <t>マッチ58勝者</t>
  </si>
  <si>
    <t>マッチ59勝者</t>
  </si>
  <si>
    <t>マッチ60勝者</t>
  </si>
  <si>
    <t>マッチ61勝者</t>
  </si>
  <si>
    <t>マッチ62勝者</t>
  </si>
  <si>
    <t>マッチ63勝者</t>
  </si>
  <si>
    <t>マッチ64勝者</t>
  </si>
  <si>
    <t>さらに、テンプレートや更新のための訪問exceltemplate.net</t>
  </si>
  <si>
    <t>演奏</t>
  </si>
  <si>
    <t>描画する</t>
  </si>
  <si>
    <t>失う</t>
  </si>
  <si>
    <t>ゴールゴール</t>
  </si>
  <si>
    <t>目標に対してゴール</t>
  </si>
  <si>
    <t>ポイント</t>
  </si>
  <si>
    <t>2位</t>
  </si>
  <si>
    <t>グループB</t>
  </si>
  <si>
    <t>グループC</t>
  </si>
  <si>
    <t>グループD</t>
  </si>
  <si>
    <t>グループE</t>
  </si>
  <si>
    <t>グループF</t>
  </si>
  <si>
    <t>グループG</t>
  </si>
  <si>
    <t>グループH</t>
  </si>
  <si>
    <t>경기 #</t>
  </si>
  <si>
    <t>그룹 수상작</t>
  </si>
  <si>
    <t>B 조 수상작</t>
  </si>
  <si>
    <t>C 조 수상작</t>
  </si>
  <si>
    <t>D 조 수상작</t>
  </si>
  <si>
    <t>E 조 수상작</t>
  </si>
  <si>
    <t>F 조 수상작</t>
  </si>
  <si>
    <t>G 조 수상작</t>
  </si>
  <si>
    <t>H 조 수상작</t>
  </si>
  <si>
    <t>조 준우승</t>
  </si>
  <si>
    <t>B 조 준우승</t>
  </si>
  <si>
    <t>C 조 준우승</t>
  </si>
  <si>
    <t>D 조 준우승</t>
  </si>
  <si>
    <t>E 조 준우승</t>
  </si>
  <si>
    <t>F 조 준우승</t>
  </si>
  <si>
    <t>P :</t>
  </si>
  <si>
    <t>W :</t>
  </si>
  <si>
    <t>D :</t>
  </si>
  <si>
    <t>L :</t>
  </si>
  <si>
    <t>F :</t>
  </si>
  <si>
    <t>A :</t>
  </si>
  <si>
    <t>Pt :</t>
  </si>
  <si>
    <t>Match 49 Winner</t>
  </si>
  <si>
    <t>Match 50 Winner</t>
  </si>
  <si>
    <t>Match 51 Winner</t>
  </si>
  <si>
    <t>Match 52 Winner</t>
  </si>
  <si>
    <t>Match 61 Loser</t>
  </si>
  <si>
    <t>Match 62 Loser</t>
  </si>
  <si>
    <t>G 조 준우승</t>
  </si>
  <si>
    <t>H 조 준우승</t>
  </si>
  <si>
    <t>경기 53 수상작</t>
  </si>
  <si>
    <t>경기 54 수상작</t>
  </si>
  <si>
    <t>경기 55 수상작</t>
  </si>
  <si>
    <t>경기 56 수상작</t>
  </si>
  <si>
    <t>경기 57 수상작</t>
  </si>
  <si>
    <t>경기 58 수상작</t>
  </si>
  <si>
    <t>경기 59 수상작</t>
  </si>
  <si>
    <t>경기 60 수상작</t>
  </si>
  <si>
    <t>경기 61 수상작</t>
  </si>
  <si>
    <t>경기 62 수상작</t>
  </si>
  <si>
    <t>Sheet Name</t>
  </si>
  <si>
    <t>SEMI FINAL</t>
  </si>
  <si>
    <t>No</t>
  </si>
  <si>
    <t>SCORE PREDICTION</t>
  </si>
  <si>
    <t>SCORE RESULTS</t>
  </si>
  <si>
    <t>Pusfinalio</t>
  </si>
  <si>
    <t>Rungtynės dėl trečiosios vietos</t>
  </si>
  <si>
    <t>Galutinė</t>
  </si>
  <si>
    <t>Nugalėtojas</t>
  </si>
  <si>
    <t>Wicemistrz</t>
  </si>
  <si>
    <t>Normalus laikas</t>
  </si>
  <si>
    <t>Bauda prasikalti</t>
  </si>
  <si>
    <t>Jepun</t>
  </si>
  <si>
    <t>Tarikh</t>
  </si>
  <si>
    <t>Messiku</t>
  </si>
  <si>
    <t>Urugwaj</t>
  </si>
  <si>
    <t>Arġentina</t>
  </si>
  <si>
    <t>Niġerja</t>
  </si>
  <si>
    <t>Koreja t'Isfel</t>
  </si>
  <si>
    <t>Ingilterra</t>
  </si>
  <si>
    <t>Alġerija</t>
  </si>
  <si>
    <t>Awstralja</t>
  </si>
  <si>
    <t>Ġappun</t>
  </si>
  <si>
    <t>Brażil</t>
  </si>
  <si>
    <t>Kosta ta 'l-Avorju</t>
  </si>
  <si>
    <t>Portugall</t>
  </si>
  <si>
    <t>Ħonduras</t>
  </si>
  <si>
    <t>Ċili</t>
  </si>
  <si>
    <t>Lingwa</t>
  </si>
  <si>
    <t>Stadji Grupp</t>
  </si>
  <si>
    <t>Sulfarini</t>
  </si>
  <si>
    <t>Grupp</t>
  </si>
  <si>
    <t>Pajjiż</t>
  </si>
  <si>
    <t>Ħin</t>
  </si>
  <si>
    <t>Round ta '16</t>
  </si>
  <si>
    <t>Match għall-Tielet Post</t>
  </si>
  <si>
    <t>Finali</t>
  </si>
  <si>
    <t>Normali Time</t>
  </si>
  <si>
    <t>Piena Shoot Out</t>
  </si>
  <si>
    <t>Meksyk</t>
  </si>
  <si>
    <t>Argentyna</t>
  </si>
  <si>
    <t>Anglia</t>
  </si>
  <si>
    <t>Japonia</t>
  </si>
  <si>
    <t>Brazylia</t>
  </si>
  <si>
    <t>Kraj</t>
  </si>
  <si>
    <t>Czas</t>
  </si>
  <si>
    <t>Normalny czas</t>
  </si>
  <si>
    <t>México</t>
  </si>
  <si>
    <t>Coréia do Sul</t>
  </si>
  <si>
    <t>Inglaterra</t>
  </si>
  <si>
    <t>E.U.A.</t>
  </si>
  <si>
    <t>Argélia</t>
  </si>
  <si>
    <t>Austrália</t>
  </si>
  <si>
    <t>Japão</t>
  </si>
  <si>
    <t>Camarões</t>
  </si>
  <si>
    <t>Costa do Marfim</t>
  </si>
  <si>
    <t>Grupo</t>
  </si>
  <si>
    <t>Campeão</t>
  </si>
  <si>
    <t>Mexic</t>
  </si>
  <si>
    <t>Coreea de Sud</t>
  </si>
  <si>
    <t>Brazilia</t>
  </si>
  <si>
    <t>Timp</t>
  </si>
  <si>
    <t>Campion</t>
  </si>
  <si>
    <t>Мексика</t>
  </si>
  <si>
    <t>Аргентина</t>
  </si>
  <si>
    <t>Южная Корея</t>
  </si>
  <si>
    <t>США</t>
  </si>
  <si>
    <t>Нидерланды</t>
  </si>
  <si>
    <t>Кот д'Ивуар</t>
  </si>
  <si>
    <t>Гондурас</t>
  </si>
  <si>
    <t>Язык</t>
  </si>
  <si>
    <t>Часовой пояс</t>
  </si>
  <si>
    <t>Группа</t>
  </si>
  <si>
    <t>Время</t>
  </si>
  <si>
    <t>Победитель</t>
  </si>
  <si>
    <t>Дополнительное время</t>
  </si>
  <si>
    <t>Пенальти</t>
  </si>
  <si>
    <t>Уругвај</t>
  </si>
  <si>
    <t>Аргентине</t>
  </si>
  <si>
    <t>Нигерија</t>
  </si>
  <si>
    <t>Јужна Кореја</t>
  </si>
  <si>
    <t>Енглеска</t>
  </si>
  <si>
    <t>САД</t>
  </si>
  <si>
    <t>Аустралија</t>
  </si>
  <si>
    <t>Јапан</t>
  </si>
  <si>
    <t>Бразила</t>
  </si>
  <si>
    <t>Обала Слоноваче</t>
  </si>
  <si>
    <t>Хондурасу</t>
  </si>
  <si>
    <t>Чиле</t>
  </si>
  <si>
    <t>Језик</t>
  </si>
  <si>
    <t>Зону</t>
  </si>
  <si>
    <t>Група Фазе</t>
  </si>
  <si>
    <t>Шибице</t>
  </si>
  <si>
    <t>Табеле</t>
  </si>
  <si>
    <t>Датум</t>
  </si>
  <si>
    <t>Земља</t>
  </si>
  <si>
    <t>Оцена</t>
  </si>
  <si>
    <t>Коло 16</t>
  </si>
  <si>
    <t>Полуфинале</t>
  </si>
  <si>
    <t>Полу-Финале</t>
  </si>
  <si>
    <t>Утакмица за треће место</t>
  </si>
  <si>
    <t>Коначни</t>
  </si>
  <si>
    <t>Победник</t>
  </si>
  <si>
    <t>Руннер Горе</t>
  </si>
  <si>
    <t>Нормална Време</t>
  </si>
  <si>
    <t>Додатне Време</t>
  </si>
  <si>
    <t>Казнени избијати</t>
  </si>
  <si>
    <t>Alžirija</t>
  </si>
  <si>
    <t>Avstralija</t>
  </si>
  <si>
    <t>Japonska</t>
  </si>
  <si>
    <t>Gowl kontra</t>
  </si>
  <si>
    <t>It-tieni post</t>
  </si>
  <si>
    <t>Grupp A</t>
  </si>
  <si>
    <t>Grupp B</t>
  </si>
  <si>
    <t>Grupp Ċ</t>
  </si>
  <si>
    <t>Grupp D</t>
  </si>
  <si>
    <t>Grupp E</t>
  </si>
  <si>
    <t>Grupp F</t>
  </si>
  <si>
    <t>Grupp G</t>
  </si>
  <si>
    <t>Grupp H</t>
  </si>
  <si>
    <t>Swedish</t>
  </si>
  <si>
    <t>Frankrike</t>
  </si>
  <si>
    <t>Grekland</t>
  </si>
  <si>
    <t>Nederländerna</t>
  </si>
  <si>
    <t>Elfenbenskusten</t>
  </si>
  <si>
    <t>Språk</t>
  </si>
  <si>
    <t>Tidszon</t>
  </si>
  <si>
    <t>Matcher</t>
  </si>
  <si>
    <t>Kvartsfinaler</t>
  </si>
  <si>
    <t>Semifinaler</t>
  </si>
  <si>
    <t>Vinnare</t>
  </si>
  <si>
    <t>Tvåa</t>
  </si>
  <si>
    <t>Förlängning</t>
  </si>
  <si>
    <t>Besök exceltemplate.net för Fler mallar och uppdateringar</t>
  </si>
  <si>
    <t>Grupp C</t>
  </si>
  <si>
    <t>Exceltemplate.net wizyty Więcej szablonów i aktualizacje</t>
  </si>
  <si>
    <t>Vencedor do Grupo B</t>
  </si>
  <si>
    <t>Vencedor Grupo C</t>
  </si>
  <si>
    <t>Vencedor do Grupo D</t>
  </si>
  <si>
    <t>Vencedor Grupo E</t>
  </si>
  <si>
    <t>German/Deutsch</t>
  </si>
  <si>
    <t>Norway</t>
  </si>
  <si>
    <t>Persian</t>
  </si>
  <si>
    <t>Slovak</t>
  </si>
  <si>
    <t>澳洲</t>
  </si>
  <si>
    <t>分組賽階段</t>
  </si>
  <si>
    <t>賽程表</t>
  </si>
  <si>
    <t>小組積分榜</t>
  </si>
  <si>
    <t>小組</t>
  </si>
  <si>
    <t>賽果</t>
  </si>
  <si>
    <t>十六強</t>
  </si>
  <si>
    <t>八強</t>
  </si>
  <si>
    <t>四強</t>
  </si>
  <si>
    <t>季軍戰</t>
  </si>
  <si>
    <t>法定時間</t>
  </si>
  <si>
    <t>加時</t>
  </si>
  <si>
    <t>十二碼</t>
  </si>
  <si>
    <t>場次#</t>
  </si>
  <si>
    <t>A組首名</t>
  </si>
  <si>
    <t>B組首名</t>
  </si>
  <si>
    <t>C組首名</t>
  </si>
  <si>
    <t>D組首名</t>
  </si>
  <si>
    <t>E組首名</t>
  </si>
  <si>
    <t>F組首名</t>
  </si>
  <si>
    <t>G組首名</t>
  </si>
  <si>
    <t>H組首名</t>
  </si>
  <si>
    <t>A組次名</t>
  </si>
  <si>
    <t>B組次名</t>
  </si>
  <si>
    <t>C組次名</t>
  </si>
  <si>
    <t>D組次名</t>
  </si>
  <si>
    <t>E組次名</t>
  </si>
  <si>
    <t>F組次名</t>
  </si>
  <si>
    <t>G組次名</t>
  </si>
  <si>
    <t>H組次名</t>
  </si>
  <si>
    <t>賽事53勝方</t>
  </si>
  <si>
    <t>賽事54勝方</t>
  </si>
  <si>
    <t>賽事55勝方</t>
  </si>
  <si>
    <t>賽事56勝方</t>
  </si>
  <si>
    <t>賽事57勝方</t>
  </si>
  <si>
    <t>賽事58勝方</t>
  </si>
  <si>
    <t>賽事59勝方</t>
  </si>
  <si>
    <t>賽事60勝方</t>
  </si>
  <si>
    <t>賽事61勝方</t>
  </si>
  <si>
    <t>賽事62勝方</t>
  </si>
  <si>
    <t>賽事63勝方</t>
  </si>
  <si>
    <t>賽事64勝方</t>
  </si>
  <si>
    <t>賽事</t>
  </si>
  <si>
    <t>勝</t>
  </si>
  <si>
    <t>和</t>
  </si>
  <si>
    <t>負</t>
  </si>
  <si>
    <t>得球</t>
  </si>
  <si>
    <t>積分</t>
  </si>
  <si>
    <t>賽事49勝方</t>
  </si>
  <si>
    <t>賽事50勝方</t>
  </si>
  <si>
    <t>賽事51勝方</t>
  </si>
  <si>
    <t>賽事52勝方</t>
  </si>
  <si>
    <t>賽事61負方</t>
  </si>
  <si>
    <t>賽事62負方</t>
  </si>
  <si>
    <t>Ζώνη Ώρας</t>
  </si>
  <si>
    <t>Αγώνες</t>
  </si>
  <si>
    <t>Τελικός</t>
  </si>
  <si>
    <t>Δεύτερος</t>
  </si>
  <si>
    <t>Κανονική Διάρκεια</t>
  </si>
  <si>
    <t>Αγώνας #</t>
  </si>
  <si>
    <t>2.sæti riðill F</t>
  </si>
  <si>
    <t>2.sæti riðill G</t>
  </si>
  <si>
    <t>2.sæti riðill H</t>
  </si>
  <si>
    <t>Sigurvegari leikur 53</t>
  </si>
  <si>
    <t>Sigurvegari leikur 54</t>
  </si>
  <si>
    <t>Sigurvegari leikur 55</t>
  </si>
  <si>
    <t>Sigurvegari leikur 56</t>
  </si>
  <si>
    <t>Sigurvegari leikur 57</t>
  </si>
  <si>
    <t>Sigurvegari leikur 58</t>
  </si>
  <si>
    <t>Sigurvegari leikur 59</t>
  </si>
  <si>
    <t>Sigurvegari leikur 60</t>
  </si>
  <si>
    <t>Sigurvegari leikur 61</t>
  </si>
  <si>
    <t>Sigurvegari leikur 62</t>
  </si>
  <si>
    <t>Sigurvegari leikur 63</t>
  </si>
  <si>
    <t>Sigurvegari leikur 64</t>
  </si>
  <si>
    <t>Sigur</t>
  </si>
  <si>
    <t>Jafntefli</t>
  </si>
  <si>
    <t>Tap</t>
  </si>
  <si>
    <t>Mörk skoruð</t>
  </si>
  <si>
    <t>Mörk fengin á sig</t>
  </si>
  <si>
    <t>Stig</t>
  </si>
  <si>
    <t>Annað sæti</t>
  </si>
  <si>
    <t>Riðill A</t>
  </si>
  <si>
    <t>Riðill B</t>
  </si>
  <si>
    <t>Riðill C</t>
  </si>
  <si>
    <t>Riðill D</t>
  </si>
  <si>
    <t>Riðill E</t>
  </si>
  <si>
    <t>Riðill F</t>
  </si>
  <si>
    <t>Riðill G</t>
  </si>
  <si>
    <t>Riðill H</t>
  </si>
  <si>
    <t>Sigurvegari leikur 49</t>
  </si>
  <si>
    <t>Sigurvegari leikur 50</t>
  </si>
  <si>
    <t>Sigurvegari leikur 51</t>
  </si>
  <si>
    <t>Sigurvegari leikur 52</t>
  </si>
  <si>
    <t>Taplið leikur 61</t>
  </si>
  <si>
    <t>Taplið leikur 62</t>
  </si>
  <si>
    <t>Linguaggio</t>
  </si>
  <si>
    <t>Fuso orario</t>
  </si>
  <si>
    <t>Fase a gruppi</t>
  </si>
  <si>
    <t>Classifica</t>
  </si>
  <si>
    <t>Nazione</t>
  </si>
  <si>
    <t>Risultato</t>
  </si>
  <si>
    <t>Ora</t>
  </si>
  <si>
    <t>Finale per il terzo posto</t>
  </si>
  <si>
    <t>Qualificato</t>
  </si>
  <si>
    <t>Tempo regolamentare</t>
  </si>
  <si>
    <t>Tempo supplementare</t>
  </si>
  <si>
    <t>Rigori</t>
  </si>
  <si>
    <t>Campione</t>
  </si>
  <si>
    <t>Partita n°</t>
  </si>
  <si>
    <t>Vincitore gruppo A</t>
  </si>
  <si>
    <t>Vincitore gruppo B</t>
  </si>
  <si>
    <t>Vincitore gruppo C</t>
  </si>
  <si>
    <t>Vincitore gruppo D</t>
  </si>
  <si>
    <t>Vincitore gruppo E</t>
  </si>
  <si>
    <t>Vincitore gruppo F</t>
  </si>
  <si>
    <t>Vincitore gruppo G</t>
  </si>
  <si>
    <t>Vincitore gruppo H</t>
  </si>
  <si>
    <t>Seconda gruppo A</t>
  </si>
  <si>
    <t>Seconda gruppo B</t>
  </si>
  <si>
    <t>Seconda gruppo C</t>
  </si>
  <si>
    <t>Seconda gruppo D</t>
  </si>
  <si>
    <t>Seconda gruppo E</t>
  </si>
  <si>
    <t>Seconda gruppo F</t>
  </si>
  <si>
    <t>Seconda gruppo G</t>
  </si>
  <si>
    <t>Seconda gruppo H</t>
  </si>
  <si>
    <t>Vincitore partita 53</t>
  </si>
  <si>
    <t>Vincitore partita 54</t>
  </si>
  <si>
    <t>Vincitore partita 55</t>
  </si>
  <si>
    <t>Vincitore partita 56</t>
  </si>
  <si>
    <t>Vincitore partita 57</t>
  </si>
  <si>
    <t>Vincitore partita 58</t>
  </si>
  <si>
    <t>Vincitore partita 59</t>
  </si>
  <si>
    <t>Vincitore partita 60</t>
  </si>
  <si>
    <t>Vincitore partita 61</t>
  </si>
  <si>
    <t>Vincitore partita 62</t>
  </si>
  <si>
    <t>Vincitore partita 63</t>
  </si>
  <si>
    <t xml:space="preserve">Minsk </t>
  </si>
  <si>
    <t>Montevideo</t>
  </si>
  <si>
    <t xml:space="preserve">Montgomery </t>
  </si>
  <si>
    <t xml:space="preserve">Montreal </t>
  </si>
  <si>
    <t xml:space="preserve">Moscow </t>
  </si>
  <si>
    <t>Mumbai</t>
  </si>
  <si>
    <t>Nairobi</t>
  </si>
  <si>
    <t xml:space="preserve">Nassau </t>
  </si>
  <si>
    <t>New Delhi</t>
  </si>
  <si>
    <t xml:space="preserve">New Orleans </t>
  </si>
  <si>
    <t xml:space="preserve">New York </t>
  </si>
  <si>
    <t xml:space="preserve">Oslo </t>
  </si>
  <si>
    <t xml:space="preserve">Ottawa </t>
  </si>
  <si>
    <t xml:space="preserve">Paris </t>
  </si>
  <si>
    <t>Perth</t>
  </si>
  <si>
    <t xml:space="preserve">Philadelphia </t>
  </si>
  <si>
    <t>Phoenix</t>
  </si>
  <si>
    <t xml:space="preserve">Prague </t>
  </si>
  <si>
    <t>Reykjavik</t>
  </si>
  <si>
    <t>Rio de Janeiro</t>
  </si>
  <si>
    <t>Riyadh</t>
  </si>
  <si>
    <t xml:space="preserve">Rome </t>
  </si>
  <si>
    <t xml:space="preserve">San Francisco </t>
  </si>
  <si>
    <t>San Juan</t>
  </si>
  <si>
    <t>San Salvador</t>
  </si>
  <si>
    <t>Santiago</t>
  </si>
  <si>
    <t>Santo Domingo</t>
  </si>
  <si>
    <t>Sao Paulo</t>
  </si>
  <si>
    <t xml:space="preserve">Seattle </t>
  </si>
  <si>
    <t>Seoul</t>
  </si>
  <si>
    <t>Shanghai</t>
  </si>
  <si>
    <t>Singapore</t>
  </si>
  <si>
    <t xml:space="preserve">Sofia </t>
  </si>
  <si>
    <t xml:space="preserve">St. John's </t>
  </si>
  <si>
    <t xml:space="preserve">St. Paul </t>
  </si>
  <si>
    <t xml:space="preserve">Stockholm </t>
  </si>
  <si>
    <t>Suva</t>
  </si>
  <si>
    <t>Sydney</t>
  </si>
  <si>
    <t>Taipei</t>
  </si>
  <si>
    <t xml:space="preserve">Tallinn </t>
  </si>
  <si>
    <t>Tashkent</t>
  </si>
  <si>
    <t>Tegucigalpa</t>
  </si>
  <si>
    <t xml:space="preserve">Tehran </t>
  </si>
  <si>
    <t>Tokyo</t>
  </si>
  <si>
    <t xml:space="preserve">Toronto </t>
  </si>
  <si>
    <t xml:space="preserve">Vancouver </t>
  </si>
  <si>
    <t xml:space="preserve">Vienna </t>
  </si>
  <si>
    <t xml:space="preserve">Vladivostok </t>
  </si>
  <si>
    <t xml:space="preserve">Warsaw </t>
  </si>
  <si>
    <t xml:space="preserve">Washington DC </t>
  </si>
  <si>
    <t xml:space="preserve">Winnipeg </t>
  </si>
  <si>
    <t>Yangon</t>
  </si>
  <si>
    <t xml:space="preserve">Zagreb </t>
  </si>
  <si>
    <t xml:space="preserve">Zürich </t>
  </si>
  <si>
    <t>r musadya</t>
  </si>
  <si>
    <t>Mexico</t>
  </si>
  <si>
    <t>Uruguay</t>
  </si>
  <si>
    <t>Argentina</t>
  </si>
  <si>
    <t>Nigeria</t>
  </si>
  <si>
    <t>South Korea</t>
  </si>
  <si>
    <t>England</t>
  </si>
  <si>
    <t>USA</t>
  </si>
  <si>
    <t>Algeria</t>
  </si>
  <si>
    <t>Australia</t>
  </si>
  <si>
    <t>Ghana</t>
  </si>
  <si>
    <t>Japan</t>
  </si>
  <si>
    <t>Cameroon</t>
  </si>
  <si>
    <t>Brazil</t>
  </si>
  <si>
    <t>Honduras</t>
  </si>
  <si>
    <t>Chile</t>
  </si>
  <si>
    <t>Meksiko</t>
  </si>
  <si>
    <t>Korea Selatan</t>
  </si>
  <si>
    <t>Inggris</t>
  </si>
  <si>
    <t>Amerika Serikat</t>
  </si>
  <si>
    <t>Aljazair</t>
  </si>
  <si>
    <t>Jepang</t>
  </si>
  <si>
    <t>Kamerun</t>
  </si>
  <si>
    <t>Brasil</t>
  </si>
  <si>
    <t>Pantai Gading</t>
  </si>
  <si>
    <t>Group</t>
  </si>
  <si>
    <t>B</t>
  </si>
  <si>
    <t>C</t>
  </si>
  <si>
    <t>E</t>
  </si>
  <si>
    <t>G</t>
  </si>
  <si>
    <t>H</t>
  </si>
  <si>
    <t>Group E</t>
  </si>
  <si>
    <t>Group F</t>
  </si>
  <si>
    <t>Group G</t>
  </si>
  <si>
    <t>Group H</t>
  </si>
  <si>
    <t>Language</t>
  </si>
  <si>
    <t>Timezone</t>
  </si>
  <si>
    <t>Group Stages</t>
  </si>
  <si>
    <t>Matches</t>
  </si>
  <si>
    <t>Standings</t>
  </si>
  <si>
    <t>Score</t>
  </si>
  <si>
    <t>Round of 16</t>
  </si>
  <si>
    <t>Quarter Finals</t>
  </si>
  <si>
    <t>Semi Finals</t>
  </si>
  <si>
    <t>Match for Third Place</t>
  </si>
  <si>
    <t>Final</t>
  </si>
  <si>
    <t>Winner</t>
  </si>
  <si>
    <t>Runner Up</t>
  </si>
  <si>
    <t>Champion</t>
  </si>
  <si>
    <t>Zona waktu</t>
  </si>
  <si>
    <t>Pertandingan</t>
  </si>
  <si>
    <t>Klasemen</t>
  </si>
  <si>
    <t>Grup</t>
  </si>
  <si>
    <t>Tanggal</t>
  </si>
  <si>
    <t>Negara</t>
  </si>
  <si>
    <t>Skor</t>
  </si>
  <si>
    <t>Waktu</t>
  </si>
  <si>
    <t>Pemenang</t>
  </si>
  <si>
    <t>Waktu normal</t>
  </si>
  <si>
    <t>Waktu tambahan</t>
  </si>
  <si>
    <t>Adu penalti</t>
  </si>
  <si>
    <t>Juara</t>
  </si>
  <si>
    <t>Afrikaans</t>
  </si>
  <si>
    <t>Frankryk</t>
  </si>
  <si>
    <t>Argentinië</t>
  </si>
  <si>
    <t>Nigerië</t>
  </si>
  <si>
    <t>Suid-Korea</t>
  </si>
  <si>
    <t>Griekeland</t>
  </si>
  <si>
    <t>Engeland</t>
  </si>
  <si>
    <t>VSA</t>
  </si>
  <si>
    <t>Algerië</t>
  </si>
  <si>
    <t>Australië</t>
  </si>
  <si>
    <t>Kameroen</t>
  </si>
  <si>
    <t>Brasilië</t>
  </si>
  <si>
    <t>Ivoorkus</t>
  </si>
  <si>
    <t>Switserland</t>
  </si>
  <si>
    <t>Chili</t>
  </si>
  <si>
    <t>Taal</t>
  </si>
  <si>
    <t>Tydsone</t>
  </si>
  <si>
    <t>Groep Stadiums</t>
  </si>
  <si>
    <t>Wedstryde</t>
  </si>
  <si>
    <t>Groep</t>
  </si>
  <si>
    <t>Datum</t>
  </si>
  <si>
    <t>Land</t>
  </si>
  <si>
    <t>Punte</t>
  </si>
  <si>
    <t>Tyd</t>
  </si>
  <si>
    <t>Ronde van 16</t>
  </si>
  <si>
    <t>Kwart Finaal</t>
  </si>
  <si>
    <t>Wedstryd vir die Derde Plek</t>
  </si>
  <si>
    <t>Finale</t>
  </si>
  <si>
    <t>Wenner</t>
  </si>
  <si>
    <t>Normale Tyd</t>
  </si>
  <si>
    <t>Boete Shoot Out</t>
  </si>
  <si>
    <t>Kampioen</t>
  </si>
  <si>
    <t>Uruguaj</t>
  </si>
  <si>
    <t>Australi</t>
  </si>
  <si>
    <t>Brazili</t>
  </si>
  <si>
    <t>Kili</t>
  </si>
  <si>
    <t>Gjuha</t>
  </si>
  <si>
    <t>Data</t>
  </si>
  <si>
    <t>Vendi</t>
  </si>
  <si>
    <t>Koha</t>
  </si>
  <si>
    <t>Round 16</t>
  </si>
  <si>
    <t>Kampion</t>
  </si>
  <si>
    <t>المكسيك</t>
  </si>
  <si>
    <t>الأرجنتين</t>
  </si>
  <si>
    <t>نيجيريا</t>
  </si>
  <si>
    <t>كوريا الجنوبية</t>
  </si>
  <si>
    <t>الجزائر</t>
  </si>
  <si>
    <t>غانا</t>
  </si>
  <si>
    <t>اليابان</t>
  </si>
  <si>
    <t>الكاميرون</t>
  </si>
  <si>
    <t>البرازيل</t>
  </si>
  <si>
    <t>ساحل العاج</t>
  </si>
  <si>
    <t>هندوراس</t>
  </si>
  <si>
    <t>المجموعة</t>
  </si>
  <si>
    <t>النتيجة</t>
  </si>
  <si>
    <t>النهائي</t>
  </si>
  <si>
    <t>ركلات الترجيح</t>
  </si>
  <si>
    <t>墨西哥</t>
  </si>
  <si>
    <t>阿根廷</t>
  </si>
  <si>
    <t>日本</t>
  </si>
  <si>
    <t>巴西</t>
  </si>
  <si>
    <t>洪都拉斯</t>
  </si>
  <si>
    <t>智利</t>
  </si>
  <si>
    <t>日期</t>
  </si>
  <si>
    <t>亚军</t>
  </si>
  <si>
    <t>Мексико</t>
  </si>
  <si>
    <t>Уругвай</t>
  </si>
  <si>
    <t>Аржентина</t>
  </si>
  <si>
    <t>Нигерия</t>
  </si>
  <si>
    <t>Южна Корея</t>
  </si>
  <si>
    <t>Англия</t>
  </si>
  <si>
    <t>САЩ</t>
  </si>
  <si>
    <t>Алжир</t>
  </si>
  <si>
    <t>Австралия</t>
  </si>
  <si>
    <t>Гана</t>
  </si>
  <si>
    <t>Япония</t>
  </si>
  <si>
    <t>Камерун</t>
  </si>
  <si>
    <t>Бразилия</t>
  </si>
  <si>
    <t>Бряг на Слоновата кост</t>
  </si>
  <si>
    <t>Хондурас</t>
  </si>
  <si>
    <t>Чили</t>
  </si>
  <si>
    <t>Език</t>
  </si>
  <si>
    <t>Часовата зона</t>
  </si>
  <si>
    <t>Група Етапи</t>
  </si>
  <si>
    <t>Мачове</t>
  </si>
  <si>
    <t>Класиране</t>
  </si>
  <si>
    <t>Група</t>
  </si>
  <si>
    <t>Дата</t>
  </si>
  <si>
    <t>Страна</t>
  </si>
  <si>
    <t>Резултат</t>
  </si>
  <si>
    <t>Време</t>
  </si>
  <si>
    <t>Кръг от 16</t>
  </si>
  <si>
    <t>Квартал Финали</t>
  </si>
  <si>
    <t>Полуфинали</t>
  </si>
  <si>
    <t>Мачът за третото място</t>
  </si>
  <si>
    <t>Окончателна</t>
  </si>
  <si>
    <t>Победител</t>
  </si>
  <si>
    <t>Второ място</t>
  </si>
  <si>
    <t>Нормалното време</t>
  </si>
  <si>
    <t>Продължения</t>
  </si>
  <si>
    <t>Няма дузпи</t>
  </si>
  <si>
    <t>Шампион</t>
  </si>
  <si>
    <t>Mèxic</t>
  </si>
  <si>
    <t>Uruguai</t>
  </si>
  <si>
    <t>Nigèria</t>
  </si>
  <si>
    <t>Corea del Sud</t>
  </si>
  <si>
    <t>Anglaterra</t>
  </si>
  <si>
    <t>EUA</t>
  </si>
  <si>
    <t>Algèria</t>
  </si>
  <si>
    <t>Països Baixos</t>
  </si>
  <si>
    <t>Japó</t>
  </si>
  <si>
    <t>Camerun</t>
  </si>
  <si>
    <t>Costa d'Ivori</t>
  </si>
  <si>
    <t>Hondures</t>
  </si>
  <si>
    <t>Xile</t>
  </si>
  <si>
    <t>Idioma</t>
  </si>
  <si>
    <t>Zona horària</t>
  </si>
  <si>
    <t>Fase de grups</t>
  </si>
  <si>
    <t>Partits</t>
  </si>
  <si>
    <t>Classificació</t>
  </si>
  <si>
    <t xml:space="preserve">ประตูที่ได้ </t>
  </si>
  <si>
    <t xml:space="preserve">ประตูที่เสีย </t>
  </si>
  <si>
    <t xml:space="preserve">ลูก </t>
  </si>
  <si>
    <t>Franta</t>
  </si>
  <si>
    <t>Statele Unite</t>
  </si>
  <si>
    <t>Coasta de Fildes</t>
  </si>
  <si>
    <t>Elvetia</t>
  </si>
  <si>
    <t>Limba</t>
  </si>
  <si>
    <t>Fus Orar</t>
  </si>
  <si>
    <t>Etapa Grupe</t>
  </si>
  <si>
    <t>Meciuri</t>
  </si>
  <si>
    <t>Clasament</t>
  </si>
  <si>
    <t>Tara</t>
  </si>
  <si>
    <t>Scor</t>
  </si>
  <si>
    <t>Saisprezecimi</t>
  </si>
  <si>
    <t>Sferturi de finala</t>
  </si>
  <si>
    <t>Semifinala</t>
  </si>
  <si>
    <t>Meci prntru Locul Trei</t>
  </si>
  <si>
    <t>Finala</t>
  </si>
  <si>
    <t>Castigator</t>
  </si>
  <si>
    <t>Locul Secund</t>
  </si>
  <si>
    <t>Timp Regulamentar</t>
  </si>
  <si>
    <t>Prelungiri</t>
  </si>
  <si>
    <t>Penalty-uri</t>
  </si>
  <si>
    <t>Meciul #</t>
  </si>
  <si>
    <t>Castigator Grupa A</t>
  </si>
  <si>
    <t>Castigator Grupa B</t>
  </si>
  <si>
    <t>Castigator Grupa C</t>
  </si>
  <si>
    <t>Castigator Grupa D</t>
  </si>
  <si>
    <t>Castigator Grupa E</t>
  </si>
  <si>
    <t>Castigator Grupa F</t>
  </si>
  <si>
    <t>Castigator Grupa G</t>
  </si>
  <si>
    <t>Castigator Grupa H</t>
  </si>
  <si>
    <t>Locul Secund Grupa A</t>
  </si>
  <si>
    <t>Locul Secund Grupa B</t>
  </si>
  <si>
    <t>Locul Secund Grupa C</t>
  </si>
  <si>
    <t>Locul Secund Grupa D</t>
  </si>
  <si>
    <t>Locul Secund Grupa E</t>
  </si>
  <si>
    <t>Locul Secund Grupa F</t>
  </si>
  <si>
    <t>Locul Secund Grupa G</t>
  </si>
  <si>
    <t>Locul Secund Grupa H</t>
  </si>
  <si>
    <t>Castigator Meci 53</t>
  </si>
  <si>
    <t>Castigator Meci 54</t>
  </si>
  <si>
    <t>Castigator Meci 55</t>
  </si>
  <si>
    <t>Castigator Meci 56</t>
  </si>
  <si>
    <t>Castigator Meci 57</t>
  </si>
  <si>
    <t>Castigator Meci 58</t>
  </si>
  <si>
    <t>Castigator Meci 59</t>
  </si>
  <si>
    <t>Castigator Meci 60</t>
  </si>
  <si>
    <t>Castigator Meci 61</t>
  </si>
  <si>
    <t>Castigator Meci 62</t>
  </si>
  <si>
    <t>Castigator Meci 63</t>
  </si>
  <si>
    <t>Castigator Meci 64</t>
  </si>
  <si>
    <t>Jucat</t>
  </si>
  <si>
    <t>Castigat</t>
  </si>
  <si>
    <t>Egal</t>
  </si>
  <si>
    <t>Pierdut</t>
  </si>
  <si>
    <t>Goluri Inscrise</t>
  </si>
  <si>
    <t>Goluri Primite</t>
  </si>
  <si>
    <t>Puncte</t>
  </si>
  <si>
    <t>Locul Doi</t>
  </si>
  <si>
    <t>Castigator Meci 49</t>
  </si>
  <si>
    <t>Castigator Meci 50</t>
  </si>
  <si>
    <t>Castigator Meci 51</t>
  </si>
  <si>
    <t>Castigator Meci 52</t>
  </si>
  <si>
    <t>Invinsul Meci 61</t>
  </si>
  <si>
    <t>Invinsul Meci 62</t>
  </si>
  <si>
    <t>Групповая стадия</t>
  </si>
  <si>
    <t xml:space="preserve">Результаты матчей </t>
  </si>
  <si>
    <t>Положение команд</t>
  </si>
  <si>
    <t>Команды</t>
  </si>
  <si>
    <t>Счет</t>
  </si>
  <si>
    <t>1/16 финала</t>
  </si>
  <si>
    <t>Четвертьфинал</t>
  </si>
  <si>
    <t>Полуфинал</t>
  </si>
  <si>
    <t>Матч за 3-е место</t>
  </si>
  <si>
    <t>Финал</t>
  </si>
  <si>
    <t>Основное время</t>
  </si>
  <si>
    <t>Чемпион мира</t>
  </si>
  <si>
    <t>2-е место группа A</t>
  </si>
  <si>
    <t>2-е место группа B</t>
  </si>
  <si>
    <t>2-е место группа C</t>
  </si>
  <si>
    <t>2-е место группа D</t>
  </si>
  <si>
    <t>2-е место группа E</t>
  </si>
  <si>
    <t>2-е место группа F</t>
  </si>
  <si>
    <t>2-е место группа G</t>
  </si>
  <si>
    <t>2-е место группа H</t>
  </si>
  <si>
    <t>Победы</t>
  </si>
  <si>
    <t>Ничьи</t>
  </si>
  <si>
    <t>Поражения</t>
  </si>
  <si>
    <t>Забито</t>
  </si>
  <si>
    <t>Пропущено</t>
  </si>
  <si>
    <t>Очки</t>
  </si>
  <si>
    <t>Проигравший матча 61</t>
  </si>
  <si>
    <t>Проигравший матча 62</t>
  </si>
  <si>
    <t>EE.UU.</t>
  </si>
  <si>
    <t>Zona horaria</t>
  </si>
  <si>
    <t>Fases</t>
  </si>
  <si>
    <t>Clasificaciones</t>
  </si>
  <si>
    <t>Tiempo</t>
  </si>
  <si>
    <t>Partido por el tercer lugar</t>
  </si>
  <si>
    <t>Hora Normal</t>
  </si>
  <si>
    <t>Tiempo suplementario</t>
  </si>
  <si>
    <t>Penales</t>
  </si>
  <si>
    <t>Ganador del Grupo A</t>
  </si>
  <si>
    <t>Ganador del Grupo B</t>
  </si>
  <si>
    <t>Ganador del Grupo C</t>
  </si>
  <si>
    <t>Ganador del Grupo D</t>
  </si>
  <si>
    <t>Ganador del Grupo E</t>
  </si>
  <si>
    <t>Ganador del Grupo F</t>
  </si>
  <si>
    <t>Ganador del Grupo G</t>
  </si>
  <si>
    <t>Ganador del Grupo H</t>
  </si>
  <si>
    <t>Skupina B Runner Up</t>
  </si>
  <si>
    <t>Skupina C Runner Up</t>
  </si>
  <si>
    <t>Skupina D Runner Up</t>
  </si>
  <si>
    <t>Skupina E Runner Up</t>
  </si>
  <si>
    <t>Skupina F Runner Up</t>
  </si>
  <si>
    <t>Skupina G Runner Up</t>
  </si>
  <si>
    <t>Skupina H Runner Up</t>
  </si>
  <si>
    <t>Obiščite exceltemplate.net za več predlog in posodobitve</t>
  </si>
  <si>
    <t>Skupina B</t>
  </si>
  <si>
    <t>Skupina C</t>
  </si>
  <si>
    <t>Skupina D</t>
  </si>
  <si>
    <t>Skupina E</t>
  </si>
  <si>
    <t>Skupina F</t>
  </si>
  <si>
    <t>Skupina G</t>
  </si>
  <si>
    <t>Skupina H</t>
  </si>
  <si>
    <t>Exceltemplate.net ดู แม่ แบบ เพิ่มเติม และ ปรับปรุง</t>
  </si>
  <si>
    <t>กลุ่ม E</t>
  </si>
  <si>
    <t>Ganador del partido 64</t>
  </si>
  <si>
    <t>Visita exceltemplate.net para las plantillas más y actualizaciones</t>
  </si>
  <si>
    <t>Maç 53 Galibi</t>
  </si>
  <si>
    <t>Maç 54 Galibi</t>
  </si>
  <si>
    <t>Maç 55 Galibi</t>
  </si>
  <si>
    <t>Maç 56 Galibi</t>
  </si>
  <si>
    <t>Maç 57 Galibi</t>
  </si>
  <si>
    <t>Maç 58 Galibi</t>
  </si>
  <si>
    <t>Maç 59 Galibi</t>
  </si>
  <si>
    <t>Maç 60 Galibi</t>
  </si>
  <si>
    <t>Maç 61 Galibi</t>
  </si>
  <si>
    <t>Maç 62 Galibi</t>
  </si>
  <si>
    <t>Maç 63 Galibi</t>
  </si>
  <si>
    <t>Maç 64 Galibi</t>
  </si>
  <si>
    <t>Daha fazla şablon ve güncellemeler için Visit exceltemplate.net</t>
  </si>
  <si>
    <t>Player Name</t>
  </si>
  <si>
    <t>QUARTER FINAL</t>
  </si>
  <si>
    <t>FINAL</t>
  </si>
  <si>
    <t>ROUND OF 16</t>
  </si>
  <si>
    <t>تیم دوم گروه G</t>
  </si>
  <si>
    <t>تیم دوم گروه H</t>
  </si>
  <si>
    <t>برنده بازی 53</t>
  </si>
  <si>
    <t>برنده بازی 54</t>
  </si>
  <si>
    <t>برنده بازی 55</t>
  </si>
  <si>
    <t>برنده بازی 56</t>
  </si>
  <si>
    <t>برنده بازی 57</t>
  </si>
  <si>
    <t>برنده بازی 58</t>
  </si>
  <si>
    <t>برنده بازی 59</t>
  </si>
  <si>
    <t>برنده بازی 60</t>
  </si>
  <si>
    <t>برنده بازی 61</t>
  </si>
  <si>
    <t>برنده بازی 62</t>
  </si>
  <si>
    <t>برنده بازی 63</t>
  </si>
  <si>
    <t>برنده بازی 64</t>
  </si>
  <si>
    <t>بازی</t>
  </si>
  <si>
    <t>برد</t>
  </si>
  <si>
    <t>مساوی</t>
  </si>
  <si>
    <t>باخت</t>
  </si>
  <si>
    <t>گل زده</t>
  </si>
  <si>
    <t>گل خورده</t>
  </si>
  <si>
    <t>امتیاز</t>
  </si>
  <si>
    <t>جایگاه دوم</t>
  </si>
  <si>
    <t>گروه A</t>
  </si>
  <si>
    <t>گروه B</t>
  </si>
  <si>
    <t>گروه C</t>
  </si>
  <si>
    <t>گروه D</t>
  </si>
  <si>
    <t>گروه E</t>
  </si>
  <si>
    <t>گروه F</t>
  </si>
  <si>
    <t>گروه G</t>
  </si>
  <si>
    <t>گروه H</t>
  </si>
  <si>
    <t>برنده بازی 49</t>
  </si>
  <si>
    <t>برنده بازی 50</t>
  </si>
  <si>
    <t>برنده بازی 51</t>
  </si>
  <si>
    <t>برنده بازی 52</t>
  </si>
  <si>
    <t>بازنده بازی 61</t>
  </si>
  <si>
    <t>بازنده بازی 62</t>
  </si>
  <si>
    <t>เม็กซิโก</t>
  </si>
  <si>
    <t>อุรุกวัย</t>
  </si>
  <si>
    <t>ฝรั่งเศส</t>
  </si>
  <si>
    <t>กรีก</t>
  </si>
  <si>
    <t>อังกฤษ</t>
  </si>
  <si>
    <t>สหรัฐอเมริกา</t>
  </si>
  <si>
    <t>เยอรมัน</t>
  </si>
  <si>
    <t>ญี่ปุ่น</t>
  </si>
  <si>
    <t>แคเมรูน</t>
  </si>
  <si>
    <t>อิตาลี</t>
  </si>
  <si>
    <t>บราซิล</t>
  </si>
  <si>
    <t>ไอวอรีโคสต์</t>
  </si>
  <si>
    <t>โปรตุเกส</t>
  </si>
  <si>
    <t>สเปน</t>
  </si>
  <si>
    <t>สวิสเซอร์แลนด์</t>
  </si>
  <si>
    <t>ชิลี</t>
  </si>
  <si>
    <t>เขตเวลา</t>
  </si>
  <si>
    <t>วันที่</t>
  </si>
  <si>
    <t>ผลการแข่งขัน</t>
  </si>
  <si>
    <t>รอบ 16 ทีม</t>
  </si>
  <si>
    <t>รอบรองชนะเลิศ</t>
  </si>
  <si>
    <t>รอบชิงที่สาม</t>
  </si>
  <si>
    <t>รอบชิงชนะเลิศ</t>
  </si>
  <si>
    <t>ผู้ชนะ</t>
  </si>
  <si>
    <t>ที่สอง</t>
  </si>
  <si>
    <t>เวลาปกติ</t>
  </si>
  <si>
    <t>ต่อเวลา</t>
  </si>
  <si>
    <t>ยิงลูกโทษ</t>
  </si>
  <si>
    <t>แม็ช #</t>
  </si>
  <si>
    <t>ผู้ชนะ กลุ่ม A</t>
  </si>
  <si>
    <t>ผู้ชนะ กลุ่ม B</t>
  </si>
  <si>
    <t>ผู้ชนะ กลุ่ม C</t>
  </si>
  <si>
    <t>ผู้ชนะ กลุ่ม D</t>
  </si>
  <si>
    <t>ผู้ชนะ กลุ่ม E</t>
  </si>
  <si>
    <t>ผู้ชนะ กลุ่ม F</t>
  </si>
  <si>
    <t>ผู้ชนะ กลุ่ม G</t>
  </si>
  <si>
    <t>ผู้ชนะ กลุ่ม H</t>
  </si>
  <si>
    <t xml:space="preserve">ที่สอง กลุ่ม A </t>
  </si>
  <si>
    <t>ที่สอง กลุ่ม B</t>
  </si>
  <si>
    <t>ที่สอง กลุ่ม C</t>
  </si>
  <si>
    <t>ที่สอง กลุ่ม D</t>
  </si>
  <si>
    <t>ที่สอง กลุ่ม E</t>
  </si>
  <si>
    <t>ที่สอง กลุ่ม F</t>
  </si>
  <si>
    <t>ที่สอง กลุ่ม G</t>
  </si>
  <si>
    <t>ที่สอง กลุ่ม H</t>
  </si>
  <si>
    <t>รองแชมป์</t>
  </si>
  <si>
    <t>กลุ่ม A</t>
  </si>
  <si>
    <t>กลุ่ม B</t>
  </si>
  <si>
    <t>กลุ่ม C</t>
  </si>
  <si>
    <t>กลุ่ม D</t>
  </si>
  <si>
    <t>กลุ่ม F</t>
  </si>
  <si>
    <t>กลุ่ม G</t>
  </si>
  <si>
    <t>กลุ่ม H</t>
  </si>
  <si>
    <t>Úrslit</t>
  </si>
  <si>
    <t>Sigurvegari</t>
  </si>
  <si>
    <t>2.sæti</t>
  </si>
  <si>
    <t>Venjulegur leiktími</t>
  </si>
  <si>
    <t>Framlenging</t>
  </si>
  <si>
    <t>Vítaspyrnukeppni</t>
  </si>
  <si>
    <t>Meistari</t>
  </si>
  <si>
    <t>Leikur #</t>
  </si>
  <si>
    <t>1.sæti riðill A</t>
  </si>
  <si>
    <t>1.sæti riðill B</t>
  </si>
  <si>
    <t>1.sæti riðill C</t>
  </si>
  <si>
    <t>1.sæti riðill D</t>
  </si>
  <si>
    <t>1.sæti riðill E</t>
  </si>
  <si>
    <t>1.sæti riðill F</t>
  </si>
  <si>
    <t>1.sæti riðill G</t>
  </si>
  <si>
    <t>1.sæti riðill H</t>
  </si>
  <si>
    <t>2.sæti riðill A</t>
  </si>
  <si>
    <t>2.sæti riðill B</t>
  </si>
  <si>
    <t>2.sæti riðill C</t>
  </si>
  <si>
    <t>2.sæti riðill D</t>
  </si>
  <si>
    <t>2.sæti riðill E</t>
  </si>
  <si>
    <t>Aikavyöhyke</t>
  </si>
  <si>
    <t>Alkulohkot</t>
  </si>
  <si>
    <t>Ottelut</t>
  </si>
  <si>
    <t>Taulukot</t>
  </si>
  <si>
    <t>Lohko</t>
  </si>
  <si>
    <t>Pvm</t>
  </si>
  <si>
    <t>Joukkue</t>
  </si>
  <si>
    <t>Tulos</t>
  </si>
  <si>
    <t>Aika</t>
  </si>
  <si>
    <t>Neljännesvälierät</t>
  </si>
  <si>
    <t>Puolivälierät</t>
  </si>
  <si>
    <t>Välierät</t>
  </si>
  <si>
    <t>Pronssiottelu</t>
  </si>
  <si>
    <t>Loppuottelu</t>
  </si>
  <si>
    <t>Voittaja</t>
  </si>
  <si>
    <t>Kakkonen</t>
  </si>
  <si>
    <t>Varsinainen peliaika</t>
  </si>
  <si>
    <t>Jatkoaika</t>
  </si>
  <si>
    <t>Rangaistuspotkut</t>
  </si>
  <si>
    <t>Mestari</t>
  </si>
  <si>
    <t>Ottelu #</t>
  </si>
  <si>
    <t>Lohkon A voittaja</t>
  </si>
  <si>
    <t>Lohkon B voittaja</t>
  </si>
  <si>
    <t>Lohkon C voittaja</t>
  </si>
  <si>
    <t>Lohkon D voittaja</t>
  </si>
  <si>
    <t>Lohkon E voittaja</t>
  </si>
  <si>
    <t>Lohkon F voittaja</t>
  </si>
  <si>
    <t>Lohkon G voittaja</t>
  </si>
  <si>
    <t>Lohkon H voittaja</t>
  </si>
  <si>
    <t>Lohkon A kakkonen</t>
  </si>
  <si>
    <t>Lohkon B kakkonen</t>
  </si>
  <si>
    <t>Lohkon C kakkonen</t>
  </si>
  <si>
    <t>Lohkon D kakkonen</t>
  </si>
  <si>
    <t>Lohkon E kakkonen</t>
  </si>
  <si>
    <t>Lohkon F kakkonen</t>
  </si>
  <si>
    <t>Lohkon G kakkonen</t>
  </si>
  <si>
    <t>Lohkon H kakkonen</t>
  </si>
  <si>
    <t>Voitot</t>
  </si>
  <si>
    <t>Tasapelit</t>
  </si>
  <si>
    <t>Häviöt</t>
  </si>
  <si>
    <t>Tehdyt maalit</t>
  </si>
  <si>
    <t>Päästetyt maalit</t>
  </si>
  <si>
    <t>Toinen sija</t>
  </si>
  <si>
    <t>Lohko A</t>
  </si>
  <si>
    <t>Lohko B</t>
  </si>
  <si>
    <t>Lohko C</t>
  </si>
  <si>
    <t>Lohko D</t>
  </si>
  <si>
    <t>Ottelun 61 häviäjä</t>
  </si>
  <si>
    <t>Ottelun 62 häviäjä</t>
  </si>
  <si>
    <t>Kamp 55 Vinder</t>
  </si>
  <si>
    <t>Kamp 56 Vinder</t>
  </si>
  <si>
    <t>Kamp 57 Vinder</t>
  </si>
  <si>
    <t>Kamp 58 Vinder</t>
  </si>
  <si>
    <t>Kamp 59 Vinder</t>
  </si>
  <si>
    <t>Kamp 60 Vinder</t>
  </si>
  <si>
    <t>Kamp 61 Vinder</t>
  </si>
  <si>
    <t>Kamp 62 Vinder</t>
  </si>
  <si>
    <t>Kamp 63 Vinder</t>
  </si>
  <si>
    <t>Kamp 64 Vinder</t>
  </si>
  <si>
    <t>Vundet</t>
  </si>
  <si>
    <t>Uafgjort</t>
  </si>
  <si>
    <t>Tabt</t>
  </si>
  <si>
    <t>Kamp 49 Vinder</t>
  </si>
  <si>
    <t>Kamp 50 Vinder</t>
  </si>
  <si>
    <t>Kamp 41 Vinder</t>
  </si>
  <si>
    <t>Kamp 52 Vinder</t>
  </si>
  <si>
    <t>Kamp 61 Taber</t>
  </si>
  <si>
    <t>Kamp 62 Taber</t>
  </si>
  <si>
    <t>Uitslag</t>
  </si>
  <si>
    <t>Laatste 16</t>
  </si>
  <si>
    <t>Kwartfinales</t>
  </si>
  <si>
    <t>Halve finales</t>
  </si>
  <si>
    <t>Yhdysvallat</t>
  </si>
  <si>
    <t>Hollanda</t>
  </si>
  <si>
    <t>Fransa</t>
  </si>
  <si>
    <t>Yunanistan</t>
  </si>
  <si>
    <t>İspanya</t>
  </si>
  <si>
    <t>Turkish</t>
  </si>
  <si>
    <t>Švicarska</t>
  </si>
  <si>
    <t>Njemačka</t>
  </si>
  <si>
    <t>Francuska</t>
  </si>
  <si>
    <t>Grčka</t>
  </si>
  <si>
    <t>Španjolska</t>
  </si>
  <si>
    <t>Croatian</t>
  </si>
  <si>
    <t>Bồ Đào Nha</t>
  </si>
  <si>
    <t>Đức</t>
  </si>
  <si>
    <t>Hà Lan</t>
  </si>
  <si>
    <t>Pháp</t>
  </si>
  <si>
    <t>Hy Lạp</t>
  </si>
  <si>
    <t>Tây Ban Nha</t>
  </si>
  <si>
    <t>Vietnamese</t>
  </si>
  <si>
    <t>Itali</t>
  </si>
  <si>
    <t>Bahasa</t>
  </si>
  <si>
    <t>Sepanyol</t>
  </si>
  <si>
    <t>Malay</t>
  </si>
  <si>
    <t>سويسرا</t>
  </si>
  <si>
    <t>البرتغال</t>
  </si>
  <si>
    <t>ألمانيا</t>
  </si>
  <si>
    <t>هولندا</t>
  </si>
  <si>
    <t>فرنسا</t>
  </si>
  <si>
    <t>اليونان</t>
  </si>
  <si>
    <t>Arabic</t>
  </si>
  <si>
    <t>瑞士</t>
  </si>
  <si>
    <t>葡萄牙</t>
  </si>
  <si>
    <t>意大利</t>
  </si>
  <si>
    <t>西班牙</t>
  </si>
  <si>
    <t>Normal Time</t>
  </si>
  <si>
    <t>Extra Time</t>
  </si>
  <si>
    <t>Penalty Shoot Out</t>
  </si>
  <si>
    <t>P</t>
  </si>
  <si>
    <t>Pt</t>
  </si>
  <si>
    <t>Addis Ababa</t>
  </si>
  <si>
    <t>Adelaide</t>
  </si>
  <si>
    <t>Aden</t>
  </si>
  <si>
    <t>Algiers</t>
  </si>
  <si>
    <t>Almaty</t>
  </si>
  <si>
    <t xml:space="preserve">Amman </t>
  </si>
  <si>
    <t xml:space="preserve">Amsterdam </t>
  </si>
  <si>
    <t xml:space="preserve">Anadyr </t>
  </si>
  <si>
    <t xml:space="preserve">Anchorage </t>
  </si>
  <si>
    <t xml:space="preserve">Ankara </t>
  </si>
  <si>
    <t>Antananarivo</t>
  </si>
  <si>
    <t>Asuncion</t>
  </si>
  <si>
    <t xml:space="preserve">Athens </t>
  </si>
  <si>
    <t xml:space="preserve">Atlanta </t>
  </si>
  <si>
    <t>Auckland</t>
  </si>
  <si>
    <t>Baghdad</t>
  </si>
  <si>
    <t>Bangkok</t>
  </si>
  <si>
    <t xml:space="preserve">Barcelona </t>
  </si>
  <si>
    <t>Beijing</t>
  </si>
  <si>
    <t xml:space="preserve">Beirut </t>
  </si>
  <si>
    <t xml:space="preserve">Belgrade </t>
  </si>
  <si>
    <t xml:space="preserve">Berlin </t>
  </si>
  <si>
    <t>Bogota</t>
  </si>
  <si>
    <t xml:space="preserve">Boston </t>
  </si>
  <si>
    <t>Brasilia</t>
  </si>
  <si>
    <t>Brisbane</t>
  </si>
  <si>
    <t xml:space="preserve">Brussels </t>
  </si>
  <si>
    <t xml:space="preserve">Bucharest </t>
  </si>
  <si>
    <t xml:space="preserve">Budapest </t>
  </si>
  <si>
    <t>Buenos Aires</t>
  </si>
  <si>
    <t>Cairo</t>
  </si>
  <si>
    <t>Canberra</t>
  </si>
  <si>
    <t>Cape Town</t>
  </si>
  <si>
    <t>Caracas</t>
  </si>
  <si>
    <t>Casablanca</t>
  </si>
  <si>
    <t xml:space="preserve">Chicago </t>
  </si>
  <si>
    <t xml:space="preserve">Copenhagen </t>
  </si>
  <si>
    <t>Darwin</t>
  </si>
  <si>
    <t xml:space="preserve">Denver </t>
  </si>
  <si>
    <t xml:space="preserve">Detroit </t>
  </si>
  <si>
    <t>Dhaka</t>
  </si>
  <si>
    <t>Dubai</t>
  </si>
  <si>
    <t xml:space="preserve">Dublin </t>
  </si>
  <si>
    <t xml:space="preserve">Edmonton </t>
  </si>
  <si>
    <t xml:space="preserve">Frankfurt </t>
  </si>
  <si>
    <t xml:space="preserve">Geneva </t>
  </si>
  <si>
    <t>Guatemala</t>
  </si>
  <si>
    <t xml:space="preserve">Halifax </t>
  </si>
  <si>
    <t>Hanoi</t>
  </si>
  <si>
    <t>Harare</t>
  </si>
  <si>
    <t xml:space="preserve">Havana </t>
  </si>
  <si>
    <t xml:space="preserve">Helsinki </t>
  </si>
  <si>
    <t>Hong Kong</t>
  </si>
  <si>
    <t>Honolulu</t>
  </si>
  <si>
    <t xml:space="preserve">Houston </t>
  </si>
  <si>
    <t xml:space="preserve">Indianapolis </t>
  </si>
  <si>
    <t>Islamabad</t>
  </si>
  <si>
    <t xml:space="preserve">Istanbul </t>
  </si>
  <si>
    <t>Jakarta</t>
  </si>
  <si>
    <t xml:space="preserve">Jerusalem </t>
  </si>
  <si>
    <t>Johannesburg</t>
  </si>
  <si>
    <t>Kabul</t>
  </si>
  <si>
    <t xml:space="preserve">Kamchatka </t>
  </si>
  <si>
    <t>Karachi</t>
  </si>
  <si>
    <t>Khartoum</t>
  </si>
  <si>
    <t>Kingston</t>
  </si>
  <si>
    <t>Kiritimati</t>
  </si>
  <si>
    <t>Kolkata</t>
  </si>
  <si>
    <t>Kuala Lumpur</t>
  </si>
  <si>
    <t>Kuwait City</t>
  </si>
  <si>
    <t xml:space="preserve">Kyiv </t>
  </si>
  <si>
    <t>La Paz</t>
  </si>
  <si>
    <t>Lagos</t>
  </si>
  <si>
    <t>Lahore</t>
  </si>
  <si>
    <t>Lima</t>
  </si>
  <si>
    <t xml:space="preserve">Lisbon </t>
  </si>
  <si>
    <t xml:space="preserve">London </t>
  </si>
  <si>
    <t xml:space="preserve">Los Angeles </t>
  </si>
  <si>
    <t xml:space="preserve">Madrid </t>
  </si>
  <si>
    <t>Managua</t>
  </si>
  <si>
    <t>Manila</t>
  </si>
  <si>
    <t>Melbourne</t>
  </si>
  <si>
    <t xml:space="preserve">Mexico City </t>
  </si>
  <si>
    <t xml:space="preserve">Miami </t>
  </si>
  <si>
    <t>Exceltemplate.net Vizitoni për templates më shumë dhe më të reja</t>
  </si>
  <si>
    <t>Vendi i dytë</t>
  </si>
  <si>
    <t>Groep A</t>
  </si>
  <si>
    <t>Groep B</t>
  </si>
  <si>
    <t>Groep C</t>
  </si>
  <si>
    <t>Groep D</t>
  </si>
  <si>
    <t>Groep E</t>
  </si>
  <si>
    <t>Groep F</t>
  </si>
  <si>
    <t>Groep G</t>
  </si>
  <si>
    <t>Groep H</t>
  </si>
  <si>
    <t>Grupi A</t>
  </si>
  <si>
    <t>Grupi B</t>
  </si>
  <si>
    <t>Grupi C</t>
  </si>
  <si>
    <t>Grupi D</t>
  </si>
  <si>
    <t>Grupi E</t>
  </si>
  <si>
    <t>Grupi F</t>
  </si>
  <si>
    <t>Grupi G</t>
  </si>
  <si>
    <t>Grupi H</t>
  </si>
  <si>
    <t>زيارة exceltemplate.net لمزيد من القوالب والتحديثات</t>
  </si>
  <si>
    <t>Мачът #</t>
  </si>
  <si>
    <t>Победител от група А</t>
  </si>
  <si>
    <t>Победител Група B</t>
  </si>
  <si>
    <t>Победител Група C</t>
  </si>
  <si>
    <t>Победител Група D</t>
  </si>
  <si>
    <t>Група E Победител</t>
  </si>
  <si>
    <t>Група "F" Победител</t>
  </si>
  <si>
    <t>Група "G" Победител</t>
  </si>
  <si>
    <t>Група H Победител</t>
  </si>
  <si>
    <t>Група А Второ място</t>
  </si>
  <si>
    <t>Strafschoppen</t>
  </si>
  <si>
    <t>Wedstrijd #</t>
  </si>
  <si>
    <t>Groep A Winnaar</t>
  </si>
  <si>
    <t>Groep A Tweede Plaats</t>
  </si>
  <si>
    <t>Groep B Tweede Plaats</t>
  </si>
  <si>
    <t>Groep C Tweede Plaats</t>
  </si>
  <si>
    <t>Groep D Tweede Plaats</t>
  </si>
  <si>
    <t>Groep E Tweede Plaats</t>
  </si>
  <si>
    <t>Groep F Tweede Plaats</t>
  </si>
  <si>
    <t>Groep G Tweede Plaats</t>
  </si>
  <si>
    <t>Groep H Tweede Plaats</t>
  </si>
  <si>
    <t>Wedstrijd 53 Winnaar</t>
  </si>
  <si>
    <t>Wedstrijd 54 Winnaar</t>
  </si>
  <si>
    <t>Wedstrijd 55 Winnaar</t>
  </si>
  <si>
    <t>Wedstrijd 56 Winnaar</t>
  </si>
  <si>
    <t>Wedstrijd 57 Winnaar</t>
  </si>
  <si>
    <t>Wedstrijd 58 Winnaar</t>
  </si>
  <si>
    <t>Wedstrijd 59 Winnaar</t>
  </si>
  <si>
    <t>Wedstrijd 60 Winnaar</t>
  </si>
  <si>
    <t>Wedstrijd 61 Winnaar</t>
  </si>
  <si>
    <t>Wedstrijd 62 Winnaar</t>
  </si>
  <si>
    <t>Wedstrijd 63 Winnaar</t>
  </si>
  <si>
    <t>Wedstrijd 64 Winnaar</t>
  </si>
  <si>
    <t>Gespeeld (P)</t>
  </si>
  <si>
    <t>Wedstrijd 49 Winnaar</t>
  </si>
  <si>
    <t>Wedstrijd 50 Winnaar</t>
  </si>
  <si>
    <t>Wedstrijd 51 Winnaar</t>
  </si>
  <si>
    <t>Wedstrijd 52 Winnaar</t>
  </si>
  <si>
    <t>Wedstrijd 61 Loser</t>
  </si>
  <si>
    <t>Wedstrijd 62 Loser</t>
  </si>
  <si>
    <t>Suiça</t>
  </si>
  <si>
    <t>Fuso Horário</t>
  </si>
  <si>
    <t>Grupo de Fases</t>
  </si>
  <si>
    <t>Jogos</t>
  </si>
  <si>
    <t>Posições</t>
  </si>
  <si>
    <t>Horário</t>
  </si>
  <si>
    <t>Oitavas de Finais</t>
  </si>
  <si>
    <t>Quartas de Finais</t>
  </si>
  <si>
    <t>Semi Finais</t>
  </si>
  <si>
    <t>Descisão do Terceiro Lugar</t>
  </si>
  <si>
    <t>Vencedor</t>
  </si>
  <si>
    <t>Segundo Colocado</t>
  </si>
  <si>
    <t>Tempo Normal</t>
  </si>
  <si>
    <t>Prorrogação</t>
  </si>
  <si>
    <t>Pênalti</t>
  </si>
  <si>
    <t>Jogo #</t>
  </si>
  <si>
    <t>Vencedor do Grupo A</t>
  </si>
  <si>
    <t>Vencedor do Grupo C</t>
  </si>
  <si>
    <t>Vencedor do Grupo E</t>
  </si>
  <si>
    <t>Segundo Colocado do Grupo A</t>
  </si>
  <si>
    <t>Segundo Colocado do Grupo B</t>
  </si>
  <si>
    <t>Segundo Colocado do Grupo C</t>
  </si>
  <si>
    <t>Segundo Colocado do Grupo D</t>
  </si>
  <si>
    <t>Segundo Colocado do Grupo E</t>
  </si>
  <si>
    <t>Segundo Colocado do Grupo F</t>
  </si>
  <si>
    <t>Segundo Colocado do Grupo G</t>
  </si>
  <si>
    <t>Segundo Colocado do Grupo H</t>
  </si>
  <si>
    <t>Vencedor do Jogo 53</t>
  </si>
  <si>
    <t>Vencedor do Jogo 54</t>
  </si>
  <si>
    <t>Vencedor do Jogo 55</t>
  </si>
  <si>
    <t>Vencedor do Jogo 56</t>
  </si>
  <si>
    <t>Vencedor do Jogo 57</t>
  </si>
  <si>
    <t>Vencedor do Jogo 58</t>
  </si>
  <si>
    <t>Vencedor do Jogo 59</t>
  </si>
  <si>
    <t>Vencedor do Jogo 60</t>
  </si>
  <si>
    <t>Vencedor do Jogo 61</t>
  </si>
  <si>
    <t>Vencedor do Jogo 62</t>
  </si>
  <si>
    <t>Vencedor do Jogo 63</t>
  </si>
  <si>
    <t>Vencedor do Jogo 64</t>
  </si>
  <si>
    <t>Vitória</t>
  </si>
  <si>
    <t>Empate</t>
  </si>
  <si>
    <t>Derrota</t>
  </si>
  <si>
    <t>Gols a Favor</t>
  </si>
  <si>
    <t>Gols Contra</t>
  </si>
  <si>
    <t>Pontos</t>
  </si>
  <si>
    <t>Segundo Lugar</t>
  </si>
  <si>
    <t>Vencedor do Jogo 49</t>
  </si>
  <si>
    <t>Vencedor do Jogo 50</t>
  </si>
  <si>
    <t>Vencedor do Jogo 51</t>
  </si>
  <si>
    <t>Vencedor do Jogo 52</t>
  </si>
  <si>
    <t>Pededor do Jogo 61</t>
  </si>
  <si>
    <t>Pededor do Jogo 62</t>
  </si>
  <si>
    <t>乌拉圭</t>
  </si>
  <si>
    <t>法国</t>
  </si>
  <si>
    <t>尼日利亚</t>
  </si>
  <si>
    <t>韩国</t>
  </si>
  <si>
    <t>希腊</t>
  </si>
  <si>
    <t>英格兰</t>
  </si>
  <si>
    <t>美国</t>
  </si>
  <si>
    <t>阿尔及利亚</t>
  </si>
  <si>
    <t>德国</t>
  </si>
  <si>
    <t>澳大利亚</t>
  </si>
  <si>
    <t>加纳</t>
  </si>
  <si>
    <t>荷兰</t>
  </si>
  <si>
    <t>喀麦隆</t>
  </si>
  <si>
    <t>科特迪瓦</t>
  </si>
  <si>
    <t>语言</t>
  </si>
  <si>
    <t>时区</t>
  </si>
  <si>
    <t>小组赛阶段</t>
  </si>
  <si>
    <t>赛程和比分</t>
  </si>
  <si>
    <t>小组积分榜</t>
  </si>
  <si>
    <t>小组</t>
  </si>
  <si>
    <t>国家</t>
  </si>
  <si>
    <t>比分</t>
  </si>
  <si>
    <t>时间</t>
  </si>
  <si>
    <t>四分之一决赛</t>
  </si>
  <si>
    <t>半决赛</t>
  </si>
  <si>
    <t>三四名决赛</t>
  </si>
  <si>
    <t>决赛</t>
  </si>
  <si>
    <t>胜者</t>
  </si>
  <si>
    <t>第二</t>
  </si>
  <si>
    <t>加时赛</t>
  </si>
  <si>
    <t>互射点球</t>
  </si>
  <si>
    <t>冠军</t>
  </si>
  <si>
    <t>场次</t>
  </si>
  <si>
    <t>A组第二</t>
  </si>
  <si>
    <t>B组第二</t>
  </si>
  <si>
    <t>C组第二</t>
  </si>
  <si>
    <t>D组第二</t>
  </si>
  <si>
    <t>E组第二</t>
  </si>
  <si>
    <t>F组第二</t>
  </si>
  <si>
    <t>G组第二</t>
  </si>
  <si>
    <t>H组第二</t>
  </si>
  <si>
    <t>胜</t>
  </si>
  <si>
    <t>平</t>
  </si>
  <si>
    <t>负</t>
  </si>
  <si>
    <t>进球</t>
  </si>
  <si>
    <t>失球</t>
  </si>
  <si>
    <t>积分</t>
  </si>
  <si>
    <t>Hebrew</t>
  </si>
  <si>
    <t>מקסיקו</t>
  </si>
  <si>
    <t>אורוגואי</t>
  </si>
  <si>
    <t>צרפת</t>
  </si>
  <si>
    <t>ארגנטינה</t>
  </si>
  <si>
    <t>ניגריה</t>
  </si>
  <si>
    <t>דרום קוריאה</t>
  </si>
  <si>
    <t>יוון</t>
  </si>
  <si>
    <t>אנגליה</t>
  </si>
  <si>
    <t>ארצות הברית</t>
  </si>
  <si>
    <t>אלג'יריה</t>
  </si>
  <si>
    <t>גרמניה</t>
  </si>
  <si>
    <t>אוסטרליה</t>
  </si>
  <si>
    <t>גאנה</t>
  </si>
  <si>
    <t>הולנד</t>
  </si>
  <si>
    <t>יפן</t>
  </si>
  <si>
    <t>קמרון</t>
  </si>
  <si>
    <t>איטליה</t>
  </si>
  <si>
    <t>ברזיל</t>
  </si>
  <si>
    <t>חוף השנהב</t>
  </si>
  <si>
    <t>פורטוגל</t>
  </si>
  <si>
    <t>ספרד</t>
  </si>
  <si>
    <t>שוויץ</t>
  </si>
  <si>
    <t>הונדורס</t>
  </si>
  <si>
    <t>צ'ילה</t>
  </si>
  <si>
    <t>שפה</t>
  </si>
  <si>
    <t>אזור זמן</t>
  </si>
  <si>
    <t>שלב הבתים</t>
  </si>
  <si>
    <t>משחקים</t>
  </si>
  <si>
    <t>מקומות\עמדות</t>
  </si>
  <si>
    <t>בית</t>
  </si>
  <si>
    <t>תאריך</t>
  </si>
  <si>
    <t>מדינה</t>
  </si>
  <si>
    <t>תוצאה</t>
  </si>
  <si>
    <t>זמן</t>
  </si>
  <si>
    <t>שלב 16 האחרונות</t>
  </si>
  <si>
    <t>רבע גמר</t>
  </si>
  <si>
    <t>חצי גמר</t>
  </si>
  <si>
    <t>המשחק על המקום השלישי</t>
  </si>
  <si>
    <t>גמר</t>
  </si>
  <si>
    <t>זוכה</t>
  </si>
  <si>
    <t>סגנית</t>
  </si>
  <si>
    <t>זמן חוקי</t>
  </si>
  <si>
    <t>הארכה</t>
  </si>
  <si>
    <t>בעיטות עונשין מאחד עשר מטר</t>
  </si>
  <si>
    <t>אלופה</t>
  </si>
  <si>
    <t>משחק</t>
  </si>
  <si>
    <t>אלופת בית א'</t>
  </si>
  <si>
    <t>אלופת בית ב'</t>
  </si>
  <si>
    <t>אלופת בית ג'</t>
  </si>
  <si>
    <t>אלופת בית ד'</t>
  </si>
  <si>
    <t>אלופת בית ה'</t>
  </si>
  <si>
    <t>אלופת בית ו'</t>
  </si>
  <si>
    <t>אלופת בית ז'</t>
  </si>
  <si>
    <t>אלופת בית ח'</t>
  </si>
  <si>
    <t>סגנית בית א'</t>
  </si>
  <si>
    <t>סגנית בית ב'</t>
  </si>
  <si>
    <t>סגנית בית ג'</t>
  </si>
  <si>
    <t>סגנית בית ד'</t>
  </si>
  <si>
    <t>סגנית בית ה'</t>
  </si>
  <si>
    <t>סגנית בית ו'</t>
  </si>
  <si>
    <t>סגנית בית ז'</t>
  </si>
  <si>
    <t>סגנית בית ח'</t>
  </si>
  <si>
    <t>מנצחת משחק מספר 53</t>
  </si>
  <si>
    <t>מנצחת משחק מספר 54</t>
  </si>
  <si>
    <t>מנצחת משחק מספר 55</t>
  </si>
  <si>
    <t>מנצחת משחק מספר 56</t>
  </si>
  <si>
    <t>מנצחת משחק מספר 57</t>
  </si>
  <si>
    <t>מנצחת משחק מספר 58</t>
  </si>
  <si>
    <t>מנצחת משחק מספר 59</t>
  </si>
  <si>
    <t>מנצחת משחק מספר 60</t>
  </si>
  <si>
    <t>מנצחת משחק מספר 61</t>
  </si>
  <si>
    <t>מנצחת משחק מספר 62</t>
  </si>
  <si>
    <t>מנצחת משחק מספר 63</t>
  </si>
  <si>
    <t>מנצחת משחק מספר 64</t>
  </si>
  <si>
    <t>משחקים (מ)</t>
  </si>
  <si>
    <t>נצחונות (נ)</t>
  </si>
  <si>
    <t>תיקו (ת)</t>
  </si>
  <si>
    <t>Grup F Birincisi</t>
  </si>
  <si>
    <t>Grup G Birincisi</t>
  </si>
  <si>
    <t>Grup H Birincisi</t>
  </si>
  <si>
    <t>Grup A İkincisi</t>
  </si>
  <si>
    <t>Grup B İkincisi</t>
  </si>
  <si>
    <t>Grup C İkincisi</t>
  </si>
  <si>
    <t>Grup D İkincisi</t>
  </si>
  <si>
    <t>Grup E İkincisi</t>
  </si>
  <si>
    <t>Grup F İkincisi</t>
  </si>
  <si>
    <t>Grup G İkincisi</t>
  </si>
  <si>
    <t xml:space="preserve">لعب </t>
  </si>
  <si>
    <t xml:space="preserve">فوز </t>
  </si>
  <si>
    <t xml:space="preserve">تعادل </t>
  </si>
  <si>
    <t xml:space="preserve">خسارة </t>
  </si>
  <si>
    <t xml:space="preserve">أهداف له </t>
  </si>
  <si>
    <t xml:space="preserve">أهداف عليه </t>
  </si>
  <si>
    <t xml:space="preserve">النقاط </t>
  </si>
  <si>
    <t>İngiltere</t>
  </si>
  <si>
    <t>Fildişi Sahili</t>
  </si>
  <si>
    <t>Saat Dilimi</t>
  </si>
  <si>
    <t>Grup Aşaması</t>
  </si>
  <si>
    <t>Sıralama</t>
  </si>
  <si>
    <t>Sonuç</t>
  </si>
  <si>
    <t>Saat</t>
  </si>
  <si>
    <t>2. Tur</t>
  </si>
  <si>
    <t>Yarı Final</t>
  </si>
  <si>
    <t>Üçüncülük Maçı</t>
  </si>
  <si>
    <t>Birinci</t>
  </si>
  <si>
    <t>İkinci</t>
  </si>
  <si>
    <t>Normal Süre</t>
  </si>
  <si>
    <t>Uzatmalar</t>
  </si>
  <si>
    <t>Penaltı Atışları</t>
  </si>
  <si>
    <t>Maç No</t>
  </si>
  <si>
    <t>Grup A Birincisi</t>
  </si>
  <si>
    <t>Grup B Birincisi</t>
  </si>
  <si>
    <t>Grup C Birincisi</t>
  </si>
  <si>
    <t>Grup D Birincisi</t>
  </si>
  <si>
    <t>Grup E Birincisi</t>
  </si>
  <si>
    <t>Mexique</t>
  </si>
  <si>
    <t>Argentine</t>
  </si>
  <si>
    <t>Nigéria</t>
  </si>
  <si>
    <t>Angleterre</t>
  </si>
  <si>
    <t>Algérie</t>
  </si>
  <si>
    <t>Australie</t>
  </si>
  <si>
    <t>Japon</t>
  </si>
  <si>
    <t>Brésil</t>
  </si>
  <si>
    <t>Côte-d'Ivoire</t>
  </si>
  <si>
    <t>Langue</t>
  </si>
  <si>
    <t>Fuseau horaire</t>
  </si>
  <si>
    <t>Classements</t>
  </si>
  <si>
    <t>Groupe</t>
  </si>
  <si>
    <t>Pays</t>
  </si>
  <si>
    <t>Heure</t>
  </si>
  <si>
    <t>Demi-finales</t>
  </si>
  <si>
    <t>Match pour la troisième place</t>
  </si>
  <si>
    <t>Gagnant</t>
  </si>
  <si>
    <t>Mexiko</t>
  </si>
  <si>
    <t>Argentinien</t>
  </si>
  <si>
    <t>Algerien</t>
  </si>
  <si>
    <t>Niederlande</t>
  </si>
  <si>
    <t>Sprache</t>
  </si>
  <si>
    <t>Zeitzone</t>
  </si>
  <si>
    <t>Spiele</t>
  </si>
  <si>
    <t>Gruppe</t>
  </si>
  <si>
    <t>Ergebnis</t>
  </si>
  <si>
    <t>Viertelfinale</t>
  </si>
  <si>
    <t>Μεξικό</t>
  </si>
  <si>
    <t>Ουρουγουάη</t>
  </si>
  <si>
    <t>Αργεντινή</t>
  </si>
  <si>
    <t>Νιγηρία</t>
  </si>
  <si>
    <t>Ελλάδα</t>
  </si>
  <si>
    <t>Αγγλία</t>
  </si>
  <si>
    <t>ΗΠΑ</t>
  </si>
  <si>
    <t>Αλγερία</t>
  </si>
  <si>
    <t>Αυστραλία</t>
  </si>
  <si>
    <t>Γκάνα</t>
  </si>
  <si>
    <t>Ιαπωνία</t>
  </si>
  <si>
    <t>Καμερούν</t>
  </si>
  <si>
    <t>Βραζιλία</t>
  </si>
  <si>
    <t>Ακτή Ελεφαντοστού</t>
  </si>
  <si>
    <t>Πορτογαλία</t>
  </si>
  <si>
    <t>Ονδούρα</t>
  </si>
  <si>
    <t>Χιλή</t>
  </si>
  <si>
    <t>Γλώσσα</t>
  </si>
  <si>
    <t>Ημερομηνία</t>
  </si>
  <si>
    <t>Χώρα</t>
  </si>
  <si>
    <t>Αποτέλεσμα</t>
  </si>
  <si>
    <t>Γύρος των 16</t>
  </si>
  <si>
    <t>Νικητής</t>
  </si>
  <si>
    <t>Παράταση</t>
  </si>
  <si>
    <t>Πρωταθλητής</t>
  </si>
  <si>
    <t>Mexikó</t>
  </si>
  <si>
    <t>Argentína</t>
  </si>
  <si>
    <t>Algéria</t>
  </si>
  <si>
    <t>Ausztrália</t>
  </si>
  <si>
    <t>Ghána</t>
  </si>
  <si>
    <t>Japán</t>
  </si>
  <si>
    <t>Brazília</t>
  </si>
  <si>
    <t>Elefántcsontpart</t>
  </si>
  <si>
    <t>Nyelv</t>
  </si>
  <si>
    <t>Dátum</t>
  </si>
  <si>
    <t>Ország</t>
  </si>
  <si>
    <t>Legjobb 16</t>
  </si>
  <si>
    <t>Messico</t>
  </si>
  <si>
    <t>Inghilterra</t>
  </si>
  <si>
    <t>Stati Uniti</t>
  </si>
  <si>
    <t>Giappone</t>
  </si>
  <si>
    <t>Brasile</t>
  </si>
  <si>
    <t>Costa d'Avorio</t>
  </si>
  <si>
    <t>Cile</t>
  </si>
  <si>
    <t>Partite</t>
  </si>
  <si>
    <t>Gruppo</t>
  </si>
  <si>
    <t>Tempo</t>
  </si>
  <si>
    <t>Quarti di finale</t>
  </si>
  <si>
    <t>Vincitore</t>
  </si>
  <si>
    <t>Meksika</t>
  </si>
  <si>
    <t>Urugvajus</t>
  </si>
  <si>
    <t>Pietų Korėja</t>
  </si>
  <si>
    <t>Anglija</t>
  </si>
  <si>
    <t>JAV</t>
  </si>
  <si>
    <t>Alžyras</t>
  </si>
  <si>
    <t>Nyderlandai</t>
  </si>
  <si>
    <t>Japonija</t>
  </si>
  <si>
    <t>Kamerūnas</t>
  </si>
  <si>
    <t>Brazilija</t>
  </si>
  <si>
    <t>Dramblio Kaulo Krantas</t>
  </si>
  <si>
    <t>Hondūras</t>
  </si>
  <si>
    <t>Čilė</t>
  </si>
  <si>
    <t>Kalba</t>
  </si>
  <si>
    <t>Grupės etapai</t>
  </si>
  <si>
    <t>Atitikmenys</t>
  </si>
  <si>
    <t>Turnyrinė</t>
  </si>
  <si>
    <t>Grupė</t>
  </si>
  <si>
    <t>Šalis</t>
  </si>
  <si>
    <t>Balas</t>
  </si>
  <si>
    <t>Laikas</t>
  </si>
  <si>
    <t xml:space="preserve"> Group Stages</t>
  </si>
  <si>
    <t>Quarter Final</t>
  </si>
  <si>
    <t>Semifinal</t>
  </si>
  <si>
    <t>3rd Place</t>
  </si>
  <si>
    <t>Переможець матчу № 54</t>
  </si>
  <si>
    <t>Переможець матчу № 55</t>
  </si>
  <si>
    <t>Переможець матчу № 56</t>
  </si>
  <si>
    <t>Переможець матчу № 57</t>
  </si>
  <si>
    <t>Переможець матчу № 58</t>
  </si>
  <si>
    <t>Переможець матчу № 59</t>
  </si>
  <si>
    <t>Переможець матчу № 60</t>
  </si>
  <si>
    <t>Переможець матчу № 61</t>
  </si>
  <si>
    <t>Переможець матчу № 62</t>
  </si>
  <si>
    <t>Переможець матчу № 63</t>
  </si>
  <si>
    <t>Переможець матчу № 64</t>
  </si>
  <si>
    <t>Зіграно матчів</t>
  </si>
  <si>
    <t>Перемога</t>
  </si>
  <si>
    <t>Нічія</t>
  </si>
  <si>
    <t>Програш</t>
  </si>
  <si>
    <t>Забито голів</t>
  </si>
  <si>
    <t>Пропущено голів</t>
  </si>
  <si>
    <t>Очкі</t>
  </si>
  <si>
    <t>Група F</t>
  </si>
  <si>
    <t>Група G</t>
  </si>
  <si>
    <t>Переможець матчу № 49</t>
  </si>
  <si>
    <t>Переможець матчу № 50</t>
  </si>
  <si>
    <t>Переможець матчу № 51</t>
  </si>
  <si>
    <t>Переможець матчу № 52</t>
  </si>
  <si>
    <t>Команда, що програла матч № 61</t>
  </si>
  <si>
    <t>Команда, що програла матч № 62</t>
  </si>
  <si>
    <t>Mê hi cô</t>
  </si>
  <si>
    <t>Ác hen tina</t>
  </si>
  <si>
    <t>Ni-giê-ria</t>
  </si>
  <si>
    <t>Nam Triều Tiên</t>
  </si>
  <si>
    <t>Mỹ</t>
  </si>
  <si>
    <t>Ga-na</t>
  </si>
  <si>
    <t>Ca-mơ-run</t>
  </si>
  <si>
    <t>Bra-xin</t>
  </si>
  <si>
    <t>Thụy Sỹ</t>
  </si>
  <si>
    <t>Hôn-du-rát</t>
  </si>
  <si>
    <t>Chi-lê</t>
  </si>
  <si>
    <t>Vòng bảng</t>
  </si>
  <si>
    <t>Trận đấu</t>
  </si>
  <si>
    <t xml:space="preserve">Vị trí </t>
  </si>
  <si>
    <t>Bảng</t>
  </si>
  <si>
    <t>Quốc gia</t>
  </si>
  <si>
    <t>Tỷ số</t>
  </si>
  <si>
    <t>Vòng 16 đội</t>
  </si>
  <si>
    <t>Vòng tứ kết</t>
  </si>
  <si>
    <t>Vòng bán kết</t>
  </si>
  <si>
    <t>Tranh giải 3</t>
  </si>
  <si>
    <t>Chung kết</t>
  </si>
  <si>
    <t>Đội thắng</t>
  </si>
  <si>
    <t>Giải nhì</t>
  </si>
  <si>
    <t>Thời gian thi đấu chính thức</t>
  </si>
  <si>
    <t>Thời gian bù giờ</t>
  </si>
  <si>
    <t>Pe-nan-ty</t>
  </si>
  <si>
    <t>Vô địch</t>
  </si>
  <si>
    <t>Trận đấu số #</t>
  </si>
  <si>
    <t>Nhất bảng A</t>
  </si>
  <si>
    <t>Nhất bảng B</t>
  </si>
  <si>
    <t>Nhất bảng C</t>
  </si>
  <si>
    <t>Nhất bảng D</t>
  </si>
  <si>
    <t>Nhất bảng E</t>
  </si>
  <si>
    <t>Nhất bảng F</t>
  </si>
  <si>
    <t>Nhất bảng G</t>
  </si>
  <si>
    <t>Nhất bảng H</t>
  </si>
  <si>
    <t>Nhì bảng A</t>
  </si>
  <si>
    <t>Nhì bảng B</t>
  </si>
  <si>
    <t>Nhì bảng C</t>
  </si>
  <si>
    <t>Nhì bảng D</t>
  </si>
  <si>
    <t>Nhì bảng E</t>
  </si>
  <si>
    <t>Nhì bảng F</t>
  </si>
  <si>
    <t>Nhì bảng G</t>
  </si>
  <si>
    <t>Nhì bảng H</t>
  </si>
  <si>
    <t>Thắng trận 53</t>
  </si>
  <si>
    <t>Thắng trận 54</t>
  </si>
  <si>
    <t>Thắng trận 55</t>
  </si>
  <si>
    <t>Thắng trận 56</t>
  </si>
  <si>
    <t>Thắng trận 57</t>
  </si>
  <si>
    <t>Skupina</t>
  </si>
  <si>
    <t>Čas</t>
  </si>
  <si>
    <t>Tekma za tretje mesto</t>
  </si>
  <si>
    <t>Zmagovalec</t>
  </si>
  <si>
    <t>อาร์เจนตินา</t>
  </si>
  <si>
    <t>ไนจีเรีย</t>
  </si>
  <si>
    <t>เกาหลีใต้</t>
  </si>
  <si>
    <t>แอลจีเรีย</t>
  </si>
  <si>
    <t>ออสเตรเลีย</t>
  </si>
  <si>
    <t>กานา</t>
  </si>
  <si>
    <t>เนเธอร์แลนด์</t>
  </si>
  <si>
    <t>ฮอนดูรัส</t>
  </si>
  <si>
    <t>ภาษา</t>
  </si>
  <si>
    <t>กลุ่ม</t>
  </si>
  <si>
    <t>ประเทศ</t>
  </si>
  <si>
    <t>เวลา</t>
  </si>
  <si>
    <t>แชมป์</t>
  </si>
  <si>
    <t>Thai</t>
  </si>
  <si>
    <t>Argelia</t>
  </si>
  <si>
    <t>Países Bajos</t>
  </si>
  <si>
    <t>Japón</t>
  </si>
  <si>
    <t>Camerún</t>
  </si>
  <si>
    <t>Costa de Marfil</t>
  </si>
  <si>
    <t>Zona Horaria</t>
  </si>
  <si>
    <t>Fase de grupos</t>
  </si>
  <si>
    <t>Partidos</t>
  </si>
  <si>
    <t>Clasificación</t>
  </si>
  <si>
    <t>Fecha</t>
  </si>
  <si>
    <t>Cuartos de final</t>
  </si>
  <si>
    <t>Semifinales</t>
  </si>
  <si>
    <t>Ganador</t>
  </si>
  <si>
    <t>Subcampeón</t>
  </si>
  <si>
    <t>Campeón</t>
  </si>
  <si>
    <t>Arjantin</t>
  </si>
  <si>
    <t>Nijerya</t>
  </si>
  <si>
    <t>Güney Kore</t>
  </si>
  <si>
    <t>ABD</t>
  </si>
  <si>
    <t>Cezayir</t>
  </si>
  <si>
    <t>Avustralya</t>
  </si>
  <si>
    <t>Japonya</t>
  </si>
  <si>
    <t>Brezilya</t>
  </si>
  <si>
    <t>Şili</t>
  </si>
  <si>
    <t>Dil</t>
  </si>
  <si>
    <t>Maçlar</t>
  </si>
  <si>
    <t>Tarih</t>
  </si>
  <si>
    <t>Ülke</t>
  </si>
  <si>
    <t>Puan</t>
  </si>
  <si>
    <t>Çeyrek Final</t>
  </si>
  <si>
    <t>Şampiyon</t>
  </si>
  <si>
    <t>Anh</t>
  </si>
  <si>
    <t>An-giê-ri</t>
  </si>
  <si>
    <t>Úc</t>
  </si>
  <si>
    <t>Nhật Bản</t>
  </si>
  <si>
    <t>Ý</t>
  </si>
  <si>
    <t>Bờ Biển Ngà</t>
  </si>
  <si>
    <t>Ngôn ngữ</t>
  </si>
  <si>
    <t>Múi giờ</t>
  </si>
  <si>
    <t>Ngày</t>
  </si>
  <si>
    <t>Thời gian</t>
  </si>
  <si>
    <t>Group A Winner</t>
  </si>
  <si>
    <t>Group B Winner</t>
  </si>
  <si>
    <t>Group C Winner</t>
  </si>
  <si>
    <t>Group D Winner</t>
  </si>
  <si>
    <t>Group E Winner</t>
  </si>
  <si>
    <t>Group F Winner</t>
  </si>
  <si>
    <t>Group G Winner</t>
  </si>
  <si>
    <t>Group H Winner</t>
  </si>
  <si>
    <t>Group A Runner Up</t>
  </si>
  <si>
    <t>Group B Runner Up</t>
  </si>
  <si>
    <t>Group C Runner Up</t>
  </si>
  <si>
    <t>Group D Runner Up</t>
  </si>
  <si>
    <t>Group E Runner Up</t>
  </si>
  <si>
    <t>Group F Runner Up</t>
  </si>
  <si>
    <t>Group G Runner Up</t>
  </si>
  <si>
    <t>Group H Runner Up</t>
  </si>
  <si>
    <t>Match 53 Winner</t>
  </si>
  <si>
    <t>Match 54 Winner</t>
  </si>
  <si>
    <t>Match 56 Winner</t>
  </si>
  <si>
    <t>Match 57 Winner</t>
  </si>
  <si>
    <t>Match 58 Winner</t>
  </si>
  <si>
    <t>Match 61 Winner</t>
  </si>
  <si>
    <t>Match 62 Winner</t>
  </si>
  <si>
    <t>Match 63 Winner</t>
  </si>
  <si>
    <t>Match 64 Winner</t>
  </si>
  <si>
    <t>Match 60 Winner</t>
  </si>
  <si>
    <t>Match 59 Winner</t>
  </si>
  <si>
    <t>Match 55 Winner</t>
  </si>
  <si>
    <t>メキシコ</t>
  </si>
  <si>
    <t>ウルグアイ</t>
  </si>
  <si>
    <t>フランス</t>
  </si>
  <si>
    <t>アルゼンチン</t>
  </si>
  <si>
    <t>ナイジェリア</t>
  </si>
  <si>
    <t>大韓民国</t>
  </si>
  <si>
    <t>ギリシャ</t>
  </si>
  <si>
    <t>イングランド</t>
  </si>
  <si>
    <t>アメリカ合衆国</t>
  </si>
  <si>
    <t>アルジェリア</t>
  </si>
  <si>
    <t>ドイツ</t>
  </si>
  <si>
    <t>オーストラリア</t>
  </si>
  <si>
    <t>ガーナ</t>
  </si>
  <si>
    <t>オランダ</t>
  </si>
  <si>
    <t>カメルーン</t>
  </si>
  <si>
    <t>イタリア</t>
  </si>
  <si>
    <t>ブラジル</t>
  </si>
  <si>
    <t>コートジボワール</t>
  </si>
  <si>
    <t>ポルトガル</t>
  </si>
  <si>
    <t>スペイン</t>
  </si>
  <si>
    <t>スイス</t>
  </si>
  <si>
    <t>ホンジュラス</t>
  </si>
  <si>
    <t>チリ</t>
  </si>
  <si>
    <t>言語</t>
  </si>
  <si>
    <t>タイムゾーン</t>
  </si>
  <si>
    <t>グループステージ</t>
  </si>
  <si>
    <t>一致</t>
  </si>
  <si>
    <t>順位表</t>
  </si>
  <si>
    <t>グループ</t>
  </si>
  <si>
    <t>日付</t>
  </si>
  <si>
    <t>Νικητής Α Ομίλου</t>
  </si>
  <si>
    <t>Νικητής Β Ομίλου</t>
  </si>
  <si>
    <t>Νικητής Γ Ομίλου</t>
  </si>
  <si>
    <t>Νικητής Δ Ομίλου</t>
  </si>
  <si>
    <t>Νικητής Ε Ομίλου</t>
  </si>
  <si>
    <t>Νικητής ΣΤ Ομίλου</t>
  </si>
  <si>
    <t>Νικητής Ζ Ομίλου</t>
  </si>
  <si>
    <t>Νικητής Η Ομίλου</t>
  </si>
  <si>
    <t>Vincitore partita 64</t>
  </si>
  <si>
    <t>Giocate</t>
  </si>
  <si>
    <t>Vinte</t>
  </si>
  <si>
    <t>Pareggiate</t>
  </si>
  <si>
    <t>Perse</t>
  </si>
  <si>
    <t>Goal segnati</t>
  </si>
  <si>
    <t>Goal subiti</t>
  </si>
  <si>
    <t>Punti</t>
  </si>
  <si>
    <t>Vincitore partita 49</t>
  </si>
  <si>
    <t>Vincitore partita 50</t>
  </si>
  <si>
    <t>Vincitore partita 51</t>
  </si>
  <si>
    <t>Vincitore partita 52</t>
  </si>
  <si>
    <t>Perdente partita 61</t>
  </si>
  <si>
    <t>Perdente partita 62</t>
  </si>
  <si>
    <t>Hora</t>
  </si>
  <si>
    <t>90 minutos</t>
  </si>
  <si>
    <t>Prórroga</t>
  </si>
  <si>
    <t>Penaltys</t>
  </si>
  <si>
    <t>Primero Grupo D</t>
  </si>
  <si>
    <t>Primero Grupo E</t>
  </si>
  <si>
    <t>Primero Grupo F</t>
  </si>
  <si>
    <t>Primero Grupo G</t>
  </si>
  <si>
    <t>Primero Grupo H</t>
  </si>
  <si>
    <t>Segundo Grupo B</t>
  </si>
  <si>
    <t>Segundo Grupo C</t>
  </si>
  <si>
    <t>Segundo Grupo D</t>
  </si>
  <si>
    <t>Segundo Grupo E</t>
  </si>
  <si>
    <t>Segundo Grupo F</t>
  </si>
  <si>
    <t>Segundo Grupo G</t>
  </si>
  <si>
    <t>Segundo Grupo H</t>
  </si>
  <si>
    <t>Ganador partido 53</t>
  </si>
  <si>
    <t>Ganador partido 54</t>
  </si>
  <si>
    <t>Ganador partido 55</t>
  </si>
  <si>
    <t>Ganador partido 56</t>
  </si>
  <si>
    <t>Ganador partido 57</t>
  </si>
  <si>
    <t>Ganador partido 58</t>
  </si>
  <si>
    <t>Ganador partido 59</t>
  </si>
  <si>
    <t>Ganador partido 60</t>
  </si>
  <si>
    <t>Ganador partido 61</t>
  </si>
  <si>
    <t>Ganador partido 62</t>
  </si>
  <si>
    <t>Ganador partido 63</t>
  </si>
  <si>
    <t>Jugados</t>
  </si>
  <si>
    <t>Puntos</t>
  </si>
  <si>
    <t>Segunda puesto</t>
  </si>
  <si>
    <t>Ganador partido 49</t>
  </si>
  <si>
    <t>Ganador partido 50</t>
  </si>
  <si>
    <t>Ganador partido 51</t>
  </si>
  <si>
    <t>Ganador partido 52</t>
  </si>
  <si>
    <t>Corea del Sur</t>
  </si>
  <si>
    <t>Primero Grupo A</t>
  </si>
  <si>
    <t>Primero Grupo B</t>
  </si>
  <si>
    <t>Primero Grupo C</t>
  </si>
  <si>
    <t>Segundo Grupo A</t>
  </si>
  <si>
    <t>Gruppspel</t>
  </si>
  <si>
    <t>Ställning</t>
  </si>
  <si>
    <t>Resultat</t>
  </si>
  <si>
    <t>Åttondelsfinaler</t>
  </si>
  <si>
    <t>Bronsmatch</t>
  </si>
  <si>
    <t>Full tid</t>
  </si>
  <si>
    <t>Straffläggning</t>
  </si>
  <si>
    <t>Mästare</t>
  </si>
  <si>
    <t>Matchnr</t>
  </si>
  <si>
    <t>Vinnare grupp A</t>
  </si>
  <si>
    <t>Vinnare grupp B</t>
  </si>
  <si>
    <t>Vinnare grupp C</t>
  </si>
  <si>
    <t>Vinnare grupp D</t>
  </si>
  <si>
    <t>Vinnare grupp E</t>
  </si>
  <si>
    <t>Vinnare grupp F</t>
  </si>
  <si>
    <t>Vinnare grupp G</t>
  </si>
  <si>
    <t>Vinnare grupp H</t>
  </si>
  <si>
    <t>Tvåa grupp A</t>
  </si>
  <si>
    <t>Tvåa grupp B</t>
  </si>
  <si>
    <t>Tvåa grupp C</t>
  </si>
  <si>
    <t>Tvåa grupp D</t>
  </si>
  <si>
    <t>Tvåa grupp E</t>
  </si>
  <si>
    <t>Tvåa grupp F</t>
  </si>
  <si>
    <t>Tvåa grupp G</t>
  </si>
  <si>
    <t>Tvåa grupp H</t>
  </si>
  <si>
    <t>Vinnare match 53</t>
  </si>
  <si>
    <t>Vinnare match 54</t>
  </si>
  <si>
    <t>Vinnare match 55</t>
  </si>
  <si>
    <t>Vinnare match 56</t>
  </si>
  <si>
    <t>Vinnare match 57</t>
  </si>
  <si>
    <t>Vinnare match 58</t>
  </si>
  <si>
    <t>Vinnare match 59</t>
  </si>
  <si>
    <t>58-ე მატჩის გამარჯვებული</t>
  </si>
  <si>
    <t>59-ე მატჩის გამარჯვებული</t>
  </si>
  <si>
    <t>60-ე მატჩის გამარჯვებული</t>
  </si>
  <si>
    <t>61-ე მატჩის გამარჯვებული</t>
  </si>
  <si>
    <t>62-ე მატჩის გამარჯვებული</t>
  </si>
  <si>
    <t>63-ე მატჩის გამარჯვებული</t>
  </si>
  <si>
    <t>64-ე მატჩის გამარჯვებული</t>
  </si>
  <si>
    <t xml:space="preserve">თამაში </t>
  </si>
  <si>
    <t>მოგება</t>
  </si>
  <si>
    <t xml:space="preserve">ფრე </t>
  </si>
  <si>
    <t xml:space="preserve">წაგება </t>
  </si>
  <si>
    <t xml:space="preserve">გატანილი გოლები </t>
  </si>
  <si>
    <t xml:space="preserve">გაშვებული გოლები </t>
  </si>
  <si>
    <t xml:space="preserve">ქულა </t>
  </si>
  <si>
    <t>ჯგუფი A</t>
  </si>
  <si>
    <t>ჯგუფი B</t>
  </si>
  <si>
    <t>ჯგუფი C</t>
  </si>
  <si>
    <t>ჯგუფი D</t>
  </si>
  <si>
    <t>ჯგუფი E</t>
  </si>
  <si>
    <t>ჯგუფი F</t>
  </si>
  <si>
    <t>ჯგუფი G</t>
  </si>
  <si>
    <t>ჯგუფი H</t>
  </si>
  <si>
    <t>49-ე მატჩის გამარჯვებული</t>
  </si>
  <si>
    <t>50-ე მატჩის გამარჯვებული</t>
  </si>
  <si>
    <t>51-ე მატჩის გამარჯვებული</t>
  </si>
  <si>
    <t>52-ე მატჩის გამარჯვებული</t>
  </si>
  <si>
    <t>61-ე მატჩში დამარცხებული</t>
  </si>
  <si>
    <t>62-ე მატჩში დამარცხებული</t>
  </si>
  <si>
    <t>Νότιος Κορέα</t>
  </si>
  <si>
    <t>Στάδιο των Γκρούπ</t>
  </si>
  <si>
    <t>Βαθμολογία</t>
  </si>
  <si>
    <t>Γκρούπ</t>
  </si>
  <si>
    <t>Ώρα</t>
  </si>
  <si>
    <t>Προημιτελικά</t>
  </si>
  <si>
    <t>Ημιτελικά</t>
  </si>
  <si>
    <t>Αγώνας για Τρίτη Θέση</t>
  </si>
  <si>
    <t>Πέναλτυ</t>
  </si>
  <si>
    <t>Бразил</t>
  </si>
  <si>
    <t>Vitórias</t>
  </si>
  <si>
    <t>Empates</t>
  </si>
  <si>
    <t>Derrotas</t>
  </si>
  <si>
    <t>Golos Marcados</t>
  </si>
  <si>
    <t>Golos Sofridos</t>
  </si>
  <si>
    <t>Gry</t>
  </si>
  <si>
    <t>Zwycieztwa</t>
  </si>
  <si>
    <t>Remis</t>
  </si>
  <si>
    <t>Porazki</t>
  </si>
  <si>
    <t>Spilt</t>
  </si>
  <si>
    <t>Vunnet</t>
  </si>
  <si>
    <t>Uavgjort</t>
  </si>
  <si>
    <t>Tapt</t>
  </si>
  <si>
    <t>Antall mål for</t>
  </si>
  <si>
    <t>Antall mål mot</t>
  </si>
  <si>
    <t>Gewonnen</t>
  </si>
  <si>
    <t>Unentschieden</t>
  </si>
  <si>
    <t>Verloren</t>
  </si>
  <si>
    <t>Tore</t>
  </si>
  <si>
    <t>Gegentore</t>
  </si>
  <si>
    <t>Punkte</t>
  </si>
  <si>
    <t>Výhry</t>
  </si>
  <si>
    <t>Remízy</t>
  </si>
  <si>
    <t>Prehry</t>
  </si>
  <si>
    <t>เล่นแล้ว</t>
  </si>
  <si>
    <t>ชนะ</t>
  </si>
  <si>
    <t>เสมอ</t>
  </si>
  <si>
    <t xml:space="preserve">แพ้ </t>
  </si>
  <si>
    <t>Match Winner 51</t>
  </si>
  <si>
    <t>Match Winner 52</t>
  </si>
  <si>
    <t>Match 61 Gubitnik</t>
  </si>
  <si>
    <t>Match 62 Gubitnik</t>
  </si>
  <si>
    <t>Ottelun 49 voittaja</t>
  </si>
  <si>
    <t>Ottelun 50 voittaja</t>
  </si>
  <si>
    <t>Ottelun 51 voittaja</t>
  </si>
  <si>
    <t>Ottelun 52 voittaja</t>
  </si>
  <si>
    <t>2º Classificado Grupo C</t>
  </si>
  <si>
    <t>2º Classificado Grupo D</t>
  </si>
  <si>
    <t>2º Classificado Grupo E</t>
  </si>
  <si>
    <t>2º Classificado Grupo F</t>
  </si>
  <si>
    <t>2º Classificado Grupo G</t>
  </si>
  <si>
    <t>2º Classificado Grupo H</t>
  </si>
  <si>
    <t>Vencedor Jogo 57</t>
  </si>
  <si>
    <t>Vencedor Jogo 58</t>
  </si>
  <si>
    <t>Vencedor Jogo 59</t>
  </si>
  <si>
    <t>Vencedor Jogo 60</t>
  </si>
  <si>
    <t>Vencedor Jogo 61</t>
  </si>
  <si>
    <t>Vencedor Jogo 62</t>
  </si>
  <si>
    <t>Vencedor Jogo 63</t>
  </si>
  <si>
    <t>Vencedor Jogo 64</t>
  </si>
  <si>
    <t>Vencedor do Grupo F</t>
  </si>
  <si>
    <t>Vencedor do Grupo G</t>
  </si>
  <si>
    <t>Vencedor do Grupo H</t>
  </si>
  <si>
    <t>Vencedor Jogo 53</t>
  </si>
  <si>
    <t>Vencedor Jogo 54</t>
  </si>
  <si>
    <t>Vencedor Jogo 55</t>
  </si>
  <si>
    <t>Vencedor Jogo 56</t>
  </si>
  <si>
    <t>Visite exceltemplate.net para modelos mais e atualizações</t>
  </si>
  <si>
    <t>Jogado</t>
  </si>
  <si>
    <t>Grupo A</t>
  </si>
  <si>
    <t>Grupo B</t>
  </si>
  <si>
    <t>Grupo C</t>
  </si>
  <si>
    <t>Grupo D</t>
  </si>
  <si>
    <t>Grupo E</t>
  </si>
  <si>
    <t>Grupo F</t>
  </si>
  <si>
    <t>Grupo G</t>
  </si>
  <si>
    <t>Grupo H</t>
  </si>
  <si>
    <t>Vizitaţi exceltemplate.net pentru mai multe template-uri şi actualizări</t>
  </si>
  <si>
    <t>Grupa A</t>
  </si>
  <si>
    <t>Матч #</t>
  </si>
  <si>
    <t>Победитель группы B</t>
  </si>
  <si>
    <t>Победитель группы С</t>
  </si>
  <si>
    <t>Победитель группы D</t>
  </si>
  <si>
    <t>Победитель группы E</t>
  </si>
  <si>
    <t>Победитель группы F</t>
  </si>
  <si>
    <t>Победитель матча 53</t>
  </si>
  <si>
    <t>Победитель матча 54</t>
  </si>
  <si>
    <t>Победитель матча 55</t>
  </si>
  <si>
    <t>Победитель матча 56</t>
  </si>
  <si>
    <t>Победитель матча 57</t>
  </si>
  <si>
    <t>Победитель матча 58</t>
  </si>
  <si>
    <t>Победитель матча 59</t>
  </si>
  <si>
    <t>Победитель матча 60</t>
  </si>
  <si>
    <t>Победитель матча 61</t>
  </si>
  <si>
    <t>Победитель матча 62</t>
  </si>
  <si>
    <t>Победитель матча 63</t>
  </si>
  <si>
    <t>Победитель матча 64</t>
  </si>
  <si>
    <t>Посетите exceltemplate.net Дополнительные шаблоны и обновления</t>
  </si>
  <si>
    <t>Сыграно</t>
  </si>
  <si>
    <t>Второе место</t>
  </si>
  <si>
    <t>Группа A</t>
  </si>
  <si>
    <t>Группа B</t>
  </si>
  <si>
    <t>Группа C</t>
  </si>
  <si>
    <t>Группа D</t>
  </si>
  <si>
    <t>Группа E</t>
  </si>
  <si>
    <t>Группа F</t>
  </si>
  <si>
    <t>Группа G</t>
  </si>
  <si>
    <t>Группа H</t>
  </si>
  <si>
    <t>Одговара #</t>
  </si>
  <si>
    <t>Група меча</t>
  </si>
  <si>
    <t>Група Б меча</t>
  </si>
  <si>
    <t>Група Ц меча</t>
  </si>
  <si>
    <t>Група Д меча</t>
  </si>
  <si>
    <t>Група Е меча</t>
  </si>
  <si>
    <t>Група Ф меча</t>
  </si>
  <si>
    <t>Група Г меча</t>
  </si>
  <si>
    <t>Група Х меча</t>
  </si>
  <si>
    <t>Група виљушкари Горе</t>
  </si>
  <si>
    <t>Група Б виљушкари Горе</t>
  </si>
  <si>
    <t>Група Ц виљушкари Горе</t>
  </si>
  <si>
    <t>Група Д виљушкари Горе</t>
  </si>
  <si>
    <t>Група Е виљушкари Горе</t>
  </si>
  <si>
    <t>Група Ф виљушкари Горе</t>
  </si>
  <si>
    <t>Група Г виљушкари Горе</t>
  </si>
  <si>
    <t>Група Х виљушкари Горе</t>
  </si>
  <si>
    <t>Победник меча 53</t>
  </si>
  <si>
    <t>Победник меча 54</t>
  </si>
  <si>
    <t>Победник меча 55</t>
  </si>
  <si>
    <t>Победник меча 56</t>
  </si>
  <si>
    <t>Победник меча 57</t>
  </si>
  <si>
    <t>Победник меча 58</t>
  </si>
  <si>
    <t>Победник меча 59</t>
  </si>
  <si>
    <t>Победник меча 60</t>
  </si>
  <si>
    <t>Победник меча 61</t>
  </si>
  <si>
    <t>Победник меча 62</t>
  </si>
  <si>
    <t>Победник меча 63</t>
  </si>
  <si>
    <t>Победник меча 64</t>
  </si>
  <si>
    <t>Посетите ексцелтемплате.нет за више предложака и допуне</t>
  </si>
  <si>
    <t>Одиграно</t>
  </si>
  <si>
    <t>Извлачење</t>
  </si>
  <si>
    <t>Изгубити</t>
  </si>
  <si>
    <t>Постигао гол за</t>
  </si>
  <si>
    <t>Постигао гол против</t>
  </si>
  <si>
    <t>Тачка</t>
  </si>
  <si>
    <t>Другом месту</t>
  </si>
  <si>
    <t>Група Б</t>
  </si>
  <si>
    <t>Група Ц</t>
  </si>
  <si>
    <t>Група Д</t>
  </si>
  <si>
    <t>Група Е</t>
  </si>
  <si>
    <t>Група Ф</t>
  </si>
  <si>
    <t>Група Г</t>
  </si>
  <si>
    <t>Група Х</t>
  </si>
  <si>
    <t>Skupina D Zmagovalec</t>
  </si>
  <si>
    <t>Riðla og leikjaröð</t>
  </si>
  <si>
    <t>Leikir</t>
  </si>
  <si>
    <t>Staða</t>
  </si>
  <si>
    <t>Riðill</t>
  </si>
  <si>
    <t>Dagur</t>
  </si>
  <si>
    <t>Tími</t>
  </si>
  <si>
    <t>16 liða úrslit</t>
  </si>
  <si>
    <t>8 liða úrslit</t>
  </si>
  <si>
    <t>Undanúrslit</t>
  </si>
  <si>
    <t>Leikur um þriðja sæti</t>
  </si>
  <si>
    <t>Időzóna</t>
  </si>
  <si>
    <t>Csoport</t>
  </si>
  <si>
    <t>Időpont</t>
  </si>
  <si>
    <t>Döntő</t>
  </si>
  <si>
    <t>Rendes játékidő</t>
  </si>
  <si>
    <t>Hosszabítás</t>
  </si>
  <si>
    <t>A csoport győztese</t>
  </si>
  <si>
    <t>B csoport győztese</t>
  </si>
  <si>
    <t>C csoport győztese</t>
  </si>
  <si>
    <t>Játszott</t>
  </si>
  <si>
    <t>Nyert</t>
  </si>
  <si>
    <t>Döntetlen</t>
  </si>
  <si>
    <t>Vesztett</t>
  </si>
  <si>
    <t>Lőtt gólok</t>
  </si>
  <si>
    <t>Kapott gólok</t>
  </si>
  <si>
    <t>Pont</t>
  </si>
  <si>
    <t>Második hely</t>
  </si>
  <si>
    <t>A csoport</t>
  </si>
  <si>
    <t>B csoport</t>
  </si>
  <si>
    <t>49. mérkőzés győztese</t>
  </si>
  <si>
    <t>50. mérkőzés győztese</t>
  </si>
  <si>
    <t>51. mérkőzés győztese</t>
  </si>
  <si>
    <t>52. mérkőzés győztese</t>
  </si>
  <si>
    <t>61. mérkőzés vesztese</t>
  </si>
  <si>
    <t>62. mérkőzés vesztese</t>
  </si>
  <si>
    <t>Dél-Kórea</t>
  </si>
  <si>
    <t>Egyesült Államok</t>
  </si>
  <si>
    <t>Hondurasz</t>
  </si>
  <si>
    <t>Csoportküzdelmek</t>
  </si>
  <si>
    <t>Mérkőzések</t>
  </si>
  <si>
    <t>Tabellák</t>
  </si>
  <si>
    <t>Végeredmény</t>
  </si>
  <si>
    <t>Negyeddöntő</t>
  </si>
  <si>
    <t>Elődöntő</t>
  </si>
  <si>
    <t>3. helyért játszott mérkőzés</t>
  </si>
  <si>
    <t>Győztes</t>
  </si>
  <si>
    <t>Továbbjutó</t>
  </si>
  <si>
    <t>Büntetőrúgások</t>
  </si>
  <si>
    <t>Világbajnok</t>
  </si>
  <si>
    <t># mérkőzés</t>
  </si>
  <si>
    <t>A csoport 2. helyezettje</t>
  </si>
  <si>
    <t>B csoport 2. helyezettje</t>
  </si>
  <si>
    <t>C csoport 2. helyezettje</t>
  </si>
  <si>
    <t>D csoport 2. helyezettje</t>
  </si>
  <si>
    <t>E csoport 2. helyezettje</t>
  </si>
  <si>
    <t>F csoport 2. helyezettje</t>
  </si>
  <si>
    <t>G csoport 2. helyezettje</t>
  </si>
  <si>
    <t>H csoport 2. helyezettje</t>
  </si>
  <si>
    <t>53 mérkőzés győztese</t>
  </si>
  <si>
    <t>54 mérkőzés győztese</t>
  </si>
  <si>
    <t>55 mérkőzés győztese</t>
  </si>
  <si>
    <t>56 mérkőzés győztese</t>
  </si>
  <si>
    <t>57 mérkőzés győztese</t>
  </si>
  <si>
    <t>58 mérkőzés győztese</t>
  </si>
  <si>
    <t>59 mérkőzés győztese</t>
  </si>
  <si>
    <t>60 mérkőzés győztese</t>
  </si>
  <si>
    <t>61 mérkőzés győztese</t>
  </si>
  <si>
    <t>62 mérkőzés győztese</t>
  </si>
  <si>
    <t>63 mérkőzés győztese</t>
  </si>
  <si>
    <t>64 mérkőzés győztese</t>
  </si>
  <si>
    <t>Vencedor Jogo 50</t>
  </si>
  <si>
    <t>Vencedor Jogo 52</t>
  </si>
  <si>
    <t>Derrotado Jogo 61</t>
  </si>
  <si>
    <t>Derrotado Jogo 62</t>
  </si>
  <si>
    <t>مکزیک</t>
  </si>
  <si>
    <t>اوروگوئه</t>
  </si>
  <si>
    <t>فرانسه</t>
  </si>
  <si>
    <t>آرژانتین</t>
  </si>
  <si>
    <t>نیجریه</t>
  </si>
  <si>
    <t>کره جنوبی</t>
  </si>
  <si>
    <t>یونان</t>
  </si>
  <si>
    <t>انگلیس</t>
  </si>
  <si>
    <t>آمریکا</t>
  </si>
  <si>
    <t>الجزایر</t>
  </si>
  <si>
    <t>آلمان</t>
  </si>
  <si>
    <t>استرالیا</t>
  </si>
  <si>
    <t>غنا</t>
  </si>
  <si>
    <t>هلند</t>
  </si>
  <si>
    <t>ژاپن</t>
  </si>
  <si>
    <t>کامرون</t>
  </si>
  <si>
    <t>ایتالیا</t>
  </si>
  <si>
    <t>برزیل</t>
  </si>
  <si>
    <t>ساحل عاج</t>
  </si>
  <si>
    <t>پرتغال</t>
  </si>
  <si>
    <t>اسپانیا</t>
  </si>
  <si>
    <t>سوئیس</t>
  </si>
  <si>
    <t>شیلی</t>
  </si>
  <si>
    <t>زبان</t>
  </si>
  <si>
    <t>وقت محلی</t>
  </si>
  <si>
    <t>مرحله گروهی</t>
  </si>
  <si>
    <t>بازیها</t>
  </si>
  <si>
    <t>جدول</t>
  </si>
  <si>
    <t>گروه</t>
  </si>
  <si>
    <t>تاریخ</t>
  </si>
  <si>
    <t>کشور</t>
  </si>
  <si>
    <t>نتیجه</t>
  </si>
  <si>
    <t>زمان</t>
  </si>
  <si>
    <t>یک هشتم نهایی</t>
  </si>
  <si>
    <t>یک چهارم نهایی</t>
  </si>
  <si>
    <t>نیمه نهایی</t>
  </si>
  <si>
    <t>بازی رده بندی</t>
  </si>
  <si>
    <t>بازی نهایی</t>
  </si>
  <si>
    <t>برنده</t>
  </si>
  <si>
    <t>نایب قهرمان</t>
  </si>
  <si>
    <t>وقت عادی</t>
  </si>
  <si>
    <t>وقت اضافه</t>
  </si>
  <si>
    <t>ضربات پنالتی</t>
  </si>
  <si>
    <t>قهرمان</t>
  </si>
  <si>
    <t>بازی شماره</t>
  </si>
  <si>
    <t>تیم اول گروه A</t>
  </si>
  <si>
    <t>تیم اول گروه B</t>
  </si>
  <si>
    <t>تیم اول گروه C</t>
  </si>
  <si>
    <t>تیم اول گروه D</t>
  </si>
  <si>
    <t>تیم اول گروه E</t>
  </si>
  <si>
    <t>تیم اول گروه F</t>
  </si>
  <si>
    <t>تیم اول گروه G</t>
  </si>
  <si>
    <t>تیم اول گروه H</t>
  </si>
  <si>
    <t>تیم دوم گروه A</t>
  </si>
  <si>
    <t>تیم دوم گروه B</t>
  </si>
  <si>
    <t>تیم دوم گروه C</t>
  </si>
  <si>
    <t>تیم دوم گروه D</t>
  </si>
  <si>
    <t>تیم دوم گروه E</t>
  </si>
  <si>
    <t>تیم دوم گروه F</t>
  </si>
  <si>
    <t>THIRD PLACE</t>
  </si>
  <si>
    <t>경기 63 수상작</t>
  </si>
  <si>
    <t>경기 64 수상작</t>
  </si>
  <si>
    <t>더 많은 서식 파일과 업데이 트에 대한 방문 exceltemplate.net</t>
  </si>
  <si>
    <t>종료</t>
  </si>
  <si>
    <t>그리기</t>
  </si>
  <si>
    <t>잃다</t>
  </si>
  <si>
    <t>목표에 대한 승리</t>
  </si>
  <si>
    <t>2 위</t>
  </si>
  <si>
    <t>B 조</t>
  </si>
  <si>
    <t>C 조</t>
  </si>
  <si>
    <t>D 조</t>
  </si>
  <si>
    <t>E 조</t>
  </si>
  <si>
    <t>F 조</t>
  </si>
  <si>
    <t>G 조</t>
  </si>
  <si>
    <t>H 조</t>
  </si>
  <si>
    <t>Rungtynių #</t>
  </si>
  <si>
    <t>Grupės nugalėtojas</t>
  </si>
  <si>
    <t>B grupės nugalėtojas</t>
  </si>
  <si>
    <t>C grupės nugalėtojas</t>
  </si>
  <si>
    <t>D grupės nugalėtojas</t>
  </si>
  <si>
    <t>E grupės nugalėtojas</t>
  </si>
  <si>
    <t>Grupė F nugalėtojas</t>
  </si>
  <si>
    <t>Grupė G nugalėtojas</t>
  </si>
  <si>
    <t>Grupė H nugalėtojas</t>
  </si>
  <si>
    <t>Grupė wicemistrz</t>
  </si>
  <si>
    <t>B grupė wicemistrz</t>
  </si>
  <si>
    <t>C grupė wicemistrz</t>
  </si>
  <si>
    <t>D grupėje antrą vietą</t>
  </si>
  <si>
    <t>E grupės wicemistrz</t>
  </si>
  <si>
    <t>F grupė wicemistrz</t>
  </si>
  <si>
    <t>Grupė G Runner Up</t>
  </si>
  <si>
    <t>H grupė wicemistrz</t>
  </si>
  <si>
    <t>Aplankykite exceltemplate.net daugiau šablonų ir atnaujinimai</t>
  </si>
  <si>
    <t>Baigta</t>
  </si>
  <si>
    <t>Piešti</t>
  </si>
  <si>
    <t>Prarasti</t>
  </si>
  <si>
    <t>Goal scored už</t>
  </si>
  <si>
    <t>Goal scored prieš</t>
  </si>
  <si>
    <t>Punktas</t>
  </si>
  <si>
    <t>Antroji vieta</t>
  </si>
  <si>
    <t>B grupė</t>
  </si>
  <si>
    <t>C grupė</t>
  </si>
  <si>
    <t>D grupė</t>
  </si>
  <si>
    <t>E grupė</t>
  </si>
  <si>
    <t>F grupė</t>
  </si>
  <si>
    <t>G grupė</t>
  </si>
  <si>
    <t>H grupė</t>
  </si>
  <si>
    <t>Lawati exceltemplate.net untuk lebih template dan update</t>
  </si>
  <si>
    <t>Kalah</t>
  </si>
  <si>
    <t>Kumpulan A</t>
  </si>
  <si>
    <t>Kumpulan B</t>
  </si>
  <si>
    <t>Kumpulan C</t>
  </si>
  <si>
    <t>Kumpulan D</t>
  </si>
  <si>
    <t>Kumpulan E</t>
  </si>
  <si>
    <t>Kumpulan F</t>
  </si>
  <si>
    <t>Kumpulan G</t>
  </si>
  <si>
    <t>Kumpulan H</t>
  </si>
  <si>
    <t>Grupp A Winner</t>
  </si>
  <si>
    <t>Grupp B Winner</t>
  </si>
  <si>
    <t>Grupp Ċ Winner</t>
  </si>
  <si>
    <t>Grupp D Winner</t>
  </si>
  <si>
    <t>Grupp E Winner</t>
  </si>
  <si>
    <t>Grupp F Winner</t>
  </si>
  <si>
    <t>Grupp G Winner</t>
  </si>
  <si>
    <t>Grupp H Winner</t>
  </si>
  <si>
    <t>Grupp A Runner Up</t>
  </si>
  <si>
    <t>Grupp B Runner Up</t>
  </si>
  <si>
    <t>Grupp Ċ Runner Up</t>
  </si>
  <si>
    <t>Grupp D Runner Up</t>
  </si>
  <si>
    <t>Grupp E Runner Up</t>
  </si>
  <si>
    <t>Grupp F Runner Up</t>
  </si>
  <si>
    <t>Grupp G Runner Up</t>
  </si>
  <si>
    <t>Grupp H Runner Up</t>
  </si>
  <si>
    <t>Winner Match 53</t>
  </si>
  <si>
    <t>Winner Match 54</t>
  </si>
  <si>
    <t>Winner Match 55</t>
  </si>
  <si>
    <t>Winner Match 56</t>
  </si>
  <si>
    <t>Winner Match 57</t>
  </si>
  <si>
    <t>Winner Match 58</t>
  </si>
  <si>
    <t>Winner Match 59</t>
  </si>
  <si>
    <t>Winner Match 60</t>
  </si>
  <si>
    <t>Winner Match 61</t>
  </si>
  <si>
    <t>Winner Match 62</t>
  </si>
  <si>
    <t>Winner Match 63</t>
  </si>
  <si>
    <t>Winner Match 64</t>
  </si>
  <si>
    <t>Exceltemplate.net Visit għal mudelli aktar u l-aġġornamenti</t>
  </si>
  <si>
    <t>Pinġi</t>
  </si>
  <si>
    <t>Itlef</t>
  </si>
  <si>
    <t>Gowl għall -</t>
  </si>
  <si>
    <t>Corée du Sud</t>
  </si>
  <si>
    <t xml:space="preserve">États-Unis </t>
  </si>
  <si>
    <t>Phases de poules</t>
  </si>
  <si>
    <t>Rencontres</t>
  </si>
  <si>
    <t xml:space="preserve">Huitièmes de finale </t>
  </si>
  <si>
    <t>Quarts de finale</t>
  </si>
  <si>
    <t>Second</t>
  </si>
  <si>
    <t>Temps réglementaire</t>
  </si>
  <si>
    <t>Temps additionnel</t>
  </si>
  <si>
    <t>Tirs au but</t>
  </si>
  <si>
    <t>Groupe A Vainqueur</t>
  </si>
  <si>
    <t>Groupe B Vainqueur</t>
  </si>
  <si>
    <t>Groupe C Vainqueur</t>
  </si>
  <si>
    <t>Groupe D Vainqueur</t>
  </si>
  <si>
    <t>Groupe E Vainqueur</t>
  </si>
  <si>
    <t>Groupe F Vainqueur</t>
  </si>
  <si>
    <t>Groupe G Vainqueur</t>
  </si>
  <si>
    <t>Groupe H Vainqueur</t>
  </si>
  <si>
    <t>Second Groupe A</t>
  </si>
  <si>
    <t>Second Groupe B</t>
  </si>
  <si>
    <t>Second Groupe C</t>
  </si>
  <si>
    <t>Second Groupe D</t>
  </si>
  <si>
    <t>Second Groupe E</t>
  </si>
  <si>
    <t>Second Groupe F</t>
  </si>
  <si>
    <t>Second Groupe G</t>
  </si>
  <si>
    <t>Second Groupe H</t>
  </si>
  <si>
    <t>Match 53 Vainqueur</t>
  </si>
  <si>
    <t>Match 54 Vainqueur</t>
  </si>
  <si>
    <t>Match 55 Vainqueur</t>
  </si>
  <si>
    <t>Match 56 Vainqueur</t>
  </si>
  <si>
    <t>Match 57 Vainqueur</t>
  </si>
  <si>
    <t>Match 58 Vainqueur</t>
  </si>
  <si>
    <t>Match 59 Vainqueur</t>
  </si>
  <si>
    <t>Match 60 Vainqueur</t>
  </si>
  <si>
    <t>Match 61 Vainqueur</t>
  </si>
  <si>
    <t>Match 62 Vainqueur</t>
  </si>
  <si>
    <t>Match 63 Vainqueur</t>
  </si>
  <si>
    <t>Match 64 Vainqueur</t>
  </si>
  <si>
    <t xml:space="preserve">Joué </t>
  </si>
  <si>
    <t>Gagné</t>
  </si>
  <si>
    <t>Nul</t>
  </si>
  <si>
    <t>Perdu</t>
  </si>
  <si>
    <t>But pour</t>
  </si>
  <si>
    <t>But contre</t>
  </si>
  <si>
    <t>Deuxième place</t>
  </si>
  <si>
    <t>Match 49 Vainqueur</t>
  </si>
  <si>
    <t>Match 50 Vainqueur</t>
  </si>
  <si>
    <t>Match 51 Vainqueur</t>
  </si>
  <si>
    <t>Match 52 Vainqueur</t>
  </si>
  <si>
    <t>Match 61 Perdant</t>
  </si>
  <si>
    <t>Match 62 Perdant</t>
  </si>
  <si>
    <t>მექსიკა</t>
  </si>
  <si>
    <t>ურუგვაი</t>
  </si>
  <si>
    <t>საფრანგეთი</t>
  </si>
  <si>
    <t>არგენტინა</t>
  </si>
  <si>
    <t>ნიგერია</t>
  </si>
  <si>
    <t>სამხრეთ კორეა</t>
  </si>
  <si>
    <t>საბერძნეთი</t>
  </si>
  <si>
    <t>ინგლისი</t>
  </si>
  <si>
    <t>აშშ</t>
  </si>
  <si>
    <t>ალჟირი</t>
  </si>
  <si>
    <t>გერმანია</t>
  </si>
  <si>
    <t>ავსტრალია</t>
  </si>
  <si>
    <t>განა</t>
  </si>
  <si>
    <t>ჰოლანდია</t>
  </si>
  <si>
    <t>იაპონია</t>
  </si>
  <si>
    <t>კამერუნი</t>
  </si>
  <si>
    <t>იტალია</t>
  </si>
  <si>
    <t>ბრაზილია</t>
  </si>
  <si>
    <t>კოტ-დ'ივუარი</t>
  </si>
  <si>
    <t>პორტუგალია</t>
  </si>
  <si>
    <t>ესპანეთი</t>
  </si>
  <si>
    <t>შვეიცარია</t>
  </si>
  <si>
    <t>ჰონდურასი</t>
  </si>
  <si>
    <t>ჩილე</t>
  </si>
  <si>
    <t>ენა</t>
  </si>
  <si>
    <t>სასაათო სარტყელი</t>
  </si>
  <si>
    <t>ჯგუფური ეტაპი</t>
  </si>
  <si>
    <t>მატჩები</t>
  </si>
  <si>
    <t>მდგომარეობა</t>
  </si>
  <si>
    <t>ჯგუფი</t>
  </si>
  <si>
    <t>თარიღი</t>
  </si>
  <si>
    <t>ქვეყანა</t>
  </si>
  <si>
    <t>ანგარიში</t>
  </si>
  <si>
    <t>დრო</t>
  </si>
  <si>
    <t>მერვედფინალი</t>
  </si>
  <si>
    <t>მეოთხედფინალი</t>
  </si>
  <si>
    <t>ნახევარფინალი</t>
  </si>
  <si>
    <t>მატჩი მესამე ადგილისთვის</t>
  </si>
  <si>
    <t>ფინალი</t>
  </si>
  <si>
    <t>გამარჯვებული</t>
  </si>
  <si>
    <t>მეორე ადგილი</t>
  </si>
  <si>
    <t>ძირითადი დრო</t>
  </si>
  <si>
    <t>დამატებითი დრო</t>
  </si>
  <si>
    <t>პენალტების სერია</t>
  </si>
  <si>
    <t>ჩემპიონი</t>
  </si>
  <si>
    <t>მატჩი #</t>
  </si>
  <si>
    <t>ჯგუფი A-ს გამარჯვებული</t>
  </si>
  <si>
    <t>ჯგუფი B-ს გამარჯვებული</t>
  </si>
  <si>
    <t>ჯგუფი C-ს გამარჯვებული</t>
  </si>
  <si>
    <t>ჯგუფი D-ს გამარჯვებული</t>
  </si>
  <si>
    <t>ჯგუფი E-ს გამარჯვებული</t>
  </si>
  <si>
    <t>ჯგუფი F-ს გამარჯვებული</t>
  </si>
  <si>
    <t>ჯგუფი G-ს გამარჯვებული</t>
  </si>
  <si>
    <t>ჯგუფი H-ს გამარჯვებული</t>
  </si>
  <si>
    <t>ჯგუფი A-ს მეორე ადგილი</t>
  </si>
  <si>
    <t>ჯგუფი B-ს მეორე ადგილი</t>
  </si>
  <si>
    <t>ჯგუფი C-ს მეორე ადგილი</t>
  </si>
  <si>
    <t>ჯგუფი D-ს მეორე ადგილი</t>
  </si>
  <si>
    <t>ჯგუფი E-ს მეორე ადგილი</t>
  </si>
  <si>
    <t>ჯგუფი F-ს მეორე ადგილი</t>
  </si>
  <si>
    <t>ჯგუფი G-ს მეორე ადგილი</t>
  </si>
  <si>
    <t>ჯგუფი H-ს მეორე ადგილი</t>
  </si>
  <si>
    <t>53-ე მატჩის გამარჯვებული</t>
  </si>
  <si>
    <t>54-ე მატჩის გამარჯვებული</t>
  </si>
  <si>
    <t>55-ე მატჩის გამარჯვებული</t>
  </si>
  <si>
    <t>56-ე მატჩის გამარჯვებული</t>
  </si>
  <si>
    <t>57-ე მატჩის გამარჯვებული</t>
  </si>
  <si>
    <t xml:space="preserve">Minneapolis </t>
  </si>
  <si>
    <t>Група B Второ място</t>
  </si>
  <si>
    <t>Група C Второ място</t>
  </si>
  <si>
    <t>Група D Второ място</t>
  </si>
  <si>
    <t>Група E Второ място</t>
  </si>
  <si>
    <t>Група "F" Второ място</t>
  </si>
  <si>
    <t>Група "G" Второ място</t>
  </si>
  <si>
    <t>Група H Второ място</t>
  </si>
  <si>
    <t>Носител на срещата 53</t>
  </si>
  <si>
    <t>Носител на срещата 54</t>
  </si>
  <si>
    <t>Носител на срещата 55</t>
  </si>
  <si>
    <t>Носител на срещата 56</t>
  </si>
  <si>
    <t>Носител на срещата 57</t>
  </si>
  <si>
    <t>Носител на срещата 58</t>
  </si>
  <si>
    <t>Носител на срещата 59</t>
  </si>
  <si>
    <t>Носител на срещата 60</t>
  </si>
  <si>
    <t>Носител на срещата 61</t>
  </si>
  <si>
    <t>Носител на срещата 62</t>
  </si>
  <si>
    <t>Носител на срещата 63</t>
  </si>
  <si>
    <t>Носител на срещата 64</t>
  </si>
  <si>
    <t>Посетете exceltemplate.net за повече шаблони и актуализации</t>
  </si>
  <si>
    <t>Играна</t>
  </si>
  <si>
    <t>Рисувам</t>
  </si>
  <si>
    <t>Губя</t>
  </si>
  <si>
    <t>Гол вкара за</t>
  </si>
  <si>
    <t>Гол вкара срещу</t>
  </si>
  <si>
    <t>Точка</t>
  </si>
  <si>
    <t>Група А</t>
  </si>
  <si>
    <t>Група B</t>
  </si>
  <si>
    <t>Група C</t>
  </si>
  <si>
    <t>Група D</t>
  </si>
  <si>
    <t>Група E</t>
  </si>
  <si>
    <t>Група "F"</t>
  </si>
  <si>
    <t>Група "G"</t>
  </si>
  <si>
    <t>Група H</t>
  </si>
  <si>
    <t>Guanyador del Grup A</t>
  </si>
  <si>
    <t>Guanyador del Grup B</t>
  </si>
  <si>
    <t>Guanyador del Grup C</t>
  </si>
  <si>
    <t>Guanyador del Grup D</t>
  </si>
  <si>
    <t>Guanyador del Grup E</t>
  </si>
  <si>
    <t>Guanyador del Grup F</t>
  </si>
  <si>
    <t>Guanyador del Grup G</t>
  </si>
  <si>
    <t>Guanyador del Grup H</t>
  </si>
  <si>
    <t>Subcampió del Grup A</t>
  </si>
  <si>
    <t>Subcampió del Grup B</t>
  </si>
  <si>
    <t>Subcampió del Grup C</t>
  </si>
  <si>
    <t>Subcampió del Grup D</t>
  </si>
  <si>
    <t>Subcampió del Grup E</t>
  </si>
  <si>
    <t>Subcampió del Grup F</t>
  </si>
  <si>
    <t>Subcampió del Grup G</t>
  </si>
  <si>
    <t>Subcampió del Grup H</t>
  </si>
  <si>
    <t>Guanyador del partit 53</t>
  </si>
  <si>
    <t>Guanyador del partit 54</t>
  </si>
  <si>
    <t>Guanyador del partit 55</t>
  </si>
  <si>
    <t>Guanyador del partit 56</t>
  </si>
  <si>
    <t>Guanyador del partit 57</t>
  </si>
  <si>
    <t>Guanyador del partit 58</t>
  </si>
  <si>
    <t>Guanyador del partit 59</t>
  </si>
  <si>
    <t>Guanyador del partit 60</t>
  </si>
  <si>
    <t>Guanyador del partit 61</t>
  </si>
  <si>
    <t>Guanyador del partit 62</t>
  </si>
  <si>
    <t>Guanyador del partit 63</t>
  </si>
  <si>
    <t>Guanyador del partit 64</t>
  </si>
  <si>
    <t>Visita exceltemplate.net per a les plantilles més i actualitzacions</t>
  </si>
  <si>
    <t>Jugat</t>
  </si>
  <si>
    <t>Dibuixar</t>
  </si>
  <si>
    <t>Perdre</t>
  </si>
  <si>
    <t>Gol anotat per</t>
  </si>
  <si>
    <t>Gol en contra de</t>
  </si>
  <si>
    <t>El segon lloc</t>
  </si>
  <si>
    <t>Grup A</t>
  </si>
  <si>
    <t>Grup B</t>
  </si>
  <si>
    <t>Grup C</t>
  </si>
  <si>
    <t>Grup D</t>
  </si>
  <si>
    <t>Grup E</t>
  </si>
  <si>
    <t>Grup F</t>
  </si>
  <si>
    <t>Grup G</t>
  </si>
  <si>
    <t>Grup H</t>
  </si>
  <si>
    <t>访问exceltemplate.net更多的模板和更新</t>
  </si>
  <si>
    <t>第二位</t>
  </si>
  <si>
    <t>Utakmica #</t>
  </si>
  <si>
    <t>Grupa Winner</t>
  </si>
  <si>
    <t>Winner Group B</t>
  </si>
  <si>
    <t>Grupa C Winner</t>
  </si>
  <si>
    <t>Grupa D Winner</t>
  </si>
  <si>
    <t>Grupa E Winner</t>
  </si>
  <si>
    <t>Grupa F Pobjednik</t>
  </si>
  <si>
    <t>Grupa G Pobjednik</t>
  </si>
  <si>
    <t>Grupa H Winner</t>
  </si>
  <si>
    <t>Grupa Runner Up</t>
  </si>
  <si>
    <t>Grupa B Runner Up</t>
  </si>
  <si>
    <t>Grupa C Runner Up</t>
  </si>
  <si>
    <t>Grupa D Runner Up</t>
  </si>
  <si>
    <t>Grupa E Runner Up</t>
  </si>
  <si>
    <t>Grupa F Runner Up</t>
  </si>
  <si>
    <t>Grupa G Runner Up</t>
  </si>
  <si>
    <t>Grupa H Runner Up</t>
  </si>
  <si>
    <t>Match Winner 53</t>
  </si>
  <si>
    <t>Match Winner 54</t>
  </si>
  <si>
    <t>Match Winner 55</t>
  </si>
  <si>
    <t>Match Winner 56</t>
  </si>
  <si>
    <t>Match Winner 57</t>
  </si>
  <si>
    <t>Match Winner 58</t>
  </si>
  <si>
    <t>Match Winner 59</t>
  </si>
  <si>
    <t>Match Winner 60</t>
  </si>
  <si>
    <t>Match Winner 61</t>
  </si>
  <si>
    <t>Match Winner 62</t>
  </si>
  <si>
    <t>Match Winner 63</t>
  </si>
  <si>
    <t>Match Winner 64</t>
  </si>
  <si>
    <t>Posjetite exceltemplate.net za više predložaka i obnove</t>
  </si>
  <si>
    <t>Crtati</t>
  </si>
  <si>
    <t>Gubiti</t>
  </si>
  <si>
    <t>Pogodak za</t>
  </si>
  <si>
    <t>Gol zabio</t>
  </si>
  <si>
    <t>Drugo mjesto</t>
  </si>
  <si>
    <t>Grupa B</t>
  </si>
  <si>
    <t>Grupa C</t>
  </si>
  <si>
    <t>Grupa D</t>
  </si>
  <si>
    <t>Grupa E</t>
  </si>
  <si>
    <t>Grupa F</t>
  </si>
  <si>
    <t>Grupa G</t>
  </si>
  <si>
    <t>Grupa H</t>
  </si>
  <si>
    <t>Gruppe B Vinder</t>
  </si>
  <si>
    <t>Gruppe C Vinder</t>
  </si>
  <si>
    <t>Gruppe D Vinder</t>
  </si>
  <si>
    <t>Gruppe E Vinder</t>
  </si>
  <si>
    <t>Gruppe F Vinder</t>
  </si>
  <si>
    <t>Gruppe G Vinder</t>
  </si>
  <si>
    <t>Besøg exceltemplate.net for flere skabeloner og opdateringer</t>
  </si>
  <si>
    <t>Mål scoret for</t>
  </si>
  <si>
    <t>Mål scoret imod</t>
  </si>
  <si>
    <t>Gruppe A</t>
  </si>
  <si>
    <t>Gruppe B</t>
  </si>
  <si>
    <t>Gruppe C</t>
  </si>
  <si>
    <t>Gruppe D</t>
  </si>
  <si>
    <t>Gruppe E</t>
  </si>
  <si>
    <t>Gruppe F</t>
  </si>
  <si>
    <t>Gruppe G</t>
  </si>
  <si>
    <t>Gruppe H</t>
  </si>
  <si>
    <t>Bezoek exceltemplate.net voor meer voorbeelden en updates</t>
  </si>
  <si>
    <t>Ottelun 53 voittaja</t>
  </si>
  <si>
    <t>Ottelun 54 voittaja</t>
  </si>
  <si>
    <t>Ottelun 55 voittaja</t>
  </si>
  <si>
    <t>Ottelun 56 voittaja</t>
  </si>
  <si>
    <t>Ottelun 57 voittaja</t>
  </si>
  <si>
    <t>Ottelun 58 voittaja</t>
  </si>
  <si>
    <t>Ottelun 59 voittaja</t>
  </si>
  <si>
    <t>الأورغواي</t>
  </si>
  <si>
    <t>إنكلترا</t>
  </si>
  <si>
    <t>الولايات المتحدة</t>
  </si>
  <si>
    <t>استراليا</t>
  </si>
  <si>
    <t>إيطاليا</t>
  </si>
  <si>
    <t>اسبانيا</t>
  </si>
  <si>
    <t>تشيلي</t>
  </si>
  <si>
    <t>اللغة</t>
  </si>
  <si>
    <t>التوقيت</t>
  </si>
  <si>
    <t>دور المجموعات</t>
  </si>
  <si>
    <t>المباريات</t>
  </si>
  <si>
    <t>ترتيب المجموعات</t>
  </si>
  <si>
    <t>التاريخ</t>
  </si>
  <si>
    <t>الدولة</t>
  </si>
  <si>
    <t>الوقت</t>
  </si>
  <si>
    <t>دور الـ 16</t>
  </si>
  <si>
    <t>الدور ربع النهائي</t>
  </si>
  <si>
    <t>الدور نصف النهائي</t>
  </si>
  <si>
    <t>تحديد المركز الثالث</t>
  </si>
  <si>
    <t>أول المجموعة</t>
  </si>
  <si>
    <t>ثاني المجموعة</t>
  </si>
  <si>
    <t>الوقت الأصلي</t>
  </si>
  <si>
    <t>الوقتين الإضافيين</t>
  </si>
  <si>
    <t>البطل</t>
  </si>
  <si>
    <t>المباراة رقم</t>
  </si>
  <si>
    <t>أول المجموعة A</t>
  </si>
  <si>
    <t>أول المجموعة B</t>
  </si>
  <si>
    <t>أول المجموعة C</t>
  </si>
  <si>
    <t>أول المجموعة D</t>
  </si>
  <si>
    <t>أول المجموعة E</t>
  </si>
  <si>
    <t>أول المجموعة F</t>
  </si>
  <si>
    <t>أول المجموعة G</t>
  </si>
  <si>
    <t>أول المجموعة H</t>
  </si>
  <si>
    <t>ثاني المجموعة A</t>
  </si>
  <si>
    <t>ثاني المجموعة B</t>
  </si>
  <si>
    <t>ثاني المجموعة C</t>
  </si>
  <si>
    <t>ثاني المجموعة D</t>
  </si>
  <si>
    <t>ثاني المجموعة E</t>
  </si>
  <si>
    <t>ثاني المجموعة F</t>
  </si>
  <si>
    <t>ثاني المجموعة G</t>
  </si>
  <si>
    <t>ثاني المجموعة H</t>
  </si>
  <si>
    <t>رابح المباراة 53</t>
  </si>
  <si>
    <t>رابح المباراة 54</t>
  </si>
  <si>
    <t>رابح المباراة 55</t>
  </si>
  <si>
    <t>رابح المباراة 56</t>
  </si>
  <si>
    <t>رابح المباراة 57</t>
  </si>
  <si>
    <t>رابح المباراة 58</t>
  </si>
  <si>
    <t>رابح المباراة 59</t>
  </si>
  <si>
    <t>رابح المباراة 60</t>
  </si>
  <si>
    <t>رابح المباراة 61</t>
  </si>
  <si>
    <t>رابح المباراة 62</t>
  </si>
  <si>
    <t>رابح المباراة 63</t>
  </si>
  <si>
    <t>رابح المباراة 64</t>
  </si>
  <si>
    <t>المركز الثاني</t>
  </si>
  <si>
    <t>المجموعة A</t>
  </si>
  <si>
    <t>المجموعة B</t>
  </si>
  <si>
    <t>المجموعة C</t>
  </si>
  <si>
    <t>المجموعة D</t>
  </si>
  <si>
    <t>المجموعة E</t>
  </si>
  <si>
    <t>المجموعة F</t>
  </si>
  <si>
    <t>المجموعة G</t>
  </si>
  <si>
    <t>المجموعة H</t>
  </si>
  <si>
    <t>رابح المباراة 49</t>
  </si>
  <si>
    <t>رابح المباراة 50</t>
  </si>
  <si>
    <t>رابح المباراة 51</t>
  </si>
  <si>
    <t>رابح المباراة 52</t>
  </si>
  <si>
    <t>خاسر المباراة 61</t>
  </si>
  <si>
    <t>خاسر المباراة 62</t>
  </si>
  <si>
    <t>País</t>
  </si>
  <si>
    <t>Puntuació</t>
  </si>
  <si>
    <t>Temps</t>
  </si>
  <si>
    <t>Ronda de 16</t>
  </si>
  <si>
    <t>Quarts de final</t>
  </si>
  <si>
    <t>Semifinals</t>
  </si>
  <si>
    <t>Partit pel Tercer Lloc</t>
  </si>
  <si>
    <t>Guanyador</t>
  </si>
  <si>
    <t>Subcampió</t>
  </si>
  <si>
    <t>烏拉圭</t>
  </si>
  <si>
    <t>法國</t>
  </si>
  <si>
    <t>尼日利亞</t>
  </si>
  <si>
    <t>韓國</t>
  </si>
  <si>
    <t>希臘</t>
  </si>
  <si>
    <t>英格蘭</t>
  </si>
  <si>
    <t>美國</t>
  </si>
  <si>
    <t>阿爾及利亞</t>
  </si>
  <si>
    <t>德國</t>
  </si>
  <si>
    <t>加納</t>
  </si>
  <si>
    <t>荷蘭</t>
  </si>
  <si>
    <t>喀麥隆</t>
  </si>
  <si>
    <t>語言</t>
  </si>
  <si>
    <t>時區</t>
  </si>
  <si>
    <t>國家</t>
  </si>
  <si>
    <t>決賽</t>
  </si>
  <si>
    <t>勝利者</t>
  </si>
  <si>
    <t>亞軍</t>
  </si>
  <si>
    <t>冠軍</t>
  </si>
  <si>
    <t>訪問 exceltemplate.net更多的模板和更新</t>
  </si>
  <si>
    <t>A組</t>
  </si>
  <si>
    <t>B組</t>
  </si>
  <si>
    <t>C組</t>
  </si>
  <si>
    <t>D組</t>
  </si>
  <si>
    <t>E組</t>
  </si>
  <si>
    <t>F組</t>
  </si>
  <si>
    <t>G組</t>
  </si>
  <si>
    <t>H組</t>
  </si>
  <si>
    <t>R. Musadya</t>
  </si>
  <si>
    <t>Temps Extra</t>
  </si>
  <si>
    <t>Campió</t>
  </si>
  <si>
    <t>Urugvaj</t>
  </si>
  <si>
    <t>Nigerija</t>
  </si>
  <si>
    <t>Južna Koreja</t>
  </si>
  <si>
    <t>Engleska</t>
  </si>
  <si>
    <t>Alžir</t>
  </si>
  <si>
    <t>Australija</t>
  </si>
  <si>
    <t>Gana</t>
  </si>
  <si>
    <t>Obala Bjelokosti</t>
  </si>
  <si>
    <t>Čile</t>
  </si>
  <si>
    <t>Jezik</t>
  </si>
  <si>
    <t>Vremenska zona</t>
  </si>
  <si>
    <t>Grupa Stages</t>
  </si>
  <si>
    <t>Utakmice</t>
  </si>
  <si>
    <t>Grupa</t>
  </si>
  <si>
    <t>Država</t>
  </si>
  <si>
    <t>Rezultati</t>
  </si>
  <si>
    <t>Vrijeme</t>
  </si>
  <si>
    <t>Utakmica za treće mjesto</t>
  </si>
  <si>
    <t>Normal Vrijeme</t>
  </si>
  <si>
    <t>Sydkorea</t>
  </si>
  <si>
    <t>Algeriet</t>
  </si>
  <si>
    <t>Winst</t>
  </si>
  <si>
    <t>Gelijk</t>
  </si>
  <si>
    <t>Verlies</t>
  </si>
  <si>
    <t>Doelpunten gemaakt</t>
  </si>
  <si>
    <t>Tegendoelpunten</t>
  </si>
  <si>
    <t>Jaringan</t>
  </si>
  <si>
    <t>Bolos</t>
  </si>
  <si>
    <t>Mata</t>
  </si>
  <si>
    <t>Vunna</t>
  </si>
  <si>
    <t>Spelade</t>
  </si>
  <si>
    <t>Oavgjorda</t>
  </si>
  <si>
    <t>Förlorade</t>
  </si>
  <si>
    <t>Gjorda mål</t>
  </si>
  <si>
    <t>Insläppta mål</t>
  </si>
  <si>
    <t>Poäng</t>
  </si>
  <si>
    <t>Australien</t>
  </si>
  <si>
    <t>Cameroun</t>
  </si>
  <si>
    <t>Brasilien</t>
  </si>
  <si>
    <t>Elfenbenskysten</t>
  </si>
  <si>
    <t>Sprog</t>
  </si>
  <si>
    <t>Tidszone</t>
  </si>
  <si>
    <t>Dato</t>
  </si>
  <si>
    <t>Tid</t>
  </si>
  <si>
    <t>Kvartfinaler</t>
  </si>
  <si>
    <t>Semifinale</t>
  </si>
  <si>
    <t>Vinder</t>
  </si>
  <si>
    <t>Algerije</t>
  </si>
  <si>
    <t>Brazilië</t>
  </si>
  <si>
    <t>Ivoorkust</t>
  </si>
  <si>
    <t>Tijd</t>
  </si>
  <si>
    <t>Winnaar</t>
  </si>
  <si>
    <t>Argentiina</t>
  </si>
  <si>
    <t>Etelä-Korea</t>
  </si>
  <si>
    <t>Englanti</t>
  </si>
  <si>
    <t>Alankomaat</t>
  </si>
  <si>
    <t>Japani</t>
  </si>
  <si>
    <t>Norsunluurannikko</t>
  </si>
  <si>
    <t>Kieli</t>
  </si>
  <si>
    <t>Pisteet</t>
  </si>
  <si>
    <t xml:space="preserve">Attığı Gol </t>
  </si>
  <si>
    <t>Франція</t>
  </si>
  <si>
    <t>Нігерія</t>
  </si>
  <si>
    <t>Південна Корея</t>
  </si>
  <si>
    <t>Греція</t>
  </si>
  <si>
    <t>Англія</t>
  </si>
  <si>
    <t>Німеччина</t>
  </si>
  <si>
    <t xml:space="preserve">Австралія </t>
  </si>
  <si>
    <t>Нідерланди</t>
  </si>
  <si>
    <t>Японія</t>
  </si>
  <si>
    <t>Італія</t>
  </si>
  <si>
    <t>Бразилія</t>
  </si>
  <si>
    <t>Кот-д'Івуар</t>
  </si>
  <si>
    <t>Португалія</t>
  </si>
  <si>
    <t>Іспанія</t>
  </si>
  <si>
    <t>Швейцарія</t>
  </si>
  <si>
    <t>Чилі</t>
  </si>
  <si>
    <t>Мова</t>
  </si>
  <si>
    <t>Часовий пояс</t>
  </si>
  <si>
    <t>Груповий етап</t>
  </si>
  <si>
    <t>Матчі</t>
  </si>
  <si>
    <t>Положення команд</t>
  </si>
  <si>
    <t>Країна</t>
  </si>
  <si>
    <t>Рахунок</t>
  </si>
  <si>
    <t>Час</t>
  </si>
  <si>
    <t>1 / 16</t>
  </si>
  <si>
    <t>Чвертьфінал</t>
  </si>
  <si>
    <t>Полуфінал</t>
  </si>
  <si>
    <t>Матч за третє місце</t>
  </si>
  <si>
    <t>Фінал</t>
  </si>
  <si>
    <t>Переможець</t>
  </si>
  <si>
    <t>Друге місце</t>
  </si>
  <si>
    <t>Основний час</t>
  </si>
  <si>
    <t>Додатковий час</t>
  </si>
  <si>
    <t>Пенальті</t>
  </si>
  <si>
    <t>Чемпіон</t>
  </si>
  <si>
    <t>Матч №</t>
  </si>
  <si>
    <t>Переможець групи А</t>
  </si>
  <si>
    <t>Переможець групи B</t>
  </si>
  <si>
    <t>Переможець групи C</t>
  </si>
  <si>
    <t>Переможець групи D</t>
  </si>
  <si>
    <t>Переможець групи E</t>
  </si>
  <si>
    <t>Переможець групи F</t>
  </si>
  <si>
    <t>Переможець групи G</t>
  </si>
  <si>
    <t>Переможець групи H</t>
  </si>
  <si>
    <t>Друге місце в групі А</t>
  </si>
  <si>
    <t>Друге місце в групі B</t>
  </si>
  <si>
    <t>Друге місце в групі C</t>
  </si>
  <si>
    <t>Друге місце в групі D</t>
  </si>
  <si>
    <t>Друге місце в групі E</t>
  </si>
  <si>
    <t>Друге місце в групі F</t>
  </si>
  <si>
    <t>Друге місце в групі G</t>
  </si>
  <si>
    <t>Друге місце в групі H</t>
  </si>
  <si>
    <t>Переможець матчу № 53</t>
  </si>
  <si>
    <t>Subcampeón del Grupo A</t>
  </si>
  <si>
    <t>Subcampeón del Grupo B</t>
  </si>
  <si>
    <t>Ganador del partido 53</t>
  </si>
  <si>
    <t>Ganador del partido 54</t>
  </si>
  <si>
    <t>Ganador del partido 55</t>
  </si>
  <si>
    <t>Ganador del partido 56</t>
  </si>
  <si>
    <t>Ganador del partido 57</t>
  </si>
  <si>
    <t>Ganador del partido 58</t>
  </si>
  <si>
    <t>Ganador del partido 59</t>
  </si>
  <si>
    <t>Ganador del partido 60</t>
  </si>
  <si>
    <t>Ganador del partido 61</t>
  </si>
  <si>
    <t>Ganador del partido 62</t>
  </si>
  <si>
    <t>Ganador del partido 63</t>
  </si>
  <si>
    <t>Segundo lugar</t>
  </si>
  <si>
    <t>Ganador del partido 49</t>
  </si>
  <si>
    <t>Ganador del partido 50</t>
  </si>
  <si>
    <t>Ganador del partido 51</t>
  </si>
  <si>
    <t>Ganador del partido 52</t>
  </si>
  <si>
    <t>Perdedor del partido 61</t>
  </si>
  <si>
    <t>Perdedor del partido 62</t>
  </si>
  <si>
    <t>Khám exceltemplate.net cho mẫu nhiều hơn và cập nhật</t>
  </si>
  <si>
    <t>Điểm</t>
  </si>
  <si>
    <t>Bảng A</t>
  </si>
  <si>
    <t>Bảng B</t>
  </si>
  <si>
    <t>Bảng C</t>
  </si>
  <si>
    <t>Bảng D</t>
  </si>
  <si>
    <t>Bảng E</t>
  </si>
  <si>
    <t>Bảng F</t>
  </si>
  <si>
    <t>Bảng G</t>
  </si>
  <si>
    <t>Bảng H</t>
  </si>
  <si>
    <t>Pertandingan #</t>
  </si>
  <si>
    <t>Pemenang Grup A</t>
  </si>
  <si>
    <t>Pemenang Grup B</t>
  </si>
  <si>
    <t>Pemenang Grup C</t>
  </si>
  <si>
    <t>Pemenang Grup D</t>
  </si>
  <si>
    <t>Pemenang Grup F</t>
  </si>
  <si>
    <t>Pemenang Grup G</t>
  </si>
  <si>
    <t>Pemenang Grup H</t>
  </si>
  <si>
    <t>Pemenang Grup E</t>
  </si>
  <si>
    <t>Runner Up Grup A</t>
  </si>
  <si>
    <t>Runner Up Grup B</t>
  </si>
  <si>
    <t>Runner Up Grup C</t>
  </si>
  <si>
    <t>Runner Up Grup D</t>
  </si>
  <si>
    <t>Runner Up Grup E</t>
  </si>
  <si>
    <t>Runner Up Grup F</t>
  </si>
  <si>
    <t>Runner Up Grup G</t>
  </si>
  <si>
    <t>Runner Up Grup H</t>
  </si>
  <si>
    <t>Pemenang Pertandingan 53</t>
  </si>
  <si>
    <t>Pemenang Pertandingan 54</t>
  </si>
  <si>
    <t>Pemenang Pertandingan 55</t>
  </si>
  <si>
    <t>Pemenang Pertandingan 56</t>
  </si>
  <si>
    <t>Pemenang Pertandingan 57</t>
  </si>
  <si>
    <t>Pemenang Pertandingan 58</t>
  </si>
  <si>
    <t>Pemenang Pertandingan 59</t>
  </si>
  <si>
    <t>Pemenang Pertandingan 60</t>
  </si>
  <si>
    <t>Pemenang Pertandingan 61</t>
  </si>
  <si>
    <t>Pemenang Pertandingan 62</t>
  </si>
  <si>
    <t>Pemenang Pertandingan 63</t>
  </si>
  <si>
    <t>Pemenang Pertandingan 64</t>
  </si>
  <si>
    <t>Kunjungi exceltemplate.net untuk template dan update terbaru</t>
  </si>
  <si>
    <t>Main</t>
  </si>
  <si>
    <t>Menang</t>
  </si>
  <si>
    <t>Win</t>
  </si>
  <si>
    <t>Seri</t>
  </si>
  <si>
    <t>Kemasukan</t>
  </si>
  <si>
    <t>Memasukan</t>
  </si>
  <si>
    <t>Nilai</t>
  </si>
  <si>
    <t>Tempat kedua</t>
  </si>
  <si>
    <t>Wen</t>
  </si>
  <si>
    <t>Спечели</t>
  </si>
  <si>
    <t>pobjeda</t>
  </si>
  <si>
    <t>勝つ</t>
  </si>
  <si>
    <t>승리</t>
  </si>
  <si>
    <t>laimėjimas</t>
  </si>
  <si>
    <t>Уин</t>
  </si>
  <si>
    <t>Date</t>
  </si>
  <si>
    <t>Time</t>
  </si>
  <si>
    <t>-</t>
  </si>
  <si>
    <t>Switzerland</t>
  </si>
  <si>
    <t>Portugal</t>
  </si>
  <si>
    <t>Germany</t>
  </si>
  <si>
    <t>Netherlands</t>
  </si>
  <si>
    <t>Spain</t>
  </si>
  <si>
    <t>Greece</t>
  </si>
  <si>
    <t>Italy</t>
  </si>
  <si>
    <t>France</t>
  </si>
  <si>
    <t>Group A</t>
  </si>
  <si>
    <t>W</t>
  </si>
  <si>
    <t>D</t>
  </si>
  <si>
    <t>L</t>
  </si>
  <si>
    <t>F - A</t>
  </si>
  <si>
    <t>Group B</t>
  </si>
  <si>
    <t>Group C</t>
  </si>
  <si>
    <t>Group D</t>
  </si>
  <si>
    <t>F</t>
  </si>
  <si>
    <t>A</t>
  </si>
  <si>
    <t>Country</t>
  </si>
  <si>
    <t>Swiss</t>
  </si>
  <si>
    <t>English</t>
  </si>
  <si>
    <t>Jerman</t>
  </si>
  <si>
    <t>Belanda</t>
  </si>
  <si>
    <t>Italia</t>
  </si>
  <si>
    <t>Perancis</t>
  </si>
  <si>
    <t>Spanyol</t>
  </si>
  <si>
    <t>Yunani</t>
  </si>
  <si>
    <t>:</t>
  </si>
  <si>
    <t>Suisse</t>
  </si>
  <si>
    <t>Allemagne</t>
  </si>
  <si>
    <t>Italie</t>
  </si>
  <si>
    <t>Pays-Bas</t>
  </si>
  <si>
    <t>Grèce</t>
  </si>
  <si>
    <t>Espagne</t>
  </si>
  <si>
    <t>Schweiz</t>
  </si>
  <si>
    <t>Deutschland</t>
  </si>
  <si>
    <t>Italien</t>
  </si>
  <si>
    <t>Frankreich</t>
  </si>
  <si>
    <t>Griechenland</t>
  </si>
  <si>
    <t>Spanien</t>
  </si>
  <si>
    <t>Suiza</t>
  </si>
  <si>
    <t>Alemania</t>
  </si>
  <si>
    <t>Holanda</t>
  </si>
  <si>
    <t>Francia</t>
  </si>
  <si>
    <t>Grecia</t>
  </si>
  <si>
    <t>España</t>
  </si>
  <si>
    <t>Spanish</t>
  </si>
  <si>
    <t>Svizzera</t>
  </si>
  <si>
    <t>Portogallo</t>
  </si>
  <si>
    <t>French</t>
  </si>
  <si>
    <t>Ukrainian</t>
  </si>
  <si>
    <t>Spanish (Argentine)</t>
  </si>
  <si>
    <t>Portuguese (Brazil)</t>
  </si>
  <si>
    <t>Portuguese (Portugal)</t>
  </si>
  <si>
    <t>Chinese (Simplified)</t>
  </si>
  <si>
    <t>Chinese (Traditional)</t>
  </si>
  <si>
    <t>Georgian</t>
  </si>
  <si>
    <t>Germania</t>
  </si>
  <si>
    <t>Olanda</t>
  </si>
  <si>
    <t>Spagna</t>
  </si>
  <si>
    <t>Italian</t>
  </si>
  <si>
    <t>Alemanha</t>
  </si>
  <si>
    <t>Itália</t>
  </si>
  <si>
    <t>França</t>
  </si>
  <si>
    <t>Grécia</t>
  </si>
  <si>
    <t>Espanha</t>
  </si>
  <si>
    <t>Szwajcaria</t>
  </si>
  <si>
    <t>Portugalia</t>
  </si>
  <si>
    <t>Niemcy</t>
  </si>
  <si>
    <t>Holandia</t>
  </si>
  <si>
    <t>Francja</t>
  </si>
  <si>
    <t>Grecja</t>
  </si>
  <si>
    <t>Hiszpania</t>
  </si>
  <si>
    <t>Polish</t>
  </si>
  <si>
    <t>Lithuanian</t>
  </si>
  <si>
    <t>Šveicarija</t>
  </si>
  <si>
    <t>Portugalija</t>
  </si>
  <si>
    <t>Vokietija</t>
  </si>
  <si>
    <t>Italija</t>
  </si>
  <si>
    <t>Prancūzija</t>
  </si>
  <si>
    <t>Graikija</t>
  </si>
  <si>
    <t>Ispanija</t>
  </si>
  <si>
    <t>Suïssa</t>
  </si>
  <si>
    <t>Alemanya</t>
  </si>
  <si>
    <t>Itàlia</t>
  </si>
  <si>
    <t>Grècia</t>
  </si>
  <si>
    <t>Espanya</t>
  </si>
  <si>
    <t>Catalan</t>
  </si>
  <si>
    <t>Svájc</t>
  </si>
  <si>
    <t>Portugália</t>
  </si>
  <si>
    <t>Németország</t>
  </si>
  <si>
    <t>Olaszország</t>
  </si>
  <si>
    <t>Hollandia</t>
  </si>
  <si>
    <t>Franciaország</t>
  </si>
  <si>
    <t>Görögország</t>
  </si>
  <si>
    <t>Spanyolország</t>
  </si>
  <si>
    <t>Hungarian</t>
  </si>
  <si>
    <t>Spania</t>
  </si>
  <si>
    <t>Romanian</t>
  </si>
  <si>
    <t>Zwitserland</t>
  </si>
  <si>
    <t>Duitsland</t>
  </si>
  <si>
    <t>Italië</t>
  </si>
  <si>
    <t>Nederland</t>
  </si>
  <si>
    <t>Frankrijk</t>
  </si>
  <si>
    <t>Griekenland</t>
  </si>
  <si>
    <t>Spanje</t>
  </si>
  <si>
    <t>Dutch</t>
  </si>
  <si>
    <t>Tyskland</t>
  </si>
  <si>
    <t>Holland</t>
  </si>
  <si>
    <t>Frankrig</t>
  </si>
  <si>
    <t>Grækenland</t>
  </si>
  <si>
    <t>Danish</t>
  </si>
  <si>
    <t>Ġermanja</t>
  </si>
  <si>
    <t>Italja</t>
  </si>
  <si>
    <t>Franza</t>
  </si>
  <si>
    <t>Greċja</t>
  </si>
  <si>
    <t>Spanja</t>
  </si>
  <si>
    <t>Maltese</t>
  </si>
  <si>
    <t>Švica</t>
  </si>
  <si>
    <t>Portugalska</t>
  </si>
  <si>
    <t>Nemčija</t>
  </si>
  <si>
    <t>Nizozemska</t>
  </si>
  <si>
    <t>Grčija</t>
  </si>
  <si>
    <t>Španija</t>
  </si>
  <si>
    <t>Slovenian</t>
  </si>
  <si>
    <t>Sveitsi</t>
  </si>
  <si>
    <t>Portugali</t>
  </si>
  <si>
    <t>Saksa</t>
  </si>
  <si>
    <t>Ranska</t>
  </si>
  <si>
    <t>Kreikka</t>
  </si>
  <si>
    <t>Espanja</t>
  </si>
  <si>
    <t>Finnish</t>
  </si>
  <si>
    <t>Швајцарска</t>
  </si>
  <si>
    <t>Португалија</t>
  </si>
  <si>
    <t>Немачка</t>
  </si>
  <si>
    <t>Италија</t>
  </si>
  <si>
    <t>Холандија</t>
  </si>
  <si>
    <t>Француска</t>
  </si>
  <si>
    <t>Грчка</t>
  </si>
  <si>
    <t>Шпанија</t>
  </si>
  <si>
    <t>Serbian</t>
  </si>
  <si>
    <t>Albanian</t>
  </si>
  <si>
    <t>Швейцария</t>
  </si>
  <si>
    <t>Португалия</t>
  </si>
  <si>
    <t>Германия</t>
  </si>
  <si>
    <t>Италия</t>
  </si>
  <si>
    <t>Холандия</t>
  </si>
  <si>
    <t>Франция</t>
  </si>
  <si>
    <t>Гърция</t>
  </si>
  <si>
    <t>Испания</t>
  </si>
  <si>
    <t>Bulgarian</t>
  </si>
  <si>
    <t>Ελβετία</t>
  </si>
  <si>
    <t>Γερμανία</t>
  </si>
  <si>
    <t>Ιταλία</t>
  </si>
  <si>
    <t>Ολλανδία</t>
  </si>
  <si>
    <t>Γαλλία</t>
  </si>
  <si>
    <t>Ισπανία</t>
  </si>
  <si>
    <t>Greek</t>
  </si>
  <si>
    <t>Греция</t>
  </si>
  <si>
    <t>Russian</t>
  </si>
  <si>
    <t>İsviçre</t>
  </si>
  <si>
    <t>Portekiz</t>
  </si>
  <si>
    <t>Almanya</t>
  </si>
  <si>
    <t>İtalya</t>
  </si>
  <si>
    <t>Gruppespil</t>
  </si>
  <si>
    <t>Kampe</t>
  </si>
  <si>
    <t>Stillinger</t>
  </si>
  <si>
    <t>Tidspunkt</t>
  </si>
  <si>
    <t>1/8-delsfinaler</t>
  </si>
  <si>
    <t>Kamp om 3. plads</t>
  </si>
  <si>
    <t>2. plads</t>
  </si>
  <si>
    <t>Normal Tid</t>
  </si>
  <si>
    <t>Forlænget Spilletid</t>
  </si>
  <si>
    <t>Straffespark</t>
  </si>
  <si>
    <t>Gruppe A Vinder</t>
  </si>
  <si>
    <t>Gruppe H Vinder</t>
  </si>
  <si>
    <t>Gruppe A 2. plads</t>
  </si>
  <si>
    <t>Gruppe B 2. plads</t>
  </si>
  <si>
    <t>Gruppe C 2. plads</t>
  </si>
  <si>
    <t>Gruppe D 2. plads</t>
  </si>
  <si>
    <t>Gruppe E 2. plads</t>
  </si>
  <si>
    <t>Gruppe F 2. plads</t>
  </si>
  <si>
    <t>Gruppe G 2. plads</t>
  </si>
  <si>
    <t>Gruppe H 2. plads</t>
  </si>
  <si>
    <t>Kamp 53 Vinder</t>
  </si>
  <si>
    <t>Kamp 54 Vinder</t>
  </si>
  <si>
    <t>Indonesian</t>
  </si>
  <si>
    <t>Goal scored against</t>
  </si>
  <si>
    <t>Point</t>
  </si>
  <si>
    <t>Second place</t>
  </si>
  <si>
    <t>Wedstryd #</t>
  </si>
  <si>
    <t>Groep A Winner</t>
  </si>
  <si>
    <t>Groep B Winnaar</t>
  </si>
  <si>
    <t>Groep C Winnaar</t>
  </si>
  <si>
    <t>Groep D Winnaar</t>
  </si>
  <si>
    <t>Groep E Winnaar</t>
  </si>
  <si>
    <t>Groep F Winnaar</t>
  </si>
  <si>
    <t>Groep G Winnaar</t>
  </si>
  <si>
    <t>Groep H Winnaar</t>
  </si>
  <si>
    <t>Groep A Runner Up</t>
  </si>
  <si>
    <t>Groep B Runner Up</t>
  </si>
  <si>
    <t>Groep C Runner Up</t>
  </si>
  <si>
    <t>Groep D Runner Up</t>
  </si>
  <si>
    <t>Groep E Runner Up</t>
  </si>
  <si>
    <t>Groep F Runner Up</t>
  </si>
  <si>
    <t>Groep G Runner Up</t>
  </si>
  <si>
    <t>Groep H Runner Up</t>
  </si>
  <si>
    <t>Match 53 Winnaar</t>
  </si>
  <si>
    <t>Match 54 Winnaar</t>
  </si>
  <si>
    <t>Match 55 Winnaar</t>
  </si>
  <si>
    <t>Match 56 Winnaar</t>
  </si>
  <si>
    <t>Match 57 Winnaar</t>
  </si>
  <si>
    <t>Match 58 Winnaar</t>
  </si>
  <si>
    <t>Match 59 Winnaar</t>
  </si>
  <si>
    <t>Match 60 Winnaar</t>
  </si>
  <si>
    <t>Match 61 Winnaar</t>
  </si>
  <si>
    <t>Match 62 Winnaar</t>
  </si>
  <si>
    <t>Match 63 Winnaar</t>
  </si>
  <si>
    <t>Match 64 Winnaar</t>
  </si>
  <si>
    <t>Besoek exceltemplate.net vir meer voorbeelde en updates</t>
  </si>
  <si>
    <t>Gespeel</t>
  </si>
  <si>
    <t>Trek</t>
  </si>
  <si>
    <t>Verloor</t>
  </si>
  <si>
    <t>Doel behaal vir</t>
  </si>
  <si>
    <t>Doel aangeteken teen</t>
  </si>
  <si>
    <t>Punt</t>
  </si>
  <si>
    <t>Tweede plek</t>
  </si>
  <si>
    <t>Country Language</t>
  </si>
  <si>
    <t>国</t>
  </si>
  <si>
    <t>スコア</t>
  </si>
  <si>
    <t>時間</t>
  </si>
  <si>
    <t>ラウンド16</t>
  </si>
  <si>
    <t>準々決勝</t>
  </si>
  <si>
    <t>準決勝</t>
  </si>
  <si>
    <t>試合の3位に</t>
  </si>
  <si>
    <t>ファイナル</t>
  </si>
  <si>
    <t>受賞</t>
  </si>
  <si>
    <t>ランナーを開設する</t>
  </si>
  <si>
    <t>通常の時間</t>
  </si>
  <si>
    <t>余分な時間</t>
  </si>
  <si>
    <t>ペナルティーシュートアウト</t>
  </si>
  <si>
    <t>チャンピオン</t>
  </si>
  <si>
    <t>멕시코</t>
  </si>
  <si>
    <t>우루과이</t>
  </si>
  <si>
    <t>프랑스</t>
  </si>
  <si>
    <t>아르헨티나</t>
  </si>
  <si>
    <t>나이지리아</t>
  </si>
  <si>
    <t>대한민국</t>
  </si>
  <si>
    <t>그리스</t>
  </si>
  <si>
    <t>잉글랜드</t>
  </si>
  <si>
    <t>미국</t>
  </si>
  <si>
    <t>알제리</t>
  </si>
  <si>
    <t>독일</t>
  </si>
  <si>
    <t>오스트 레일 리아</t>
  </si>
  <si>
    <t>가나</t>
  </si>
  <si>
    <t>네덜란드</t>
  </si>
  <si>
    <t>일본</t>
  </si>
  <si>
    <t>카메룬</t>
  </si>
  <si>
    <t>이탈리아</t>
  </si>
  <si>
    <t>브라질</t>
  </si>
  <si>
    <t>코트 디부 아르</t>
  </si>
  <si>
    <t>포르투갈</t>
  </si>
  <si>
    <t>스페인</t>
  </si>
  <si>
    <t>스위스</t>
  </si>
  <si>
    <t>온두라스</t>
  </si>
  <si>
    <t>칠레</t>
  </si>
  <si>
    <t>언어</t>
  </si>
  <si>
    <t>시간대</t>
  </si>
  <si>
    <t>그룹 단계</t>
  </si>
  <si>
    <t>일치</t>
  </si>
  <si>
    <t>순위</t>
  </si>
  <si>
    <t>그룹</t>
  </si>
  <si>
    <t>날짜</t>
  </si>
  <si>
    <t>국가</t>
  </si>
  <si>
    <t>점수</t>
  </si>
  <si>
    <t>시간</t>
  </si>
  <si>
    <t>라운드 16</t>
  </si>
  <si>
    <t>8 강전</t>
  </si>
  <si>
    <t>준결승</t>
  </si>
  <si>
    <t>경기 3 위</t>
  </si>
  <si>
    <t>결승</t>
  </si>
  <si>
    <t>수상작</t>
  </si>
  <si>
    <t>러너 업</t>
  </si>
  <si>
    <t>표준 시간</t>
  </si>
  <si>
    <t>추가 시간</t>
  </si>
  <si>
    <t>승부 차기 없음</t>
  </si>
  <si>
    <t>챔피언</t>
  </si>
  <si>
    <t>Japanese</t>
  </si>
  <si>
    <t>Korean</t>
  </si>
  <si>
    <t>Match #</t>
  </si>
  <si>
    <t>Amerika Syarikat</t>
  </si>
  <si>
    <t>Ivory Coast</t>
  </si>
  <si>
    <t>Zon Waktu</t>
  </si>
  <si>
    <t>Peringkat Kumpulan</t>
  </si>
  <si>
    <t>Perlawanan</t>
  </si>
  <si>
    <t>Kedudukan</t>
  </si>
  <si>
    <t>Kumpulan</t>
  </si>
  <si>
    <t>Keputusan</t>
  </si>
  <si>
    <t>Waktu Biasa</t>
  </si>
  <si>
    <t>Pusingan 16 Pasukan</t>
  </si>
  <si>
    <t>Suku Akhir</t>
  </si>
  <si>
    <t>Separuh Akhir</t>
  </si>
  <si>
    <t>Perlawanan Tempat Ketiga</t>
  </si>
  <si>
    <t>Akhir</t>
  </si>
  <si>
    <t>Johan</t>
  </si>
  <si>
    <t>Naib Johan</t>
  </si>
  <si>
    <t>Tambahan Masa</t>
  </si>
  <si>
    <t>Tendangan Penalti</t>
  </si>
  <si>
    <t>Perlawanan #</t>
  </si>
  <si>
    <t>Johan Kumpulan A</t>
  </si>
  <si>
    <t>Johan Kumpulan B</t>
  </si>
  <si>
    <t>Johan Kumpulan C</t>
  </si>
  <si>
    <t>Johan Kumpulan D</t>
  </si>
  <si>
    <t>Johan Kumpulan E</t>
  </si>
  <si>
    <t>Johan Kumpulan F</t>
  </si>
  <si>
    <t>Johan Kumpulan G</t>
  </si>
  <si>
    <t>Johan Kumpulan H</t>
  </si>
  <si>
    <t>Naib Johan Kumpulan A</t>
  </si>
  <si>
    <t>Naib Johan Kumpulan B</t>
  </si>
  <si>
    <t>Naib Johan Kumpulan C</t>
  </si>
  <si>
    <t>Naib Johan Kumpulan D</t>
  </si>
  <si>
    <t>Naib Johan Kumpulan E</t>
  </si>
  <si>
    <t>Naib Johan Kumpulan F</t>
  </si>
  <si>
    <t>Naib Johan Kumpulan G</t>
  </si>
  <si>
    <t>Naib Johan Kumpulan H</t>
  </si>
  <si>
    <t>Johan Perlawanan 53</t>
  </si>
  <si>
    <t>Johan Perlawanan 54</t>
  </si>
  <si>
    <t>Johan Perlawanan 55</t>
  </si>
  <si>
    <t>Johan Perlawanan 56</t>
  </si>
  <si>
    <t>Johan Perlawanan 57</t>
  </si>
  <si>
    <t>Johan Perlawanan 58</t>
  </si>
  <si>
    <t>Johan Perlawanan 59</t>
  </si>
  <si>
    <t>Johan Perlawanan 60</t>
  </si>
  <si>
    <t>Johan Perlawanan 61</t>
  </si>
  <si>
    <t>Johan Perlawanan 62</t>
  </si>
  <si>
    <t>Johan Perlawanan 63</t>
  </si>
  <si>
    <t>Johan Perlawanan 64</t>
  </si>
  <si>
    <t>Tempat Kedua</t>
  </si>
  <si>
    <t>Johan Perlawanan 49</t>
  </si>
  <si>
    <t>Johan Perlawanan 50</t>
  </si>
  <si>
    <t>Johan Perlawanan 51</t>
  </si>
  <si>
    <t>Johan Perlawanan 52</t>
  </si>
  <si>
    <t>Naib Johan Perlawanan 61</t>
  </si>
  <si>
    <t>Naib Johan Perlawanan 62</t>
  </si>
  <si>
    <t>Zuid Korea</t>
  </si>
  <si>
    <t>Tijdzone</t>
  </si>
  <si>
    <t>Groep Stages</t>
  </si>
  <si>
    <t>Wedstrijden</t>
  </si>
  <si>
    <t>Stand</t>
  </si>
  <si>
    <t>Wedstrijd om de derde plaats</t>
  </si>
  <si>
    <t>Tweede Plaats</t>
  </si>
  <si>
    <t>Normale Tijd</t>
  </si>
  <si>
    <t>Extra Tijd</t>
  </si>
  <si>
    <t>Sieger Spiel 51</t>
  </si>
  <si>
    <t>Sieger Spiel 52</t>
  </si>
  <si>
    <t>Verlierer Spiel 61</t>
  </si>
  <si>
    <t>Verlierer Spiel 62</t>
  </si>
  <si>
    <t>Francúzko</t>
  </si>
  <si>
    <t>Južná Kórea</t>
  </si>
  <si>
    <t>Grécko</t>
  </si>
  <si>
    <t>Anglicko</t>
  </si>
  <si>
    <t>Alžírsko</t>
  </si>
  <si>
    <t>Nemecko</t>
  </si>
  <si>
    <t>Holandsko</t>
  </si>
  <si>
    <t>Japonsko</t>
  </si>
  <si>
    <t>Taliansko</t>
  </si>
  <si>
    <t>Pobrežie Slonoviny</t>
  </si>
  <si>
    <t>Portugalsko</t>
  </si>
  <si>
    <t>Španielsko</t>
  </si>
  <si>
    <t>Švajčiarsko</t>
  </si>
  <si>
    <t>Slovenčina</t>
  </si>
  <si>
    <t>Časové pásmo</t>
  </si>
  <si>
    <t>Skupinová fáza</t>
  </si>
  <si>
    <t>Zápasy</t>
  </si>
  <si>
    <t>Poradie</t>
  </si>
  <si>
    <t>Krajina</t>
  </si>
  <si>
    <t>Výsledok</t>
  </si>
  <si>
    <t>Osemfinále</t>
  </si>
  <si>
    <t>Štvrťfinále</t>
  </si>
  <si>
    <t>Semifinále</t>
  </si>
  <si>
    <t>Zápas o tretie miesto</t>
  </si>
  <si>
    <t>Finále</t>
  </si>
  <si>
    <t>Víťaz</t>
  </si>
  <si>
    <t>Postupujúci</t>
  </si>
  <si>
    <t>Normálny hrací čas</t>
  </si>
  <si>
    <t>Predĺženie</t>
  </si>
  <si>
    <t>Po pok.kopoch</t>
  </si>
  <si>
    <t>Zápas č.</t>
  </si>
  <si>
    <t>Víťaz A skupiny</t>
  </si>
  <si>
    <t>Druhý z A skupiny</t>
  </si>
  <si>
    <t>Druhý z B skupiny</t>
  </si>
  <si>
    <t>Druhý z C skupiny</t>
  </si>
  <si>
    <t>Druhý z D skupiny</t>
  </si>
  <si>
    <t>Druhý z E skupiny</t>
  </si>
  <si>
    <t>Druhý z F skupiny</t>
  </si>
  <si>
    <t>Druhý z G skupiny</t>
  </si>
  <si>
    <t>Druhý z H skupiny</t>
  </si>
  <si>
    <t>Víťaz zápasu č.53</t>
  </si>
  <si>
    <t>Víťaz zápasu č.54</t>
  </si>
  <si>
    <t>Víťaz zápasu č.55</t>
  </si>
  <si>
    <t>Víťaz zápasu č.56</t>
  </si>
  <si>
    <t>Víťaz zápasu č.57</t>
  </si>
  <si>
    <t>Víťaz zápasu č.58</t>
  </si>
  <si>
    <t>Víťaz zápasu č.59</t>
  </si>
  <si>
    <t>Víťaz zápasu č.60</t>
  </si>
  <si>
    <t>Víťaz zápasu č.61</t>
  </si>
  <si>
    <t>Víťaz zápasu č.62</t>
  </si>
  <si>
    <t>Víťaz zápasu č.63</t>
  </si>
  <si>
    <t>Víťaz zápasu č.64</t>
  </si>
  <si>
    <t>Strelené góly</t>
  </si>
  <si>
    <t>Inkasované góly</t>
  </si>
  <si>
    <t>Body</t>
  </si>
  <si>
    <t>Druhé miesto</t>
  </si>
  <si>
    <t>Skupina A</t>
  </si>
  <si>
    <t>Víťaz zápasu č.49</t>
  </si>
  <si>
    <t>Víťaz zápasu č.50</t>
  </si>
  <si>
    <t>Víťaz zápasu č.51</t>
  </si>
  <si>
    <t>Víťaz zápasu č.52</t>
  </si>
  <si>
    <t>Porazený zo zápasu č.61</t>
  </si>
  <si>
    <t>Porazený zo zápasu č.62</t>
  </si>
  <si>
    <t>Penyisihan Grup</t>
  </si>
  <si>
    <t>Babak 16 besar</t>
  </si>
  <si>
    <t>Babak Perempat Final</t>
  </si>
  <si>
    <t xml:space="preserve">Babak Semi Final </t>
  </si>
  <si>
    <t>Perebutan Juara ke-3</t>
  </si>
  <si>
    <t>Sør-Korea</t>
  </si>
  <si>
    <t>Hellas</t>
  </si>
  <si>
    <t>Sveits</t>
  </si>
  <si>
    <t>Tidssone</t>
  </si>
  <si>
    <t>Gruppespill</t>
  </si>
  <si>
    <t>Kamper</t>
  </si>
  <si>
    <t>Max Score &gt;&gt;</t>
  </si>
  <si>
    <t>Match &gt;&gt;</t>
  </si>
  <si>
    <t>Total Point</t>
  </si>
  <si>
    <t>Correct Prediction</t>
  </si>
  <si>
    <t>Player</t>
  </si>
  <si>
    <t>Position</t>
  </si>
  <si>
    <t>Point per Match</t>
  </si>
  <si>
    <t>Point System</t>
  </si>
  <si>
    <t>John 1</t>
  </si>
  <si>
    <t>John 2</t>
  </si>
  <si>
    <t>John 3</t>
  </si>
  <si>
    <t>John 4</t>
  </si>
  <si>
    <t>John 5</t>
  </si>
  <si>
    <t>John 6</t>
  </si>
  <si>
    <t>John 7</t>
  </si>
  <si>
    <t>John 8</t>
  </si>
  <si>
    <t>John 9</t>
  </si>
  <si>
    <t>John 10</t>
  </si>
  <si>
    <t>John 11</t>
  </si>
  <si>
    <t>John 12</t>
  </si>
  <si>
    <t>John 13</t>
  </si>
  <si>
    <t>John 14</t>
  </si>
  <si>
    <t>John 15</t>
  </si>
  <si>
    <t>Include</t>
  </si>
  <si>
    <t>Knock Out Stages</t>
  </si>
  <si>
    <t>Total Correct Prediction</t>
  </si>
  <si>
    <t>ET</t>
  </si>
  <si>
    <t>PSO</t>
  </si>
  <si>
    <t>R16</t>
  </si>
  <si>
    <t>QF</t>
  </si>
  <si>
    <t>SF</t>
  </si>
  <si>
    <t>3rd</t>
  </si>
  <si>
    <t>Group Stages Prediction</t>
  </si>
  <si>
    <t>Knock Out Stages Prediction</t>
  </si>
  <si>
    <t>NT</t>
  </si>
  <si>
    <t>Exclude</t>
  </si>
  <si>
    <t>Result (NT, ET, PSO) &gt;&gt;</t>
  </si>
  <si>
    <t>Croatia</t>
  </si>
  <si>
    <t>Colombia</t>
  </si>
  <si>
    <t>Costa Rica</t>
  </si>
  <si>
    <t>Ecuador</t>
  </si>
  <si>
    <t>Bosnia-Herzegovina</t>
  </si>
  <si>
    <t>Iran</t>
  </si>
  <si>
    <t>Russia</t>
  </si>
  <si>
    <t>Belgium</t>
  </si>
  <si>
    <t>Kroasië</t>
  </si>
  <si>
    <t>Kroacia</t>
  </si>
  <si>
    <t>كرواتيا</t>
  </si>
  <si>
    <t>Хърватия</t>
  </si>
  <si>
    <t>Croàcia</t>
  </si>
  <si>
    <t>克罗地亚</t>
  </si>
  <si>
    <t>克羅地亞</t>
  </si>
  <si>
    <t>Hrvatska</t>
  </si>
  <si>
    <t>Kroatien</t>
  </si>
  <si>
    <t>Kroatië</t>
  </si>
  <si>
    <t>Kroatia</t>
  </si>
  <si>
    <t>Croatie</t>
  </si>
  <si>
    <t>ხორვატია</t>
  </si>
  <si>
    <t xml:space="preserve">Κροατία </t>
  </si>
  <si>
    <t>קרואטיה</t>
  </si>
  <si>
    <t>Horvátország</t>
  </si>
  <si>
    <t>Kroasia</t>
  </si>
  <si>
    <t>Króatía</t>
  </si>
  <si>
    <t>Croazia</t>
  </si>
  <si>
    <t>クロアチア</t>
  </si>
  <si>
    <t>크로아티아</t>
  </si>
  <si>
    <t>Kroatija</t>
  </si>
  <si>
    <t>Хрватска</t>
  </si>
  <si>
    <t>Kroazja</t>
  </si>
  <si>
    <t>کرواسی</t>
  </si>
  <si>
    <t>Chorwacja</t>
  </si>
  <si>
    <t>Croácia</t>
  </si>
  <si>
    <t>Хорватия</t>
  </si>
  <si>
    <t>Chorvátsko</t>
  </si>
  <si>
    <t>Hrvaška</t>
  </si>
  <si>
    <t>Croacia</t>
  </si>
  <si>
    <t>kroatien</t>
  </si>
  <si>
    <t>โครเอเชีย</t>
  </si>
  <si>
    <t>Hırvatistan</t>
  </si>
  <si>
    <t>хорватія</t>
  </si>
  <si>
    <t>Kameruni</t>
  </si>
  <si>
    <t>Австралија</t>
  </si>
  <si>
    <t>Kolumbi</t>
  </si>
  <si>
    <t>كولومبيا</t>
  </si>
  <si>
    <t>Колумбия</t>
  </si>
  <si>
    <t>Colòmbia</t>
  </si>
  <si>
    <t>哥伦比亚</t>
  </si>
  <si>
    <t>哥倫比亞</t>
  </si>
  <si>
    <t>Kolumbija</t>
  </si>
  <si>
    <t>Kolumbia</t>
  </si>
  <si>
    <t>Colombie</t>
  </si>
  <si>
    <t>კოლუმბიის</t>
  </si>
  <si>
    <t>Kolumbien</t>
  </si>
  <si>
    <t>Κολομβία</t>
  </si>
  <si>
    <t>קולומביה</t>
  </si>
  <si>
    <t>Kólumbía</t>
  </si>
  <si>
    <t>コロンビア</t>
  </si>
  <si>
    <t>콜롬비아</t>
  </si>
  <si>
    <t>Колумбија</t>
  </si>
  <si>
    <t>Kolombja</t>
  </si>
  <si>
    <t>کلمبیا</t>
  </si>
  <si>
    <t>Colômbia</t>
  </si>
  <si>
    <t>Columbia</t>
  </si>
  <si>
    <t>kolumbia</t>
  </si>
  <si>
    <t>ประเทศโคลอมเบีย</t>
  </si>
  <si>
    <t>Kolombiya</t>
  </si>
  <si>
    <t>Колумбія</t>
  </si>
  <si>
    <t>Greqia</t>
  </si>
  <si>
    <t>Грција</t>
  </si>
  <si>
    <t>Bregu I Fildisht</t>
  </si>
  <si>
    <t>Брегот на Слоновата Коска</t>
  </si>
  <si>
    <t>Јапонија</t>
  </si>
  <si>
    <t>Kosta Rika</t>
  </si>
  <si>
    <t>كوستاريكا</t>
  </si>
  <si>
    <t>哥斯达黎加</t>
  </si>
  <si>
    <t>哥斯達黎加</t>
  </si>
  <si>
    <t>Kostarika</t>
  </si>
  <si>
    <t>კოსტა რიკის</t>
  </si>
  <si>
    <t>Κόστα Ρίκα</t>
  </si>
  <si>
    <t>קוסטה ריקה</t>
  </si>
  <si>
    <t>コスタリカ</t>
  </si>
  <si>
    <t>코스타리카</t>
  </si>
  <si>
    <t>Костарика</t>
  </si>
  <si>
    <t>کاستاریکا</t>
  </si>
  <si>
    <t>Kostaryka</t>
  </si>
  <si>
    <t>Коста-Рика</t>
  </si>
  <si>
    <t>COSTA RICA</t>
  </si>
  <si>
    <t>คอสตาริกา</t>
  </si>
  <si>
    <t>Коста-Ріка</t>
  </si>
  <si>
    <t>Англија</t>
  </si>
  <si>
    <t>Zvicra</t>
  </si>
  <si>
    <t>Швајцарија</t>
  </si>
  <si>
    <t>Ekuador</t>
  </si>
  <si>
    <t>الاكوادور</t>
  </si>
  <si>
    <t>Еквадор</t>
  </si>
  <si>
    <t>equador</t>
  </si>
  <si>
    <t>厄瓜多尔</t>
  </si>
  <si>
    <t>厄瓜多爾</t>
  </si>
  <si>
    <t>Ekvador</t>
  </si>
  <si>
    <t>Equateur</t>
  </si>
  <si>
    <t>ეკვადორის</t>
  </si>
  <si>
    <t>Εκουαδόρ</t>
  </si>
  <si>
    <t>אקוודור</t>
  </si>
  <si>
    <t>エクアドル</t>
  </si>
  <si>
    <t>에콰도르</t>
  </si>
  <si>
    <t>Ekvadoras</t>
  </si>
  <si>
    <t>Ekwador</t>
  </si>
  <si>
    <t>اکوادور</t>
  </si>
  <si>
    <t>Equador</t>
  </si>
  <si>
    <t>Эквадор</t>
  </si>
  <si>
    <t>Ekvádor</t>
  </si>
  <si>
    <t>เอกวาดอร์</t>
  </si>
  <si>
    <t>Franca</t>
  </si>
  <si>
    <t>Франција</t>
  </si>
  <si>
    <t>Hondurasi</t>
  </si>
  <si>
    <t>Argjentina</t>
  </si>
  <si>
    <t>Bosnië-Herzegowina</t>
  </si>
  <si>
    <t>Bosnje-Hercegovina</t>
  </si>
  <si>
    <t>البوسنة والهرسك</t>
  </si>
  <si>
    <t>Босна и Херцеговина</t>
  </si>
  <si>
    <t>Bòsnia i Hercegovina</t>
  </si>
  <si>
    <t>波斯尼亚和黑塞哥维那</t>
  </si>
  <si>
    <t>波斯尼亞和黑塞哥維那</t>
  </si>
  <si>
    <t>Bosna i Hercegovina</t>
  </si>
  <si>
    <t>Bosnien-Hercegovina</t>
  </si>
  <si>
    <t>Bosnië-Herzegovina</t>
  </si>
  <si>
    <t>Bosnia ja Hertsegovina</t>
  </si>
  <si>
    <t>Bosnie-Herzégovine</t>
  </si>
  <si>
    <t>ბოსნია და ჰერცოგოვინა</t>
  </si>
  <si>
    <t>Bosnien-Herzegowina</t>
  </si>
  <si>
    <t>Βοσνία-Ερζεγοβίνη</t>
  </si>
  <si>
    <t>בוסניה הרצגובינה</t>
  </si>
  <si>
    <t>Bosznia-Hercegovina</t>
  </si>
  <si>
    <t>Bosnía-Hersegóvína</t>
  </si>
  <si>
    <t>Bosnia-Erzegovina</t>
  </si>
  <si>
    <t>ボスニア·ヘルツェゴビナ</t>
  </si>
  <si>
    <t>보스니아 - 헤르체고비나</t>
  </si>
  <si>
    <t>Bosnija ir Hercegovina</t>
  </si>
  <si>
    <t>Bosnia-Hercegovina</t>
  </si>
  <si>
    <t>بوسنی و هرزگوین</t>
  </si>
  <si>
    <t>Bośnia i Hercegowina</t>
  </si>
  <si>
    <t>Bósnia-Herzegovina</t>
  </si>
  <si>
    <t>Bosnia-Herțegovina</t>
  </si>
  <si>
    <t>Босния и Герцеговина</t>
  </si>
  <si>
    <t>Bosna a Hercegovina</t>
  </si>
  <si>
    <t>Bosna in Hercegovina</t>
  </si>
  <si>
    <t>Bosnien och Hercegovina</t>
  </si>
  <si>
    <t>บอสเนีย</t>
  </si>
  <si>
    <t>Bosna-Hersek</t>
  </si>
  <si>
    <t>Боснія і Герцеговина</t>
  </si>
  <si>
    <t>ايران</t>
  </si>
  <si>
    <t>Иран</t>
  </si>
  <si>
    <t>伊朗</t>
  </si>
  <si>
    <t>ირანის</t>
  </si>
  <si>
    <t>Ιράν</t>
  </si>
  <si>
    <t>אירן</t>
  </si>
  <si>
    <t>Irán</t>
  </si>
  <si>
    <t>Íran</t>
  </si>
  <si>
    <t>イラン</t>
  </si>
  <si>
    <t>이란</t>
  </si>
  <si>
    <t>Iranas</t>
  </si>
  <si>
    <t>ایران</t>
  </si>
  <si>
    <t>Irã</t>
  </si>
  <si>
    <t>อิหร่าน</t>
  </si>
  <si>
    <t>İran</t>
  </si>
  <si>
    <t>Іран</t>
  </si>
  <si>
    <t>Нигер</t>
  </si>
  <si>
    <t>Gjermania</t>
  </si>
  <si>
    <t>Германија</t>
  </si>
  <si>
    <t>SHBA</t>
  </si>
  <si>
    <t>België</t>
  </si>
  <si>
    <t>Belgjikë</t>
  </si>
  <si>
    <t>بلجيكا</t>
  </si>
  <si>
    <t>Белгия</t>
  </si>
  <si>
    <t>Bèlgica</t>
  </si>
  <si>
    <t>比利时</t>
  </si>
  <si>
    <t>比利時</t>
  </si>
  <si>
    <t>Belgija</t>
  </si>
  <si>
    <t>Belgien</t>
  </si>
  <si>
    <t>Belgia</t>
  </si>
  <si>
    <t>Belgique</t>
  </si>
  <si>
    <t>ბელგიის</t>
  </si>
  <si>
    <t>Βέλγιο</t>
  </si>
  <si>
    <t>בלגיה</t>
  </si>
  <si>
    <t>Belgía</t>
  </si>
  <si>
    <t>Belgio</t>
  </si>
  <si>
    <t>ベルギー</t>
  </si>
  <si>
    <t>벨기에</t>
  </si>
  <si>
    <t>Белгија</t>
  </si>
  <si>
    <t>Belġju</t>
  </si>
  <si>
    <t>بلژیک</t>
  </si>
  <si>
    <t>Bélgica</t>
  </si>
  <si>
    <t>Бельгия</t>
  </si>
  <si>
    <t>belgicko</t>
  </si>
  <si>
    <t>เบลเยี่ยม</t>
  </si>
  <si>
    <t>Belçika</t>
  </si>
  <si>
    <t>Бельгія</t>
  </si>
  <si>
    <t>Bỉ</t>
  </si>
  <si>
    <t>Algjeria</t>
  </si>
  <si>
    <t>Rusland</t>
  </si>
  <si>
    <t>Rusi</t>
  </si>
  <si>
    <t>روسيا</t>
  </si>
  <si>
    <t>Русия</t>
  </si>
  <si>
    <t>Rússia</t>
  </si>
  <si>
    <t>俄国</t>
  </si>
  <si>
    <t>俄國</t>
  </si>
  <si>
    <t>Rusija</t>
  </si>
  <si>
    <t>Venäjä</t>
  </si>
  <si>
    <t>Russie</t>
  </si>
  <si>
    <t>რუსეთის</t>
  </si>
  <si>
    <t>Russland</t>
  </si>
  <si>
    <t>Ρωσία</t>
  </si>
  <si>
    <t>רוסיה</t>
  </si>
  <si>
    <t>Oroszország</t>
  </si>
  <si>
    <t>Rusia</t>
  </si>
  <si>
    <t>Rússland</t>
  </si>
  <si>
    <t>ロシア</t>
  </si>
  <si>
    <t>러시아</t>
  </si>
  <si>
    <t>Русија</t>
  </si>
  <si>
    <t>Russja</t>
  </si>
  <si>
    <t>روسیه</t>
  </si>
  <si>
    <t>Rosja</t>
  </si>
  <si>
    <t>Россия</t>
  </si>
  <si>
    <t>Rusko</t>
  </si>
  <si>
    <t>Ryssland</t>
  </si>
  <si>
    <t>ประเทศรัสเซีย</t>
  </si>
  <si>
    <t>Rusya</t>
  </si>
  <si>
    <t>Росія</t>
  </si>
  <si>
    <t>Nga</t>
  </si>
  <si>
    <t>Korea Jugore</t>
  </si>
  <si>
    <t>World Cup 2014 Schedule and Scoresheet</t>
  </si>
  <si>
    <t>World Cup 2014 Bylae en score</t>
  </si>
  <si>
    <t>جدول ونتائج نهائيات كأس العالم 2014</t>
  </si>
  <si>
    <t>Световно първенство 2014 График и бланката</t>
  </si>
  <si>
    <t>Copa del Món de 2014 Horari i Puntuacions</t>
  </si>
  <si>
    <t>2014年世界杯比赛时间表和计分表</t>
  </si>
  <si>
    <t>2014年世界盃賽程表</t>
  </si>
  <si>
    <t>World Cup 2014 Schedule i Scoresheet</t>
  </si>
  <si>
    <t>World Cup 2014 Kampprogram og Stillinger</t>
  </si>
  <si>
    <t>Wereldkampioenschap 2014 Schema en Scorebord</t>
  </si>
  <si>
    <t>Jalkapallon MM 2014: otteluohjelma ja tulokset</t>
  </si>
  <si>
    <t>Programme et Feuille de match de la Coupe du Monde 2014</t>
  </si>
  <si>
    <t>2014 წლის მსოფლიო ჩემპიონატის განრიგი და ცხრილი</t>
  </si>
  <si>
    <t>Weltmeisterschaft 2014 Spielplan und Ergebnisse</t>
  </si>
  <si>
    <t>Πρόγραμμα και Βαθμολογία Παγκοσμίου Κυπέλλου 2014</t>
  </si>
  <si>
    <t xml:space="preserve">גביע העולם 2014 - משחקי ולוח תוצאות </t>
  </si>
  <si>
    <t>2014-es világbajnokság menetrend és ponttáblázat</t>
  </si>
  <si>
    <t>Jadwal Pertandingan dan Lembar Skor Piala Dunia 2014</t>
  </si>
  <si>
    <t>Heimsmeistarakeppni 2014 tíma og stigatafla</t>
  </si>
  <si>
    <t>Coppa del Mondo 2014 programma e risultati</t>
  </si>
  <si>
    <t>ワールドカップ2014のスケジュールと得点</t>
  </si>
  <si>
    <t>2014 독일 월드컵 일정 및 Scoresheet</t>
  </si>
  <si>
    <t>World Cup 2014 Užimtumo ir varžybos</t>
  </si>
  <si>
    <t>Jadual Piala Dunia 2014 dan Keputusan</t>
  </si>
  <si>
    <t>Fotball-VM 2014 Kampprogram og Resultatliste</t>
  </si>
  <si>
    <t>برنامه و جدول نتایج بازیهای جام جهانی 2014</t>
  </si>
  <si>
    <t>Mistrzostwa Swiata 2014 Program i Lista wynikow</t>
  </si>
  <si>
    <t>Tabela da Copa do Mundo 2014</t>
  </si>
  <si>
    <t>Campeonato Mundial 2014 Horários e Resultados</t>
  </si>
  <si>
    <t>Programul si Scorurile Cupei Mondiale 2014</t>
  </si>
  <si>
    <t>Расписание и таблица Чемпионата мира 2014</t>
  </si>
  <si>
    <t>Светско првенство 2014 Распореди и Сцоресхеет</t>
  </si>
  <si>
    <t>Program a výsledky MS 2014</t>
  </si>
  <si>
    <t>Copa del Mundo de 2014, Horario y Puntuaciones</t>
  </si>
  <si>
    <t>Copa del Mundo 2014 Horario y Resultados</t>
  </si>
  <si>
    <t>VM 2014 spelplan och resultat</t>
  </si>
  <si>
    <t>2014 Dünya Kupası Takvim ve Skor Tablosu</t>
  </si>
  <si>
    <t>Чемпіонат світу з футболу 2014. Розклад ігр та становище команд</t>
  </si>
  <si>
    <t>Lịch Thi Đấu và Bảng Tỷ Số World Cup 2014</t>
  </si>
  <si>
    <t>World Cup 2014 Champion</t>
  </si>
  <si>
    <t>World Cup 2014 Kampioen</t>
  </si>
  <si>
    <t>بطل العالم لكرة القدم 2014</t>
  </si>
  <si>
    <t>Световно първенство 2014 Шампион</t>
  </si>
  <si>
    <t>Campió de la Copa del Món 2014</t>
  </si>
  <si>
    <t>2014年世界杯冠军</t>
  </si>
  <si>
    <t>2014年世界杯冠軍</t>
  </si>
  <si>
    <t>Svjetsko prvenstvo 2014 prvak</t>
  </si>
  <si>
    <t>World Cup 2014 Vinder</t>
  </si>
  <si>
    <t>Wereldkampioenschap 2014 Kampioen</t>
  </si>
  <si>
    <t>Maailmanmestari 2014</t>
  </si>
  <si>
    <t xml:space="preserve">Champion Coupe du Monde 2014 </t>
  </si>
  <si>
    <t>2014 წლის მსოფლიო ჩემპიონი</t>
  </si>
  <si>
    <t>Weltmeister 2014</t>
  </si>
  <si>
    <t>Νικητής Παγκοσμίου Κυπέλλου 2014</t>
  </si>
  <si>
    <t>מחזיקי גביע העולם 2014</t>
  </si>
  <si>
    <t>2014 futball világbajnoka</t>
  </si>
  <si>
    <t>Juara Dunia 2014</t>
  </si>
  <si>
    <t xml:space="preserve">Heimsmeistarakeppni 2014 </t>
  </si>
  <si>
    <t>Campione del Mondo 2014</t>
  </si>
  <si>
    <t>ワールドカップ2014チャンピオン</t>
  </si>
  <si>
    <t>2014 독일 월드컵 챔피언</t>
  </si>
  <si>
    <t>Johan Piala Dunia 2014</t>
  </si>
  <si>
    <t>Vinner Fotball-VM 2014</t>
  </si>
  <si>
    <t>قهرمان جام جهانی 2014</t>
  </si>
  <si>
    <t>Mistrz Swiata 2014</t>
  </si>
  <si>
    <t>Campeão da Copa do Mundo 2014</t>
  </si>
  <si>
    <t>Campeão Mundial 2014</t>
  </si>
  <si>
    <t>Campionul Mondial 2014</t>
  </si>
  <si>
    <t>Чемпион мира 2014</t>
  </si>
  <si>
    <t>Светски куп 2014 победник</t>
  </si>
  <si>
    <t>Majster sveta 2014</t>
  </si>
  <si>
    <t>Campeón de la Copa del Mundo 2014</t>
  </si>
  <si>
    <t xml:space="preserve">Campeón de la Copa del Mundo 2014 </t>
  </si>
  <si>
    <t>Världsmästare 2014</t>
  </si>
  <si>
    <t>แชมป์ฟุตบอลโลก 2014</t>
  </si>
  <si>
    <t>2014 Dünya Kupası Şampiyonu</t>
  </si>
  <si>
    <t>Чемпіон світу з футболу 2014</t>
  </si>
  <si>
    <t>Vô Địch World Cup 2014</t>
  </si>
  <si>
    <t>Current Score</t>
  </si>
  <si>
    <t>Current Rank</t>
  </si>
  <si>
    <t>Total</t>
  </si>
  <si>
    <t>Name</t>
  </si>
  <si>
    <t>Knock Out</t>
  </si>
  <si>
    <t>total</t>
  </si>
  <si>
    <t>rank based score</t>
  </si>
  <si>
    <t>rank based total prediction</t>
  </si>
  <si>
    <t>rank based on #</t>
  </si>
  <si>
    <t>final rank</t>
  </si>
  <si>
    <t>group</t>
  </si>
  <si>
    <t>GROUP</t>
  </si>
  <si>
    <t>Extra Time Score &gt;&gt;</t>
  </si>
  <si>
    <t>Penalty Kick Score &gt;&gt;</t>
  </si>
  <si>
    <t>Filename &gt;&gt;</t>
  </si>
  <si>
    <t xml:space="preserve"> </t>
  </si>
  <si>
    <t>ko</t>
  </si>
  <si>
    <t>Leaderboard Policy</t>
  </si>
  <si>
    <t>All players will be ranked based on</t>
  </si>
  <si>
    <t>1. Points earned</t>
  </si>
  <si>
    <t>&gt; Type player's name at Player Name column</t>
  </si>
  <si>
    <t>&gt; If there are more than one player are having the same name, you should put additional marker to differentiate the name</t>
  </si>
  <si>
    <t>Player (2)</t>
  </si>
  <si>
    <t>Player (3)</t>
  </si>
  <si>
    <t>Player (4)</t>
  </si>
  <si>
    <t>Player (5)</t>
  </si>
  <si>
    <t>Player (6)</t>
  </si>
  <si>
    <t>Player (7)</t>
  </si>
  <si>
    <t>Player (8)</t>
  </si>
  <si>
    <t>Player (9)</t>
  </si>
  <si>
    <t>Player (10)</t>
  </si>
  <si>
    <t>Player (11)</t>
  </si>
  <si>
    <t>Player (12)</t>
  </si>
  <si>
    <t>Player (13)</t>
  </si>
  <si>
    <t>Player (14)</t>
  </si>
  <si>
    <t>Player (15)</t>
  </si>
  <si>
    <t>rm</t>
  </si>
  <si>
    <t>© 2014 - exceltemplate.net</t>
  </si>
  <si>
    <t>© 2014 - Exceltemplate.net</t>
  </si>
  <si>
    <t>SOCCER LEAGUE CREATOR</t>
  </si>
  <si>
    <t>This is the template to emulate Italian Serie A,Spanish La Liga, Bundesliga etc. It will allow you to create your own soccer competition or emulate any soccer competition in the world based on common tie-breaker regulation. Download and try the lite version to understand the template.</t>
  </si>
  <si>
    <t>Price</t>
  </si>
  <si>
    <t>Payment Method</t>
  </si>
  <si>
    <t>Excelindo Soccer League Creator Lite (with Fixtures Generator)</t>
  </si>
  <si>
    <t>Free</t>
  </si>
  <si>
    <t>Download</t>
  </si>
  <si>
    <t>Excelindo Soccer League Creator Lite (without Fixtures Generator)</t>
  </si>
  <si>
    <t>Excelindo Soccer League Creator Pro</t>
  </si>
  <si>
    <t>USD 15.99</t>
  </si>
  <si>
    <t>Excelindo Soccer League Creator Pro Password (For layout customization on shown worksheets)</t>
  </si>
  <si>
    <t>USD 5.99</t>
  </si>
  <si>
    <t>SOCCER TOURNAMENT CREATOR</t>
  </si>
  <si>
    <t>This is the template to emulate European Champions League competition. It will allow you to create your own soccer tournament or emulate any soccer tournament in the world based on common tie-breaker regulation. Download and try the lite version to understand the template.</t>
  </si>
  <si>
    <t>Excelindo Soccer Tournament Creator Lite (with Fixtures Generator)</t>
  </si>
  <si>
    <t>Excelindo Soccer Tournament Creator Lite (without Fixtures Generator)</t>
  </si>
  <si>
    <t>Excelindo Soccer Tournament Creator Pro (all shown worksheets are unlocked)</t>
  </si>
  <si>
    <t>USD 20.99</t>
  </si>
  <si>
    <t>EUROPEAN FOOTBALL LEAGUE FIXTURES AND SCORESHEET</t>
  </si>
  <si>
    <t>If you just want to emulate top 4 Europe Football League, or just want to copy it to other leagues with related league tie-breaker regulation, you can purchase the unlocked one. You can use it for future competition as long as the regulation is not changed.</t>
  </si>
  <si>
    <t>Italian Serie A 2013/2014</t>
  </si>
  <si>
    <t>Spanish La Liga 2013/2014</t>
  </si>
  <si>
    <t>Bundesliga 2013/2014</t>
  </si>
  <si>
    <t>French Ligue 1 2013/2014</t>
  </si>
  <si>
    <t>Serie A - La Liga - Bundesliga - Ligue 1 unlocked</t>
  </si>
  <si>
    <t>USD 11.99</t>
  </si>
  <si>
    <t>CHAMPIONS LEAGUE FIXTURES AND SCORESHEET</t>
  </si>
  <si>
    <t>The unlocked one is built on single code which intended only for Champions League competition. You can learn the code, tweak it or just modify its layout.</t>
  </si>
  <si>
    <t>UEFA Champions League 2013/2014</t>
  </si>
  <si>
    <t>UEFA Champions League 2013/2014 - unlocked</t>
  </si>
  <si>
    <t>USD 10</t>
  </si>
  <si>
    <r>
      <t xml:space="preserve">Notes : </t>
    </r>
    <r>
      <rPr>
        <u/>
        <sz val="10"/>
        <rFont val="Calibri"/>
        <family val="2"/>
        <scheme val="minor"/>
      </rPr>
      <t>Prices are subject to change without prior notice</t>
    </r>
  </si>
  <si>
    <t>WORLD CUP SCHEDULE AND SCORESHEET</t>
  </si>
  <si>
    <t>WORLD CUP OFFICE POOL</t>
  </si>
  <si>
    <t>This is the template that is designed to help you managing pool competition among your friends, colleagues, relatives etc. There are up until 100 people can be involved in this prediction game from the start until the end of World Cup tournament</t>
  </si>
  <si>
    <t>FIFA World Cup 2014 Office Pool Lite - Up to 15 Players</t>
  </si>
  <si>
    <t>USD 8.99</t>
  </si>
  <si>
    <t>FIFA World Cup 2014 Office Pool Pro - Up to 100 Players - unlocked</t>
  </si>
  <si>
    <t>FOOTBALL FORMATION CREATOR</t>
  </si>
  <si>
    <t>FOOTBALL STAR PHOTO CALENDAR CREATOR</t>
  </si>
  <si>
    <t>This is the template to emulate your player position in football field.</t>
  </si>
  <si>
    <t xml:space="preserve">This is the template that will help you create your own photo calendar. You can put your favorite team star or 12 players of your choice as calendar background. With capability to customize its date to suit your agenda, it should become your calendar best choice </t>
  </si>
  <si>
    <t>Football Formation Creator Lite - 3 Non Customized templates with Premade Formation (4-4-2, 4-4-2 Diamond, 4-3-3)</t>
  </si>
  <si>
    <t>Photo Calendar Creator Lite - 1 Model (Single Photo only)</t>
  </si>
  <si>
    <t>Football Formation Creator Pro - 10 Customized templates with Premade Formation</t>
  </si>
  <si>
    <t>USD 6.99</t>
  </si>
  <si>
    <t>Photo Calendar Creator Pro - 3 Models (Single Photo Landscape, 12 Photos Landscape, 12 Photos Portrait)</t>
  </si>
  <si>
    <t>USD 5</t>
  </si>
  <si>
    <t>END USER LICENSE AGREEMENT</t>
  </si>
  <si>
    <t>&lt;&lt; remember to replace the filename at the left box if you have saved this file as another name</t>
  </si>
  <si>
    <t>3. Order of players in PlayerList</t>
  </si>
  <si>
    <t>2. Correct Match and Score Prediction</t>
  </si>
  <si>
    <r>
      <t xml:space="preserve">o Point for </t>
    </r>
    <r>
      <rPr>
        <b/>
        <sz val="11"/>
        <rFont val="Calibri"/>
        <family val="2"/>
        <scheme val="minor"/>
      </rPr>
      <t>correct match result (win-loss) prediction</t>
    </r>
    <r>
      <rPr>
        <sz val="11"/>
        <rFont val="Calibri"/>
        <family val="2"/>
        <scheme val="minor"/>
      </rPr>
      <t xml:space="preserve"> only &gt;&gt;</t>
    </r>
  </si>
  <si>
    <r>
      <t xml:space="preserve">o Point for </t>
    </r>
    <r>
      <rPr>
        <b/>
        <sz val="11"/>
        <rFont val="Calibri"/>
        <family val="2"/>
        <scheme val="minor"/>
      </rPr>
      <t>correct match result</t>
    </r>
    <r>
      <rPr>
        <sz val="11"/>
        <rFont val="Calibri"/>
        <family val="2"/>
        <scheme val="minor"/>
      </rPr>
      <t xml:space="preserve"> </t>
    </r>
    <r>
      <rPr>
        <b/>
        <sz val="11"/>
        <rFont val="Calibri"/>
        <family val="2"/>
        <scheme val="minor"/>
      </rPr>
      <t>(win-draw-loss)</t>
    </r>
    <r>
      <rPr>
        <sz val="11"/>
        <rFont val="Calibri"/>
        <family val="2"/>
        <scheme val="minor"/>
      </rPr>
      <t xml:space="preserve">  with </t>
    </r>
    <r>
      <rPr>
        <b/>
        <sz val="11"/>
        <rFont val="Calibri"/>
        <family val="2"/>
        <scheme val="minor"/>
      </rPr>
      <t>correct score prediction</t>
    </r>
    <r>
      <rPr>
        <sz val="11"/>
        <rFont val="Calibri"/>
        <family val="2"/>
        <scheme val="minor"/>
      </rPr>
      <t xml:space="preserve"> &gt;&gt;</t>
    </r>
  </si>
  <si>
    <r>
      <t xml:space="preserve">o Point for </t>
    </r>
    <r>
      <rPr>
        <b/>
        <sz val="11"/>
        <rFont val="Calibri"/>
        <family val="2"/>
        <scheme val="minor"/>
      </rPr>
      <t xml:space="preserve">correct match result (win-loss) </t>
    </r>
    <r>
      <rPr>
        <sz val="11"/>
        <rFont val="Calibri"/>
        <family val="2"/>
        <scheme val="minor"/>
      </rPr>
      <t xml:space="preserve">with </t>
    </r>
    <r>
      <rPr>
        <b/>
        <sz val="11"/>
        <rFont val="Calibri"/>
        <family val="2"/>
        <scheme val="minor"/>
      </rPr>
      <t>correct score difference prediction</t>
    </r>
    <r>
      <rPr>
        <sz val="11"/>
        <rFont val="Calibri"/>
        <family val="2"/>
        <scheme val="minor"/>
      </rPr>
      <t xml:space="preserve"> or </t>
    </r>
    <r>
      <rPr>
        <b/>
        <sz val="11"/>
        <rFont val="Calibri"/>
        <family val="2"/>
        <scheme val="minor"/>
      </rPr>
      <t>correct draw prediction</t>
    </r>
    <r>
      <rPr>
        <sz val="11"/>
        <rFont val="Calibri"/>
        <family val="2"/>
        <scheme val="minor"/>
      </rPr>
      <t xml:space="preserve"> only &gt;&gt;</t>
    </r>
  </si>
  <si>
    <t>The unlocked one is built on single code which intended only for World Cup competition. You can learn the code, tweak it or just modify its layout. Only template with National Flag is unlocked since all are sharing the same formula</t>
  </si>
  <si>
    <t>FIFA World Cup 2014 Schedule and Scoresheet with National Flag</t>
  </si>
  <si>
    <t>FIFA World Cup 2014 Schedule and Scoresheet with National Flag - unlocked</t>
  </si>
  <si>
    <t>mexico</t>
  </si>
  <si>
    <t>slonokoščena obala</t>
  </si>
  <si>
    <t>ZDA</t>
  </si>
  <si>
    <t>Јазик</t>
  </si>
  <si>
    <t>Zona kohore</t>
  </si>
  <si>
    <t>Временска зона</t>
  </si>
  <si>
    <t>Faza grupore</t>
  </si>
  <si>
    <t>Натпревари по групи</t>
  </si>
  <si>
    <t>Faze Group</t>
  </si>
  <si>
    <t>รอบแบ่งกลุ่ม</t>
  </si>
  <si>
    <t>Ndeshjet</t>
  </si>
  <si>
    <t>Натпревари</t>
  </si>
  <si>
    <t>Tekme</t>
  </si>
  <si>
    <t>กำหนดการแข่งขัน</t>
  </si>
  <si>
    <t>Radhitja</t>
  </si>
  <si>
    <t>резултати по групи</t>
  </si>
  <si>
    <t>Lestvica</t>
  </si>
  <si>
    <t>ตารางคะแนน</t>
  </si>
  <si>
    <t>Grupet</t>
  </si>
  <si>
    <t>skupina</t>
  </si>
  <si>
    <t>Држава</t>
  </si>
  <si>
    <t>ocena</t>
  </si>
  <si>
    <t>čas</t>
  </si>
  <si>
    <t>16 finalja</t>
  </si>
  <si>
    <t>Ottavi di finale</t>
  </si>
  <si>
    <t>Шеснаесеттина-финале</t>
  </si>
  <si>
    <t>Oitavos de Final</t>
  </si>
  <si>
    <t>Okrogla dne 16.</t>
  </si>
  <si>
    <t>Çerekfinale</t>
  </si>
  <si>
    <t>Четврт-финале</t>
  </si>
  <si>
    <t>četrtfinala</t>
  </si>
  <si>
    <t>รอบก่อนรองชนะเลิศ</t>
  </si>
  <si>
    <t>Gjysëmfinale</t>
  </si>
  <si>
    <t>Meias Finais</t>
  </si>
  <si>
    <t>polfinala</t>
  </si>
  <si>
    <t>Ndeshja për vendin e tretë</t>
  </si>
  <si>
    <t>Меч за трето место</t>
  </si>
  <si>
    <t>Apuramento 3º e 4º Lugar</t>
  </si>
  <si>
    <t>Finalja</t>
  </si>
  <si>
    <t>Финале</t>
  </si>
  <si>
    <t>final</t>
  </si>
  <si>
    <t>Fitues</t>
  </si>
  <si>
    <t>Второ место</t>
  </si>
  <si>
    <t>runner up</t>
  </si>
  <si>
    <t>Koha normale</t>
  </si>
  <si>
    <t>Стандардно време</t>
  </si>
  <si>
    <t>normalno čas</t>
  </si>
  <si>
    <t>Koha shtesë</t>
  </si>
  <si>
    <t>Екстра време</t>
  </si>
  <si>
    <t>Extra čas</t>
  </si>
  <si>
    <t>Gjuajtje nga penaltiku</t>
  </si>
  <si>
    <t>Пенали</t>
  </si>
  <si>
    <t>Penáltis</t>
  </si>
  <si>
    <t>Penalov</t>
  </si>
  <si>
    <t>prvak</t>
  </si>
  <si>
    <t xml:space="preserve">Ndeshje </t>
  </si>
  <si>
    <t>Натпревар #</t>
  </si>
  <si>
    <t>Fitues i grupit A</t>
  </si>
  <si>
    <t>Победник од група  А</t>
  </si>
  <si>
    <t>Победитель группы A</t>
  </si>
  <si>
    <t>Zmagovalec skupine</t>
  </si>
  <si>
    <t>Fitues i grupit B</t>
  </si>
  <si>
    <t>Победник од група  B</t>
  </si>
  <si>
    <t>B Zmagovalec skupine</t>
  </si>
  <si>
    <t>Fitues i grupit C</t>
  </si>
  <si>
    <t>Победник од група  C</t>
  </si>
  <si>
    <t>Skupina C Zmagovalec</t>
  </si>
  <si>
    <t>Fitues i grupit D</t>
  </si>
  <si>
    <t>Победник од група  D</t>
  </si>
  <si>
    <t>Fitues i grupit E</t>
  </si>
  <si>
    <t>Победник од група  E</t>
  </si>
  <si>
    <t>Skupina E zmagovalec</t>
  </si>
  <si>
    <t>Fitues i grupit F</t>
  </si>
  <si>
    <t>Победник од група  F</t>
  </si>
  <si>
    <t>Skupina F zmagovalec</t>
  </si>
  <si>
    <t>Fitues i grupit G</t>
  </si>
  <si>
    <t>Победник од група  G</t>
  </si>
  <si>
    <t>Победитель группы G</t>
  </si>
  <si>
    <t>Skupina G Zmagovalec</t>
  </si>
  <si>
    <t>Fitues i grupit H</t>
  </si>
  <si>
    <t>Победник од група  H</t>
  </si>
  <si>
    <t>Победитель группы H</t>
  </si>
  <si>
    <t>H zmagovalec Skupina</t>
  </si>
  <si>
    <t>Vendi i dytë i Grupit A</t>
  </si>
  <si>
    <t>Второ место од група A</t>
  </si>
  <si>
    <t>SkupinaRunner Up</t>
  </si>
  <si>
    <t>Vendi i dytë i Grupit B</t>
  </si>
  <si>
    <t>Второ место од група B</t>
  </si>
  <si>
    <t>Vendi i dytë i Grupit C</t>
  </si>
  <si>
    <t>Второ место од група C</t>
  </si>
  <si>
    <t>Vendi i dytë i Grupit D</t>
  </si>
  <si>
    <t>Второ место од група D</t>
  </si>
  <si>
    <t>Vendi i dytë i Grupit E</t>
  </si>
  <si>
    <t>Второ место од група E</t>
  </si>
  <si>
    <t>Vendi i dytë i Grupit F</t>
  </si>
  <si>
    <t>Второ место од група F</t>
  </si>
  <si>
    <t>Vendi i dytë i Grupit G</t>
  </si>
  <si>
    <t>Второ место од група G</t>
  </si>
  <si>
    <t>Vendi i dytë i Grupit H</t>
  </si>
  <si>
    <t>Второ место од група H</t>
  </si>
  <si>
    <t>Fitues i ndeshjes së 53</t>
  </si>
  <si>
    <t>Победник од меч 53</t>
  </si>
  <si>
    <t>ผู้ชนะคู่ที่ 53</t>
  </si>
  <si>
    <t>Fitues i ndeshjes së 54</t>
  </si>
  <si>
    <t>Победник од меч 54</t>
  </si>
  <si>
    <t>ผู้ชนะคู่ที่ 54</t>
  </si>
  <si>
    <t>Fitues i ndeshjes së 55</t>
  </si>
  <si>
    <t>Победник од меч 55</t>
  </si>
  <si>
    <t>ผู้ชนะคู่ที่ 55</t>
  </si>
  <si>
    <t>Fitues i ndeshjes së 56</t>
  </si>
  <si>
    <t>Победник од меч 56</t>
  </si>
  <si>
    <t>ผู้ชนะคู่ที่ 56</t>
  </si>
  <si>
    <t>Fitues i ndeshjes së 57</t>
  </si>
  <si>
    <t>Победник од меч 57</t>
  </si>
  <si>
    <t>ผู้ชนะคู่ที่ 57</t>
  </si>
  <si>
    <t>Fitues i ndeshjes së 58</t>
  </si>
  <si>
    <t>Победник од меч 58</t>
  </si>
  <si>
    <t>ผู้ชนะคู่ที่ 58</t>
  </si>
  <si>
    <t>Fitues i ndeshjes së 59</t>
  </si>
  <si>
    <t>Победник од меч 59</t>
  </si>
  <si>
    <t>ผู้ชนะคู่ที่ 59</t>
  </si>
  <si>
    <t>Fitues i ndeshjes së 60</t>
  </si>
  <si>
    <t>Победник од меч 60</t>
  </si>
  <si>
    <t>ผู้ชนะคู่ที่ 60</t>
  </si>
  <si>
    <t>Fitues i ndeshjes së 61</t>
  </si>
  <si>
    <t>Победник од меч 61</t>
  </si>
  <si>
    <t>ผู้ชนะคู่ที่ 61</t>
  </si>
  <si>
    <t>Fitues i ndeshjes së 62</t>
  </si>
  <si>
    <t>Победник од меч 62</t>
  </si>
  <si>
    <t>ผู้ชนะคู่ที่ 62</t>
  </si>
  <si>
    <t>Fitues i ndeshjes së 63</t>
  </si>
  <si>
    <t>Победник од меч 63</t>
  </si>
  <si>
    <t>ผู้ชนะคู่ที่ 63</t>
  </si>
  <si>
    <t>Fitues i ndeshjes së 64</t>
  </si>
  <si>
    <t>Победник од меч 64</t>
  </si>
  <si>
    <t>ผู้ชนะคู่ที่ 64</t>
  </si>
  <si>
    <t>Lojë (L)</t>
  </si>
  <si>
    <t>Изиграни</t>
  </si>
  <si>
    <t>Igrano</t>
  </si>
  <si>
    <t>Fitore (F)</t>
  </si>
  <si>
    <t>Победени</t>
  </si>
  <si>
    <t>win</t>
  </si>
  <si>
    <t>Barazim (B)</t>
  </si>
  <si>
    <t>Нерешени</t>
  </si>
  <si>
    <t>neodločeno</t>
  </si>
  <si>
    <t>Humbje (H)</t>
  </si>
  <si>
    <t>Изгубени</t>
  </si>
  <si>
    <t>Golat e shënuar</t>
  </si>
  <si>
    <t>Голови дадени</t>
  </si>
  <si>
    <t>Ekipo za</t>
  </si>
  <si>
    <t>Golat e pranuar</t>
  </si>
  <si>
    <t>Голови примени</t>
  </si>
  <si>
    <t>Ekipo proti</t>
  </si>
  <si>
    <t>Pikë</t>
  </si>
  <si>
    <t>Поени</t>
  </si>
  <si>
    <t>drugo mesto</t>
  </si>
  <si>
    <t>Група В</t>
  </si>
  <si>
    <t>skupina B</t>
  </si>
  <si>
    <t>skupina C</t>
  </si>
  <si>
    <t>skupina D</t>
  </si>
  <si>
    <t>skupina E</t>
  </si>
  <si>
    <t>skupina F</t>
  </si>
  <si>
    <t>skupina G</t>
  </si>
  <si>
    <t>skupina H</t>
  </si>
  <si>
    <t>Fitues i ndeshjes së 49</t>
  </si>
  <si>
    <t>Победник од меч 49</t>
  </si>
  <si>
    <t>Match 49 zguba</t>
  </si>
  <si>
    <t>ผู้ชนะคู่ที่ 49</t>
  </si>
  <si>
    <t>Fitues i ndeshjes së 50</t>
  </si>
  <si>
    <t>Победник од меч 50</t>
  </si>
  <si>
    <t>Match 50 zguba</t>
  </si>
  <si>
    <t>ผู้ชนะคู่ที่ 50</t>
  </si>
  <si>
    <t>Fitues i ndeshjes së 51</t>
  </si>
  <si>
    <t>Победник од меч 51</t>
  </si>
  <si>
    <t>Match 51 zguba</t>
  </si>
  <si>
    <t>ผู้ชนะคู่ที่ 51</t>
  </si>
  <si>
    <t>Fitues i ndeshjes së 52</t>
  </si>
  <si>
    <t>Победник од меч 52</t>
  </si>
  <si>
    <t>Match 52 zguba</t>
  </si>
  <si>
    <t>ผู้ชนะคู่ที่ 52</t>
  </si>
  <si>
    <t>Humbës i ndeshjes së 61</t>
  </si>
  <si>
    <t>Губитник од меч 61</t>
  </si>
  <si>
    <t>Match 61 zguba</t>
  </si>
  <si>
    <t>Humbës i ndeshjes së 62</t>
  </si>
  <si>
    <t>Губитник од меч 62</t>
  </si>
  <si>
    <t>Match 62 zguba</t>
  </si>
  <si>
    <t>Kupa Botërore 2014 - Orari dhe rezultatet</t>
  </si>
  <si>
    <t>Распоред за Светското Првенство 2014</t>
  </si>
  <si>
    <t>Svetovni pokal 2014 Urnik in zapisnik</t>
  </si>
  <si>
    <t>กำหนดการแข่งขันและตารางคะแนนฟุตบอลโลก 2014</t>
  </si>
  <si>
    <t>Kampion i Kupës Botërore 2014</t>
  </si>
  <si>
    <t>Шампион на Светското Првенство 2014</t>
  </si>
  <si>
    <t>Svetovno prvenstvo 2014 Champion</t>
  </si>
  <si>
    <t>16强</t>
  </si>
  <si>
    <t>90分钟</t>
  </si>
  <si>
    <t>A组第一</t>
  </si>
  <si>
    <t>B组第一</t>
  </si>
  <si>
    <t>C组第一</t>
  </si>
  <si>
    <t>D组第一</t>
  </si>
  <si>
    <t>E组第一</t>
  </si>
  <si>
    <t>F组第一</t>
  </si>
  <si>
    <t>G组第一</t>
  </si>
  <si>
    <t>H组第一</t>
  </si>
  <si>
    <t>53 胜者</t>
  </si>
  <si>
    <t>54 胜者</t>
  </si>
  <si>
    <t>55 胜者</t>
  </si>
  <si>
    <t>56 胜者</t>
  </si>
  <si>
    <t>57 胜者</t>
  </si>
  <si>
    <t>58 胜者</t>
  </si>
  <si>
    <t>59 胜者</t>
  </si>
  <si>
    <t>60 胜者</t>
  </si>
  <si>
    <t>61 胜者</t>
  </si>
  <si>
    <t>62 胜者</t>
  </si>
  <si>
    <t>63 胜者</t>
  </si>
  <si>
    <t>64 胜者</t>
  </si>
  <si>
    <t>A组</t>
  </si>
  <si>
    <t>B组</t>
  </si>
  <si>
    <t>C组</t>
  </si>
  <si>
    <t>D组</t>
  </si>
  <si>
    <t>E组</t>
  </si>
  <si>
    <t>F组</t>
  </si>
  <si>
    <t>G组</t>
  </si>
  <si>
    <t>H组</t>
  </si>
  <si>
    <t>49 胜者</t>
  </si>
  <si>
    <t>50 胜者</t>
  </si>
  <si>
    <t>51 胜者</t>
  </si>
  <si>
    <t>52 胜者</t>
  </si>
  <si>
    <t>61 负者</t>
  </si>
  <si>
    <t>62 负者</t>
  </si>
  <si>
    <t>Macedonian</t>
  </si>
  <si>
    <r>
      <t>&lt;-</t>
    </r>
    <r>
      <rPr>
        <sz val="11"/>
        <color theme="9" tint="-0.249977111117893"/>
        <rFont val="Calibri"/>
        <family val="2"/>
        <scheme val="minor"/>
      </rPr>
      <t xml:space="preserve"> you can change player name in Player List worksheet</t>
    </r>
  </si>
  <si>
    <t>&gt; Max 15 players for lite version</t>
  </si>
  <si>
    <t>World Cup 2014 Office Pool Lite V1.50.xlsx</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</si>
</sst>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_);_(* \(#,##0.00\);_(* &quot;-&quot;??_);_(@_)"/>
    <numFmt numFmtId="164" formatCode="[$-409]d\-mmm;@"/>
    <numFmt numFmtId="165" formatCode="h:mm;@"/>
    <numFmt numFmtId="166" formatCode="m/d/yy\ h:mm;@"/>
  </numFmts>
  <fonts count="44">
    <font>
      <sz val="10"/>
      <name val="Arial"/>
    </font>
    <font>
      <sz val="10"/>
      <name val="Verdana"/>
      <family val="2"/>
    </font>
    <font>
      <sz val="8"/>
      <name val="Arial"/>
      <family val="2"/>
    </font>
    <font>
      <u/>
      <sz val="10"/>
      <color indexed="12"/>
      <name val="Arial"/>
      <family val="2"/>
    </font>
    <font>
      <b/>
      <sz val="10"/>
      <color indexed="12"/>
      <name val="Verdana"/>
      <family val="2"/>
    </font>
    <font>
      <sz val="11"/>
      <color theme="0"/>
      <name val="Calibri"/>
      <family val="2"/>
      <scheme val="minor"/>
    </font>
    <font>
      <sz val="11"/>
      <name val="Calibri"/>
      <family val="2"/>
      <scheme val="minor"/>
    </font>
    <font>
      <b/>
      <sz val="11"/>
      <color indexed="9"/>
      <name val="Calibri"/>
      <family val="2"/>
      <scheme val="minor"/>
    </font>
    <font>
      <sz val="11"/>
      <color indexed="9"/>
      <name val="Calibri"/>
      <family val="2"/>
      <scheme val="minor"/>
    </font>
    <font>
      <sz val="10"/>
      <name val="Arial"/>
      <family val="2"/>
    </font>
    <font>
      <sz val="10"/>
      <name val="Calibri"/>
      <family val="2"/>
      <scheme val="minor"/>
    </font>
    <font>
      <sz val="11"/>
      <color indexed="10"/>
      <name val="Calibri"/>
      <family val="2"/>
      <scheme val="minor"/>
    </font>
    <font>
      <b/>
      <sz val="11"/>
      <name val="Calibri"/>
      <family val="2"/>
      <scheme val="minor"/>
    </font>
    <font>
      <b/>
      <u/>
      <sz val="10"/>
      <color indexed="12"/>
      <name val="Calibri"/>
      <family val="2"/>
      <scheme val="minor"/>
    </font>
    <font>
      <b/>
      <u/>
      <sz val="10"/>
      <color rgb="FF0000FF"/>
      <name val="Calibri"/>
      <family val="2"/>
      <scheme val="minor"/>
    </font>
    <font>
      <sz val="10"/>
      <name val="Arial"/>
      <family val="2"/>
    </font>
    <font>
      <b/>
      <sz val="11"/>
      <color theme="0"/>
      <name val="Calibri"/>
      <family val="2"/>
      <scheme val="minor"/>
    </font>
    <font>
      <b/>
      <sz val="11"/>
      <color rgb="FF0000FF"/>
      <name val="Calibri"/>
      <family val="2"/>
      <scheme val="minor"/>
    </font>
    <font>
      <sz val="18"/>
      <name val="Calibri"/>
      <family val="2"/>
      <scheme val="minor"/>
    </font>
    <font>
      <b/>
      <sz val="9"/>
      <color indexed="81"/>
      <name val="Tahoma"/>
      <family val="2"/>
    </font>
    <font>
      <b/>
      <sz val="11"/>
      <color rgb="FFFF0000"/>
      <name val="Calibri"/>
      <family val="2"/>
      <scheme val="minor"/>
    </font>
    <font>
      <b/>
      <sz val="14"/>
      <name val="Calibri"/>
      <family val="2"/>
      <scheme val="minor"/>
    </font>
    <font>
      <sz val="10"/>
      <color theme="0"/>
      <name val="Calibri"/>
      <family val="2"/>
      <scheme val="minor"/>
    </font>
    <font>
      <sz val="10"/>
      <color indexed="10"/>
      <name val="Calibri"/>
      <family val="2"/>
      <scheme val="minor"/>
    </font>
    <font>
      <sz val="10"/>
      <color indexed="9"/>
      <name val="Calibri"/>
      <family val="2"/>
      <scheme val="minor"/>
    </font>
    <font>
      <b/>
      <sz val="10"/>
      <name val="Calibri"/>
      <family val="2"/>
      <scheme val="minor"/>
    </font>
    <font>
      <b/>
      <sz val="12"/>
      <color indexed="9"/>
      <name val="Calibri"/>
      <family val="2"/>
      <scheme val="minor"/>
    </font>
    <font>
      <b/>
      <sz val="10"/>
      <color indexed="9"/>
      <name val="Calibri"/>
      <family val="2"/>
      <scheme val="minor"/>
    </font>
    <font>
      <b/>
      <sz val="48"/>
      <name val="Calibri"/>
      <family val="2"/>
      <scheme val="minor"/>
    </font>
    <font>
      <sz val="6"/>
      <name val="Calibri"/>
      <family val="2"/>
      <scheme val="minor"/>
    </font>
    <font>
      <b/>
      <sz val="18"/>
      <name val="Calibri"/>
      <family val="2"/>
      <scheme val="minor"/>
    </font>
    <font>
      <b/>
      <sz val="11"/>
      <color indexed="12"/>
      <name val="Calibri"/>
      <family val="2"/>
      <scheme val="minor"/>
    </font>
    <font>
      <b/>
      <sz val="10"/>
      <color theme="0"/>
      <name val="Calibri"/>
      <family val="2"/>
      <scheme val="minor"/>
    </font>
    <font>
      <u/>
      <sz val="10"/>
      <color indexed="12"/>
      <name val="Calibri"/>
      <family val="2"/>
      <scheme val="minor"/>
    </font>
    <font>
      <u/>
      <sz val="10"/>
      <name val="Calibri"/>
      <family val="2"/>
      <scheme val="minor"/>
    </font>
    <font>
      <sz val="10"/>
      <color theme="0"/>
      <name val="Verdana"/>
      <family val="2"/>
    </font>
    <font>
      <sz val="8"/>
      <color theme="0"/>
      <name val="Verdana"/>
      <family val="2"/>
    </font>
    <font>
      <b/>
      <sz val="10"/>
      <color theme="0"/>
      <name val="Verdana"/>
      <family val="2"/>
    </font>
    <font>
      <sz val="10"/>
      <color theme="0"/>
      <name val="Arial"/>
      <family val="2"/>
    </font>
    <font>
      <sz val="10"/>
      <color theme="0"/>
      <name val="宋体"/>
      <charset val="134"/>
    </font>
    <font>
      <sz val="12"/>
      <color theme="0"/>
      <name val="Arial"/>
      <family val="2"/>
    </font>
    <font>
      <b/>
      <sz val="16"/>
      <name val="Calibri"/>
      <family val="2"/>
      <scheme val="minor"/>
    </font>
    <font>
      <sz val="9"/>
      <color indexed="81"/>
      <name val="Tahoma"/>
      <family val="2"/>
    </font>
    <font>
      <sz val="11"/>
      <color theme="9" tint="-0.249977111117893"/>
      <name val="Calibri"/>
      <family val="2"/>
      <scheme val="minor"/>
    </font>
  </fonts>
  <fills count="15">
    <fill>
      <patternFill patternType="none"/>
    </fill>
    <fill>
      <patternFill patternType="gray125"/>
    </fill>
    <fill>
      <patternFill patternType="solid">
        <fgColor indexed="48"/>
        <bgColor indexed="64"/>
      </patternFill>
    </fill>
    <fill>
      <patternFill patternType="solid">
        <fgColor indexed="9"/>
        <bgColor indexed="64"/>
      </patternFill>
    </fill>
    <fill>
      <patternFill patternType="solid">
        <fgColor indexed="44"/>
        <bgColor indexed="64"/>
      </patternFill>
    </fill>
    <fill>
      <patternFill patternType="solid">
        <fgColor theme="3" tint="-0.249977111117893"/>
        <bgColor indexed="64"/>
      </patternFill>
    </fill>
    <fill>
      <patternFill patternType="solid">
        <fgColor theme="3" tint="0.79998168889431442"/>
        <bgColor indexed="64"/>
      </patternFill>
    </fill>
    <fill>
      <patternFill patternType="solid">
        <fgColor theme="3" tint="0.59999389629810485"/>
        <bgColor indexed="64"/>
      </patternFill>
    </fill>
    <fill>
      <gradientFill degree="270">
        <stop position="0">
          <color theme="0"/>
        </stop>
        <stop position="1">
          <color theme="4"/>
        </stop>
      </gradientFill>
    </fill>
    <fill>
      <patternFill patternType="solid">
        <fgColor theme="0" tint="-0.34998626667073579"/>
        <bgColor indexed="64"/>
      </patternFill>
    </fill>
    <fill>
      <patternFill patternType="solid">
        <fgColor rgb="FF00B0F0"/>
        <bgColor indexed="64"/>
      </patternFill>
    </fill>
    <fill>
      <patternFill patternType="solid">
        <fgColor theme="4" tint="0.79998168889431442"/>
        <bgColor indexed="64"/>
      </patternFill>
    </fill>
    <fill>
      <patternFill patternType="solid">
        <fgColor theme="3" tint="0.39997558519241921"/>
        <bgColor indexed="64"/>
      </patternFill>
    </fill>
    <fill>
      <patternFill patternType="solid">
        <fgColor rgb="FF0066FF"/>
        <bgColor indexed="64"/>
      </patternFill>
    </fill>
    <fill>
      <patternFill patternType="solid">
        <fgColor rgb="FF0070C0"/>
        <bgColor indexed="64"/>
      </patternFill>
    </fill>
  </fills>
  <borders count="18">
    <border>
      <left/>
      <right/>
      <top/>
      <bottom/>
      <diagonal/>
    </border>
    <border>
      <left style="thin">
        <color indexed="64"/>
      </left>
      <right/>
      <top/>
      <bottom/>
      <diagonal/>
    </border>
    <border>
      <left/>
      <right style="thin">
        <color indexed="64"/>
      </right>
      <top/>
      <bottom/>
      <diagonal/>
    </border>
    <border>
      <left/>
      <right style="dotted">
        <color indexed="64"/>
      </right>
      <top/>
      <bottom/>
      <diagonal/>
    </border>
    <border>
      <left style="thin">
        <color indexed="64"/>
      </left>
      <right/>
      <top style="thin">
        <color indexed="64"/>
      </top>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theme="0" tint="-0.499984740745262"/>
      </top>
      <bottom style="thin">
        <color theme="0" tint="-0.499984740745262"/>
      </bottom>
      <diagonal/>
    </border>
    <border>
      <left/>
      <right/>
      <top style="thin">
        <color theme="1" tint="0.499984740745262"/>
      </top>
      <bottom style="thin">
        <color theme="1" tint="0.499984740745262"/>
      </bottom>
      <diagonal/>
    </border>
    <border>
      <left style="thin">
        <color theme="3" tint="-0.24994659260841701"/>
      </left>
      <right style="thin">
        <color theme="3" tint="-0.24994659260841701"/>
      </right>
      <top style="thin">
        <color theme="3" tint="-0.24994659260841701"/>
      </top>
      <bottom style="thin">
        <color theme="3" tint="-0.24994659260841701"/>
      </bottom>
      <diagonal/>
    </border>
  </borders>
  <cellStyleXfs count="4">
    <xf numFmtId="0" fontId="0" fillId="0" borderId="0"/>
    <xf numFmtId="0" fontId="3" fillId="0" borderId="0" applyNumberFormat="0" applyFill="0" applyBorder="0" applyAlignment="0" applyProtection="0">
      <alignment vertical="top"/>
      <protection locked="0"/>
    </xf>
    <xf numFmtId="0" fontId="9" fillId="0" borderId="0"/>
    <xf numFmtId="43" fontId="15" fillId="0" borderId="0" applyFont="0" applyFill="0" applyBorder="0" applyAlignment="0" applyProtection="0"/>
  </cellStyleXfs>
  <cellXfs count="358">
    <xf numFmtId="0" fontId="0" fillId="0" borderId="0" xfId="0"/>
    <xf numFmtId="0" fontId="1" fillId="0" borderId="0" xfId="0" applyFont="1" applyProtection="1">
      <protection hidden="1"/>
    </xf>
    <xf numFmtId="0" fontId="1" fillId="0" borderId="0" xfId="0" applyFont="1"/>
    <xf numFmtId="0" fontId="1" fillId="0" borderId="0" xfId="0" applyFont="1" applyBorder="1"/>
    <xf numFmtId="0" fontId="4" fillId="0" borderId="0" xfId="1" applyFont="1" applyBorder="1" applyAlignment="1" applyProtection="1">
      <alignment vertical="center" wrapText="1"/>
    </xf>
    <xf numFmtId="0" fontId="6" fillId="0" borderId="0" xfId="0" applyFont="1" applyAlignment="1" applyProtection="1">
      <alignment vertical="center"/>
      <protection locked="0"/>
    </xf>
    <xf numFmtId="0" fontId="6" fillId="0" borderId="0" xfId="0" applyFont="1"/>
    <xf numFmtId="0" fontId="5" fillId="5" borderId="0" xfId="0" applyFont="1" applyFill="1" applyAlignment="1" applyProtection="1">
      <alignment horizontal="center" vertical="center"/>
      <protection locked="0"/>
    </xf>
    <xf numFmtId="0" fontId="5" fillId="5" borderId="0" xfId="0" applyFont="1" applyFill="1" applyAlignment="1" applyProtection="1">
      <alignment vertical="center"/>
      <protection locked="0"/>
    </xf>
    <xf numFmtId="0" fontId="6" fillId="0" borderId="0" xfId="0" applyFont="1" applyFill="1" applyBorder="1" applyAlignment="1" applyProtection="1">
      <alignment horizontal="center" vertical="center"/>
      <protection locked="0"/>
    </xf>
    <xf numFmtId="0" fontId="12" fillId="8" borderId="0" xfId="0" applyFont="1" applyFill="1" applyBorder="1" applyAlignment="1" applyProtection="1">
      <alignment vertical="center"/>
      <protection hidden="1"/>
    </xf>
    <xf numFmtId="0" fontId="12" fillId="8" borderId="0" xfId="0" applyFont="1" applyFill="1" applyBorder="1" applyAlignment="1" applyProtection="1">
      <alignment horizontal="center" vertical="center"/>
      <protection hidden="1"/>
    </xf>
    <xf numFmtId="0" fontId="6" fillId="6" borderId="0" xfId="0" applyFont="1" applyFill="1" applyBorder="1" applyAlignment="1" applyProtection="1">
      <alignment horizontal="center" vertical="center"/>
      <protection hidden="1"/>
    </xf>
    <xf numFmtId="0" fontId="6" fillId="6" borderId="0" xfId="0" applyFont="1" applyFill="1" applyBorder="1" applyAlignment="1" applyProtection="1">
      <alignment horizontal="left" vertical="center"/>
      <protection hidden="1"/>
    </xf>
    <xf numFmtId="0" fontId="6" fillId="7" borderId="0" xfId="0" applyFont="1" applyFill="1" applyBorder="1" applyAlignment="1" applyProtection="1">
      <alignment horizontal="center" vertical="center"/>
      <protection hidden="1"/>
    </xf>
    <xf numFmtId="0" fontId="6" fillId="7" borderId="0" xfId="0" applyFont="1" applyFill="1" applyBorder="1" applyAlignment="1" applyProtection="1">
      <alignment horizontal="left" vertical="center"/>
      <protection hidden="1"/>
    </xf>
    <xf numFmtId="0" fontId="6" fillId="0" borderId="0" xfId="0" applyFont="1" applyFill="1" applyBorder="1" applyAlignment="1" applyProtection="1">
      <alignment vertical="center"/>
      <protection locked="0"/>
    </xf>
    <xf numFmtId="0" fontId="12" fillId="0" borderId="0" xfId="0" applyFont="1" applyFill="1" applyBorder="1" applyAlignment="1" applyProtection="1">
      <alignment vertical="center"/>
      <protection locked="0"/>
    </xf>
    <xf numFmtId="0" fontId="5" fillId="10" borderId="0" xfId="0" applyFont="1" applyFill="1" applyAlignment="1" applyProtection="1">
      <alignment horizontal="center" vertical="center"/>
      <protection locked="0"/>
    </xf>
    <xf numFmtId="0" fontId="6" fillId="0" borderId="0" xfId="0" applyFont="1" applyAlignment="1">
      <alignment horizontal="left" indent="1"/>
    </xf>
    <xf numFmtId="0" fontId="7" fillId="0" borderId="0" xfId="0" applyFont="1" applyFill="1" applyBorder="1" applyAlignment="1" applyProtection="1">
      <alignment vertical="center" wrapText="1"/>
      <protection locked="0"/>
    </xf>
    <xf numFmtId="0" fontId="7" fillId="0" borderId="0" xfId="0" applyFont="1" applyFill="1" applyBorder="1" applyAlignment="1" applyProtection="1">
      <alignment vertical="center"/>
      <protection locked="0"/>
    </xf>
    <xf numFmtId="1" fontId="5" fillId="10" borderId="0" xfId="0" applyNumberFormat="1" applyFont="1" applyFill="1" applyAlignment="1" applyProtection="1">
      <alignment horizontal="center" vertical="center"/>
      <protection locked="0"/>
    </xf>
    <xf numFmtId="1" fontId="5" fillId="5" borderId="0" xfId="0" applyNumberFormat="1" applyFont="1" applyFill="1" applyAlignment="1" applyProtection="1">
      <alignment horizontal="center" vertical="center"/>
      <protection locked="0"/>
    </xf>
    <xf numFmtId="0" fontId="12" fillId="8" borderId="0" xfId="0" applyFont="1" applyFill="1" applyBorder="1" applyAlignment="1" applyProtection="1">
      <alignment horizontal="center" vertical="center"/>
      <protection hidden="1"/>
    </xf>
    <xf numFmtId="3" fontId="6" fillId="6" borderId="0" xfId="0" applyNumberFormat="1" applyFont="1" applyFill="1" applyBorder="1" applyAlignment="1" applyProtection="1">
      <alignment horizontal="center" vertical="center"/>
      <protection hidden="1"/>
    </xf>
    <xf numFmtId="3" fontId="6" fillId="7" borderId="0" xfId="0" applyNumberFormat="1" applyFont="1" applyFill="1" applyBorder="1" applyAlignment="1" applyProtection="1">
      <alignment horizontal="center" vertical="center"/>
      <protection hidden="1"/>
    </xf>
    <xf numFmtId="0" fontId="6" fillId="0" borderId="0" xfId="0" applyFont="1" applyAlignment="1">
      <alignment vertical="center"/>
    </xf>
    <xf numFmtId="0" fontId="6" fillId="0" borderId="0" xfId="0" applyFont="1" applyBorder="1" applyAlignment="1">
      <alignment vertical="center"/>
    </xf>
    <xf numFmtId="0" fontId="6" fillId="0" borderId="0" xfId="0" applyFont="1" applyFill="1" applyAlignment="1">
      <alignment vertical="center"/>
    </xf>
    <xf numFmtId="0" fontId="6" fillId="12" borderId="0" xfId="0" applyFont="1" applyFill="1" applyAlignment="1">
      <alignment vertical="center"/>
    </xf>
    <xf numFmtId="0" fontId="16" fillId="12" borderId="0" xfId="0" applyFont="1" applyFill="1" applyAlignment="1">
      <alignment vertical="center"/>
    </xf>
    <xf numFmtId="0" fontId="5" fillId="12" borderId="0" xfId="0" applyFont="1" applyFill="1" applyAlignment="1">
      <alignment vertical="center"/>
    </xf>
    <xf numFmtId="0" fontId="12" fillId="12" borderId="0" xfId="0" applyFont="1" applyFill="1" applyBorder="1" applyAlignment="1" applyProtection="1">
      <alignment horizontal="center" vertical="center" wrapText="1"/>
      <protection locked="0"/>
    </xf>
    <xf numFmtId="0" fontId="6" fillId="0" borderId="15" xfId="0" applyFont="1" applyBorder="1" applyAlignment="1">
      <alignment vertical="center"/>
    </xf>
    <xf numFmtId="0" fontId="6" fillId="6" borderId="15" xfId="0" applyFont="1" applyFill="1" applyBorder="1" applyAlignment="1" applyProtection="1">
      <alignment horizontal="center" vertical="center"/>
      <protection locked="0"/>
    </xf>
    <xf numFmtId="0" fontId="6" fillId="0" borderId="16" xfId="0" applyFont="1" applyFill="1" applyBorder="1" applyAlignment="1" applyProtection="1">
      <alignment vertical="center"/>
      <protection locked="0"/>
    </xf>
    <xf numFmtId="0" fontId="6" fillId="0" borderId="16" xfId="0" applyFont="1" applyBorder="1" applyAlignment="1">
      <alignment vertical="center"/>
    </xf>
    <xf numFmtId="0" fontId="6" fillId="6" borderId="16" xfId="0" applyFont="1" applyFill="1" applyBorder="1" applyAlignment="1" applyProtection="1">
      <alignment horizontal="center" vertical="center"/>
      <protection locked="0"/>
    </xf>
    <xf numFmtId="0" fontId="5" fillId="0" borderId="0" xfId="0" applyFont="1" applyAlignment="1">
      <alignment vertical="center"/>
    </xf>
    <xf numFmtId="0" fontId="6" fillId="11" borderId="16" xfId="0" applyFont="1" applyFill="1" applyBorder="1" applyAlignment="1" applyProtection="1">
      <alignment horizontal="center" vertical="center"/>
      <protection locked="0"/>
    </xf>
    <xf numFmtId="0" fontId="12" fillId="0" borderId="0" xfId="0" applyFont="1" applyAlignment="1">
      <alignment vertical="center"/>
    </xf>
    <xf numFmtId="0" fontId="6" fillId="0" borderId="15" xfId="0" applyFont="1" applyBorder="1"/>
    <xf numFmtId="0" fontId="21" fillId="12" borderId="15" xfId="0" applyFont="1" applyFill="1" applyBorder="1"/>
    <xf numFmtId="0" fontId="21" fillId="12" borderId="15" xfId="0" applyFont="1" applyFill="1" applyBorder="1" applyAlignment="1">
      <alignment horizontal="left" indent="1"/>
    </xf>
    <xf numFmtId="0" fontId="10" fillId="9" borderId="0" xfId="0" applyFont="1" applyFill="1" applyBorder="1"/>
    <xf numFmtId="0" fontId="6" fillId="6" borderId="0" xfId="0" applyFont="1" applyFill="1" applyBorder="1" applyAlignment="1" applyProtection="1">
      <alignment horizontal="left" vertical="center" indent="1"/>
      <protection hidden="1"/>
    </xf>
    <xf numFmtId="0" fontId="13" fillId="6" borderId="0" xfId="1" applyFont="1" applyFill="1" applyBorder="1" applyAlignment="1" applyProtection="1">
      <alignment horizontal="center" vertical="center"/>
      <protection hidden="1"/>
    </xf>
    <xf numFmtId="1" fontId="6" fillId="6" borderId="0" xfId="0" applyNumberFormat="1" applyFont="1" applyFill="1" applyBorder="1" applyAlignment="1" applyProtection="1">
      <alignment horizontal="center" vertical="center"/>
      <protection hidden="1"/>
    </xf>
    <xf numFmtId="0" fontId="6" fillId="7" borderId="0" xfId="0" applyFont="1" applyFill="1" applyBorder="1" applyAlignment="1" applyProtection="1">
      <alignment horizontal="left" vertical="center" indent="1"/>
      <protection hidden="1"/>
    </xf>
    <xf numFmtId="0" fontId="14" fillId="7" borderId="0" xfId="1" applyFont="1" applyFill="1" applyBorder="1" applyAlignment="1" applyProtection="1">
      <alignment horizontal="center" vertical="center"/>
      <protection hidden="1"/>
    </xf>
    <xf numFmtId="0" fontId="14" fillId="6" borderId="0" xfId="1" applyFont="1" applyFill="1" applyBorder="1" applyAlignment="1" applyProtection="1">
      <alignment horizontal="center" vertical="center"/>
      <protection hidden="1"/>
    </xf>
    <xf numFmtId="0" fontId="7" fillId="14" borderId="17" xfId="0" applyFont="1" applyFill="1" applyBorder="1" applyAlignment="1" applyProtection="1">
      <alignment vertical="center"/>
      <protection locked="0"/>
    </xf>
    <xf numFmtId="0" fontId="7" fillId="14" borderId="17" xfId="0" applyFont="1" applyFill="1" applyBorder="1" applyAlignment="1" applyProtection="1">
      <alignment horizontal="center" vertical="center"/>
      <protection locked="0"/>
    </xf>
    <xf numFmtId="0" fontId="8" fillId="14" borderId="17" xfId="0" applyFont="1" applyFill="1" applyBorder="1" applyAlignment="1" applyProtection="1">
      <alignment vertical="center"/>
      <protection locked="0"/>
    </xf>
    <xf numFmtId="0" fontId="8" fillId="14" borderId="17" xfId="0" applyFont="1" applyFill="1" applyBorder="1" applyAlignment="1" applyProtection="1">
      <alignment horizontal="center" vertical="center"/>
      <protection locked="0"/>
    </xf>
    <xf numFmtId="0" fontId="10" fillId="0" borderId="0" xfId="0" applyFont="1"/>
    <xf numFmtId="0" fontId="12" fillId="8" borderId="0" xfId="0" applyFont="1" applyFill="1" applyBorder="1" applyAlignment="1" applyProtection="1">
      <alignment horizontal="center" vertical="center"/>
      <protection hidden="1"/>
    </xf>
    <xf numFmtId="0" fontId="10" fillId="0" borderId="0" xfId="0" applyFont="1" applyProtection="1">
      <protection hidden="1"/>
    </xf>
    <xf numFmtId="0" fontId="10" fillId="0" borderId="0" xfId="0" applyFont="1" applyAlignment="1" applyProtection="1">
      <protection hidden="1"/>
    </xf>
    <xf numFmtId="0" fontId="10" fillId="0" borderId="0" xfId="0" applyFont="1" applyAlignment="1" applyProtection="1">
      <alignment horizontal="center"/>
      <protection hidden="1"/>
    </xf>
    <xf numFmtId="0" fontId="23" fillId="0" borderId="0" xfId="0" applyFont="1" applyProtection="1">
      <protection hidden="1"/>
    </xf>
    <xf numFmtId="0" fontId="24" fillId="0" borderId="0" xfId="0" applyFont="1" applyProtection="1">
      <protection hidden="1"/>
    </xf>
    <xf numFmtId="0" fontId="10" fillId="0" borderId="0" xfId="0" applyFont="1" applyAlignment="1" applyProtection="1">
      <alignment horizontal="left" indent="1"/>
      <protection hidden="1"/>
    </xf>
    <xf numFmtId="0" fontId="24" fillId="0" borderId="0" xfId="0" applyFont="1" applyAlignment="1" applyProtection="1">
      <alignment horizontal="center"/>
      <protection hidden="1"/>
    </xf>
    <xf numFmtId="0" fontId="25" fillId="0" borderId="0" xfId="0" applyFont="1" applyProtection="1">
      <protection hidden="1"/>
    </xf>
    <xf numFmtId="0" fontId="10" fillId="0" borderId="0" xfId="0" applyFont="1" applyAlignment="1" applyProtection="1">
      <alignment vertical="center"/>
      <protection hidden="1"/>
    </xf>
    <xf numFmtId="0" fontId="23" fillId="0" borderId="0" xfId="0" applyFont="1" applyAlignment="1" applyProtection="1">
      <alignment vertical="center"/>
      <protection hidden="1"/>
    </xf>
    <xf numFmtId="0" fontId="10" fillId="0" borderId="1" xfId="0" applyFont="1" applyBorder="1" applyAlignment="1" applyProtection="1">
      <alignment vertical="center"/>
      <protection hidden="1"/>
    </xf>
    <xf numFmtId="0" fontId="10" fillId="0" borderId="0" xfId="0" applyFont="1" applyBorder="1" applyAlignment="1" applyProtection="1">
      <alignment vertical="center"/>
      <protection hidden="1"/>
    </xf>
    <xf numFmtId="0" fontId="10" fillId="0" borderId="0" xfId="0" applyFont="1" applyBorder="1" applyAlignment="1" applyProtection="1">
      <alignment horizontal="center" vertical="center"/>
      <protection hidden="1"/>
    </xf>
    <xf numFmtId="0" fontId="10" fillId="0" borderId="3" xfId="0" applyFont="1" applyBorder="1" applyAlignment="1" applyProtection="1">
      <alignment vertical="center"/>
      <protection hidden="1"/>
    </xf>
    <xf numFmtId="0" fontId="23" fillId="0" borderId="0" xfId="0" applyFont="1" applyBorder="1" applyAlignment="1" applyProtection="1">
      <alignment vertical="center"/>
      <protection hidden="1"/>
    </xf>
    <xf numFmtId="0" fontId="10" fillId="0" borderId="0" xfId="0" applyFont="1" applyAlignment="1" applyProtection="1">
      <alignment horizontal="left" vertical="center" indent="1"/>
      <protection hidden="1"/>
    </xf>
    <xf numFmtId="0" fontId="10" fillId="0" borderId="0" xfId="0" applyFont="1" applyAlignment="1" applyProtection="1">
      <alignment horizontal="center" vertical="center"/>
      <protection hidden="1"/>
    </xf>
    <xf numFmtId="0" fontId="10" fillId="0" borderId="2" xfId="0" applyFont="1" applyFill="1" applyBorder="1" applyAlignment="1" applyProtection="1">
      <alignment vertical="center"/>
      <protection hidden="1"/>
    </xf>
    <xf numFmtId="0" fontId="27" fillId="0" borderId="3" xfId="0" applyFont="1" applyFill="1" applyBorder="1" applyAlignment="1" applyProtection="1">
      <alignment horizontal="center" vertical="center"/>
      <protection hidden="1"/>
    </xf>
    <xf numFmtId="0" fontId="27" fillId="0" borderId="2" xfId="0" applyFont="1" applyFill="1" applyBorder="1" applyAlignment="1" applyProtection="1">
      <alignment vertical="center"/>
      <protection hidden="1"/>
    </xf>
    <xf numFmtId="0" fontId="10" fillId="0" borderId="2" xfId="0" applyFont="1" applyBorder="1" applyAlignment="1" applyProtection="1">
      <alignment vertical="center"/>
      <protection hidden="1"/>
    </xf>
    <xf numFmtId="0" fontId="10" fillId="0" borderId="0" xfId="0" applyFont="1" applyBorder="1" applyAlignment="1" applyProtection="1">
      <alignment horizontal="left" vertical="center" indent="1"/>
      <protection hidden="1"/>
    </xf>
    <xf numFmtId="0" fontId="10" fillId="0" borderId="2" xfId="0" applyFont="1" applyBorder="1" applyAlignment="1" applyProtection="1">
      <alignment horizontal="center" vertical="center"/>
      <protection hidden="1"/>
    </xf>
    <xf numFmtId="0" fontId="25" fillId="0" borderId="0" xfId="0" applyFont="1" applyBorder="1" applyAlignment="1" applyProtection="1">
      <alignment horizontal="center" vertical="center"/>
      <protection hidden="1"/>
    </xf>
    <xf numFmtId="0" fontId="25" fillId="0" borderId="4" xfId="0" applyFont="1" applyBorder="1" applyAlignment="1" applyProtection="1">
      <alignment horizontal="left" vertical="center" indent="1"/>
      <protection hidden="1"/>
    </xf>
    <xf numFmtId="0" fontId="25" fillId="0" borderId="6" xfId="0" applyFont="1" applyBorder="1" applyAlignment="1" applyProtection="1">
      <alignment horizontal="center" vertical="center"/>
      <protection hidden="1"/>
    </xf>
    <xf numFmtId="0" fontId="10" fillId="0" borderId="12" xfId="0" applyFont="1" applyBorder="1" applyAlignment="1" applyProtection="1">
      <alignment vertical="center"/>
      <protection hidden="1"/>
    </xf>
    <xf numFmtId="0" fontId="23" fillId="0" borderId="2" xfId="0" applyFont="1" applyBorder="1" applyAlignment="1" applyProtection="1">
      <alignment vertical="center"/>
      <protection hidden="1"/>
    </xf>
    <xf numFmtId="0" fontId="24" fillId="0" borderId="0" xfId="0" applyFont="1" applyBorder="1" applyAlignment="1" applyProtection="1">
      <alignment horizontal="left" vertical="center" indent="1"/>
      <protection hidden="1"/>
    </xf>
    <xf numFmtId="0" fontId="24" fillId="0" borderId="0" xfId="0" applyFont="1" applyBorder="1" applyAlignment="1" applyProtection="1">
      <alignment horizontal="center" vertical="center"/>
      <protection hidden="1"/>
    </xf>
    <xf numFmtId="0" fontId="23" fillId="0" borderId="0" xfId="0" applyFont="1" applyBorder="1" applyProtection="1">
      <protection hidden="1"/>
    </xf>
    <xf numFmtId="0" fontId="10" fillId="0" borderId="4" xfId="0" applyFont="1" applyBorder="1" applyAlignment="1" applyProtection="1">
      <alignment vertical="center"/>
      <protection hidden="1"/>
    </xf>
    <xf numFmtId="0" fontId="10" fillId="0" borderId="6" xfId="0" applyFont="1" applyBorder="1" applyAlignment="1" applyProtection="1">
      <alignment horizontal="left" vertical="center"/>
      <protection hidden="1"/>
    </xf>
    <xf numFmtId="0" fontId="10" fillId="0" borderId="6" xfId="0" applyFont="1" applyBorder="1" applyAlignment="1" applyProtection="1">
      <alignment horizontal="center" vertical="center"/>
      <protection hidden="1"/>
    </xf>
    <xf numFmtId="16" fontId="10" fillId="0" borderId="0" xfId="0" applyNumberFormat="1" applyFont="1" applyBorder="1" applyAlignment="1" applyProtection="1">
      <alignment horizontal="right" vertical="center" indent="1" shrinkToFit="1"/>
      <protection hidden="1"/>
    </xf>
    <xf numFmtId="165" fontId="10" fillId="0" borderId="0" xfId="0" applyNumberFormat="1" applyFont="1" applyBorder="1" applyAlignment="1" applyProtection="1">
      <alignment horizontal="right" vertical="center"/>
      <protection hidden="1"/>
    </xf>
    <xf numFmtId="0" fontId="10" fillId="0" borderId="0" xfId="0" applyFont="1" applyBorder="1" applyAlignment="1" applyProtection="1">
      <alignment horizontal="right" vertical="center"/>
      <protection hidden="1"/>
    </xf>
    <xf numFmtId="0" fontId="10" fillId="0" borderId="0" xfId="0" applyFont="1" applyFill="1" applyBorder="1" applyAlignment="1" applyProtection="1">
      <alignment horizontal="center" vertical="center"/>
      <protection locked="0"/>
    </xf>
    <xf numFmtId="0" fontId="10" fillId="0" borderId="0" xfId="0" applyFont="1" applyFill="1" applyBorder="1" applyAlignment="1" applyProtection="1">
      <alignment horizontal="center" vertical="center"/>
      <protection hidden="1"/>
    </xf>
    <xf numFmtId="0" fontId="22" fillId="0" borderId="3" xfId="0" applyFont="1" applyBorder="1" applyAlignment="1" applyProtection="1">
      <alignment vertical="center"/>
      <protection hidden="1"/>
    </xf>
    <xf numFmtId="0" fontId="10" fillId="0" borderId="0" xfId="0" applyFont="1" applyBorder="1" applyAlignment="1" applyProtection="1">
      <alignment horizontal="left" vertical="center"/>
      <protection hidden="1"/>
    </xf>
    <xf numFmtId="0" fontId="10" fillId="0" borderId="9" xfId="0" applyFont="1" applyBorder="1" applyAlignment="1" applyProtection="1">
      <alignment vertical="center"/>
      <protection hidden="1"/>
    </xf>
    <xf numFmtId="0" fontId="10" fillId="0" borderId="7" xfId="0" applyFont="1" applyBorder="1" applyAlignment="1" applyProtection="1">
      <alignment horizontal="left" vertical="center"/>
      <protection hidden="1"/>
    </xf>
    <xf numFmtId="0" fontId="10" fillId="0" borderId="7" xfId="0" applyFont="1" applyBorder="1" applyAlignment="1" applyProtection="1">
      <alignment horizontal="center" vertical="center"/>
      <protection hidden="1"/>
    </xf>
    <xf numFmtId="0" fontId="10" fillId="0" borderId="8" xfId="0" applyFont="1" applyBorder="1" applyAlignment="1" applyProtection="1">
      <alignment vertical="center"/>
      <protection hidden="1"/>
    </xf>
    <xf numFmtId="0" fontId="29" fillId="0" borderId="0" xfId="0" applyFont="1" applyBorder="1" applyAlignment="1" applyProtection="1">
      <alignment vertical="center"/>
      <protection hidden="1"/>
    </xf>
    <xf numFmtId="165" fontId="10" fillId="0" borderId="0" xfId="0" applyNumberFormat="1" applyFont="1" applyBorder="1" applyAlignment="1" applyProtection="1">
      <alignment horizontal="left" vertical="center" indent="1" shrinkToFit="1"/>
      <protection hidden="1"/>
    </xf>
    <xf numFmtId="0" fontId="23" fillId="0" borderId="0" xfId="0" applyFont="1" applyFill="1" applyBorder="1" applyAlignment="1" applyProtection="1">
      <alignment vertical="center"/>
      <protection hidden="1"/>
    </xf>
    <xf numFmtId="0" fontId="25" fillId="0" borderId="10" xfId="0" applyFont="1" applyBorder="1" applyAlignment="1" applyProtection="1">
      <alignment horizontal="left" vertical="center" indent="1"/>
      <protection hidden="1"/>
    </xf>
    <xf numFmtId="0" fontId="25" fillId="0" borderId="5" xfId="0" applyFont="1" applyBorder="1" applyAlignment="1" applyProtection="1">
      <alignment horizontal="center" vertical="center"/>
      <protection hidden="1"/>
    </xf>
    <xf numFmtId="0" fontId="10" fillId="0" borderId="11" xfId="0" applyFont="1" applyBorder="1" applyAlignment="1" applyProtection="1">
      <alignment vertical="center"/>
      <protection hidden="1"/>
    </xf>
    <xf numFmtId="165" fontId="24" fillId="0" borderId="0" xfId="0" applyNumberFormat="1" applyFont="1" applyBorder="1" applyAlignment="1" applyProtection="1">
      <alignment horizontal="left" vertical="center" indent="1" shrinkToFit="1"/>
      <protection hidden="1"/>
    </xf>
    <xf numFmtId="0" fontId="24" fillId="0" borderId="0" xfId="0" applyFont="1" applyAlignment="1" applyProtection="1">
      <alignment horizontal="center" vertical="center"/>
      <protection hidden="1"/>
    </xf>
    <xf numFmtId="0" fontId="24" fillId="0" borderId="0" xfId="0" applyFont="1" applyAlignment="1" applyProtection="1">
      <alignment horizontal="left" vertical="center" indent="1"/>
      <protection hidden="1"/>
    </xf>
    <xf numFmtId="0" fontId="10" fillId="0" borderId="2" xfId="0" applyFont="1" applyBorder="1" applyAlignment="1" applyProtection="1">
      <alignment horizontal="left" vertical="center" indent="1"/>
      <protection hidden="1"/>
    </xf>
    <xf numFmtId="0" fontId="10" fillId="0" borderId="1" xfId="0" applyFont="1" applyFill="1" applyBorder="1" applyAlignment="1" applyProtection="1">
      <alignment vertical="center"/>
      <protection hidden="1"/>
    </xf>
    <xf numFmtId="0" fontId="10" fillId="0" borderId="0" xfId="0" applyFont="1" applyFill="1" applyBorder="1" applyAlignment="1" applyProtection="1">
      <alignment horizontal="right" vertical="center"/>
      <protection hidden="1"/>
    </xf>
    <xf numFmtId="0" fontId="10" fillId="0" borderId="0" xfId="0" applyFont="1" applyFill="1" applyBorder="1" applyAlignment="1" applyProtection="1">
      <alignment vertical="center"/>
      <protection hidden="1"/>
    </xf>
    <xf numFmtId="0" fontId="10" fillId="0" borderId="7" xfId="0" applyFont="1" applyBorder="1" applyAlignment="1" applyProtection="1">
      <alignment vertical="center"/>
      <protection hidden="1"/>
    </xf>
    <xf numFmtId="0" fontId="10" fillId="0" borderId="9" xfId="0" applyFont="1" applyFill="1" applyBorder="1" applyAlignment="1" applyProtection="1">
      <alignment vertical="center"/>
      <protection hidden="1"/>
    </xf>
    <xf numFmtId="0" fontId="10" fillId="0" borderId="7" xfId="0" applyFont="1" applyFill="1" applyBorder="1" applyAlignment="1" applyProtection="1">
      <alignment horizontal="right" vertical="center"/>
      <protection hidden="1"/>
    </xf>
    <xf numFmtId="0" fontId="10" fillId="0" borderId="7" xfId="0" applyFont="1" applyFill="1" applyBorder="1" applyAlignment="1" applyProtection="1">
      <alignment vertical="center"/>
      <protection hidden="1"/>
    </xf>
    <xf numFmtId="0" fontId="23" fillId="0" borderId="7" xfId="0" applyFont="1" applyBorder="1" applyAlignment="1" applyProtection="1">
      <alignment vertical="center"/>
      <protection hidden="1"/>
    </xf>
    <xf numFmtId="0" fontId="10" fillId="0" borderId="7" xfId="0" applyFont="1" applyBorder="1" applyAlignment="1" applyProtection="1">
      <alignment horizontal="left" vertical="center" indent="1"/>
      <protection hidden="1"/>
    </xf>
    <xf numFmtId="0" fontId="10" fillId="0" borderId="8" xfId="0" applyFont="1" applyBorder="1" applyAlignment="1" applyProtection="1">
      <alignment horizontal="center" vertical="center"/>
      <protection hidden="1"/>
    </xf>
    <xf numFmtId="0" fontId="10" fillId="0" borderId="5" xfId="0" applyFont="1" applyBorder="1" applyAlignment="1" applyProtection="1">
      <alignment vertical="center"/>
      <protection hidden="1"/>
    </xf>
    <xf numFmtId="0" fontId="10" fillId="0" borderId="1" xfId="0" applyFont="1" applyBorder="1" applyProtection="1">
      <protection hidden="1"/>
    </xf>
    <xf numFmtId="0" fontId="10" fillId="0" borderId="0" xfId="0" applyFont="1" applyBorder="1" applyProtection="1">
      <protection hidden="1"/>
    </xf>
    <xf numFmtId="0" fontId="10" fillId="0" borderId="0" xfId="0" applyFont="1" applyBorder="1" applyAlignment="1" applyProtection="1">
      <protection hidden="1"/>
    </xf>
    <xf numFmtId="0" fontId="10" fillId="0" borderId="0" xfId="0" applyFont="1" applyBorder="1" applyAlignment="1" applyProtection="1">
      <alignment horizontal="center"/>
      <protection hidden="1"/>
    </xf>
    <xf numFmtId="0" fontId="10" fillId="0" borderId="0" xfId="0" applyFont="1" applyBorder="1" applyAlignment="1" applyProtection="1">
      <alignment horizontal="left"/>
      <protection hidden="1"/>
    </xf>
    <xf numFmtId="0" fontId="10" fillId="0" borderId="0" xfId="0" applyFont="1" applyBorder="1" applyAlignment="1" applyProtection="1">
      <alignment horizontal="right"/>
      <protection hidden="1"/>
    </xf>
    <xf numFmtId="0" fontId="10" fillId="0" borderId="9" xfId="0" applyFont="1" applyBorder="1" applyProtection="1">
      <protection hidden="1"/>
    </xf>
    <xf numFmtId="0" fontId="10" fillId="0" borderId="7" xfId="0" applyFont="1" applyBorder="1" applyProtection="1">
      <protection hidden="1"/>
    </xf>
    <xf numFmtId="0" fontId="10" fillId="0" borderId="7" xfId="0" applyFont="1" applyBorder="1" applyAlignment="1" applyProtection="1">
      <alignment horizontal="center"/>
      <protection hidden="1"/>
    </xf>
    <xf numFmtId="0" fontId="10" fillId="0" borderId="7" xfId="0" applyFont="1" applyBorder="1" applyAlignment="1" applyProtection="1">
      <protection hidden="1"/>
    </xf>
    <xf numFmtId="0" fontId="10" fillId="2" borderId="4" xfId="0" applyFont="1" applyFill="1" applyBorder="1" applyAlignment="1" applyProtection="1">
      <alignment vertical="center"/>
      <protection hidden="1"/>
    </xf>
    <xf numFmtId="0" fontId="10" fillId="2" borderId="6" xfId="0" applyFont="1" applyFill="1" applyBorder="1" applyAlignment="1" applyProtection="1">
      <alignment vertical="center"/>
      <protection hidden="1"/>
    </xf>
    <xf numFmtId="0" fontId="10" fillId="2" borderId="12" xfId="0" applyFont="1" applyFill="1" applyBorder="1" applyAlignment="1" applyProtection="1">
      <alignment vertical="center"/>
      <protection hidden="1"/>
    </xf>
    <xf numFmtId="0" fontId="10" fillId="2" borderId="9" xfId="0" applyFont="1" applyFill="1" applyBorder="1" applyAlignment="1" applyProtection="1">
      <alignment vertical="center"/>
      <protection hidden="1"/>
    </xf>
    <xf numFmtId="0" fontId="10" fillId="2" borderId="7" xfId="0" applyFont="1" applyFill="1" applyBorder="1" applyAlignment="1" applyProtection="1">
      <alignment vertical="center"/>
      <protection hidden="1"/>
    </xf>
    <xf numFmtId="0" fontId="10" fillId="2" borderId="8" xfId="0" applyFont="1" applyFill="1" applyBorder="1" applyAlignment="1" applyProtection="1">
      <alignment vertical="center"/>
      <protection hidden="1"/>
    </xf>
    <xf numFmtId="0" fontId="10" fillId="2" borderId="4" xfId="0" applyFont="1" applyFill="1" applyBorder="1" applyProtection="1">
      <protection hidden="1"/>
    </xf>
    <xf numFmtId="0" fontId="10" fillId="2" borderId="6" xfId="0" applyFont="1" applyFill="1" applyBorder="1" applyProtection="1">
      <protection hidden="1"/>
    </xf>
    <xf numFmtId="0" fontId="10" fillId="2" borderId="6" xfId="0" applyFont="1" applyFill="1" applyBorder="1" applyAlignment="1" applyProtection="1">
      <protection hidden="1"/>
    </xf>
    <xf numFmtId="0" fontId="10" fillId="2" borderId="6" xfId="0" applyFont="1" applyFill="1" applyBorder="1" applyAlignment="1" applyProtection="1">
      <alignment horizontal="center"/>
      <protection hidden="1"/>
    </xf>
    <xf numFmtId="0" fontId="23" fillId="2" borderId="6" xfId="0" applyFont="1" applyFill="1" applyBorder="1" applyAlignment="1" applyProtection="1">
      <alignment vertical="center"/>
      <protection hidden="1"/>
    </xf>
    <xf numFmtId="0" fontId="10" fillId="2" borderId="6" xfId="0" applyFont="1" applyFill="1" applyBorder="1" applyAlignment="1" applyProtection="1">
      <alignment horizontal="left" vertical="center" indent="1"/>
      <protection hidden="1"/>
    </xf>
    <xf numFmtId="0" fontId="10" fillId="2" borderId="6" xfId="0" applyFont="1" applyFill="1" applyBorder="1" applyAlignment="1" applyProtection="1">
      <alignment horizontal="center" vertical="center"/>
      <protection hidden="1"/>
    </xf>
    <xf numFmtId="0" fontId="10" fillId="2" borderId="1" xfId="0" applyFont="1" applyFill="1" applyBorder="1" applyProtection="1">
      <protection hidden="1"/>
    </xf>
    <xf numFmtId="0" fontId="10" fillId="2" borderId="0" xfId="0" applyFont="1" applyFill="1" applyBorder="1" applyProtection="1">
      <protection hidden="1"/>
    </xf>
    <xf numFmtId="0" fontId="27" fillId="2" borderId="0" xfId="0" applyFont="1" applyFill="1" applyBorder="1" applyAlignment="1" applyProtection="1">
      <alignment vertical="center"/>
      <protection hidden="1"/>
    </xf>
    <xf numFmtId="0" fontId="10" fillId="2" borderId="0" xfId="0" applyFont="1" applyFill="1" applyBorder="1" applyAlignment="1" applyProtection="1">
      <protection hidden="1"/>
    </xf>
    <xf numFmtId="0" fontId="10" fillId="2" borderId="0" xfId="0" applyFont="1" applyFill="1" applyBorder="1" applyAlignment="1" applyProtection="1">
      <alignment horizontal="center"/>
      <protection hidden="1"/>
    </xf>
    <xf numFmtId="0" fontId="30" fillId="2" borderId="0" xfId="0" applyFont="1" applyFill="1" applyBorder="1" applyAlignment="1" applyProtection="1">
      <alignment horizontal="left" vertical="center"/>
      <protection hidden="1"/>
    </xf>
    <xf numFmtId="0" fontId="10" fillId="2" borderId="0" xfId="0" applyFont="1" applyFill="1" applyBorder="1" applyAlignment="1" applyProtection="1">
      <alignment vertical="center"/>
      <protection hidden="1"/>
    </xf>
    <xf numFmtId="0" fontId="23" fillId="2" borderId="0" xfId="0" applyFont="1" applyFill="1" applyBorder="1" applyAlignment="1" applyProtection="1">
      <alignment vertical="center"/>
      <protection hidden="1"/>
    </xf>
    <xf numFmtId="0" fontId="10" fillId="2" borderId="0" xfId="0" applyFont="1" applyFill="1" applyBorder="1" applyAlignment="1" applyProtection="1">
      <alignment horizontal="left" vertical="center" indent="1"/>
      <protection hidden="1"/>
    </xf>
    <xf numFmtId="0" fontId="10" fillId="2" borderId="0" xfId="0" applyFont="1" applyFill="1" applyBorder="1" applyAlignment="1" applyProtection="1">
      <alignment horizontal="center" vertical="center"/>
      <protection hidden="1"/>
    </xf>
    <xf numFmtId="0" fontId="10" fillId="2" borderId="2" xfId="0" applyFont="1" applyFill="1" applyBorder="1" applyAlignment="1" applyProtection="1">
      <alignment vertical="center"/>
      <protection hidden="1"/>
    </xf>
    <xf numFmtId="0" fontId="10" fillId="2" borderId="9" xfId="0" applyFont="1" applyFill="1" applyBorder="1" applyProtection="1">
      <protection hidden="1"/>
    </xf>
    <xf numFmtId="0" fontId="10" fillId="2" borderId="7" xfId="0" applyFont="1" applyFill="1" applyBorder="1" applyProtection="1">
      <protection hidden="1"/>
    </xf>
    <xf numFmtId="0" fontId="10" fillId="2" borderId="7" xfId="0" applyFont="1" applyFill="1" applyBorder="1" applyAlignment="1" applyProtection="1">
      <protection hidden="1"/>
    </xf>
    <xf numFmtId="0" fontId="10" fillId="2" borderId="7" xfId="0" applyFont="1" applyFill="1" applyBorder="1" applyAlignment="1" applyProtection="1">
      <alignment horizontal="center"/>
      <protection hidden="1"/>
    </xf>
    <xf numFmtId="0" fontId="23" fillId="2" borderId="7" xfId="0" applyFont="1" applyFill="1" applyBorder="1" applyAlignment="1" applyProtection="1">
      <alignment vertical="center"/>
      <protection hidden="1"/>
    </xf>
    <xf numFmtId="0" fontId="10" fillId="2" borderId="7" xfId="0" applyFont="1" applyFill="1" applyBorder="1" applyAlignment="1" applyProtection="1">
      <alignment horizontal="left" vertical="center" indent="1"/>
      <protection hidden="1"/>
    </xf>
    <xf numFmtId="0" fontId="10" fillId="2" borderId="7" xfId="0" applyFont="1" applyFill="1" applyBorder="1" applyAlignment="1" applyProtection="1">
      <alignment horizontal="center" vertical="center"/>
      <protection hidden="1"/>
    </xf>
    <xf numFmtId="0" fontId="27" fillId="0" borderId="0" xfId="0" applyFont="1" applyFill="1" applyBorder="1" applyAlignment="1" applyProtection="1">
      <alignment vertical="center"/>
      <protection hidden="1"/>
    </xf>
    <xf numFmtId="0" fontId="6" fillId="0" borderId="0" xfId="0" applyFont="1" applyAlignment="1" applyProtection="1">
      <alignment vertical="center"/>
      <protection hidden="1"/>
    </xf>
    <xf numFmtId="0" fontId="6" fillId="0" borderId="0" xfId="0" applyFont="1" applyAlignment="1" applyProtection="1">
      <alignment horizontal="center" vertical="center"/>
      <protection hidden="1"/>
    </xf>
    <xf numFmtId="0" fontId="11" fillId="0" borderId="0" xfId="0" applyFont="1" applyAlignment="1" applyProtection="1">
      <alignment vertical="center"/>
      <protection hidden="1"/>
    </xf>
    <xf numFmtId="0" fontId="12" fillId="0" borderId="0" xfId="0" applyFont="1" applyFill="1" applyAlignment="1" applyProtection="1">
      <alignment vertical="center"/>
      <protection hidden="1"/>
    </xf>
    <xf numFmtId="0" fontId="12" fillId="0" borderId="0" xfId="0" applyFont="1" applyFill="1" applyBorder="1" applyAlignment="1" applyProtection="1">
      <alignment horizontal="center" vertical="center"/>
      <protection hidden="1"/>
    </xf>
    <xf numFmtId="0" fontId="16" fillId="13" borderId="10" xfId="0" applyFont="1" applyFill="1" applyBorder="1" applyAlignment="1" applyProtection="1">
      <alignment horizontal="center" vertical="center"/>
      <protection hidden="1"/>
    </xf>
    <xf numFmtId="0" fontId="17" fillId="0" borderId="0" xfId="1" applyFont="1" applyAlignment="1" applyProtection="1">
      <alignment horizontal="center" vertical="center"/>
      <protection hidden="1"/>
    </xf>
    <xf numFmtId="0" fontId="6" fillId="0" borderId="0" xfId="0" applyFont="1" applyFill="1" applyAlignment="1" applyProtection="1">
      <alignment vertical="center"/>
      <protection hidden="1"/>
    </xf>
    <xf numFmtId="0" fontId="11" fillId="0" borderId="0" xfId="0" applyFont="1" applyFill="1" applyAlignment="1" applyProtection="1">
      <alignment vertical="center"/>
      <protection hidden="1"/>
    </xf>
    <xf numFmtId="3" fontId="6" fillId="0" borderId="14" xfId="3" applyNumberFormat="1" applyFont="1" applyBorder="1" applyAlignment="1" applyProtection="1">
      <alignment horizontal="center" vertical="center"/>
      <protection hidden="1"/>
    </xf>
    <xf numFmtId="3" fontId="6" fillId="0" borderId="13" xfId="3" applyNumberFormat="1" applyFont="1" applyBorder="1" applyAlignment="1" applyProtection="1">
      <alignment horizontal="center" vertical="center"/>
      <protection hidden="1"/>
    </xf>
    <xf numFmtId="3" fontId="6" fillId="0" borderId="5" xfId="0" applyNumberFormat="1" applyFont="1" applyBorder="1" applyAlignment="1" applyProtection="1">
      <alignment vertical="center"/>
      <protection hidden="1"/>
    </xf>
    <xf numFmtId="3" fontId="6" fillId="0" borderId="11" xfId="0" applyNumberFormat="1" applyFont="1" applyBorder="1" applyAlignment="1" applyProtection="1">
      <alignment horizontal="center" vertical="center"/>
      <protection hidden="1"/>
    </xf>
    <xf numFmtId="0" fontId="5" fillId="0" borderId="0" xfId="0" applyFont="1" applyAlignment="1" applyProtection="1">
      <alignment vertical="center"/>
      <protection hidden="1"/>
    </xf>
    <xf numFmtId="0" fontId="6" fillId="0" borderId="0" xfId="0" applyFont="1" applyBorder="1" applyAlignment="1" applyProtection="1">
      <alignment vertical="center"/>
      <protection hidden="1"/>
    </xf>
    <xf numFmtId="0" fontId="6" fillId="0" borderId="0" xfId="0" applyFont="1" applyBorder="1" applyAlignment="1" applyProtection="1">
      <alignment horizontal="center" vertical="center"/>
      <protection hidden="1"/>
    </xf>
    <xf numFmtId="0" fontId="6" fillId="0" borderId="1" xfId="0" applyFont="1" applyBorder="1" applyAlignment="1" applyProtection="1">
      <alignment vertical="center"/>
      <protection hidden="1"/>
    </xf>
    <xf numFmtId="0" fontId="6" fillId="0" borderId="2" xfId="0" applyFont="1" applyBorder="1" applyAlignment="1" applyProtection="1">
      <alignment vertical="center"/>
      <protection hidden="1"/>
    </xf>
    <xf numFmtId="0" fontId="12" fillId="0" borderId="0" xfId="0" applyFont="1" applyBorder="1" applyAlignment="1" applyProtection="1">
      <alignment horizontal="center" vertical="center"/>
      <protection hidden="1"/>
    </xf>
    <xf numFmtId="0" fontId="12" fillId="0" borderId="1" xfId="0" applyFont="1" applyBorder="1" applyAlignment="1" applyProtection="1">
      <alignment horizontal="center" vertical="center"/>
      <protection hidden="1"/>
    </xf>
    <xf numFmtId="0" fontId="11" fillId="0" borderId="0" xfId="0" applyFont="1" applyBorder="1" applyAlignment="1" applyProtection="1">
      <alignment vertical="center"/>
      <protection hidden="1"/>
    </xf>
    <xf numFmtId="0" fontId="11" fillId="0" borderId="0" xfId="0" applyFont="1" applyBorder="1" applyProtection="1">
      <protection hidden="1"/>
    </xf>
    <xf numFmtId="164" fontId="6" fillId="0" borderId="0" xfId="0" applyNumberFormat="1" applyFont="1" applyBorder="1" applyAlignment="1" applyProtection="1">
      <alignment horizontal="right" vertical="center"/>
      <protection hidden="1"/>
    </xf>
    <xf numFmtId="165" fontId="6" fillId="0" borderId="0" xfId="0" applyNumberFormat="1" applyFont="1" applyBorder="1" applyAlignment="1" applyProtection="1">
      <alignment horizontal="right" vertical="center"/>
      <protection hidden="1"/>
    </xf>
    <xf numFmtId="0" fontId="6" fillId="0" borderId="0" xfId="0" applyFont="1" applyBorder="1" applyAlignment="1" applyProtection="1">
      <alignment horizontal="right" vertical="center"/>
      <protection hidden="1"/>
    </xf>
    <xf numFmtId="0" fontId="6" fillId="0" borderId="0" xfId="0" applyFont="1" applyFill="1" applyBorder="1" applyAlignment="1" applyProtection="1">
      <alignment horizontal="center" vertical="center"/>
      <protection hidden="1"/>
    </xf>
    <xf numFmtId="0" fontId="8" fillId="0" borderId="1" xfId="0" applyFont="1" applyBorder="1" applyAlignment="1" applyProtection="1">
      <alignment horizontal="right" vertical="center"/>
      <protection hidden="1"/>
    </xf>
    <xf numFmtId="0" fontId="8" fillId="0" borderId="0" xfId="0" applyFont="1" applyBorder="1" applyAlignment="1" applyProtection="1">
      <alignment vertical="center"/>
      <protection hidden="1"/>
    </xf>
    <xf numFmtId="0" fontId="8" fillId="0" borderId="0" xfId="0" applyFont="1" applyFill="1" applyBorder="1" applyAlignment="1" applyProtection="1">
      <alignment horizontal="center" vertical="center"/>
      <protection hidden="1"/>
    </xf>
    <xf numFmtId="3" fontId="6" fillId="0" borderId="0" xfId="0" applyNumberFormat="1" applyFont="1" applyBorder="1" applyAlignment="1" applyProtection="1">
      <alignment horizontal="center" vertical="center"/>
      <protection hidden="1"/>
    </xf>
    <xf numFmtId="0" fontId="11" fillId="0" borderId="0" xfId="0" applyFont="1" applyFill="1" applyBorder="1" applyAlignment="1" applyProtection="1">
      <alignment vertical="center"/>
      <protection hidden="1"/>
    </xf>
    <xf numFmtId="0" fontId="12" fillId="0" borderId="0" xfId="0" applyFont="1" applyBorder="1" applyAlignment="1" applyProtection="1">
      <alignment vertical="center"/>
      <protection hidden="1"/>
    </xf>
    <xf numFmtId="0" fontId="6" fillId="0" borderId="0" xfId="0" applyFont="1" applyBorder="1" applyAlignment="1" applyProtection="1">
      <alignment horizontal="left" vertical="center"/>
      <protection hidden="1"/>
    </xf>
    <xf numFmtId="0" fontId="5" fillId="0" borderId="0" xfId="0" applyFont="1" applyFill="1" applyBorder="1" applyAlignment="1" applyProtection="1">
      <alignment horizontal="center" vertical="center"/>
      <protection hidden="1"/>
    </xf>
    <xf numFmtId="0" fontId="6" fillId="0" borderId="9" xfId="0" applyFont="1" applyBorder="1" applyAlignment="1" applyProtection="1">
      <alignment vertical="center"/>
      <protection hidden="1"/>
    </xf>
    <xf numFmtId="0" fontId="6" fillId="0" borderId="7" xfId="0" applyFont="1" applyBorder="1" applyAlignment="1" applyProtection="1">
      <alignment vertical="center"/>
      <protection hidden="1"/>
    </xf>
    <xf numFmtId="0" fontId="6" fillId="0" borderId="7" xfId="0" applyFont="1" applyBorder="1" applyAlignment="1" applyProtection="1">
      <alignment horizontal="center" vertical="center"/>
      <protection hidden="1"/>
    </xf>
    <xf numFmtId="0" fontId="6" fillId="0" borderId="8" xfId="0" applyFont="1" applyBorder="1" applyAlignment="1" applyProtection="1">
      <alignment vertical="center"/>
      <protection hidden="1"/>
    </xf>
    <xf numFmtId="0" fontId="6" fillId="0" borderId="0" xfId="0" applyFont="1" applyProtection="1">
      <protection hidden="1"/>
    </xf>
    <xf numFmtId="0" fontId="6" fillId="0" borderId="0" xfId="0" applyFont="1" applyAlignment="1" applyProtection="1">
      <protection hidden="1"/>
    </xf>
    <xf numFmtId="0" fontId="6" fillId="0" borderId="0" xfId="0" applyFont="1" applyAlignment="1" applyProtection="1">
      <alignment horizontal="center"/>
      <protection hidden="1"/>
    </xf>
    <xf numFmtId="0" fontId="11" fillId="0" borderId="0" xfId="0" applyFont="1" applyProtection="1">
      <protection hidden="1"/>
    </xf>
    <xf numFmtId="0" fontId="5" fillId="0" borderId="0" xfId="0" applyFont="1" applyAlignment="1" applyProtection="1">
      <alignment vertical="center"/>
      <protection locked="0" hidden="1"/>
    </xf>
    <xf numFmtId="0" fontId="6" fillId="0" borderId="0" xfId="0" applyFont="1" applyAlignment="1" applyProtection="1">
      <alignment vertical="center"/>
      <protection locked="0" hidden="1"/>
    </xf>
    <xf numFmtId="0" fontId="31" fillId="0" borderId="0" xfId="1" applyFont="1" applyAlignment="1" applyProtection="1">
      <alignment horizontal="center" vertical="center"/>
      <protection hidden="1"/>
    </xf>
    <xf numFmtId="0" fontId="25" fillId="0" borderId="7" xfId="0" applyFont="1" applyBorder="1"/>
    <xf numFmtId="0" fontId="10" fillId="0" borderId="7" xfId="0" applyFont="1" applyBorder="1"/>
    <xf numFmtId="0" fontId="25" fillId="0" borderId="0" xfId="0" applyFont="1"/>
    <xf numFmtId="0" fontId="10" fillId="0" borderId="0" xfId="0" applyFont="1" applyBorder="1" applyAlignment="1">
      <alignment horizontal="center" vertical="center"/>
    </xf>
    <xf numFmtId="0" fontId="10" fillId="0" borderId="0" xfId="0" applyFont="1" applyBorder="1" applyAlignment="1">
      <alignment horizontal="left" vertical="center"/>
    </xf>
    <xf numFmtId="43" fontId="6" fillId="0" borderId="0" xfId="3" applyFont="1" applyBorder="1" applyAlignment="1">
      <alignment horizontal="center" vertical="center"/>
    </xf>
    <xf numFmtId="0" fontId="6" fillId="0" borderId="0" xfId="0" applyFont="1" applyBorder="1" applyAlignment="1">
      <alignment horizontal="center" vertical="center"/>
    </xf>
    <xf numFmtId="0" fontId="25" fillId="0" borderId="7" xfId="0" applyFont="1" applyBorder="1" applyAlignment="1">
      <alignment horizontal="left" vertical="center"/>
    </xf>
    <xf numFmtId="0" fontId="25" fillId="0" borderId="0" xfId="0" applyFont="1" applyBorder="1" applyAlignment="1">
      <alignment horizontal="left" vertical="center"/>
    </xf>
    <xf numFmtId="0" fontId="10" fillId="0" borderId="0" xfId="0" applyFont="1" applyAlignment="1">
      <alignment vertical="center"/>
    </xf>
    <xf numFmtId="0" fontId="10" fillId="0" borderId="0" xfId="0" applyFont="1" applyBorder="1"/>
    <xf numFmtId="0" fontId="10" fillId="0" borderId="7" xfId="0" applyFont="1" applyBorder="1" applyAlignment="1">
      <alignment horizontal="center" vertical="center"/>
    </xf>
    <xf numFmtId="43" fontId="6" fillId="0" borderId="7" xfId="3" applyFont="1" applyBorder="1" applyAlignment="1">
      <alignment horizontal="center" vertical="center"/>
    </xf>
    <xf numFmtId="0" fontId="6" fillId="0" borderId="7" xfId="0" applyFont="1" applyBorder="1" applyAlignment="1">
      <alignment horizontal="center" vertical="center"/>
    </xf>
    <xf numFmtId="0" fontId="35" fillId="0" borderId="0" xfId="0" applyFont="1"/>
    <xf numFmtId="0" fontId="36" fillId="0" borderId="0" xfId="0" applyFont="1" applyAlignment="1" applyProtection="1">
      <protection hidden="1"/>
    </xf>
    <xf numFmtId="0" fontId="36" fillId="0" borderId="0" xfId="0" applyFont="1" applyAlignment="1" applyProtection="1">
      <alignment horizontal="center"/>
      <protection hidden="1"/>
    </xf>
    <xf numFmtId="0" fontId="36" fillId="0" borderId="0" xfId="0" applyFont="1" applyAlignment="1" applyProtection="1">
      <alignment horizontal="right"/>
      <protection hidden="1"/>
    </xf>
    <xf numFmtId="0" fontId="35" fillId="0" borderId="0" xfId="0" applyFont="1" applyProtection="1">
      <protection hidden="1"/>
    </xf>
    <xf numFmtId="0" fontId="36" fillId="0" borderId="0" xfId="0" applyFont="1" applyBorder="1" applyAlignment="1" applyProtection="1">
      <protection hidden="1"/>
    </xf>
    <xf numFmtId="165" fontId="36" fillId="0" borderId="0" xfId="0" applyNumberFormat="1" applyFont="1" applyBorder="1" applyAlignment="1" applyProtection="1">
      <protection hidden="1"/>
    </xf>
    <xf numFmtId="0" fontId="36" fillId="0" borderId="0" xfId="0" applyNumberFormat="1" applyFont="1" applyAlignment="1" applyProtection="1">
      <protection hidden="1"/>
    </xf>
    <xf numFmtId="165" fontId="36" fillId="0" borderId="0" xfId="0" applyNumberFormat="1" applyFont="1" applyAlignment="1" applyProtection="1">
      <protection hidden="1"/>
    </xf>
    <xf numFmtId="0" fontId="36" fillId="0" borderId="0" xfId="0" applyFont="1" applyBorder="1" applyAlignment="1" applyProtection="1">
      <alignment horizontal="center" vertical="center"/>
      <protection hidden="1"/>
    </xf>
    <xf numFmtId="16" fontId="36" fillId="0" borderId="0" xfId="0" applyNumberFormat="1" applyFont="1" applyBorder="1" applyAlignment="1" applyProtection="1">
      <alignment vertical="center"/>
      <protection hidden="1"/>
    </xf>
    <xf numFmtId="166" fontId="36" fillId="0" borderId="0" xfId="0" applyNumberFormat="1" applyFont="1" applyBorder="1" applyAlignment="1" applyProtection="1">
      <alignment horizontal="right" vertical="center"/>
      <protection hidden="1"/>
    </xf>
    <xf numFmtId="166" fontId="36" fillId="0" borderId="0" xfId="0" applyNumberFormat="1" applyFont="1" applyAlignment="1" applyProtection="1">
      <protection hidden="1"/>
    </xf>
    <xf numFmtId="0" fontId="37" fillId="0" borderId="0" xfId="0" applyFont="1" applyFill="1" applyBorder="1" applyAlignment="1">
      <alignment horizontal="center"/>
    </xf>
    <xf numFmtId="0" fontId="36" fillId="0" borderId="0" xfId="0" applyFont="1" applyBorder="1" applyAlignment="1">
      <alignment horizontal="center" vertical="center" textRotation="255"/>
    </xf>
    <xf numFmtId="0" fontId="35" fillId="0" borderId="0" xfId="0" applyFont="1" applyBorder="1" applyAlignment="1">
      <alignment horizontal="left" vertical="center" indent="1"/>
    </xf>
    <xf numFmtId="0" fontId="35" fillId="0" borderId="0" xfId="0" applyFont="1" applyBorder="1" applyAlignment="1" applyProtection="1">
      <alignment horizontal="left" vertical="center" indent="1"/>
      <protection hidden="1"/>
    </xf>
    <xf numFmtId="0" fontId="36" fillId="0" borderId="0" xfId="0" applyFont="1" applyFill="1" applyBorder="1" applyAlignment="1" applyProtection="1">
      <protection hidden="1"/>
    </xf>
    <xf numFmtId="166" fontId="36" fillId="0" borderId="0" xfId="0" applyNumberFormat="1" applyFont="1" applyAlignment="1" applyProtection="1">
      <alignment horizontal="right"/>
      <protection hidden="1"/>
    </xf>
    <xf numFmtId="0" fontId="35" fillId="0" borderId="0" xfId="0" applyFont="1" applyBorder="1" applyAlignment="1" applyProtection="1">
      <alignment vertical="center"/>
      <protection hidden="1"/>
    </xf>
    <xf numFmtId="0" fontId="35" fillId="0" borderId="0" xfId="0" applyFont="1" applyAlignment="1"/>
    <xf numFmtId="0" fontId="38" fillId="0" borderId="0" xfId="0" applyFont="1" applyBorder="1" applyProtection="1">
      <protection hidden="1"/>
    </xf>
    <xf numFmtId="0" fontId="38" fillId="0" borderId="0" xfId="0" applyFont="1" applyBorder="1"/>
    <xf numFmtId="0" fontId="39" fillId="0" borderId="0" xfId="0" applyFont="1" applyBorder="1"/>
    <xf numFmtId="0" fontId="38" fillId="0" borderId="0" xfId="0" applyFont="1" applyFill="1" applyBorder="1" applyProtection="1">
      <protection hidden="1"/>
    </xf>
    <xf numFmtId="0" fontId="38" fillId="0" borderId="0" xfId="0" applyFont="1" applyFill="1" applyBorder="1"/>
    <xf numFmtId="0" fontId="38" fillId="0" borderId="0" xfId="0" applyFont="1" applyBorder="1" applyAlignment="1">
      <alignment wrapText="1"/>
    </xf>
    <xf numFmtId="0" fontId="38" fillId="3" borderId="0" xfId="0" applyFont="1" applyFill="1" applyBorder="1"/>
    <xf numFmtId="0" fontId="38" fillId="0" borderId="0" xfId="0" quotePrefix="1" applyFont="1" applyBorder="1"/>
    <xf numFmtId="0" fontId="40" fillId="0" borderId="0" xfId="0" applyFont="1" applyBorder="1"/>
    <xf numFmtId="0" fontId="5" fillId="0" borderId="0" xfId="2" applyFont="1" applyFill="1" applyBorder="1"/>
    <xf numFmtId="0" fontId="6" fillId="0" borderId="15" xfId="0" applyFont="1" applyBorder="1" applyAlignment="1" applyProtection="1">
      <alignment horizontal="left" indent="1"/>
      <protection locked="0"/>
    </xf>
    <xf numFmtId="0" fontId="20" fillId="6" borderId="0" xfId="0" applyFont="1" applyFill="1" applyAlignment="1" applyProtection="1">
      <alignment vertical="center"/>
      <protection locked="0"/>
    </xf>
    <xf numFmtId="0" fontId="37" fillId="0" borderId="0" xfId="0" applyFont="1" applyProtection="1">
      <protection hidden="1"/>
    </xf>
    <xf numFmtId="0" fontId="0" fillId="0" borderId="7" xfId="0" applyBorder="1"/>
    <xf numFmtId="0" fontId="41" fillId="0" borderId="7" xfId="0" applyFont="1" applyBorder="1"/>
    <xf numFmtId="0" fontId="20" fillId="0" borderId="0" xfId="0" applyFont="1" applyAlignment="1">
      <alignment vertical="center"/>
    </xf>
    <xf numFmtId="0" fontId="10" fillId="0" borderId="6" xfId="0" applyFont="1" applyBorder="1" applyAlignment="1" applyProtection="1">
      <alignment horizontal="left" vertical="center"/>
      <protection locked="0" hidden="1"/>
    </xf>
    <xf numFmtId="0" fontId="10" fillId="0" borderId="0" xfId="0" applyFont="1" applyBorder="1" applyAlignment="1" applyProtection="1">
      <alignment horizontal="left" vertical="center"/>
      <protection locked="0" hidden="1"/>
    </xf>
    <xf numFmtId="0" fontId="10" fillId="0" borderId="7" xfId="0" applyFont="1" applyBorder="1" applyAlignment="1" applyProtection="1">
      <alignment horizontal="left" vertical="center"/>
      <protection locked="0" hidden="1"/>
    </xf>
    <xf numFmtId="0" fontId="10" fillId="0" borderId="0" xfId="0" quotePrefix="1" applyFont="1" applyFill="1" applyBorder="1" applyAlignment="1" applyProtection="1">
      <alignment horizontal="center" vertical="center"/>
      <protection hidden="1"/>
    </xf>
    <xf numFmtId="0" fontId="6" fillId="0" borderId="0" xfId="0" applyFont="1" applyAlignment="1">
      <alignment horizontal="center" vertical="center"/>
    </xf>
    <xf numFmtId="0" fontId="8" fillId="14" borderId="17" xfId="0" applyFont="1" applyFill="1" applyBorder="1" applyAlignment="1" applyProtection="1">
      <alignment horizontal="center" vertical="center"/>
      <protection locked="0"/>
    </xf>
    <xf numFmtId="0" fontId="7" fillId="14" borderId="17" xfId="0" applyFont="1" applyFill="1" applyBorder="1" applyAlignment="1" applyProtection="1">
      <alignment vertical="center"/>
      <protection locked="0"/>
    </xf>
    <xf numFmtId="0" fontId="7" fillId="14" borderId="17" xfId="0" applyFont="1" applyFill="1" applyBorder="1" applyAlignment="1" applyProtection="1">
      <alignment horizontal="center" vertical="center" wrapText="1"/>
      <protection locked="0"/>
    </xf>
    <xf numFmtId="0" fontId="7" fillId="14" borderId="17" xfId="0" applyFont="1" applyFill="1" applyBorder="1" applyAlignment="1" applyProtection="1">
      <alignment horizontal="center" vertical="center"/>
      <protection locked="0"/>
    </xf>
    <xf numFmtId="0" fontId="12" fillId="8" borderId="0" xfId="0" applyFont="1" applyFill="1" applyBorder="1" applyAlignment="1" applyProtection="1">
      <alignment horizontal="center" vertical="center" wrapText="1"/>
      <protection hidden="1"/>
    </xf>
    <xf numFmtId="0" fontId="12" fillId="8" borderId="0" xfId="0" applyFont="1" applyFill="1" applyBorder="1" applyAlignment="1" applyProtection="1">
      <alignment horizontal="center" vertical="center"/>
      <protection hidden="1"/>
    </xf>
    <xf numFmtId="0" fontId="12" fillId="8" borderId="0" xfId="0" applyFont="1" applyFill="1" applyBorder="1" applyAlignment="1" applyProtection="1">
      <alignment horizontal="left" vertical="center"/>
      <protection hidden="1"/>
    </xf>
    <xf numFmtId="0" fontId="27" fillId="2" borderId="4" xfId="0" applyFont="1" applyFill="1" applyBorder="1" applyAlignment="1" applyProtection="1">
      <alignment horizontal="center"/>
      <protection hidden="1"/>
    </xf>
    <xf numFmtId="0" fontId="27" fillId="2" borderId="6" xfId="0" applyFont="1" applyFill="1" applyBorder="1" applyAlignment="1" applyProtection="1">
      <alignment horizontal="center"/>
      <protection hidden="1"/>
    </xf>
    <xf numFmtId="0" fontId="27" fillId="2" borderId="12" xfId="0" applyFont="1" applyFill="1" applyBorder="1" applyAlignment="1" applyProtection="1">
      <alignment horizontal="center"/>
      <protection hidden="1"/>
    </xf>
    <xf numFmtId="0" fontId="28" fillId="2" borderId="0" xfId="0" applyFont="1" applyFill="1" applyBorder="1" applyAlignment="1" applyProtection="1">
      <alignment horizontal="center" vertical="center"/>
      <protection hidden="1"/>
    </xf>
    <xf numFmtId="0" fontId="25" fillId="0" borderId="0" xfId="0" applyFont="1" applyBorder="1" applyAlignment="1" applyProtection="1">
      <alignment horizontal="center" vertical="center"/>
      <protection hidden="1"/>
    </xf>
    <xf numFmtId="0" fontId="27" fillId="2" borderId="4" xfId="0" applyFont="1" applyFill="1" applyBorder="1" applyAlignment="1" applyProtection="1">
      <alignment horizontal="center" vertical="center"/>
      <protection hidden="1"/>
    </xf>
    <xf numFmtId="0" fontId="27" fillId="2" borderId="6" xfId="0" applyFont="1" applyFill="1" applyBorder="1" applyAlignment="1" applyProtection="1">
      <alignment horizontal="center" vertical="center"/>
      <protection hidden="1"/>
    </xf>
    <xf numFmtId="0" fontId="27" fillId="2" borderId="12" xfId="0" applyFont="1" applyFill="1" applyBorder="1" applyAlignment="1" applyProtection="1">
      <alignment horizontal="center" vertical="center"/>
      <protection hidden="1"/>
    </xf>
    <xf numFmtId="0" fontId="25" fillId="4" borderId="0" xfId="0" applyFont="1" applyFill="1" applyAlignment="1" applyProtection="1">
      <alignment horizontal="left" vertical="center"/>
      <protection locked="0"/>
    </xf>
    <xf numFmtId="49" fontId="25" fillId="4" borderId="0" xfId="0" applyNumberFormat="1" applyFont="1" applyFill="1" applyAlignment="1" applyProtection="1">
      <alignment horizontal="left" vertical="center"/>
      <protection locked="0"/>
    </xf>
    <xf numFmtId="0" fontId="26" fillId="2" borderId="0" xfId="1" applyFont="1" applyFill="1" applyAlignment="1" applyProtection="1">
      <alignment horizontal="center" vertical="center"/>
      <protection hidden="1"/>
    </xf>
    <xf numFmtId="0" fontId="26" fillId="2" borderId="0" xfId="0" applyFont="1" applyFill="1" applyAlignment="1" applyProtection="1">
      <alignment horizontal="center" vertical="center"/>
      <protection hidden="1"/>
    </xf>
    <xf numFmtId="0" fontId="27" fillId="2" borderId="10" xfId="0" applyFont="1" applyFill="1" applyBorder="1" applyAlignment="1" applyProtection="1">
      <alignment horizontal="center" vertical="center"/>
      <protection hidden="1"/>
    </xf>
    <xf numFmtId="0" fontId="27" fillId="2" borderId="5" xfId="0" applyFont="1" applyFill="1" applyBorder="1" applyAlignment="1" applyProtection="1">
      <alignment horizontal="center" vertical="center"/>
      <protection hidden="1"/>
    </xf>
    <xf numFmtId="0" fontId="27" fillId="2" borderId="11" xfId="0" applyFont="1" applyFill="1" applyBorder="1" applyAlignment="1" applyProtection="1">
      <alignment horizontal="center" vertical="center"/>
      <protection hidden="1"/>
    </xf>
    <xf numFmtId="0" fontId="27" fillId="2" borderId="1" xfId="0" applyFont="1" applyFill="1" applyBorder="1" applyAlignment="1" applyProtection="1">
      <alignment horizontal="center" vertical="center"/>
      <protection hidden="1"/>
    </xf>
    <xf numFmtId="0" fontId="27" fillId="2" borderId="0" xfId="0" applyFont="1" applyFill="1" applyBorder="1" applyAlignment="1" applyProtection="1">
      <alignment horizontal="center" vertical="center"/>
      <protection hidden="1"/>
    </xf>
    <xf numFmtId="0" fontId="27" fillId="2" borderId="2" xfId="0" applyFont="1" applyFill="1" applyBorder="1" applyAlignment="1" applyProtection="1">
      <alignment horizontal="center" vertical="center"/>
      <protection hidden="1"/>
    </xf>
    <xf numFmtId="0" fontId="25" fillId="0" borderId="10" xfId="0" applyFont="1" applyBorder="1" applyAlignment="1" applyProtection="1">
      <alignment horizontal="left" vertical="center" indent="1"/>
      <protection hidden="1"/>
    </xf>
    <xf numFmtId="0" fontId="25" fillId="0" borderId="5" xfId="0" applyFont="1" applyBorder="1" applyAlignment="1" applyProtection="1">
      <alignment horizontal="left" vertical="center" indent="1"/>
      <protection hidden="1"/>
    </xf>
    <xf numFmtId="0" fontId="16" fillId="13" borderId="5" xfId="0" applyFont="1" applyFill="1" applyBorder="1" applyAlignment="1" applyProtection="1">
      <alignment horizontal="center" vertical="center"/>
      <protection hidden="1"/>
    </xf>
    <xf numFmtId="0" fontId="16" fillId="13" borderId="11" xfId="0" applyFont="1" applyFill="1" applyBorder="1" applyAlignment="1" applyProtection="1">
      <alignment horizontal="center" vertical="center"/>
      <protection hidden="1"/>
    </xf>
    <xf numFmtId="0" fontId="17" fillId="0" borderId="0" xfId="1" applyFont="1" applyAlignment="1" applyProtection="1">
      <alignment horizontal="center" vertical="center"/>
      <protection hidden="1"/>
    </xf>
    <xf numFmtId="0" fontId="12" fillId="0" borderId="0" xfId="0" applyFont="1" applyFill="1" applyAlignment="1" applyProtection="1">
      <alignment horizontal="center" vertical="center"/>
      <protection hidden="1"/>
    </xf>
    <xf numFmtId="0" fontId="12" fillId="0" borderId="2" xfId="0" applyFont="1" applyFill="1" applyBorder="1" applyAlignment="1" applyProtection="1">
      <alignment horizontal="center" vertical="center"/>
      <protection hidden="1"/>
    </xf>
    <xf numFmtId="0" fontId="12" fillId="6" borderId="13" xfId="0" applyFont="1" applyFill="1" applyBorder="1" applyAlignment="1" applyProtection="1">
      <alignment horizontal="center" vertical="center"/>
      <protection hidden="1"/>
    </xf>
    <xf numFmtId="0" fontId="7" fillId="2" borderId="10" xfId="0" applyFont="1" applyFill="1" applyBorder="1" applyAlignment="1" applyProtection="1">
      <alignment horizontal="center" vertical="center"/>
      <protection hidden="1"/>
    </xf>
    <xf numFmtId="0" fontId="7" fillId="2" borderId="5" xfId="0" applyFont="1" applyFill="1" applyBorder="1" applyAlignment="1" applyProtection="1">
      <alignment horizontal="center" vertical="center"/>
      <protection hidden="1"/>
    </xf>
    <xf numFmtId="0" fontId="7" fillId="2" borderId="11" xfId="0" applyFont="1" applyFill="1" applyBorder="1" applyAlignment="1" applyProtection="1">
      <alignment horizontal="center" vertical="center"/>
      <protection hidden="1"/>
    </xf>
    <xf numFmtId="0" fontId="7" fillId="2" borderId="4" xfId="0" applyFont="1" applyFill="1" applyBorder="1" applyAlignment="1" applyProtection="1">
      <alignment horizontal="center" vertical="center"/>
      <protection hidden="1"/>
    </xf>
    <xf numFmtId="0" fontId="7" fillId="2" borderId="6" xfId="0" applyFont="1" applyFill="1" applyBorder="1" applyAlignment="1" applyProtection="1">
      <alignment horizontal="center" vertical="center"/>
      <protection hidden="1"/>
    </xf>
    <xf numFmtId="0" fontId="7" fillId="2" borderId="12" xfId="0" applyFont="1" applyFill="1" applyBorder="1" applyAlignment="1" applyProtection="1">
      <alignment horizontal="center" vertical="center"/>
      <protection hidden="1"/>
    </xf>
    <xf numFmtId="0" fontId="12" fillId="0" borderId="0" xfId="0" applyFont="1" applyBorder="1" applyAlignment="1" applyProtection="1">
      <alignment horizontal="center" vertical="center"/>
      <protection hidden="1"/>
    </xf>
    <xf numFmtId="0" fontId="12" fillId="0" borderId="10" xfId="0" applyFont="1" applyBorder="1" applyAlignment="1" applyProtection="1">
      <alignment horizontal="left" vertical="center" indent="1"/>
      <protection hidden="1"/>
    </xf>
    <xf numFmtId="0" fontId="12" fillId="0" borderId="5" xfId="0" applyFont="1" applyBorder="1" applyAlignment="1" applyProtection="1">
      <alignment horizontal="left" vertical="center" indent="1"/>
      <protection hidden="1"/>
    </xf>
    <xf numFmtId="0" fontId="12" fillId="0" borderId="11" xfId="0" applyFont="1" applyBorder="1" applyAlignment="1" applyProtection="1">
      <alignment horizontal="left" vertical="center" indent="1"/>
      <protection hidden="1"/>
    </xf>
    <xf numFmtId="3" fontId="6" fillId="0" borderId="4" xfId="3" applyNumberFormat="1" applyFont="1" applyBorder="1" applyAlignment="1" applyProtection="1">
      <alignment horizontal="center" vertical="center"/>
      <protection hidden="1"/>
    </xf>
    <xf numFmtId="3" fontId="6" fillId="0" borderId="6" xfId="3" applyNumberFormat="1" applyFont="1" applyBorder="1" applyAlignment="1" applyProtection="1">
      <alignment horizontal="center" vertical="center"/>
      <protection hidden="1"/>
    </xf>
    <xf numFmtId="3" fontId="6" fillId="0" borderId="5" xfId="0" applyNumberFormat="1" applyFont="1" applyBorder="1" applyAlignment="1" applyProtection="1">
      <alignment horizontal="center" vertical="center"/>
      <protection hidden="1"/>
    </xf>
    <xf numFmtId="3" fontId="6" fillId="0" borderId="11" xfId="0" applyNumberFormat="1" applyFont="1" applyBorder="1" applyAlignment="1" applyProtection="1">
      <alignment horizontal="center" vertical="center"/>
      <protection hidden="1"/>
    </xf>
    <xf numFmtId="0" fontId="7" fillId="2" borderId="0" xfId="0" applyFont="1" applyFill="1" applyBorder="1" applyAlignment="1" applyProtection="1">
      <alignment horizontal="center" vertical="center"/>
      <protection hidden="1"/>
    </xf>
    <xf numFmtId="0" fontId="6" fillId="0" borderId="14" xfId="0" applyFont="1" applyBorder="1" applyAlignment="1" applyProtection="1">
      <alignment horizontal="center" vertical="center"/>
      <protection hidden="1"/>
    </xf>
    <xf numFmtId="0" fontId="6" fillId="0" borderId="10" xfId="0" applyFont="1" applyBorder="1" applyAlignment="1" applyProtection="1">
      <alignment horizontal="center" vertical="center"/>
      <protection hidden="1"/>
    </xf>
    <xf numFmtId="0" fontId="6" fillId="0" borderId="5" xfId="0" applyFont="1" applyBorder="1" applyAlignment="1" applyProtection="1">
      <alignment horizontal="center" vertical="center"/>
      <protection hidden="1"/>
    </xf>
    <xf numFmtId="0" fontId="18" fillId="0" borderId="13" xfId="0" applyFont="1" applyBorder="1" applyAlignment="1" applyProtection="1">
      <alignment horizontal="center" vertical="center"/>
      <protection hidden="1"/>
    </xf>
    <xf numFmtId="0" fontId="18" fillId="0" borderId="10" xfId="0" applyFont="1" applyBorder="1" applyAlignment="1" applyProtection="1">
      <alignment horizontal="center" vertical="center"/>
      <protection hidden="1"/>
    </xf>
    <xf numFmtId="0" fontId="17" fillId="0" borderId="0" xfId="1" applyFont="1" applyAlignment="1" applyProtection="1">
      <alignment horizontal="center" vertical="center"/>
      <protection locked="0" hidden="1"/>
    </xf>
    <xf numFmtId="0" fontId="37" fillId="0" borderId="0" xfId="0" applyFont="1" applyBorder="1" applyAlignment="1">
      <alignment horizontal="center" vertical="center" textRotation="255"/>
    </xf>
    <xf numFmtId="0" fontId="10" fillId="0" borderId="10" xfId="0" applyFont="1" applyBorder="1" applyAlignment="1">
      <alignment horizontal="center" vertical="center"/>
    </xf>
    <xf numFmtId="0" fontId="10" fillId="0" borderId="5" xfId="0" applyFont="1" applyBorder="1" applyAlignment="1">
      <alignment horizontal="center" vertical="center"/>
    </xf>
    <xf numFmtId="0" fontId="10" fillId="0" borderId="11" xfId="0" applyFont="1" applyBorder="1" applyAlignment="1">
      <alignment horizontal="center" vertical="center"/>
    </xf>
    <xf numFmtId="0" fontId="33" fillId="0" borderId="10" xfId="1" applyFont="1" applyBorder="1" applyAlignment="1" applyProtection="1">
      <alignment horizontal="center" vertical="center"/>
    </xf>
    <xf numFmtId="0" fontId="33" fillId="0" borderId="5" xfId="1" applyFont="1" applyBorder="1" applyAlignment="1" applyProtection="1">
      <alignment horizontal="center" vertical="center"/>
    </xf>
    <xf numFmtId="0" fontId="33" fillId="0" borderId="11" xfId="1" applyFont="1" applyBorder="1" applyAlignment="1" applyProtection="1">
      <alignment horizontal="center" vertical="center"/>
    </xf>
    <xf numFmtId="0" fontId="10" fillId="0" borderId="10"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11" xfId="0" applyFont="1" applyBorder="1" applyAlignment="1">
      <alignment horizontal="center" vertical="center" wrapText="1"/>
    </xf>
    <xf numFmtId="0" fontId="32" fillId="5" borderId="10" xfId="0" applyFont="1" applyFill="1" applyBorder="1" applyAlignment="1">
      <alignment horizontal="center" vertical="center"/>
    </xf>
    <xf numFmtId="0" fontId="32" fillId="5" borderId="5" xfId="0" applyFont="1" applyFill="1" applyBorder="1" applyAlignment="1">
      <alignment horizontal="center" vertical="center"/>
    </xf>
    <xf numFmtId="0" fontId="32" fillId="5" borderId="11" xfId="0" applyFont="1" applyFill="1" applyBorder="1" applyAlignment="1">
      <alignment horizontal="center" vertical="center"/>
    </xf>
    <xf numFmtId="0" fontId="10" fillId="0" borderId="4" xfId="0" applyFont="1" applyBorder="1" applyAlignment="1">
      <alignment horizontal="center" vertical="center"/>
    </xf>
    <xf numFmtId="0" fontId="10" fillId="0" borderId="6" xfId="0" applyFont="1" applyBorder="1" applyAlignment="1">
      <alignment horizontal="center" vertical="center"/>
    </xf>
    <xf numFmtId="0" fontId="10" fillId="0" borderId="12" xfId="0" applyFont="1" applyBorder="1" applyAlignment="1">
      <alignment horizontal="center" vertical="center"/>
    </xf>
    <xf numFmtId="0" fontId="10" fillId="0" borderId="9" xfId="0" applyFont="1" applyBorder="1" applyAlignment="1">
      <alignment horizontal="center" vertical="center"/>
    </xf>
    <xf numFmtId="0" fontId="10" fillId="0" borderId="7" xfId="0" applyFont="1" applyBorder="1" applyAlignment="1">
      <alignment horizontal="center" vertical="center"/>
    </xf>
    <xf numFmtId="0" fontId="10" fillId="0" borderId="8" xfId="0" applyFont="1" applyBorder="1" applyAlignment="1">
      <alignment horizontal="center" vertical="center"/>
    </xf>
    <xf numFmtId="43" fontId="6" fillId="0" borderId="4" xfId="3" applyFont="1" applyBorder="1" applyAlignment="1">
      <alignment horizontal="center" vertical="center"/>
    </xf>
    <xf numFmtId="43" fontId="6" fillId="0" borderId="6" xfId="3" applyFont="1" applyBorder="1" applyAlignment="1">
      <alignment horizontal="center" vertical="center"/>
    </xf>
    <xf numFmtId="43" fontId="6" fillId="0" borderId="12" xfId="3" applyFont="1" applyBorder="1" applyAlignment="1">
      <alignment horizontal="center" vertical="center"/>
    </xf>
    <xf numFmtId="43" fontId="6" fillId="0" borderId="9" xfId="3" applyFont="1" applyBorder="1" applyAlignment="1">
      <alignment horizontal="center" vertical="center"/>
    </xf>
    <xf numFmtId="43" fontId="6" fillId="0" borderId="7" xfId="3" applyFont="1" applyBorder="1" applyAlignment="1">
      <alignment horizontal="center" vertical="center"/>
    </xf>
    <xf numFmtId="43" fontId="6" fillId="0" borderId="8" xfId="3" applyFont="1" applyBorder="1" applyAlignment="1">
      <alignment horizontal="center" vertical="center"/>
    </xf>
    <xf numFmtId="0" fontId="6" fillId="0" borderId="4" xfId="0" applyFont="1" applyBorder="1" applyAlignment="1">
      <alignment horizontal="center" vertical="center"/>
    </xf>
    <xf numFmtId="0" fontId="6" fillId="0" borderId="6" xfId="0" applyFont="1" applyBorder="1" applyAlignment="1">
      <alignment horizontal="center" vertical="center"/>
    </xf>
    <xf numFmtId="0" fontId="6" fillId="0" borderId="12" xfId="0" applyFont="1" applyBorder="1" applyAlignment="1">
      <alignment horizontal="center" vertical="center"/>
    </xf>
    <xf numFmtId="0" fontId="6" fillId="0" borderId="9"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10" fillId="0" borderId="4"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8" xfId="0" applyFont="1" applyBorder="1" applyAlignment="1">
      <alignment horizontal="center" vertical="center" wrapText="1"/>
    </xf>
  </cellXfs>
  <cellStyles count="4">
    <cellStyle name="Comma" xfId="3" builtinId="3"/>
    <cellStyle name="Hyperlink" xfId="1" builtinId="8"/>
    <cellStyle name="Normal" xfId="0" builtinId="0"/>
    <cellStyle name="Normal 2" xfId="2"/>
  </cellStyles>
  <dxfs count="598">
    <dxf>
      <font>
        <color theme="0"/>
      </font>
      <fill>
        <patternFill>
          <bgColor theme="0"/>
        </patternFill>
      </fill>
    </dxf>
    <dxf>
      <font>
        <color theme="0"/>
      </font>
      <fill>
        <patternFill>
          <bgColor theme="0"/>
        </patternFill>
      </fill>
    </dxf>
    <dxf>
      <font>
        <color theme="0"/>
      </font>
      <fill>
        <patternFill>
          <bgColor theme="0"/>
        </patternFill>
      </fill>
      <border>
        <left/>
        <right/>
        <bottom/>
        <vertical/>
        <horizontal/>
      </border>
    </dxf>
    <dxf>
      <font>
        <color theme="0"/>
      </font>
      <fill>
        <patternFill>
          <bgColor theme="0"/>
        </patternFill>
      </fill>
      <border>
        <left/>
        <right/>
        <bottom/>
        <vertical/>
        <horizontal/>
      </border>
    </dxf>
    <dxf>
      <font>
        <condense val="0"/>
        <extend val="0"/>
        <color auto="1"/>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auto="1"/>
      </font>
    </dxf>
    <dxf>
      <fill>
        <patternFill>
          <bgColor indexed="41"/>
        </patternFill>
      </fill>
      <border>
        <left style="thin">
          <color indexed="64"/>
        </left>
        <right style="thin">
          <color indexed="64"/>
        </right>
        <top style="thin">
          <color indexed="64"/>
        </top>
        <bottom style="thin">
          <color indexed="64"/>
        </bottom>
      </border>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indexed="55"/>
      </font>
    </dxf>
    <dxf>
      <font>
        <b/>
        <i val="0"/>
        <condense val="0"/>
        <extend val="0"/>
        <color indexed="12"/>
      </font>
    </dxf>
    <dxf>
      <font>
        <color theme="0"/>
      </font>
      <fill>
        <patternFill>
          <bgColor theme="0"/>
        </patternFill>
      </fill>
    </dxf>
    <dxf>
      <font>
        <color theme="0"/>
      </font>
      <fill>
        <patternFill>
          <bgColor theme="0"/>
        </patternFill>
      </fill>
    </dxf>
    <dxf>
      <font>
        <color theme="0"/>
      </font>
      <fill>
        <patternFill>
          <bgColor theme="0"/>
        </patternFill>
      </fill>
      <border>
        <left/>
        <right/>
        <bottom/>
        <vertical/>
        <horizontal/>
      </border>
    </dxf>
    <dxf>
      <font>
        <color theme="0"/>
      </font>
      <fill>
        <patternFill>
          <bgColor theme="0"/>
        </patternFill>
      </fill>
      <border>
        <left/>
        <right/>
        <bottom/>
        <vertical/>
        <horizontal/>
      </border>
    </dxf>
    <dxf>
      <font>
        <condense val="0"/>
        <extend val="0"/>
        <color auto="1"/>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auto="1"/>
      </font>
    </dxf>
    <dxf>
      <fill>
        <patternFill>
          <bgColor indexed="41"/>
        </patternFill>
      </fill>
      <border>
        <left style="thin">
          <color indexed="64"/>
        </left>
        <right style="thin">
          <color indexed="64"/>
        </right>
        <top style="thin">
          <color indexed="64"/>
        </top>
        <bottom style="thin">
          <color indexed="64"/>
        </bottom>
      </border>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indexed="55"/>
      </font>
    </dxf>
    <dxf>
      <font>
        <b/>
        <i val="0"/>
        <condense val="0"/>
        <extend val="0"/>
        <color indexed="12"/>
      </font>
    </dxf>
    <dxf>
      <font>
        <color theme="0"/>
      </font>
      <fill>
        <patternFill>
          <bgColor theme="0"/>
        </patternFill>
      </fill>
    </dxf>
    <dxf>
      <font>
        <color theme="0"/>
      </font>
      <fill>
        <patternFill>
          <bgColor theme="0"/>
        </patternFill>
      </fill>
    </dxf>
    <dxf>
      <font>
        <color theme="0"/>
      </font>
      <fill>
        <patternFill>
          <bgColor theme="0"/>
        </patternFill>
      </fill>
      <border>
        <left/>
        <right/>
        <bottom/>
        <vertical/>
        <horizontal/>
      </border>
    </dxf>
    <dxf>
      <font>
        <color theme="0"/>
      </font>
      <fill>
        <patternFill>
          <bgColor theme="0"/>
        </patternFill>
      </fill>
      <border>
        <left/>
        <right/>
        <bottom/>
        <vertical/>
        <horizontal/>
      </border>
    </dxf>
    <dxf>
      <font>
        <condense val="0"/>
        <extend val="0"/>
        <color auto="1"/>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auto="1"/>
      </font>
    </dxf>
    <dxf>
      <fill>
        <patternFill>
          <bgColor indexed="41"/>
        </patternFill>
      </fill>
      <border>
        <left style="thin">
          <color indexed="64"/>
        </left>
        <right style="thin">
          <color indexed="64"/>
        </right>
        <top style="thin">
          <color indexed="64"/>
        </top>
        <bottom style="thin">
          <color indexed="64"/>
        </bottom>
      </border>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indexed="55"/>
      </font>
    </dxf>
    <dxf>
      <font>
        <b/>
        <i val="0"/>
        <condense val="0"/>
        <extend val="0"/>
        <color indexed="12"/>
      </font>
    </dxf>
    <dxf>
      <font>
        <color theme="0"/>
      </font>
      <fill>
        <patternFill>
          <bgColor theme="0"/>
        </patternFill>
      </fill>
    </dxf>
    <dxf>
      <font>
        <color theme="0"/>
      </font>
      <fill>
        <patternFill>
          <bgColor theme="0"/>
        </patternFill>
      </fill>
    </dxf>
    <dxf>
      <font>
        <color theme="0"/>
      </font>
      <fill>
        <patternFill>
          <bgColor theme="0"/>
        </patternFill>
      </fill>
      <border>
        <left/>
        <right/>
        <bottom/>
        <vertical/>
        <horizontal/>
      </border>
    </dxf>
    <dxf>
      <font>
        <color theme="0"/>
      </font>
      <fill>
        <patternFill>
          <bgColor theme="0"/>
        </patternFill>
      </fill>
      <border>
        <left/>
        <right/>
        <bottom/>
        <vertical/>
        <horizontal/>
      </border>
    </dxf>
    <dxf>
      <font>
        <condense val="0"/>
        <extend val="0"/>
        <color auto="1"/>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auto="1"/>
      </font>
    </dxf>
    <dxf>
      <fill>
        <patternFill>
          <bgColor indexed="41"/>
        </patternFill>
      </fill>
      <border>
        <left style="thin">
          <color indexed="64"/>
        </left>
        <right style="thin">
          <color indexed="64"/>
        </right>
        <top style="thin">
          <color indexed="64"/>
        </top>
        <bottom style="thin">
          <color indexed="64"/>
        </bottom>
      </border>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indexed="55"/>
      </font>
    </dxf>
    <dxf>
      <font>
        <b/>
        <i val="0"/>
        <condense val="0"/>
        <extend val="0"/>
        <color indexed="12"/>
      </font>
    </dxf>
    <dxf>
      <font>
        <color theme="0"/>
      </font>
      <fill>
        <patternFill>
          <bgColor theme="0"/>
        </patternFill>
      </fill>
    </dxf>
    <dxf>
      <font>
        <color theme="0"/>
      </font>
      <fill>
        <patternFill>
          <bgColor theme="0"/>
        </patternFill>
      </fill>
    </dxf>
    <dxf>
      <font>
        <color theme="0"/>
      </font>
      <fill>
        <patternFill>
          <bgColor theme="0"/>
        </patternFill>
      </fill>
      <border>
        <left/>
        <right/>
        <bottom/>
        <vertical/>
        <horizontal/>
      </border>
    </dxf>
    <dxf>
      <font>
        <color theme="0"/>
      </font>
      <fill>
        <patternFill>
          <bgColor theme="0"/>
        </patternFill>
      </fill>
      <border>
        <left/>
        <right/>
        <bottom/>
        <vertical/>
        <horizontal/>
      </border>
    </dxf>
    <dxf>
      <font>
        <condense val="0"/>
        <extend val="0"/>
        <color auto="1"/>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auto="1"/>
      </font>
    </dxf>
    <dxf>
      <fill>
        <patternFill>
          <bgColor indexed="41"/>
        </patternFill>
      </fill>
      <border>
        <left style="thin">
          <color indexed="64"/>
        </left>
        <right style="thin">
          <color indexed="64"/>
        </right>
        <top style="thin">
          <color indexed="64"/>
        </top>
        <bottom style="thin">
          <color indexed="64"/>
        </bottom>
      </border>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indexed="55"/>
      </font>
    </dxf>
    <dxf>
      <font>
        <b/>
        <i val="0"/>
        <condense val="0"/>
        <extend val="0"/>
        <color indexed="12"/>
      </font>
    </dxf>
    <dxf>
      <font>
        <color theme="0"/>
      </font>
      <fill>
        <patternFill>
          <bgColor theme="0"/>
        </patternFill>
      </fill>
    </dxf>
    <dxf>
      <font>
        <color theme="0"/>
      </font>
      <fill>
        <patternFill>
          <bgColor theme="0"/>
        </patternFill>
      </fill>
    </dxf>
    <dxf>
      <font>
        <color theme="0"/>
      </font>
      <fill>
        <patternFill>
          <bgColor theme="0"/>
        </patternFill>
      </fill>
      <border>
        <left/>
        <right/>
        <bottom/>
        <vertical/>
        <horizontal/>
      </border>
    </dxf>
    <dxf>
      <font>
        <color theme="0"/>
      </font>
      <fill>
        <patternFill>
          <bgColor theme="0"/>
        </patternFill>
      </fill>
      <border>
        <left/>
        <right/>
        <bottom/>
        <vertical/>
        <horizontal/>
      </border>
    </dxf>
    <dxf>
      <font>
        <condense val="0"/>
        <extend val="0"/>
        <color auto="1"/>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auto="1"/>
      </font>
    </dxf>
    <dxf>
      <fill>
        <patternFill>
          <bgColor indexed="41"/>
        </patternFill>
      </fill>
      <border>
        <left style="thin">
          <color indexed="64"/>
        </left>
        <right style="thin">
          <color indexed="64"/>
        </right>
        <top style="thin">
          <color indexed="64"/>
        </top>
        <bottom style="thin">
          <color indexed="64"/>
        </bottom>
      </border>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indexed="55"/>
      </font>
    </dxf>
    <dxf>
      <font>
        <b/>
        <i val="0"/>
        <condense val="0"/>
        <extend val="0"/>
        <color indexed="12"/>
      </font>
    </dxf>
    <dxf>
      <font>
        <color theme="0"/>
      </font>
      <fill>
        <patternFill>
          <bgColor theme="0"/>
        </patternFill>
      </fill>
    </dxf>
    <dxf>
      <font>
        <color theme="0"/>
      </font>
      <fill>
        <patternFill>
          <bgColor theme="0"/>
        </patternFill>
      </fill>
    </dxf>
    <dxf>
      <font>
        <color theme="0"/>
      </font>
      <fill>
        <patternFill>
          <bgColor theme="0"/>
        </patternFill>
      </fill>
      <border>
        <left/>
        <right/>
        <bottom/>
        <vertical/>
        <horizontal/>
      </border>
    </dxf>
    <dxf>
      <font>
        <color theme="0"/>
      </font>
      <fill>
        <patternFill>
          <bgColor theme="0"/>
        </patternFill>
      </fill>
      <border>
        <left/>
        <right/>
        <bottom/>
        <vertical/>
        <horizontal/>
      </border>
    </dxf>
    <dxf>
      <font>
        <condense val="0"/>
        <extend val="0"/>
        <color auto="1"/>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auto="1"/>
      </font>
    </dxf>
    <dxf>
      <fill>
        <patternFill>
          <bgColor indexed="41"/>
        </patternFill>
      </fill>
      <border>
        <left style="thin">
          <color indexed="64"/>
        </left>
        <right style="thin">
          <color indexed="64"/>
        </right>
        <top style="thin">
          <color indexed="64"/>
        </top>
        <bottom style="thin">
          <color indexed="64"/>
        </bottom>
      </border>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indexed="55"/>
      </font>
    </dxf>
    <dxf>
      <font>
        <b/>
        <i val="0"/>
        <condense val="0"/>
        <extend val="0"/>
        <color indexed="12"/>
      </font>
    </dxf>
    <dxf>
      <font>
        <color theme="0"/>
      </font>
      <fill>
        <patternFill>
          <bgColor theme="0"/>
        </patternFill>
      </fill>
    </dxf>
    <dxf>
      <font>
        <color theme="0"/>
      </font>
      <fill>
        <patternFill>
          <bgColor theme="0"/>
        </patternFill>
      </fill>
    </dxf>
    <dxf>
      <font>
        <color theme="0"/>
      </font>
      <fill>
        <patternFill>
          <bgColor theme="0"/>
        </patternFill>
      </fill>
      <border>
        <left/>
        <right/>
        <bottom/>
        <vertical/>
        <horizontal/>
      </border>
    </dxf>
    <dxf>
      <font>
        <color theme="0"/>
      </font>
      <fill>
        <patternFill>
          <bgColor theme="0"/>
        </patternFill>
      </fill>
      <border>
        <left/>
        <right/>
        <bottom/>
        <vertical/>
        <horizontal/>
      </border>
    </dxf>
    <dxf>
      <font>
        <condense val="0"/>
        <extend val="0"/>
        <color auto="1"/>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auto="1"/>
      </font>
    </dxf>
    <dxf>
      <fill>
        <patternFill>
          <bgColor indexed="41"/>
        </patternFill>
      </fill>
      <border>
        <left style="thin">
          <color indexed="64"/>
        </left>
        <right style="thin">
          <color indexed="64"/>
        </right>
        <top style="thin">
          <color indexed="64"/>
        </top>
        <bottom style="thin">
          <color indexed="64"/>
        </bottom>
      </border>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indexed="55"/>
      </font>
    </dxf>
    <dxf>
      <font>
        <b/>
        <i val="0"/>
        <condense val="0"/>
        <extend val="0"/>
        <color indexed="12"/>
      </font>
    </dxf>
    <dxf>
      <font>
        <color theme="0"/>
      </font>
      <fill>
        <patternFill>
          <bgColor theme="0"/>
        </patternFill>
      </fill>
    </dxf>
    <dxf>
      <font>
        <color theme="0"/>
      </font>
      <fill>
        <patternFill>
          <bgColor theme="0"/>
        </patternFill>
      </fill>
    </dxf>
    <dxf>
      <font>
        <color theme="0"/>
      </font>
      <fill>
        <patternFill>
          <bgColor theme="0"/>
        </patternFill>
      </fill>
      <border>
        <left/>
        <right/>
        <bottom/>
        <vertical/>
        <horizontal/>
      </border>
    </dxf>
    <dxf>
      <font>
        <color theme="0"/>
      </font>
      <fill>
        <patternFill>
          <bgColor theme="0"/>
        </patternFill>
      </fill>
      <border>
        <left/>
        <right/>
        <bottom/>
        <vertical/>
        <horizontal/>
      </border>
    </dxf>
    <dxf>
      <font>
        <condense val="0"/>
        <extend val="0"/>
        <color auto="1"/>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auto="1"/>
      </font>
    </dxf>
    <dxf>
      <fill>
        <patternFill>
          <bgColor indexed="41"/>
        </patternFill>
      </fill>
      <border>
        <left style="thin">
          <color indexed="64"/>
        </left>
        <right style="thin">
          <color indexed="64"/>
        </right>
        <top style="thin">
          <color indexed="64"/>
        </top>
        <bottom style="thin">
          <color indexed="64"/>
        </bottom>
      </border>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indexed="55"/>
      </font>
    </dxf>
    <dxf>
      <font>
        <b/>
        <i val="0"/>
        <condense val="0"/>
        <extend val="0"/>
        <color indexed="12"/>
      </font>
    </dxf>
    <dxf>
      <font>
        <color theme="0"/>
      </font>
      <fill>
        <patternFill>
          <bgColor theme="0"/>
        </patternFill>
      </fill>
    </dxf>
    <dxf>
      <font>
        <color theme="0"/>
      </font>
      <fill>
        <patternFill>
          <bgColor theme="0"/>
        </patternFill>
      </fill>
    </dxf>
    <dxf>
      <font>
        <color theme="0"/>
      </font>
      <fill>
        <patternFill>
          <bgColor theme="0"/>
        </patternFill>
      </fill>
      <border>
        <left/>
        <right/>
        <bottom/>
        <vertical/>
        <horizontal/>
      </border>
    </dxf>
    <dxf>
      <font>
        <color theme="0"/>
      </font>
      <fill>
        <patternFill>
          <bgColor theme="0"/>
        </patternFill>
      </fill>
      <border>
        <left/>
        <right/>
        <bottom/>
        <vertical/>
        <horizontal/>
      </border>
    </dxf>
    <dxf>
      <font>
        <condense val="0"/>
        <extend val="0"/>
        <color auto="1"/>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auto="1"/>
      </font>
    </dxf>
    <dxf>
      <fill>
        <patternFill>
          <bgColor indexed="41"/>
        </patternFill>
      </fill>
      <border>
        <left style="thin">
          <color indexed="64"/>
        </left>
        <right style="thin">
          <color indexed="64"/>
        </right>
        <top style="thin">
          <color indexed="64"/>
        </top>
        <bottom style="thin">
          <color indexed="64"/>
        </bottom>
      </border>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indexed="55"/>
      </font>
    </dxf>
    <dxf>
      <font>
        <b/>
        <i val="0"/>
        <condense val="0"/>
        <extend val="0"/>
        <color indexed="12"/>
      </font>
    </dxf>
    <dxf>
      <font>
        <color theme="0"/>
      </font>
      <fill>
        <patternFill>
          <bgColor theme="0"/>
        </patternFill>
      </fill>
    </dxf>
    <dxf>
      <font>
        <color theme="0"/>
      </font>
      <fill>
        <patternFill>
          <bgColor theme="0"/>
        </patternFill>
      </fill>
    </dxf>
    <dxf>
      <font>
        <color theme="0"/>
      </font>
      <fill>
        <patternFill>
          <bgColor theme="0"/>
        </patternFill>
      </fill>
      <border>
        <left/>
        <right/>
        <bottom/>
        <vertical/>
        <horizontal/>
      </border>
    </dxf>
    <dxf>
      <font>
        <color theme="0"/>
      </font>
      <fill>
        <patternFill>
          <bgColor theme="0"/>
        </patternFill>
      </fill>
      <border>
        <left/>
        <right/>
        <bottom/>
        <vertical/>
        <horizontal/>
      </border>
    </dxf>
    <dxf>
      <font>
        <condense val="0"/>
        <extend val="0"/>
        <color auto="1"/>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auto="1"/>
      </font>
    </dxf>
    <dxf>
      <fill>
        <patternFill>
          <bgColor indexed="41"/>
        </patternFill>
      </fill>
      <border>
        <left style="thin">
          <color indexed="64"/>
        </left>
        <right style="thin">
          <color indexed="64"/>
        </right>
        <top style="thin">
          <color indexed="64"/>
        </top>
        <bottom style="thin">
          <color indexed="64"/>
        </bottom>
      </border>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indexed="55"/>
      </font>
    </dxf>
    <dxf>
      <font>
        <b/>
        <i val="0"/>
        <condense val="0"/>
        <extend val="0"/>
        <color indexed="12"/>
      </font>
    </dxf>
    <dxf>
      <font>
        <color theme="0"/>
      </font>
      <fill>
        <patternFill>
          <bgColor theme="0"/>
        </patternFill>
      </fill>
    </dxf>
    <dxf>
      <font>
        <color theme="0"/>
      </font>
      <fill>
        <patternFill>
          <bgColor theme="0"/>
        </patternFill>
      </fill>
    </dxf>
    <dxf>
      <font>
        <color theme="0"/>
      </font>
      <fill>
        <patternFill>
          <bgColor theme="0"/>
        </patternFill>
      </fill>
      <border>
        <left/>
        <right/>
        <bottom/>
        <vertical/>
        <horizontal/>
      </border>
    </dxf>
    <dxf>
      <font>
        <color theme="0"/>
      </font>
      <fill>
        <patternFill>
          <bgColor theme="0"/>
        </patternFill>
      </fill>
      <border>
        <left/>
        <right/>
        <bottom/>
        <vertical/>
        <horizontal/>
      </border>
    </dxf>
    <dxf>
      <font>
        <condense val="0"/>
        <extend val="0"/>
        <color auto="1"/>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auto="1"/>
      </font>
    </dxf>
    <dxf>
      <fill>
        <patternFill>
          <bgColor indexed="41"/>
        </patternFill>
      </fill>
      <border>
        <left style="thin">
          <color indexed="64"/>
        </left>
        <right style="thin">
          <color indexed="64"/>
        </right>
        <top style="thin">
          <color indexed="64"/>
        </top>
        <bottom style="thin">
          <color indexed="64"/>
        </bottom>
      </border>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indexed="55"/>
      </font>
    </dxf>
    <dxf>
      <font>
        <b/>
        <i val="0"/>
        <condense val="0"/>
        <extend val="0"/>
        <color indexed="12"/>
      </font>
    </dxf>
    <dxf>
      <font>
        <color theme="0"/>
      </font>
      <fill>
        <patternFill>
          <bgColor theme="0"/>
        </patternFill>
      </fill>
    </dxf>
    <dxf>
      <font>
        <color theme="0"/>
      </font>
      <fill>
        <patternFill>
          <bgColor theme="0"/>
        </patternFill>
      </fill>
    </dxf>
    <dxf>
      <font>
        <color theme="0"/>
      </font>
      <fill>
        <patternFill>
          <bgColor theme="0"/>
        </patternFill>
      </fill>
      <border>
        <left/>
        <right/>
        <bottom/>
        <vertical/>
        <horizontal/>
      </border>
    </dxf>
    <dxf>
      <font>
        <color theme="0"/>
      </font>
      <fill>
        <patternFill>
          <bgColor theme="0"/>
        </patternFill>
      </fill>
      <border>
        <left/>
        <right/>
        <bottom/>
        <vertical/>
        <horizontal/>
      </border>
    </dxf>
    <dxf>
      <font>
        <condense val="0"/>
        <extend val="0"/>
        <color auto="1"/>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auto="1"/>
      </font>
    </dxf>
    <dxf>
      <fill>
        <patternFill>
          <bgColor indexed="41"/>
        </patternFill>
      </fill>
      <border>
        <left style="thin">
          <color indexed="64"/>
        </left>
        <right style="thin">
          <color indexed="64"/>
        </right>
        <top style="thin">
          <color indexed="64"/>
        </top>
        <bottom style="thin">
          <color indexed="64"/>
        </bottom>
      </border>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indexed="55"/>
      </font>
    </dxf>
    <dxf>
      <font>
        <b/>
        <i val="0"/>
        <condense val="0"/>
        <extend val="0"/>
        <color indexed="12"/>
      </font>
    </dxf>
    <dxf>
      <font>
        <color theme="0"/>
      </font>
      <fill>
        <patternFill>
          <bgColor theme="0"/>
        </patternFill>
      </fill>
    </dxf>
    <dxf>
      <font>
        <color theme="0"/>
      </font>
      <fill>
        <patternFill>
          <bgColor theme="0"/>
        </patternFill>
      </fill>
    </dxf>
    <dxf>
      <font>
        <color theme="0"/>
      </font>
      <fill>
        <patternFill>
          <bgColor theme="0"/>
        </patternFill>
      </fill>
      <border>
        <left/>
        <right/>
        <bottom/>
        <vertical/>
        <horizontal/>
      </border>
    </dxf>
    <dxf>
      <font>
        <color theme="0"/>
      </font>
      <fill>
        <patternFill>
          <bgColor theme="0"/>
        </patternFill>
      </fill>
      <border>
        <left/>
        <right/>
        <bottom/>
        <vertical/>
        <horizontal/>
      </border>
    </dxf>
    <dxf>
      <font>
        <condense val="0"/>
        <extend val="0"/>
        <color auto="1"/>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auto="1"/>
      </font>
    </dxf>
    <dxf>
      <fill>
        <patternFill>
          <bgColor indexed="41"/>
        </patternFill>
      </fill>
      <border>
        <left style="thin">
          <color indexed="64"/>
        </left>
        <right style="thin">
          <color indexed="64"/>
        </right>
        <top style="thin">
          <color indexed="64"/>
        </top>
        <bottom style="thin">
          <color indexed="64"/>
        </bottom>
      </border>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indexed="55"/>
      </font>
    </dxf>
    <dxf>
      <font>
        <b/>
        <i val="0"/>
        <condense val="0"/>
        <extend val="0"/>
        <color indexed="12"/>
      </font>
    </dxf>
    <dxf>
      <font>
        <color theme="0"/>
      </font>
      <fill>
        <patternFill>
          <bgColor theme="0"/>
        </patternFill>
      </fill>
    </dxf>
    <dxf>
      <font>
        <color theme="0"/>
      </font>
      <fill>
        <patternFill>
          <bgColor theme="0"/>
        </patternFill>
      </fill>
    </dxf>
    <dxf>
      <font>
        <color theme="0"/>
      </font>
      <fill>
        <patternFill>
          <bgColor theme="0"/>
        </patternFill>
      </fill>
      <border>
        <left/>
        <right/>
        <bottom/>
        <vertical/>
        <horizontal/>
      </border>
    </dxf>
    <dxf>
      <font>
        <color theme="0"/>
      </font>
      <fill>
        <patternFill>
          <bgColor theme="0"/>
        </patternFill>
      </fill>
      <border>
        <left/>
        <right/>
        <bottom/>
        <vertical/>
        <horizontal/>
      </border>
    </dxf>
    <dxf>
      <font>
        <condense val="0"/>
        <extend val="0"/>
        <color auto="1"/>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auto="1"/>
      </font>
    </dxf>
    <dxf>
      <fill>
        <patternFill>
          <bgColor indexed="41"/>
        </patternFill>
      </fill>
      <border>
        <left style="thin">
          <color indexed="64"/>
        </left>
        <right style="thin">
          <color indexed="64"/>
        </right>
        <top style="thin">
          <color indexed="64"/>
        </top>
        <bottom style="thin">
          <color indexed="64"/>
        </bottom>
      </border>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auto="1"/>
      </font>
    </dxf>
    <dxf>
      <font>
        <condense val="0"/>
        <extend val="0"/>
        <color indexed="55"/>
      </font>
    </dxf>
    <dxf>
      <font>
        <b/>
        <i val="0"/>
        <condense val="0"/>
        <extend val="0"/>
        <color indexed="12"/>
      </font>
    </dxf>
    <dxf>
      <font>
        <condense val="0"/>
        <extend val="0"/>
        <color indexed="55"/>
      </font>
    </dxf>
    <dxf>
      <font>
        <b/>
        <i val="0"/>
        <condense val="0"/>
        <extend val="0"/>
        <color indexed="12"/>
      </font>
    </dxf>
    <dxf>
      <font>
        <condense val="0"/>
        <extend val="0"/>
        <color auto="1"/>
      </font>
      <border>
        <left style="thin">
          <color indexed="12"/>
        </left>
        <right style="thin">
          <color indexed="12"/>
        </right>
        <top style="thin">
          <color indexed="12"/>
        </top>
        <bottom style="thin">
          <color indexed="12"/>
        </bottom>
      </border>
    </dxf>
    <dxf>
      <font>
        <b val="0"/>
        <i val="0"/>
        <condense val="0"/>
        <extend val="0"/>
        <color indexed="8"/>
      </font>
      <border>
        <left style="thin">
          <color indexed="12"/>
        </left>
        <right style="thin">
          <color indexed="12"/>
        </right>
        <top style="thin">
          <color indexed="12"/>
        </top>
        <bottom style="thin">
          <color indexed="12"/>
        </bottom>
      </border>
    </dxf>
    <dxf>
      <font>
        <condense val="0"/>
        <extend val="0"/>
        <color auto="1"/>
      </font>
      <border>
        <left style="thin">
          <color indexed="12"/>
        </left>
        <right style="thin">
          <color indexed="12"/>
        </right>
        <top style="thin">
          <color indexed="12"/>
        </top>
        <bottom style="thin">
          <color indexed="12"/>
        </bottom>
      </border>
    </dxf>
    <dxf>
      <font>
        <b val="0"/>
        <i val="0"/>
        <condense val="0"/>
        <extend val="0"/>
        <color indexed="8"/>
      </font>
      <border>
        <left style="thin">
          <color indexed="12"/>
        </left>
        <right style="thin">
          <color indexed="12"/>
        </right>
        <top style="thin">
          <color indexed="12"/>
        </top>
        <bottom style="thin">
          <color indexed="12"/>
        </bottom>
      </border>
    </dxf>
    <dxf>
      <font>
        <condense val="0"/>
        <extend val="0"/>
        <color auto="1"/>
      </font>
      <border>
        <left style="thin">
          <color indexed="12"/>
        </left>
        <right style="thin">
          <color indexed="12"/>
        </right>
        <top style="thin">
          <color indexed="12"/>
        </top>
        <bottom style="thin">
          <color indexed="12"/>
        </bottom>
      </border>
    </dxf>
    <dxf>
      <font>
        <b val="0"/>
        <i val="0"/>
        <condense val="0"/>
        <extend val="0"/>
        <color indexed="8"/>
      </font>
      <border>
        <left style="thin">
          <color indexed="12"/>
        </left>
        <right style="thin">
          <color indexed="12"/>
        </right>
        <top style="thin">
          <color indexed="12"/>
        </top>
        <bottom style="thin">
          <color indexed="12"/>
        </bottom>
      </border>
    </dxf>
    <dxf>
      <font>
        <condense val="0"/>
        <extend val="0"/>
        <color auto="1"/>
      </font>
      <border>
        <left style="thin">
          <color indexed="12"/>
        </left>
        <right style="thin">
          <color indexed="12"/>
        </right>
        <top style="thin">
          <color indexed="12"/>
        </top>
        <bottom style="thin">
          <color indexed="12"/>
        </bottom>
      </border>
    </dxf>
    <dxf>
      <font>
        <b val="0"/>
        <i val="0"/>
        <condense val="0"/>
        <extend val="0"/>
        <color indexed="8"/>
      </font>
      <border>
        <left style="thin">
          <color indexed="12"/>
        </left>
        <right style="thin">
          <color indexed="12"/>
        </right>
        <top style="thin">
          <color indexed="12"/>
        </top>
        <bottom style="thin">
          <color indexed="12"/>
        </bottom>
      </border>
    </dxf>
    <dxf>
      <font>
        <condense val="0"/>
        <extend val="0"/>
        <color auto="1"/>
      </font>
      <border>
        <left style="thin">
          <color indexed="12"/>
        </left>
        <right style="thin">
          <color indexed="12"/>
        </right>
        <top style="thin">
          <color indexed="12"/>
        </top>
        <bottom style="thin">
          <color indexed="12"/>
        </bottom>
      </border>
    </dxf>
    <dxf>
      <font>
        <b val="0"/>
        <i val="0"/>
        <condense val="0"/>
        <extend val="0"/>
        <color indexed="8"/>
      </font>
      <border>
        <left style="thin">
          <color indexed="12"/>
        </left>
        <right style="thin">
          <color indexed="12"/>
        </right>
        <top style="thin">
          <color indexed="12"/>
        </top>
        <bottom style="thin">
          <color indexed="12"/>
        </bottom>
      </border>
    </dxf>
    <dxf>
      <font>
        <condense val="0"/>
        <extend val="0"/>
        <color auto="1"/>
      </font>
      <border>
        <left style="thin">
          <color indexed="12"/>
        </left>
        <right style="thin">
          <color indexed="12"/>
        </right>
        <top style="thin">
          <color indexed="12"/>
        </top>
        <bottom style="thin">
          <color indexed="12"/>
        </bottom>
      </border>
    </dxf>
    <dxf>
      <font>
        <b val="0"/>
        <i val="0"/>
        <condense val="0"/>
        <extend val="0"/>
        <color auto="1"/>
      </font>
      <border>
        <left style="thin">
          <color indexed="12"/>
        </left>
        <right style="thin">
          <color indexed="12"/>
        </right>
        <top style="thin">
          <color indexed="12"/>
        </top>
        <bottom style="thin">
          <color indexed="12"/>
        </bottom>
      </border>
    </dxf>
    <dxf>
      <font>
        <condense val="0"/>
        <extend val="0"/>
        <color auto="1"/>
      </font>
      <border>
        <left style="thin">
          <color indexed="12"/>
        </left>
        <right style="thin">
          <color indexed="12"/>
        </right>
        <top style="thin">
          <color indexed="12"/>
        </top>
        <bottom style="thin">
          <color indexed="12"/>
        </bottom>
      </border>
    </dxf>
    <dxf>
      <font>
        <b val="0"/>
        <i val="0"/>
        <condense val="0"/>
        <extend val="0"/>
        <color indexed="8"/>
      </font>
      <border>
        <left style="thin">
          <color indexed="12"/>
        </left>
        <right style="thin">
          <color indexed="12"/>
        </right>
        <top style="thin">
          <color indexed="12"/>
        </top>
        <bottom style="thin">
          <color indexed="12"/>
        </bottom>
      </border>
    </dxf>
    <dxf>
      <font>
        <b val="0"/>
        <i val="0"/>
        <condense val="0"/>
        <extend val="0"/>
        <color indexed="8"/>
      </font>
      <border>
        <left style="thin">
          <color indexed="12"/>
        </left>
        <right style="thin">
          <color indexed="12"/>
        </right>
        <top style="thin">
          <color indexed="12"/>
        </top>
        <bottom style="thin">
          <color indexed="12"/>
        </bottom>
      </border>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ill>
        <patternFill>
          <bgColor indexed="41"/>
        </patternFill>
      </fill>
      <border>
        <left style="thin">
          <color indexed="64"/>
        </left>
        <right style="thin">
          <color indexed="64"/>
        </right>
        <top style="thin">
          <color indexed="64"/>
        </top>
        <bottom style="thin">
          <color indexed="64"/>
        </bottom>
      </border>
    </dxf>
    <dxf>
      <font>
        <condense val="0"/>
        <extend val="0"/>
        <color indexed="55"/>
      </font>
    </dxf>
    <dxf>
      <font>
        <b/>
        <i val="0"/>
        <condense val="0"/>
        <extend val="0"/>
        <color indexed="12"/>
      </font>
    </dxf>
    <dxf>
      <font>
        <condense val="0"/>
        <extend val="0"/>
        <color indexed="55"/>
      </font>
    </dxf>
    <dxf>
      <font>
        <b/>
        <i val="0"/>
        <condense val="0"/>
        <extend val="0"/>
        <color indexed="12"/>
      </font>
    </dxf>
    <dxf>
      <font>
        <condense val="0"/>
        <extend val="0"/>
        <color indexed="55"/>
      </font>
    </dxf>
    <dxf>
      <font>
        <b/>
        <i val="0"/>
        <condense val="0"/>
        <extend val="0"/>
        <color indexed="12"/>
      </font>
    </dxf>
    <dxf>
      <font>
        <condense val="0"/>
        <extend val="0"/>
        <color indexed="55"/>
      </font>
    </dxf>
    <dxf>
      <font>
        <b/>
        <i val="0"/>
        <condense val="0"/>
        <extend val="0"/>
        <color indexed="12"/>
      </font>
    </dxf>
    <dxf>
      <font>
        <color theme="0"/>
      </font>
      <fill>
        <patternFill>
          <bgColor theme="0"/>
        </patternFill>
      </fill>
    </dxf>
    <dxf>
      <font>
        <b/>
        <i val="0"/>
        <color rgb="FF0000FF"/>
      </font>
      <border>
        <left/>
        <right/>
        <top/>
        <bottom/>
        <vertical/>
        <horizontal/>
      </border>
    </dxf>
    <dxf>
      <font>
        <b/>
        <i val="0"/>
        <condense val="0"/>
        <extend val="0"/>
        <color indexed="12"/>
      </font>
    </dxf>
    <dxf>
      <font>
        <color theme="0"/>
      </font>
      <fill>
        <patternFill>
          <bgColor theme="0"/>
        </patternFill>
      </fill>
    </dxf>
    <dxf>
      <font>
        <b/>
        <i val="0"/>
        <condense val="0"/>
        <extend val="0"/>
        <color indexed="12"/>
      </font>
    </dxf>
    <dxf>
      <font>
        <b/>
        <i val="0"/>
        <condense val="0"/>
        <extend val="0"/>
        <color indexed="12"/>
      </font>
    </dxf>
    <dxf>
      <font>
        <b/>
        <i val="0"/>
        <color rgb="FF0000FF"/>
      </font>
      <border>
        <left/>
        <right/>
        <top/>
        <bottom/>
        <vertical/>
        <horizontal/>
      </border>
    </dxf>
    <dxf>
      <font>
        <b/>
        <i val="0"/>
        <condense val="0"/>
        <extend val="0"/>
        <color indexed="12"/>
      </font>
    </dxf>
    <dxf>
      <font>
        <b/>
        <i val="0"/>
        <condense val="0"/>
        <extend val="0"/>
        <color indexed="12"/>
      </font>
    </dxf>
    <dxf>
      <font>
        <color theme="0"/>
      </font>
      <fill>
        <patternFill>
          <bgColor theme="0"/>
        </patternFill>
      </fill>
    </dxf>
    <dxf>
      <font>
        <b/>
        <i val="0"/>
        <condense val="0"/>
        <extend val="0"/>
        <color indexed="12"/>
      </font>
    </dxf>
    <dxf>
      <font>
        <b/>
        <i val="0"/>
        <condense val="0"/>
        <extend val="0"/>
        <color indexed="12"/>
      </font>
    </dxf>
    <dxf>
      <font>
        <b/>
        <i val="0"/>
        <color rgb="FF0000FF"/>
      </font>
      <border>
        <left/>
        <right/>
        <top/>
        <bottom/>
        <vertical/>
        <horizontal/>
      </border>
    </dxf>
    <dxf>
      <font>
        <b/>
        <i val="0"/>
        <condense val="0"/>
        <extend val="0"/>
        <color indexed="12"/>
      </font>
    </dxf>
    <dxf>
      <font>
        <b/>
        <i val="0"/>
        <condense val="0"/>
        <extend val="0"/>
        <color indexed="12"/>
      </font>
    </dxf>
    <dxf>
      <font>
        <color theme="0"/>
      </font>
      <fill>
        <patternFill>
          <bgColor theme="0"/>
        </patternFill>
      </fill>
    </dxf>
    <dxf>
      <font>
        <b/>
        <i val="0"/>
        <color rgb="FF0000FF"/>
      </font>
    </dxf>
    <dxf>
      <font>
        <b/>
        <i val="0"/>
        <color rgb="FF0000FF"/>
      </font>
    </dxf>
    <dxf>
      <font>
        <color theme="3" tint="0.59996337778862885"/>
      </font>
    </dxf>
    <dxf>
      <font>
        <color theme="3" tint="0.79998168889431442"/>
      </font>
    </dxf>
    <dxf>
      <font>
        <color theme="0"/>
      </font>
      <fill>
        <patternFill>
          <bgColor theme="0"/>
        </patternFill>
      </fill>
    </dxf>
    <dxf>
      <font>
        <b/>
        <i val="0"/>
        <color rgb="FF0000FF"/>
      </font>
    </dxf>
    <dxf>
      <font>
        <b/>
        <i val="0"/>
        <color rgb="FF0000FF"/>
      </font>
    </dxf>
    <dxf>
      <font>
        <color theme="3" tint="0.59996337778862885"/>
      </font>
    </dxf>
    <dxf>
      <font>
        <color theme="3" tint="0.79998168889431442"/>
      </font>
    </dxf>
    <dxf>
      <font>
        <color rgb="FF9C0006"/>
      </font>
      <fill>
        <patternFill>
          <bgColor rgb="FFFFC7CE"/>
        </patternFill>
      </fill>
    </dxf>
  </dxfs>
  <tableStyles count="0" defaultTableStyle="TableStyleMedium2" defaultPivotStyle="PivotStyleLight16"/>
  <colors>
    <mruColors>
      <color rgb="FF0000FF"/>
      <color rgb="FF0066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hyperlink" Target="#'Player Leaderboard'!B5"/><Relationship Id="rId2" Type="http://schemas.openxmlformats.org/officeDocument/2006/relationships/hyperlink" Target="#'Player Scoreboard'!C7"/><Relationship Id="rId1" Type="http://schemas.openxmlformats.org/officeDocument/2006/relationships/hyperlink" Target="#Setup!C5"/><Relationship Id="rId6" Type="http://schemas.openxmlformats.org/officeDocument/2006/relationships/hyperlink" Target="#'Player Name'!C5"/><Relationship Id="rId5" Type="http://schemas.openxmlformats.org/officeDocument/2006/relationships/hyperlink" Target="#About!C5"/><Relationship Id="rId4" Type="http://schemas.openxmlformats.org/officeDocument/2006/relationships/hyperlink" Target="#Tournament!B6"/></Relationships>
</file>

<file path=xl/drawings/_rels/drawing2.xml.rels><?xml version="1.0" encoding="UTF-8" standalone="yes"?>
<Relationships xmlns="http://schemas.openxmlformats.org/package/2006/relationships"><Relationship Id="rId3" Type="http://schemas.openxmlformats.org/officeDocument/2006/relationships/hyperlink" Target="#'Player Leaderboard'!B5"/><Relationship Id="rId2" Type="http://schemas.openxmlformats.org/officeDocument/2006/relationships/hyperlink" Target="#'Player Scoreboard'!C7"/><Relationship Id="rId1" Type="http://schemas.openxmlformats.org/officeDocument/2006/relationships/hyperlink" Target="#Setup!C5"/><Relationship Id="rId5" Type="http://schemas.openxmlformats.org/officeDocument/2006/relationships/hyperlink" Target="#About!C5"/><Relationship Id="rId4" Type="http://schemas.openxmlformats.org/officeDocument/2006/relationships/hyperlink" Target="#Tournament!B6"/></Relationships>
</file>

<file path=xl/drawings/_rels/drawing3.xml.rels><?xml version="1.0" encoding="UTF-8" standalone="yes"?>
<Relationships xmlns="http://schemas.openxmlformats.org/package/2006/relationships"><Relationship Id="rId3" Type="http://schemas.openxmlformats.org/officeDocument/2006/relationships/hyperlink" Target="#'Player Leaderboard'!B5"/><Relationship Id="rId7" Type="http://schemas.openxmlformats.org/officeDocument/2006/relationships/hyperlink" Target="#Player!D4"/><Relationship Id="rId2" Type="http://schemas.openxmlformats.org/officeDocument/2006/relationships/hyperlink" Target="#'Player Scoreboard'!C7"/><Relationship Id="rId1" Type="http://schemas.openxmlformats.org/officeDocument/2006/relationships/hyperlink" Target="#Setup!C5"/><Relationship Id="rId6" Type="http://schemas.openxmlformats.org/officeDocument/2006/relationships/hyperlink" Target="#'Player Scoreboard (2)'!C7"/><Relationship Id="rId5" Type="http://schemas.openxmlformats.org/officeDocument/2006/relationships/hyperlink" Target="#About!C5"/><Relationship Id="rId4" Type="http://schemas.openxmlformats.org/officeDocument/2006/relationships/hyperlink" Target="#Tournament!B6"/></Relationships>
</file>

<file path=xl/drawings/_rels/drawing4.xml.rels><?xml version="1.0" encoding="UTF-8" standalone="yes"?>
<Relationships xmlns="http://schemas.openxmlformats.org/package/2006/relationships"><Relationship Id="rId3" Type="http://schemas.openxmlformats.org/officeDocument/2006/relationships/hyperlink" Target="#'Player Leaderboard'!B5"/><Relationship Id="rId7" Type="http://schemas.openxmlformats.org/officeDocument/2006/relationships/hyperlink" Target="#Player!D4"/><Relationship Id="rId2" Type="http://schemas.openxmlformats.org/officeDocument/2006/relationships/hyperlink" Target="#'Player Scoreboard'!C7"/><Relationship Id="rId1" Type="http://schemas.openxmlformats.org/officeDocument/2006/relationships/hyperlink" Target="#Setup!C5"/><Relationship Id="rId6" Type="http://schemas.openxmlformats.org/officeDocument/2006/relationships/hyperlink" Target="#'Player Scoreboard (2)'!C7"/><Relationship Id="rId5" Type="http://schemas.openxmlformats.org/officeDocument/2006/relationships/hyperlink" Target="#About!C5"/><Relationship Id="rId4" Type="http://schemas.openxmlformats.org/officeDocument/2006/relationships/hyperlink" Target="#Tournament!B6"/></Relationships>
</file>

<file path=xl/drawings/_rels/drawing5.xml.rels><?xml version="1.0" encoding="UTF-8" standalone="yes"?>
<Relationships xmlns="http://schemas.openxmlformats.org/package/2006/relationships"><Relationship Id="rId8" Type="http://schemas.openxmlformats.org/officeDocument/2006/relationships/hyperlink" Target="#'Player Leaderboard'!A5"/><Relationship Id="rId3" Type="http://schemas.openxmlformats.org/officeDocument/2006/relationships/hyperlink" Target="#'Player Leaderboard'!B5"/><Relationship Id="rId7" Type="http://schemas.openxmlformats.org/officeDocument/2006/relationships/hyperlink" Target="#'Player Leaderboard - KO'!A5"/><Relationship Id="rId2" Type="http://schemas.openxmlformats.org/officeDocument/2006/relationships/hyperlink" Target="#'Player Scoreboard'!C7"/><Relationship Id="rId1" Type="http://schemas.openxmlformats.org/officeDocument/2006/relationships/hyperlink" Target="#Setup!C5"/><Relationship Id="rId6" Type="http://schemas.openxmlformats.org/officeDocument/2006/relationships/hyperlink" Target="#'Player Leaderboard - Group'!A5"/><Relationship Id="rId5" Type="http://schemas.openxmlformats.org/officeDocument/2006/relationships/hyperlink" Target="#About!C5"/><Relationship Id="rId4" Type="http://schemas.openxmlformats.org/officeDocument/2006/relationships/hyperlink" Target="#Tournament!B6"/></Relationships>
</file>

<file path=xl/drawings/_rels/drawing6.xml.rels><?xml version="1.0" encoding="UTF-8" standalone="yes"?>
<Relationships xmlns="http://schemas.openxmlformats.org/package/2006/relationships"><Relationship Id="rId8" Type="http://schemas.openxmlformats.org/officeDocument/2006/relationships/hyperlink" Target="#'Player Leaderboard'!A5"/><Relationship Id="rId3" Type="http://schemas.openxmlformats.org/officeDocument/2006/relationships/hyperlink" Target="#'Player Leaderboard'!B5"/><Relationship Id="rId7" Type="http://schemas.openxmlformats.org/officeDocument/2006/relationships/hyperlink" Target="#'Player Leaderboard - KO'!A5"/><Relationship Id="rId2" Type="http://schemas.openxmlformats.org/officeDocument/2006/relationships/hyperlink" Target="#'Player Scoreboard'!C7"/><Relationship Id="rId1" Type="http://schemas.openxmlformats.org/officeDocument/2006/relationships/hyperlink" Target="#Setup!C5"/><Relationship Id="rId6" Type="http://schemas.openxmlformats.org/officeDocument/2006/relationships/hyperlink" Target="#'Player Leaderboard - Group'!A5"/><Relationship Id="rId5" Type="http://schemas.openxmlformats.org/officeDocument/2006/relationships/hyperlink" Target="#About!C5"/><Relationship Id="rId4" Type="http://schemas.openxmlformats.org/officeDocument/2006/relationships/hyperlink" Target="#Tournament!B6"/></Relationships>
</file>

<file path=xl/drawings/_rels/drawing7.xml.rels><?xml version="1.0" encoding="UTF-8" standalone="yes"?>
<Relationships xmlns="http://schemas.openxmlformats.org/package/2006/relationships"><Relationship Id="rId8" Type="http://schemas.openxmlformats.org/officeDocument/2006/relationships/hyperlink" Target="#'Player Leaderboard'!A5"/><Relationship Id="rId3" Type="http://schemas.openxmlformats.org/officeDocument/2006/relationships/hyperlink" Target="#'Player Leaderboard'!B5"/><Relationship Id="rId7" Type="http://schemas.openxmlformats.org/officeDocument/2006/relationships/hyperlink" Target="#'Player Leaderboard - KO'!A5"/><Relationship Id="rId2" Type="http://schemas.openxmlformats.org/officeDocument/2006/relationships/hyperlink" Target="#'Player Scoreboard'!C7"/><Relationship Id="rId1" Type="http://schemas.openxmlformats.org/officeDocument/2006/relationships/hyperlink" Target="#Setup!C5"/><Relationship Id="rId6" Type="http://schemas.openxmlformats.org/officeDocument/2006/relationships/hyperlink" Target="#'Player Leaderboard - Group'!A5"/><Relationship Id="rId5" Type="http://schemas.openxmlformats.org/officeDocument/2006/relationships/hyperlink" Target="#About!C5"/><Relationship Id="rId4" Type="http://schemas.openxmlformats.org/officeDocument/2006/relationships/hyperlink" Target="#Tournament!B6"/></Relationships>
</file>

<file path=xl/drawings/_rels/drawing8.xml.rels><?xml version="1.0" encoding="UTF-8" standalone="yes"?>
<Relationships xmlns="http://schemas.openxmlformats.org/package/2006/relationships"><Relationship Id="rId3" Type="http://schemas.openxmlformats.org/officeDocument/2006/relationships/hyperlink" Target="#'Player Leaderboard'!B5"/><Relationship Id="rId2" Type="http://schemas.openxmlformats.org/officeDocument/2006/relationships/hyperlink" Target="#'Player Scoreboard'!C7"/><Relationship Id="rId1" Type="http://schemas.openxmlformats.org/officeDocument/2006/relationships/hyperlink" Target="#Setup!C5"/><Relationship Id="rId5" Type="http://schemas.openxmlformats.org/officeDocument/2006/relationships/hyperlink" Target="#About!C5"/><Relationship Id="rId4" Type="http://schemas.openxmlformats.org/officeDocument/2006/relationships/hyperlink" Target="#Tournament!B6"/></Relationships>
</file>

<file path=xl/drawings/_rels/drawing9.xml.rels><?xml version="1.0" encoding="UTF-8" standalone="yes"?>
<Relationships xmlns="http://schemas.openxmlformats.org/package/2006/relationships"><Relationship Id="rId3" Type="http://schemas.openxmlformats.org/officeDocument/2006/relationships/hyperlink" Target="#'Player Leaderboard'!B5"/><Relationship Id="rId2" Type="http://schemas.openxmlformats.org/officeDocument/2006/relationships/hyperlink" Target="#'Player Scoreboard'!C7"/><Relationship Id="rId1" Type="http://schemas.openxmlformats.org/officeDocument/2006/relationships/hyperlink" Target="#Setup!C5"/><Relationship Id="rId5" Type="http://schemas.openxmlformats.org/officeDocument/2006/relationships/hyperlink" Target="#About!C5"/><Relationship Id="rId4" Type="http://schemas.openxmlformats.org/officeDocument/2006/relationships/hyperlink" Target="#Tournament!B6"/></Relationships>
</file>

<file path=xl/drawings/_rels/drawing10.xml.rels><?xml version="1.0" encoding="UTF-8" standalone="yes"?>
<Relationships xmlns="http://schemas.openxmlformats.org/package/2006/relationships"><Relationship Id="rId3" Type="http://schemas.openxmlformats.org/officeDocument/2006/relationships/hyperlink" Target="#'Player Leaderboard'!B5"/><Relationship Id="rId2" Type="http://schemas.openxmlformats.org/officeDocument/2006/relationships/hyperlink" Target="#'Player Scoreboard'!C7"/><Relationship Id="rId1" Type="http://schemas.openxmlformats.org/officeDocument/2006/relationships/hyperlink" Target="#Setup!C5"/><Relationship Id="rId5" Type="http://schemas.openxmlformats.org/officeDocument/2006/relationships/hyperlink" Target="#About!C5"/><Relationship Id="rId4" Type="http://schemas.openxmlformats.org/officeDocument/2006/relationships/hyperlink" Target="#Tournament!B6"/></Relationships>
</file>

<file path=xl/drawings/_rels/drawing11.xml.rels><?xml version="1.0" encoding="UTF-8" standalone="yes"?>
<Relationships xmlns="http://schemas.openxmlformats.org/package/2006/relationships"><Relationship Id="rId3" Type="http://schemas.openxmlformats.org/officeDocument/2006/relationships/hyperlink" Target="#'Player Leaderboard'!B5"/><Relationship Id="rId2" Type="http://schemas.openxmlformats.org/officeDocument/2006/relationships/hyperlink" Target="#'Player Scoreboard'!C7"/><Relationship Id="rId1" Type="http://schemas.openxmlformats.org/officeDocument/2006/relationships/hyperlink" Target="#Setup!C5"/><Relationship Id="rId5" Type="http://schemas.openxmlformats.org/officeDocument/2006/relationships/hyperlink" Target="#About!C5"/><Relationship Id="rId4" Type="http://schemas.openxmlformats.org/officeDocument/2006/relationships/hyperlink" Target="#Tournament!B6"/></Relationships>
</file>

<file path=xl/drawings/_rels/drawing12.xml.rels><?xml version="1.0" encoding="UTF-8" standalone="yes"?>
<Relationships xmlns="http://schemas.openxmlformats.org/package/2006/relationships"><Relationship Id="rId3" Type="http://schemas.openxmlformats.org/officeDocument/2006/relationships/hyperlink" Target="#'Player Leaderboard'!B5"/><Relationship Id="rId2" Type="http://schemas.openxmlformats.org/officeDocument/2006/relationships/hyperlink" Target="#'Player Scoreboard'!C7"/><Relationship Id="rId1" Type="http://schemas.openxmlformats.org/officeDocument/2006/relationships/hyperlink" Target="#Setup!C5"/><Relationship Id="rId5" Type="http://schemas.openxmlformats.org/officeDocument/2006/relationships/hyperlink" Target="#About!C5"/><Relationship Id="rId4" Type="http://schemas.openxmlformats.org/officeDocument/2006/relationships/hyperlink" Target="#Tournament!B6"/></Relationships>
</file>

<file path=xl/drawings/_rels/drawing13.xml.rels><?xml version="1.0" encoding="UTF-8" standalone="yes"?>
<Relationships xmlns="http://schemas.openxmlformats.org/package/2006/relationships"><Relationship Id="rId3" Type="http://schemas.openxmlformats.org/officeDocument/2006/relationships/hyperlink" Target="#'Player Leaderboard'!B5"/><Relationship Id="rId2" Type="http://schemas.openxmlformats.org/officeDocument/2006/relationships/hyperlink" Target="#'Player Scoreboard'!C7"/><Relationship Id="rId1" Type="http://schemas.openxmlformats.org/officeDocument/2006/relationships/hyperlink" Target="#Setup!C5"/><Relationship Id="rId5" Type="http://schemas.openxmlformats.org/officeDocument/2006/relationships/hyperlink" Target="#About!C5"/><Relationship Id="rId4" Type="http://schemas.openxmlformats.org/officeDocument/2006/relationships/hyperlink" Target="#Tournament!B6"/></Relationships>
</file>

<file path=xl/drawings/_rels/drawing14.xml.rels><?xml version="1.0" encoding="UTF-8" standalone="yes"?>
<Relationships xmlns="http://schemas.openxmlformats.org/package/2006/relationships"><Relationship Id="rId3" Type="http://schemas.openxmlformats.org/officeDocument/2006/relationships/hyperlink" Target="#'Player Leaderboard'!B5"/><Relationship Id="rId2" Type="http://schemas.openxmlformats.org/officeDocument/2006/relationships/hyperlink" Target="#'Player Scoreboard'!C7"/><Relationship Id="rId1" Type="http://schemas.openxmlformats.org/officeDocument/2006/relationships/hyperlink" Target="#Setup!C5"/><Relationship Id="rId5" Type="http://schemas.openxmlformats.org/officeDocument/2006/relationships/hyperlink" Target="#About!C5"/><Relationship Id="rId4" Type="http://schemas.openxmlformats.org/officeDocument/2006/relationships/hyperlink" Target="#Tournament!B6"/></Relationships>
</file>

<file path=xl/drawings/_rels/drawing15.xml.rels><?xml version="1.0" encoding="UTF-8" standalone="yes"?>
<Relationships xmlns="http://schemas.openxmlformats.org/package/2006/relationships"><Relationship Id="rId3" Type="http://schemas.openxmlformats.org/officeDocument/2006/relationships/hyperlink" Target="#'Player Leaderboard'!B5"/><Relationship Id="rId2" Type="http://schemas.openxmlformats.org/officeDocument/2006/relationships/hyperlink" Target="#'Player Scoreboard'!C7"/><Relationship Id="rId1" Type="http://schemas.openxmlformats.org/officeDocument/2006/relationships/hyperlink" Target="#Setup!C5"/><Relationship Id="rId5" Type="http://schemas.openxmlformats.org/officeDocument/2006/relationships/hyperlink" Target="#About!C5"/><Relationship Id="rId4" Type="http://schemas.openxmlformats.org/officeDocument/2006/relationships/hyperlink" Target="#Tournament!B6"/></Relationships>
</file>

<file path=xl/drawings/_rels/drawing16.xml.rels><?xml version="1.0" encoding="UTF-8" standalone="yes"?>
<Relationships xmlns="http://schemas.openxmlformats.org/package/2006/relationships"><Relationship Id="rId3" Type="http://schemas.openxmlformats.org/officeDocument/2006/relationships/hyperlink" Target="#'Player Leaderboard'!B5"/><Relationship Id="rId2" Type="http://schemas.openxmlformats.org/officeDocument/2006/relationships/hyperlink" Target="#'Player Scoreboard'!C7"/><Relationship Id="rId1" Type="http://schemas.openxmlformats.org/officeDocument/2006/relationships/hyperlink" Target="#Setup!C5"/><Relationship Id="rId5" Type="http://schemas.openxmlformats.org/officeDocument/2006/relationships/hyperlink" Target="#About!C5"/><Relationship Id="rId4" Type="http://schemas.openxmlformats.org/officeDocument/2006/relationships/hyperlink" Target="#Tournament!B6"/></Relationships>
</file>

<file path=xl/drawings/_rels/drawing17.xml.rels><?xml version="1.0" encoding="UTF-8" standalone="yes"?>
<Relationships xmlns="http://schemas.openxmlformats.org/package/2006/relationships"><Relationship Id="rId3" Type="http://schemas.openxmlformats.org/officeDocument/2006/relationships/hyperlink" Target="#'Player Leaderboard'!B5"/><Relationship Id="rId2" Type="http://schemas.openxmlformats.org/officeDocument/2006/relationships/hyperlink" Target="#'Player Scoreboard'!C7"/><Relationship Id="rId1" Type="http://schemas.openxmlformats.org/officeDocument/2006/relationships/hyperlink" Target="#Setup!C5"/><Relationship Id="rId5" Type="http://schemas.openxmlformats.org/officeDocument/2006/relationships/hyperlink" Target="#About!C5"/><Relationship Id="rId4" Type="http://schemas.openxmlformats.org/officeDocument/2006/relationships/hyperlink" Target="#Tournament!B6"/></Relationships>
</file>

<file path=xl/drawings/_rels/drawing18.xml.rels><?xml version="1.0" encoding="UTF-8" standalone="yes"?>
<Relationships xmlns="http://schemas.openxmlformats.org/package/2006/relationships"><Relationship Id="rId3" Type="http://schemas.openxmlformats.org/officeDocument/2006/relationships/hyperlink" Target="#'Player Leaderboard'!B5"/><Relationship Id="rId2" Type="http://schemas.openxmlformats.org/officeDocument/2006/relationships/hyperlink" Target="#'Player Scoreboard'!C7"/><Relationship Id="rId1" Type="http://schemas.openxmlformats.org/officeDocument/2006/relationships/hyperlink" Target="#Setup!C5"/><Relationship Id="rId5" Type="http://schemas.openxmlformats.org/officeDocument/2006/relationships/hyperlink" Target="#About!C5"/><Relationship Id="rId4" Type="http://schemas.openxmlformats.org/officeDocument/2006/relationships/hyperlink" Target="#Tournament!B6"/></Relationships>
</file>

<file path=xl/drawings/_rels/drawing19.xml.rels><?xml version="1.0" encoding="UTF-8" standalone="yes"?>
<Relationships xmlns="http://schemas.openxmlformats.org/package/2006/relationships"><Relationship Id="rId3" Type="http://schemas.openxmlformats.org/officeDocument/2006/relationships/hyperlink" Target="#'Player Leaderboard'!B5"/><Relationship Id="rId2" Type="http://schemas.openxmlformats.org/officeDocument/2006/relationships/hyperlink" Target="#'Player Scoreboard'!C7"/><Relationship Id="rId1" Type="http://schemas.openxmlformats.org/officeDocument/2006/relationships/hyperlink" Target="#Setup!C5"/><Relationship Id="rId5" Type="http://schemas.openxmlformats.org/officeDocument/2006/relationships/hyperlink" Target="#About!C5"/><Relationship Id="rId4" Type="http://schemas.openxmlformats.org/officeDocument/2006/relationships/hyperlink" Target="#Tournament!B6"/></Relationships>
</file>

<file path=xl/drawings/_rels/drawing20.xml.rels><?xml version="1.0" encoding="UTF-8" standalone="yes"?>
<Relationships xmlns="http://schemas.openxmlformats.org/package/2006/relationships"><Relationship Id="rId3" Type="http://schemas.openxmlformats.org/officeDocument/2006/relationships/hyperlink" Target="#'Player Leaderboard'!B5"/><Relationship Id="rId2" Type="http://schemas.openxmlformats.org/officeDocument/2006/relationships/hyperlink" Target="#'Player Scoreboard'!C7"/><Relationship Id="rId1" Type="http://schemas.openxmlformats.org/officeDocument/2006/relationships/hyperlink" Target="#Setup!C5"/><Relationship Id="rId5" Type="http://schemas.openxmlformats.org/officeDocument/2006/relationships/hyperlink" Target="#About!C5"/><Relationship Id="rId4" Type="http://schemas.openxmlformats.org/officeDocument/2006/relationships/hyperlink" Target="#Tournament!B6"/></Relationships>
</file>

<file path=xl/drawings/_rels/drawing21.xml.rels><?xml version="1.0" encoding="UTF-8" standalone="yes"?>
<Relationships xmlns="http://schemas.openxmlformats.org/package/2006/relationships"><Relationship Id="rId3" Type="http://schemas.openxmlformats.org/officeDocument/2006/relationships/hyperlink" Target="#'Player Leaderboard'!B5"/><Relationship Id="rId2" Type="http://schemas.openxmlformats.org/officeDocument/2006/relationships/hyperlink" Target="#'Player Scoreboard'!C7"/><Relationship Id="rId1" Type="http://schemas.openxmlformats.org/officeDocument/2006/relationships/hyperlink" Target="#Setup!C5"/><Relationship Id="rId5" Type="http://schemas.openxmlformats.org/officeDocument/2006/relationships/hyperlink" Target="#About!C5"/><Relationship Id="rId4" Type="http://schemas.openxmlformats.org/officeDocument/2006/relationships/hyperlink" Target="#Tournament!B6"/></Relationships>
</file>

<file path=xl/drawings/_rels/drawing22.xml.rels><?xml version="1.0" encoding="UTF-8" standalone="yes"?>
<Relationships xmlns="http://schemas.openxmlformats.org/package/2006/relationships"><Relationship Id="rId3" Type="http://schemas.openxmlformats.org/officeDocument/2006/relationships/hyperlink" Target="#'Player Leaderboard'!B5"/><Relationship Id="rId2" Type="http://schemas.openxmlformats.org/officeDocument/2006/relationships/hyperlink" Target="#'Player Scoreboard'!C7"/><Relationship Id="rId1" Type="http://schemas.openxmlformats.org/officeDocument/2006/relationships/hyperlink" Target="#Setup!C5"/><Relationship Id="rId5" Type="http://schemas.openxmlformats.org/officeDocument/2006/relationships/hyperlink" Target="#About!C5"/><Relationship Id="rId4" Type="http://schemas.openxmlformats.org/officeDocument/2006/relationships/hyperlink" Target="#Tournament!B6"/></Relationships>
</file>

<file path=xl/drawings/_rels/drawing23.xml.rels><?xml version="1.0" encoding="UTF-8" standalone="yes"?>
<Relationships xmlns="http://schemas.openxmlformats.org/package/2006/relationships"><Relationship Id="rId3" Type="http://schemas.openxmlformats.org/officeDocument/2006/relationships/hyperlink" Target="#'Player Leaderboard'!B5"/><Relationship Id="rId2" Type="http://schemas.openxmlformats.org/officeDocument/2006/relationships/hyperlink" Target="#'Player Scoreboard'!C7"/><Relationship Id="rId1" Type="http://schemas.openxmlformats.org/officeDocument/2006/relationships/hyperlink" Target="#Setup!C5"/><Relationship Id="rId5" Type="http://schemas.openxmlformats.org/officeDocument/2006/relationships/hyperlink" Target="#About!C5"/><Relationship Id="rId4" Type="http://schemas.openxmlformats.org/officeDocument/2006/relationships/hyperlink" Target="#Tournament!B6"/></Relationships>
</file>

<file path=xl/drawings/_rels/drawing24.xml.rels><?xml version="1.0" encoding="UTF-8" standalone="yes"?>
<Relationships xmlns="http://schemas.openxmlformats.org/package/2006/relationships"><Relationship Id="rId8" Type="http://schemas.openxmlformats.org/officeDocument/2006/relationships/hyperlink" Target="https://www.e-junkie.com/ecom/gb.php?i=1140675&amp;c=single&amp;cl=192175" TargetMode="External"/><Relationship Id="rId13" Type="http://schemas.openxmlformats.org/officeDocument/2006/relationships/hyperlink" Target="https://www.e-junkie.com/ecom/gb.php?i=1103823&amp;c=single&amp;cl=192175" TargetMode="External"/><Relationship Id="rId3" Type="http://schemas.openxmlformats.org/officeDocument/2006/relationships/hyperlink" Target="#'Player Leaderboard'!B5"/><Relationship Id="rId7" Type="http://schemas.openxmlformats.org/officeDocument/2006/relationships/image" Target="../media/image1.jpg"/><Relationship Id="rId12" Type="http://schemas.openxmlformats.org/officeDocument/2006/relationships/hyperlink" Target="https://www.e-junkie.com/ecom/gb.php?i=1329269&amp;c=single&amp;cl=192175" TargetMode="External"/><Relationship Id="rId2" Type="http://schemas.openxmlformats.org/officeDocument/2006/relationships/hyperlink" Target="#'Player Scoreboard'!C7"/><Relationship Id="rId1" Type="http://schemas.openxmlformats.org/officeDocument/2006/relationships/hyperlink" Target="#Setup!C5"/><Relationship Id="rId6" Type="http://schemas.openxmlformats.org/officeDocument/2006/relationships/hyperlink" Target="https://www.e-junkie.com/ecom/gb.php?i=1139576&amp;c=single&amp;cl=192175" TargetMode="External"/><Relationship Id="rId11" Type="http://schemas.openxmlformats.org/officeDocument/2006/relationships/hyperlink" Target="https://www.e-junkie.com/ecom/gb.php?i=1152672&amp;c=single&amp;cl=192175" TargetMode="External"/><Relationship Id="rId5" Type="http://schemas.openxmlformats.org/officeDocument/2006/relationships/hyperlink" Target="#About!C5"/><Relationship Id="rId15" Type="http://schemas.openxmlformats.org/officeDocument/2006/relationships/hyperlink" Target="https://www.e-junkie.com/ecom/gb.php?i=1329268&amp;c=single&amp;cl=192175" TargetMode="External"/><Relationship Id="rId10" Type="http://schemas.openxmlformats.org/officeDocument/2006/relationships/hyperlink" Target="https://www.e-junkie.com/ecom/gb.php?i=1282999&amp;c=single&amp;cl=192175" TargetMode="External"/><Relationship Id="rId4" Type="http://schemas.openxmlformats.org/officeDocument/2006/relationships/hyperlink" Target="#Tournament!B6"/><Relationship Id="rId9" Type="http://schemas.openxmlformats.org/officeDocument/2006/relationships/hyperlink" Target="https://www.e-junkie.com/ecom/gb.php?i=1201300&amp;c=single&amp;cl=192175" TargetMode="External"/><Relationship Id="rId14" Type="http://schemas.openxmlformats.org/officeDocument/2006/relationships/hyperlink" Target="https://www.e-junkie.com/ecom/gb.php?i=1329266&amp;c=single&amp;cl=192175" TargetMode="External"/></Relationships>
</file>

<file path=xl/drawings/drawing1.xml><?xml version="1.0" encoding="utf-8"?>
<xdr:wsDr xmlns:xdr="http://schemas.openxmlformats.org/drawingml/2006/spreadsheetDrawing" xmlns:a="http://schemas.openxmlformats.org/drawingml/2006/main">
  <xdr:twoCellAnchor>
    <xdr:from>
      <xdr:col>0</xdr:col>
      <xdr:colOff>114300</xdr:colOff>
      <xdr:row>0</xdr:row>
      <xdr:rowOff>114300</xdr:rowOff>
    </xdr:from>
    <xdr:to>
      <xdr:col>9</xdr:col>
      <xdr:colOff>567267</xdr:colOff>
      <xdr:row>1</xdr:row>
      <xdr:rowOff>186267</xdr:rowOff>
    </xdr:to>
    <xdr:grpSp>
      <xdr:nvGrpSpPr>
        <xdr:cNvPr id="2" name="Group 1"/>
        <xdr:cNvGrpSpPr/>
      </xdr:nvGrpSpPr>
      <xdr:grpSpPr>
        <a:xfrm>
          <a:off x="114300" y="114300"/>
          <a:ext cx="11768667" cy="262467"/>
          <a:chOff x="127000" y="144777"/>
          <a:chExt cx="11768667" cy="270087"/>
        </a:xfrm>
      </xdr:grpSpPr>
      <xdr:sp macro="" textlink="">
        <xdr:nvSpPr>
          <xdr:cNvPr id="3" name="Round Same Side Corner Rectangle 2">
            <a:hlinkClick xmlns:r="http://schemas.openxmlformats.org/officeDocument/2006/relationships" r:id="rId1"/>
          </xdr:cNvPr>
          <xdr:cNvSpPr/>
        </xdr:nvSpPr>
        <xdr:spPr>
          <a:xfrm>
            <a:off x="211665" y="144777"/>
            <a:ext cx="2057400" cy="270087"/>
          </a:xfrm>
          <a:prstGeom prst="round2SameRect">
            <a:avLst/>
          </a:prstGeom>
          <a:solidFill>
            <a:schemeClr val="tx2">
              <a:lumMod val="75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solidFill>
                  <a:schemeClr val="bg1"/>
                </a:solidFill>
              </a:rPr>
              <a:t>Setup</a:t>
            </a:r>
            <a:endParaRPr lang="en-US" sz="1100" b="1">
              <a:solidFill>
                <a:schemeClr val="bg1"/>
              </a:solidFill>
            </a:endParaRPr>
          </a:p>
        </xdr:txBody>
      </xdr:sp>
      <xdr:sp macro="" textlink="">
        <xdr:nvSpPr>
          <xdr:cNvPr id="4" name="Round Same Side Corner Rectangle 3">
            <a:hlinkClick xmlns:r="http://schemas.openxmlformats.org/officeDocument/2006/relationships" r:id="rId2"/>
          </xdr:cNvPr>
          <xdr:cNvSpPr/>
        </xdr:nvSpPr>
        <xdr:spPr>
          <a:xfrm>
            <a:off x="24214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Player</a:t>
            </a:r>
            <a:r>
              <a:rPr lang="en-US" sz="1200" b="0" baseline="0">
                <a:solidFill>
                  <a:schemeClr val="tx1">
                    <a:lumMod val="75000"/>
                    <a:lumOff val="25000"/>
                  </a:schemeClr>
                </a:solidFill>
              </a:rPr>
              <a:t> Scoreboard</a:t>
            </a:r>
            <a:endParaRPr lang="en-US" sz="1100" b="0">
              <a:solidFill>
                <a:schemeClr val="tx1">
                  <a:lumMod val="75000"/>
                  <a:lumOff val="25000"/>
                </a:schemeClr>
              </a:solidFill>
            </a:endParaRPr>
          </a:p>
        </xdr:txBody>
      </xdr:sp>
      <xdr:sp macro="" textlink="">
        <xdr:nvSpPr>
          <xdr:cNvPr id="5" name="Round Same Side Corner Rectangle 4">
            <a:hlinkClick xmlns:r="http://schemas.openxmlformats.org/officeDocument/2006/relationships" r:id="rId3"/>
          </xdr:cNvPr>
          <xdr:cNvSpPr/>
        </xdr:nvSpPr>
        <xdr:spPr>
          <a:xfrm>
            <a:off x="46312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Player</a:t>
            </a:r>
            <a:r>
              <a:rPr lang="en-US" sz="1200" b="0" baseline="0">
                <a:solidFill>
                  <a:schemeClr val="tx1">
                    <a:lumMod val="75000"/>
                    <a:lumOff val="25000"/>
                  </a:schemeClr>
                </a:solidFill>
              </a:rPr>
              <a:t> Leaderboard</a:t>
            </a:r>
            <a:endParaRPr lang="en-US" sz="1100" b="0">
              <a:solidFill>
                <a:schemeClr val="tx1">
                  <a:lumMod val="75000"/>
                  <a:lumOff val="25000"/>
                </a:schemeClr>
              </a:solidFill>
            </a:endParaRPr>
          </a:p>
        </xdr:txBody>
      </xdr:sp>
      <xdr:sp macro="" textlink="">
        <xdr:nvSpPr>
          <xdr:cNvPr id="6" name="Round Same Side Corner Rectangle 5">
            <a:hlinkClick xmlns:r="http://schemas.openxmlformats.org/officeDocument/2006/relationships" r:id="rId4"/>
          </xdr:cNvPr>
          <xdr:cNvSpPr/>
        </xdr:nvSpPr>
        <xdr:spPr>
          <a:xfrm>
            <a:off x="68410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Matches</a:t>
            </a:r>
            <a:r>
              <a:rPr lang="en-US" sz="1200" b="0" baseline="0">
                <a:solidFill>
                  <a:schemeClr val="tx1">
                    <a:lumMod val="75000"/>
                    <a:lumOff val="25000"/>
                  </a:schemeClr>
                </a:solidFill>
              </a:rPr>
              <a:t> Schedule</a:t>
            </a:r>
            <a:endParaRPr lang="en-US" sz="1100" b="0">
              <a:solidFill>
                <a:schemeClr val="tx1">
                  <a:lumMod val="75000"/>
                  <a:lumOff val="25000"/>
                </a:schemeClr>
              </a:solidFill>
            </a:endParaRPr>
          </a:p>
        </xdr:txBody>
      </xdr:sp>
      <xdr:sp macro="" textlink="">
        <xdr:nvSpPr>
          <xdr:cNvPr id="7" name="Round Same Side Corner Rectangle 6">
            <a:hlinkClick xmlns:r="http://schemas.openxmlformats.org/officeDocument/2006/relationships" r:id="rId5"/>
          </xdr:cNvPr>
          <xdr:cNvSpPr/>
        </xdr:nvSpPr>
        <xdr:spPr>
          <a:xfrm>
            <a:off x="90508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About</a:t>
            </a:r>
            <a:endParaRPr lang="en-US" sz="1100" b="0">
              <a:solidFill>
                <a:schemeClr val="tx1">
                  <a:lumMod val="75000"/>
                  <a:lumOff val="25000"/>
                </a:schemeClr>
              </a:solidFill>
            </a:endParaRPr>
          </a:p>
        </xdr:txBody>
      </xdr:sp>
      <xdr:cxnSp macro="">
        <xdr:nvCxnSpPr>
          <xdr:cNvPr id="8" name="Straight Connector 7"/>
          <xdr:cNvCxnSpPr/>
        </xdr:nvCxnSpPr>
        <xdr:spPr>
          <a:xfrm>
            <a:off x="127000" y="414864"/>
            <a:ext cx="11768667" cy="0"/>
          </a:xfrm>
          <a:prstGeom prst="line">
            <a:avLst/>
          </a:prstGeom>
          <a:ln w="28575">
            <a:solidFill>
              <a:schemeClr val="tx2">
                <a:lumMod val="75000"/>
              </a:schemeClr>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1</xdr:col>
      <xdr:colOff>22860</xdr:colOff>
      <xdr:row>2</xdr:row>
      <xdr:rowOff>60960</xdr:rowOff>
    </xdr:from>
    <xdr:to>
      <xdr:col>2</xdr:col>
      <xdr:colOff>1249680</xdr:colOff>
      <xdr:row>3</xdr:row>
      <xdr:rowOff>121920</xdr:rowOff>
    </xdr:to>
    <xdr:sp macro="" textlink="">
      <xdr:nvSpPr>
        <xdr:cNvPr id="9" name="Rounded Rectangle 8">
          <a:hlinkClick xmlns:r="http://schemas.openxmlformats.org/officeDocument/2006/relationships" r:id="rId6"/>
        </xdr:cNvPr>
        <xdr:cNvSpPr/>
      </xdr:nvSpPr>
      <xdr:spPr>
        <a:xfrm>
          <a:off x="190500" y="441960"/>
          <a:ext cx="2034540" cy="251460"/>
        </a:xfrm>
        <a:prstGeom prst="roundRect">
          <a:avLst/>
        </a:prstGeom>
        <a:solidFill>
          <a:schemeClr val="tx2">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a:solidFill>
                <a:schemeClr val="tx2">
                  <a:lumMod val="50000"/>
                </a:schemeClr>
              </a:solidFill>
            </a:rPr>
            <a:t>Player</a:t>
          </a:r>
          <a:r>
            <a:rPr lang="en-US" sz="1200" baseline="0">
              <a:solidFill>
                <a:schemeClr val="tx2">
                  <a:lumMod val="50000"/>
                </a:schemeClr>
              </a:solidFill>
            </a:rPr>
            <a:t> List</a:t>
          </a:r>
          <a:endParaRPr lang="en-US" sz="1200">
            <a:solidFill>
              <a:schemeClr val="tx2">
                <a:lumMod val="50000"/>
              </a:schemeClr>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15240</xdr:colOff>
      <xdr:row>0</xdr:row>
      <xdr:rowOff>114300</xdr:rowOff>
    </xdr:from>
    <xdr:to>
      <xdr:col>14</xdr:col>
      <xdr:colOff>94827</xdr:colOff>
      <xdr:row>1</xdr:row>
      <xdr:rowOff>186267</xdr:rowOff>
    </xdr:to>
    <xdr:grpSp>
      <xdr:nvGrpSpPr>
        <xdr:cNvPr id="2" name="Group 1"/>
        <xdr:cNvGrpSpPr/>
      </xdr:nvGrpSpPr>
      <xdr:grpSpPr>
        <a:xfrm>
          <a:off x="205740" y="114300"/>
          <a:ext cx="11768667" cy="262467"/>
          <a:chOff x="127000" y="144777"/>
          <a:chExt cx="11768667" cy="270087"/>
        </a:xfrm>
      </xdr:grpSpPr>
      <xdr:sp macro="" textlink="">
        <xdr:nvSpPr>
          <xdr:cNvPr id="3" name="Round Same Side Corner Rectangle 2">
            <a:hlinkClick xmlns:r="http://schemas.openxmlformats.org/officeDocument/2006/relationships" r:id="rId1"/>
          </xdr:cNvPr>
          <xdr:cNvSpPr/>
        </xdr:nvSpPr>
        <xdr:spPr>
          <a:xfrm>
            <a:off x="211665" y="144777"/>
            <a:ext cx="2057400" cy="270087"/>
          </a:xfrm>
          <a:prstGeom prst="round2SameRect">
            <a:avLst/>
          </a:prstGeom>
          <a:solidFill>
            <a:schemeClr val="tx2">
              <a:lumMod val="75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solidFill>
                  <a:schemeClr val="bg1"/>
                </a:solidFill>
              </a:rPr>
              <a:t>Setup</a:t>
            </a:r>
            <a:endParaRPr lang="en-US" sz="1100" b="1">
              <a:solidFill>
                <a:schemeClr val="bg1"/>
              </a:solidFill>
            </a:endParaRPr>
          </a:p>
        </xdr:txBody>
      </xdr:sp>
      <xdr:sp macro="" textlink="">
        <xdr:nvSpPr>
          <xdr:cNvPr id="4" name="Round Same Side Corner Rectangle 3">
            <a:hlinkClick xmlns:r="http://schemas.openxmlformats.org/officeDocument/2006/relationships" r:id="rId2"/>
          </xdr:cNvPr>
          <xdr:cNvSpPr/>
        </xdr:nvSpPr>
        <xdr:spPr>
          <a:xfrm>
            <a:off x="24214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Player</a:t>
            </a:r>
            <a:r>
              <a:rPr lang="en-US" sz="1200" b="0" baseline="0">
                <a:solidFill>
                  <a:schemeClr val="tx1">
                    <a:lumMod val="75000"/>
                    <a:lumOff val="25000"/>
                  </a:schemeClr>
                </a:solidFill>
              </a:rPr>
              <a:t> Scoreboard</a:t>
            </a:r>
            <a:endParaRPr lang="en-US" sz="1100" b="0">
              <a:solidFill>
                <a:schemeClr val="tx1">
                  <a:lumMod val="75000"/>
                  <a:lumOff val="25000"/>
                </a:schemeClr>
              </a:solidFill>
            </a:endParaRPr>
          </a:p>
        </xdr:txBody>
      </xdr:sp>
      <xdr:sp macro="" textlink="">
        <xdr:nvSpPr>
          <xdr:cNvPr id="5" name="Round Same Side Corner Rectangle 4">
            <a:hlinkClick xmlns:r="http://schemas.openxmlformats.org/officeDocument/2006/relationships" r:id="rId3"/>
          </xdr:cNvPr>
          <xdr:cNvSpPr/>
        </xdr:nvSpPr>
        <xdr:spPr>
          <a:xfrm>
            <a:off x="46312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Player</a:t>
            </a:r>
            <a:r>
              <a:rPr lang="en-US" sz="1200" b="0" baseline="0">
                <a:solidFill>
                  <a:schemeClr val="tx1">
                    <a:lumMod val="75000"/>
                    <a:lumOff val="25000"/>
                  </a:schemeClr>
                </a:solidFill>
              </a:rPr>
              <a:t> Leaderboard</a:t>
            </a:r>
            <a:endParaRPr lang="en-US" sz="1100" b="0">
              <a:solidFill>
                <a:schemeClr val="tx1">
                  <a:lumMod val="75000"/>
                  <a:lumOff val="25000"/>
                </a:schemeClr>
              </a:solidFill>
            </a:endParaRPr>
          </a:p>
        </xdr:txBody>
      </xdr:sp>
      <xdr:sp macro="" textlink="">
        <xdr:nvSpPr>
          <xdr:cNvPr id="6" name="Round Same Side Corner Rectangle 5">
            <a:hlinkClick xmlns:r="http://schemas.openxmlformats.org/officeDocument/2006/relationships" r:id="rId4"/>
          </xdr:cNvPr>
          <xdr:cNvSpPr/>
        </xdr:nvSpPr>
        <xdr:spPr>
          <a:xfrm>
            <a:off x="68410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Matches</a:t>
            </a:r>
            <a:r>
              <a:rPr lang="en-US" sz="1200" b="0" baseline="0">
                <a:solidFill>
                  <a:schemeClr val="tx1">
                    <a:lumMod val="75000"/>
                    <a:lumOff val="25000"/>
                  </a:schemeClr>
                </a:solidFill>
              </a:rPr>
              <a:t> Schedule</a:t>
            </a:r>
            <a:endParaRPr lang="en-US" sz="1100" b="0">
              <a:solidFill>
                <a:schemeClr val="tx1">
                  <a:lumMod val="75000"/>
                  <a:lumOff val="25000"/>
                </a:schemeClr>
              </a:solidFill>
            </a:endParaRPr>
          </a:p>
        </xdr:txBody>
      </xdr:sp>
      <xdr:sp macro="" textlink="">
        <xdr:nvSpPr>
          <xdr:cNvPr id="7" name="Round Same Side Corner Rectangle 6">
            <a:hlinkClick xmlns:r="http://schemas.openxmlformats.org/officeDocument/2006/relationships" r:id="rId5"/>
          </xdr:cNvPr>
          <xdr:cNvSpPr/>
        </xdr:nvSpPr>
        <xdr:spPr>
          <a:xfrm>
            <a:off x="90508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About</a:t>
            </a:r>
            <a:endParaRPr lang="en-US" sz="1100" b="0">
              <a:solidFill>
                <a:schemeClr val="tx1">
                  <a:lumMod val="75000"/>
                  <a:lumOff val="25000"/>
                </a:schemeClr>
              </a:solidFill>
            </a:endParaRPr>
          </a:p>
        </xdr:txBody>
      </xdr:sp>
      <xdr:cxnSp macro="">
        <xdr:nvCxnSpPr>
          <xdr:cNvPr id="8" name="Straight Connector 7"/>
          <xdr:cNvCxnSpPr/>
        </xdr:nvCxnSpPr>
        <xdr:spPr>
          <a:xfrm>
            <a:off x="127000" y="414864"/>
            <a:ext cx="11768667" cy="0"/>
          </a:xfrm>
          <a:prstGeom prst="line">
            <a:avLst/>
          </a:prstGeom>
          <a:ln w="28575">
            <a:solidFill>
              <a:schemeClr val="tx2">
                <a:lumMod val="75000"/>
              </a:schemeClr>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99059</xdr:colOff>
      <xdr:row>0</xdr:row>
      <xdr:rowOff>114300</xdr:rowOff>
    </xdr:from>
    <xdr:to>
      <xdr:col>54</xdr:col>
      <xdr:colOff>60959</xdr:colOff>
      <xdr:row>1</xdr:row>
      <xdr:rowOff>186267</xdr:rowOff>
    </xdr:to>
    <xdr:grpSp>
      <xdr:nvGrpSpPr>
        <xdr:cNvPr id="2" name="Group 1"/>
        <xdr:cNvGrpSpPr/>
      </xdr:nvGrpSpPr>
      <xdr:grpSpPr>
        <a:xfrm>
          <a:off x="99059" y="114300"/>
          <a:ext cx="41148000" cy="262467"/>
          <a:chOff x="126999" y="144777"/>
          <a:chExt cx="41148000" cy="270087"/>
        </a:xfrm>
      </xdr:grpSpPr>
      <xdr:sp macro="" textlink="">
        <xdr:nvSpPr>
          <xdr:cNvPr id="3" name="Round Same Side Corner Rectangle 2">
            <a:hlinkClick xmlns:r="http://schemas.openxmlformats.org/officeDocument/2006/relationships" r:id="rId1"/>
          </xdr:cNvPr>
          <xdr:cNvSpPr/>
        </xdr:nvSpPr>
        <xdr:spPr>
          <a:xfrm>
            <a:off x="2116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Setup</a:t>
            </a:r>
            <a:endParaRPr lang="en-US" sz="1100" b="0">
              <a:solidFill>
                <a:schemeClr val="tx1">
                  <a:lumMod val="75000"/>
                  <a:lumOff val="25000"/>
                </a:schemeClr>
              </a:solidFill>
            </a:endParaRPr>
          </a:p>
        </xdr:txBody>
      </xdr:sp>
      <xdr:sp macro="" textlink="">
        <xdr:nvSpPr>
          <xdr:cNvPr id="4" name="Round Same Side Corner Rectangle 3">
            <a:hlinkClick xmlns:r="http://schemas.openxmlformats.org/officeDocument/2006/relationships" r:id="rId2"/>
          </xdr:cNvPr>
          <xdr:cNvSpPr/>
        </xdr:nvSpPr>
        <xdr:spPr>
          <a:xfrm>
            <a:off x="2421465" y="144777"/>
            <a:ext cx="2057400" cy="270087"/>
          </a:xfrm>
          <a:prstGeom prst="round2SameRect">
            <a:avLst/>
          </a:prstGeom>
          <a:solidFill>
            <a:schemeClr val="tx2">
              <a:lumMod val="75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solidFill>
                  <a:schemeClr val="bg1"/>
                </a:solidFill>
              </a:rPr>
              <a:t>Player</a:t>
            </a:r>
            <a:r>
              <a:rPr lang="en-US" sz="1200" b="1" baseline="0">
                <a:solidFill>
                  <a:schemeClr val="bg1"/>
                </a:solidFill>
              </a:rPr>
              <a:t> Scoreboard</a:t>
            </a:r>
            <a:endParaRPr lang="en-US" sz="1100" b="1">
              <a:solidFill>
                <a:schemeClr val="bg1"/>
              </a:solidFill>
            </a:endParaRPr>
          </a:p>
        </xdr:txBody>
      </xdr:sp>
      <xdr:sp macro="" textlink="">
        <xdr:nvSpPr>
          <xdr:cNvPr id="5" name="Round Same Side Corner Rectangle 4">
            <a:hlinkClick xmlns:r="http://schemas.openxmlformats.org/officeDocument/2006/relationships" r:id="rId3"/>
          </xdr:cNvPr>
          <xdr:cNvSpPr/>
        </xdr:nvSpPr>
        <xdr:spPr>
          <a:xfrm>
            <a:off x="46312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Player</a:t>
            </a:r>
            <a:r>
              <a:rPr lang="en-US" sz="1200" b="0" baseline="0">
                <a:solidFill>
                  <a:schemeClr val="tx1">
                    <a:lumMod val="75000"/>
                    <a:lumOff val="25000"/>
                  </a:schemeClr>
                </a:solidFill>
              </a:rPr>
              <a:t> Leaderboard</a:t>
            </a:r>
            <a:endParaRPr lang="en-US" sz="1100" b="0">
              <a:solidFill>
                <a:schemeClr val="tx1">
                  <a:lumMod val="75000"/>
                  <a:lumOff val="25000"/>
                </a:schemeClr>
              </a:solidFill>
            </a:endParaRPr>
          </a:p>
        </xdr:txBody>
      </xdr:sp>
      <xdr:sp macro="" textlink="">
        <xdr:nvSpPr>
          <xdr:cNvPr id="6" name="Round Same Side Corner Rectangle 5">
            <a:hlinkClick xmlns:r="http://schemas.openxmlformats.org/officeDocument/2006/relationships" r:id="rId4"/>
          </xdr:cNvPr>
          <xdr:cNvSpPr/>
        </xdr:nvSpPr>
        <xdr:spPr>
          <a:xfrm>
            <a:off x="68410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Matches</a:t>
            </a:r>
            <a:r>
              <a:rPr lang="en-US" sz="1200" b="0" baseline="0">
                <a:solidFill>
                  <a:schemeClr val="tx1">
                    <a:lumMod val="75000"/>
                    <a:lumOff val="25000"/>
                  </a:schemeClr>
                </a:solidFill>
              </a:rPr>
              <a:t> Schedule</a:t>
            </a:r>
            <a:endParaRPr lang="en-US" sz="1100" b="0">
              <a:solidFill>
                <a:schemeClr val="tx1">
                  <a:lumMod val="75000"/>
                  <a:lumOff val="25000"/>
                </a:schemeClr>
              </a:solidFill>
            </a:endParaRPr>
          </a:p>
        </xdr:txBody>
      </xdr:sp>
      <xdr:sp macro="" textlink="">
        <xdr:nvSpPr>
          <xdr:cNvPr id="7" name="Round Same Side Corner Rectangle 6">
            <a:hlinkClick xmlns:r="http://schemas.openxmlformats.org/officeDocument/2006/relationships" r:id="rId5"/>
          </xdr:cNvPr>
          <xdr:cNvSpPr/>
        </xdr:nvSpPr>
        <xdr:spPr>
          <a:xfrm>
            <a:off x="90508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About</a:t>
            </a:r>
            <a:endParaRPr lang="en-US" sz="1100" b="0">
              <a:solidFill>
                <a:schemeClr val="tx1">
                  <a:lumMod val="75000"/>
                  <a:lumOff val="25000"/>
                </a:schemeClr>
              </a:solidFill>
            </a:endParaRPr>
          </a:p>
        </xdr:txBody>
      </xdr:sp>
      <xdr:cxnSp macro="">
        <xdr:nvCxnSpPr>
          <xdr:cNvPr id="8" name="Straight Connector 7"/>
          <xdr:cNvCxnSpPr/>
        </xdr:nvCxnSpPr>
        <xdr:spPr>
          <a:xfrm>
            <a:off x="126999" y="414864"/>
            <a:ext cx="41148000" cy="0"/>
          </a:xfrm>
          <a:prstGeom prst="line">
            <a:avLst/>
          </a:prstGeom>
          <a:ln w="28575">
            <a:solidFill>
              <a:schemeClr val="tx2">
                <a:lumMod val="75000"/>
              </a:schemeClr>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41910</xdr:colOff>
      <xdr:row>2</xdr:row>
      <xdr:rowOff>83820</xdr:rowOff>
    </xdr:from>
    <xdr:to>
      <xdr:col>7</xdr:col>
      <xdr:colOff>537210</xdr:colOff>
      <xdr:row>3</xdr:row>
      <xdr:rowOff>144780</xdr:rowOff>
    </xdr:to>
    <xdr:sp macro="" textlink="">
      <xdr:nvSpPr>
        <xdr:cNvPr id="9" name="Rounded Rectangle 8">
          <a:hlinkClick xmlns:r="http://schemas.openxmlformats.org/officeDocument/2006/relationships" r:id="rId6"/>
        </xdr:cNvPr>
        <xdr:cNvSpPr/>
      </xdr:nvSpPr>
      <xdr:spPr>
        <a:xfrm>
          <a:off x="4613910" y="464820"/>
          <a:ext cx="2034540" cy="251460"/>
        </a:xfrm>
        <a:prstGeom prst="roundRect">
          <a:avLst/>
        </a:prstGeom>
        <a:solidFill>
          <a:schemeClr val="tx2">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a:solidFill>
                <a:schemeClr val="tx2">
                  <a:lumMod val="50000"/>
                </a:schemeClr>
              </a:solidFill>
            </a:rPr>
            <a:t>Score</a:t>
          </a:r>
          <a:r>
            <a:rPr lang="en-US" sz="1200" baseline="0">
              <a:solidFill>
                <a:schemeClr val="tx2">
                  <a:lumMod val="50000"/>
                </a:schemeClr>
              </a:solidFill>
            </a:rPr>
            <a:t> View</a:t>
          </a:r>
          <a:endParaRPr lang="en-US" sz="1200">
            <a:solidFill>
              <a:schemeClr val="tx2">
                <a:lumMod val="50000"/>
              </a:schemeClr>
            </a:solidFill>
          </a:endParaRPr>
        </a:p>
      </xdr:txBody>
    </xdr:sp>
    <xdr:clientData/>
  </xdr:twoCellAnchor>
  <xdr:twoCellAnchor>
    <xdr:from>
      <xdr:col>7</xdr:col>
      <xdr:colOff>716280</xdr:colOff>
      <xdr:row>2</xdr:row>
      <xdr:rowOff>83820</xdr:rowOff>
    </xdr:from>
    <xdr:to>
      <xdr:col>9</xdr:col>
      <xdr:colOff>1211580</xdr:colOff>
      <xdr:row>3</xdr:row>
      <xdr:rowOff>144780</xdr:rowOff>
    </xdr:to>
    <xdr:sp macro="" textlink="">
      <xdr:nvSpPr>
        <xdr:cNvPr id="10" name="Rounded Rectangle 9">
          <a:hlinkClick xmlns:r="http://schemas.openxmlformats.org/officeDocument/2006/relationships" r:id="rId7"/>
        </xdr:cNvPr>
        <xdr:cNvSpPr/>
      </xdr:nvSpPr>
      <xdr:spPr>
        <a:xfrm>
          <a:off x="6827520" y="464820"/>
          <a:ext cx="2034540" cy="251460"/>
        </a:xfrm>
        <a:prstGeom prst="roundRect">
          <a:avLst/>
        </a:prstGeom>
        <a:solidFill>
          <a:schemeClr val="tx2">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a:solidFill>
                <a:schemeClr val="tx2">
                  <a:lumMod val="50000"/>
                </a:schemeClr>
              </a:solidFill>
            </a:rPr>
            <a:t>Individual</a:t>
          </a:r>
          <a:r>
            <a:rPr lang="en-US" sz="1200" baseline="0">
              <a:solidFill>
                <a:schemeClr val="tx2">
                  <a:lumMod val="50000"/>
                </a:schemeClr>
              </a:solidFill>
            </a:rPr>
            <a:t>  Player Scoreboard</a:t>
          </a:r>
          <a:endParaRPr lang="en-US" sz="1200">
            <a:solidFill>
              <a:schemeClr val="tx2">
                <a:lumMod val="50000"/>
              </a:schemeClr>
            </a:solidFill>
          </a:endParaRPr>
        </a:p>
      </xdr:txBody>
    </xdr:sp>
    <xdr:clientData/>
  </xdr:twoCellAnchor>
  <xdr:twoCellAnchor>
    <xdr:from>
      <xdr:col>2</xdr:col>
      <xdr:colOff>2095500</xdr:colOff>
      <xdr:row>2</xdr:row>
      <xdr:rowOff>83820</xdr:rowOff>
    </xdr:from>
    <xdr:to>
      <xdr:col>4</xdr:col>
      <xdr:colOff>830580</xdr:colOff>
      <xdr:row>3</xdr:row>
      <xdr:rowOff>144780</xdr:rowOff>
    </xdr:to>
    <xdr:sp macro="" textlink="">
      <xdr:nvSpPr>
        <xdr:cNvPr id="11" name="Rounded Rectangle 10">
          <a:hlinkClick xmlns:r="http://schemas.openxmlformats.org/officeDocument/2006/relationships" r:id="rId2"/>
        </xdr:cNvPr>
        <xdr:cNvSpPr/>
      </xdr:nvSpPr>
      <xdr:spPr>
        <a:xfrm>
          <a:off x="2400300" y="464820"/>
          <a:ext cx="2034540" cy="251460"/>
        </a:xfrm>
        <a:prstGeom prst="roundRect">
          <a:avLst/>
        </a:prstGeom>
        <a:solidFill>
          <a:schemeClr val="accent1">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t>Point</a:t>
          </a:r>
          <a:r>
            <a:rPr lang="en-US" sz="1200" b="1" baseline="0"/>
            <a:t> View</a:t>
          </a:r>
          <a:endParaRPr lang="en-US" sz="1200" b="1"/>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99059</xdr:colOff>
      <xdr:row>0</xdr:row>
      <xdr:rowOff>114300</xdr:rowOff>
    </xdr:from>
    <xdr:to>
      <xdr:col>54</xdr:col>
      <xdr:colOff>60959</xdr:colOff>
      <xdr:row>1</xdr:row>
      <xdr:rowOff>186267</xdr:rowOff>
    </xdr:to>
    <xdr:grpSp>
      <xdr:nvGrpSpPr>
        <xdr:cNvPr id="2" name="Group 1"/>
        <xdr:cNvGrpSpPr/>
      </xdr:nvGrpSpPr>
      <xdr:grpSpPr>
        <a:xfrm>
          <a:off x="99059" y="114300"/>
          <a:ext cx="41148000" cy="262467"/>
          <a:chOff x="126999" y="144777"/>
          <a:chExt cx="41148000" cy="270087"/>
        </a:xfrm>
      </xdr:grpSpPr>
      <xdr:sp macro="" textlink="">
        <xdr:nvSpPr>
          <xdr:cNvPr id="3" name="Round Same Side Corner Rectangle 2">
            <a:hlinkClick xmlns:r="http://schemas.openxmlformats.org/officeDocument/2006/relationships" r:id="rId1"/>
          </xdr:cNvPr>
          <xdr:cNvSpPr/>
        </xdr:nvSpPr>
        <xdr:spPr>
          <a:xfrm>
            <a:off x="2116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Setup</a:t>
            </a:r>
            <a:endParaRPr lang="en-US" sz="1100" b="0">
              <a:solidFill>
                <a:schemeClr val="tx1">
                  <a:lumMod val="75000"/>
                  <a:lumOff val="25000"/>
                </a:schemeClr>
              </a:solidFill>
            </a:endParaRPr>
          </a:p>
        </xdr:txBody>
      </xdr:sp>
      <xdr:sp macro="" textlink="">
        <xdr:nvSpPr>
          <xdr:cNvPr id="4" name="Round Same Side Corner Rectangle 3">
            <a:hlinkClick xmlns:r="http://schemas.openxmlformats.org/officeDocument/2006/relationships" r:id="rId2"/>
          </xdr:cNvPr>
          <xdr:cNvSpPr/>
        </xdr:nvSpPr>
        <xdr:spPr>
          <a:xfrm>
            <a:off x="2421465" y="144777"/>
            <a:ext cx="2057400" cy="270087"/>
          </a:xfrm>
          <a:prstGeom prst="round2SameRect">
            <a:avLst/>
          </a:prstGeom>
          <a:solidFill>
            <a:schemeClr val="tx2">
              <a:lumMod val="75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solidFill>
                  <a:schemeClr val="bg1"/>
                </a:solidFill>
              </a:rPr>
              <a:t>Player</a:t>
            </a:r>
            <a:r>
              <a:rPr lang="en-US" sz="1200" b="1" baseline="0">
                <a:solidFill>
                  <a:schemeClr val="bg1"/>
                </a:solidFill>
              </a:rPr>
              <a:t> Scoreboard</a:t>
            </a:r>
            <a:endParaRPr lang="en-US" sz="1100" b="1">
              <a:solidFill>
                <a:schemeClr val="bg1"/>
              </a:solidFill>
            </a:endParaRPr>
          </a:p>
        </xdr:txBody>
      </xdr:sp>
      <xdr:sp macro="" textlink="">
        <xdr:nvSpPr>
          <xdr:cNvPr id="5" name="Round Same Side Corner Rectangle 4">
            <a:hlinkClick xmlns:r="http://schemas.openxmlformats.org/officeDocument/2006/relationships" r:id="rId3"/>
          </xdr:cNvPr>
          <xdr:cNvSpPr/>
        </xdr:nvSpPr>
        <xdr:spPr>
          <a:xfrm>
            <a:off x="46312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Player</a:t>
            </a:r>
            <a:r>
              <a:rPr lang="en-US" sz="1200" b="0" baseline="0">
                <a:solidFill>
                  <a:schemeClr val="tx1">
                    <a:lumMod val="75000"/>
                    <a:lumOff val="25000"/>
                  </a:schemeClr>
                </a:solidFill>
              </a:rPr>
              <a:t> Leaderboard</a:t>
            </a:r>
            <a:endParaRPr lang="en-US" sz="1100" b="0">
              <a:solidFill>
                <a:schemeClr val="tx1">
                  <a:lumMod val="75000"/>
                  <a:lumOff val="25000"/>
                </a:schemeClr>
              </a:solidFill>
            </a:endParaRPr>
          </a:p>
        </xdr:txBody>
      </xdr:sp>
      <xdr:sp macro="" textlink="">
        <xdr:nvSpPr>
          <xdr:cNvPr id="6" name="Round Same Side Corner Rectangle 5">
            <a:hlinkClick xmlns:r="http://schemas.openxmlformats.org/officeDocument/2006/relationships" r:id="rId4"/>
          </xdr:cNvPr>
          <xdr:cNvSpPr/>
        </xdr:nvSpPr>
        <xdr:spPr>
          <a:xfrm>
            <a:off x="68410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Matches</a:t>
            </a:r>
            <a:r>
              <a:rPr lang="en-US" sz="1200" b="0" baseline="0">
                <a:solidFill>
                  <a:schemeClr val="tx1">
                    <a:lumMod val="75000"/>
                    <a:lumOff val="25000"/>
                  </a:schemeClr>
                </a:solidFill>
              </a:rPr>
              <a:t> Schedule</a:t>
            </a:r>
            <a:endParaRPr lang="en-US" sz="1100" b="0">
              <a:solidFill>
                <a:schemeClr val="tx1">
                  <a:lumMod val="75000"/>
                  <a:lumOff val="25000"/>
                </a:schemeClr>
              </a:solidFill>
            </a:endParaRPr>
          </a:p>
        </xdr:txBody>
      </xdr:sp>
      <xdr:sp macro="" textlink="">
        <xdr:nvSpPr>
          <xdr:cNvPr id="7" name="Round Same Side Corner Rectangle 6">
            <a:hlinkClick xmlns:r="http://schemas.openxmlformats.org/officeDocument/2006/relationships" r:id="rId5"/>
          </xdr:cNvPr>
          <xdr:cNvSpPr/>
        </xdr:nvSpPr>
        <xdr:spPr>
          <a:xfrm>
            <a:off x="90508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About</a:t>
            </a:r>
            <a:endParaRPr lang="en-US" sz="1100" b="0">
              <a:solidFill>
                <a:schemeClr val="tx1">
                  <a:lumMod val="75000"/>
                  <a:lumOff val="25000"/>
                </a:schemeClr>
              </a:solidFill>
            </a:endParaRPr>
          </a:p>
        </xdr:txBody>
      </xdr:sp>
      <xdr:cxnSp macro="">
        <xdr:nvCxnSpPr>
          <xdr:cNvPr id="8" name="Straight Connector 7"/>
          <xdr:cNvCxnSpPr/>
        </xdr:nvCxnSpPr>
        <xdr:spPr>
          <a:xfrm>
            <a:off x="126999" y="414864"/>
            <a:ext cx="41148000" cy="0"/>
          </a:xfrm>
          <a:prstGeom prst="line">
            <a:avLst/>
          </a:prstGeom>
          <a:ln w="28575">
            <a:solidFill>
              <a:schemeClr val="tx2">
                <a:lumMod val="75000"/>
              </a:schemeClr>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41910</xdr:colOff>
      <xdr:row>2</xdr:row>
      <xdr:rowOff>83820</xdr:rowOff>
    </xdr:from>
    <xdr:to>
      <xdr:col>7</xdr:col>
      <xdr:colOff>537210</xdr:colOff>
      <xdr:row>3</xdr:row>
      <xdr:rowOff>144780</xdr:rowOff>
    </xdr:to>
    <xdr:sp macro="" textlink="">
      <xdr:nvSpPr>
        <xdr:cNvPr id="9" name="Rounded Rectangle 8">
          <a:hlinkClick xmlns:r="http://schemas.openxmlformats.org/officeDocument/2006/relationships" r:id="rId6"/>
        </xdr:cNvPr>
        <xdr:cNvSpPr/>
      </xdr:nvSpPr>
      <xdr:spPr>
        <a:xfrm>
          <a:off x="4613910" y="464820"/>
          <a:ext cx="2034540" cy="251460"/>
        </a:xfrm>
        <a:prstGeom prst="roundRect">
          <a:avLst/>
        </a:prstGeom>
        <a:solidFill>
          <a:schemeClr val="accent1">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solidFill>
                <a:schemeClr val="bg1"/>
              </a:solidFill>
            </a:rPr>
            <a:t>Score</a:t>
          </a:r>
          <a:r>
            <a:rPr lang="en-US" sz="1200" b="1" baseline="0">
              <a:solidFill>
                <a:schemeClr val="bg1"/>
              </a:solidFill>
            </a:rPr>
            <a:t> View</a:t>
          </a:r>
          <a:endParaRPr lang="en-US" sz="1200" b="1">
            <a:solidFill>
              <a:schemeClr val="bg1"/>
            </a:solidFill>
          </a:endParaRPr>
        </a:p>
      </xdr:txBody>
    </xdr:sp>
    <xdr:clientData/>
  </xdr:twoCellAnchor>
  <xdr:twoCellAnchor>
    <xdr:from>
      <xdr:col>7</xdr:col>
      <xdr:colOff>716280</xdr:colOff>
      <xdr:row>2</xdr:row>
      <xdr:rowOff>83820</xdr:rowOff>
    </xdr:from>
    <xdr:to>
      <xdr:col>9</xdr:col>
      <xdr:colOff>1211580</xdr:colOff>
      <xdr:row>3</xdr:row>
      <xdr:rowOff>144780</xdr:rowOff>
    </xdr:to>
    <xdr:sp macro="" textlink="">
      <xdr:nvSpPr>
        <xdr:cNvPr id="10" name="Rounded Rectangle 9">
          <a:hlinkClick xmlns:r="http://schemas.openxmlformats.org/officeDocument/2006/relationships" r:id="rId7"/>
        </xdr:cNvPr>
        <xdr:cNvSpPr/>
      </xdr:nvSpPr>
      <xdr:spPr>
        <a:xfrm>
          <a:off x="6827520" y="464820"/>
          <a:ext cx="2034540" cy="251460"/>
        </a:xfrm>
        <a:prstGeom prst="roundRect">
          <a:avLst/>
        </a:prstGeom>
        <a:solidFill>
          <a:schemeClr val="tx2">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a:solidFill>
                <a:schemeClr val="tx2">
                  <a:lumMod val="50000"/>
                </a:schemeClr>
              </a:solidFill>
            </a:rPr>
            <a:t>Individual</a:t>
          </a:r>
          <a:r>
            <a:rPr lang="en-US" sz="1200" baseline="0">
              <a:solidFill>
                <a:schemeClr val="tx2">
                  <a:lumMod val="50000"/>
                </a:schemeClr>
              </a:solidFill>
            </a:rPr>
            <a:t>  Player Scoreboard</a:t>
          </a:r>
          <a:endParaRPr lang="en-US" sz="1200">
            <a:solidFill>
              <a:schemeClr val="tx2">
                <a:lumMod val="50000"/>
              </a:schemeClr>
            </a:solidFill>
          </a:endParaRPr>
        </a:p>
      </xdr:txBody>
    </xdr:sp>
    <xdr:clientData/>
  </xdr:twoCellAnchor>
  <xdr:twoCellAnchor>
    <xdr:from>
      <xdr:col>2</xdr:col>
      <xdr:colOff>2095500</xdr:colOff>
      <xdr:row>2</xdr:row>
      <xdr:rowOff>83820</xdr:rowOff>
    </xdr:from>
    <xdr:to>
      <xdr:col>4</xdr:col>
      <xdr:colOff>830580</xdr:colOff>
      <xdr:row>3</xdr:row>
      <xdr:rowOff>144780</xdr:rowOff>
    </xdr:to>
    <xdr:sp macro="" textlink="">
      <xdr:nvSpPr>
        <xdr:cNvPr id="11" name="Rounded Rectangle 10">
          <a:hlinkClick xmlns:r="http://schemas.openxmlformats.org/officeDocument/2006/relationships" r:id="rId2"/>
        </xdr:cNvPr>
        <xdr:cNvSpPr/>
      </xdr:nvSpPr>
      <xdr:spPr>
        <a:xfrm>
          <a:off x="2400300" y="464820"/>
          <a:ext cx="2034540" cy="251460"/>
        </a:xfrm>
        <a:prstGeom prst="roundRect">
          <a:avLst/>
        </a:prstGeom>
        <a:solidFill>
          <a:schemeClr val="tx2">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ysClr val="windowText" lastClr="000000"/>
              </a:solidFill>
            </a:rPr>
            <a:t>Point</a:t>
          </a:r>
          <a:r>
            <a:rPr lang="en-US" sz="1200" b="0" baseline="0">
              <a:solidFill>
                <a:sysClr val="windowText" lastClr="000000"/>
              </a:solidFill>
            </a:rPr>
            <a:t> View</a:t>
          </a:r>
          <a:endParaRPr lang="en-US" sz="1200" b="0">
            <a:solidFill>
              <a:sysClr val="windowText" lastClr="00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114299</xdr:colOff>
      <xdr:row>0</xdr:row>
      <xdr:rowOff>114300</xdr:rowOff>
    </xdr:from>
    <xdr:to>
      <xdr:col>71</xdr:col>
      <xdr:colOff>152399</xdr:colOff>
      <xdr:row>1</xdr:row>
      <xdr:rowOff>186267</xdr:rowOff>
    </xdr:to>
    <xdr:grpSp>
      <xdr:nvGrpSpPr>
        <xdr:cNvPr id="2" name="Group 1"/>
        <xdr:cNvGrpSpPr/>
      </xdr:nvGrpSpPr>
      <xdr:grpSpPr>
        <a:xfrm>
          <a:off x="114299" y="114300"/>
          <a:ext cx="46024800" cy="262467"/>
          <a:chOff x="126999" y="144777"/>
          <a:chExt cx="41148000" cy="270087"/>
        </a:xfrm>
      </xdr:grpSpPr>
      <xdr:sp macro="" textlink="">
        <xdr:nvSpPr>
          <xdr:cNvPr id="3" name="Round Same Side Corner Rectangle 2">
            <a:hlinkClick xmlns:r="http://schemas.openxmlformats.org/officeDocument/2006/relationships" r:id="rId1"/>
          </xdr:cNvPr>
          <xdr:cNvSpPr/>
        </xdr:nvSpPr>
        <xdr:spPr>
          <a:xfrm>
            <a:off x="2116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Setup</a:t>
            </a:r>
            <a:endParaRPr lang="en-US" sz="1100" b="0">
              <a:solidFill>
                <a:schemeClr val="tx1">
                  <a:lumMod val="75000"/>
                  <a:lumOff val="25000"/>
                </a:schemeClr>
              </a:solidFill>
            </a:endParaRPr>
          </a:p>
        </xdr:txBody>
      </xdr:sp>
      <xdr:sp macro="" textlink="">
        <xdr:nvSpPr>
          <xdr:cNvPr id="4" name="Round Same Side Corner Rectangle 3">
            <a:hlinkClick xmlns:r="http://schemas.openxmlformats.org/officeDocument/2006/relationships" r:id="rId2"/>
          </xdr:cNvPr>
          <xdr:cNvSpPr/>
        </xdr:nvSpPr>
        <xdr:spPr>
          <a:xfrm>
            <a:off x="24214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Player</a:t>
            </a:r>
            <a:r>
              <a:rPr lang="en-US" sz="1200" b="0" baseline="0">
                <a:solidFill>
                  <a:schemeClr val="tx1">
                    <a:lumMod val="75000"/>
                    <a:lumOff val="25000"/>
                  </a:schemeClr>
                </a:solidFill>
              </a:rPr>
              <a:t> Scoreboard</a:t>
            </a:r>
            <a:endParaRPr lang="en-US" sz="1100" b="0">
              <a:solidFill>
                <a:schemeClr val="tx1">
                  <a:lumMod val="75000"/>
                  <a:lumOff val="25000"/>
                </a:schemeClr>
              </a:solidFill>
            </a:endParaRPr>
          </a:p>
        </xdr:txBody>
      </xdr:sp>
      <xdr:sp macro="" textlink="">
        <xdr:nvSpPr>
          <xdr:cNvPr id="5" name="Round Same Side Corner Rectangle 4">
            <a:hlinkClick xmlns:r="http://schemas.openxmlformats.org/officeDocument/2006/relationships" r:id="rId3"/>
          </xdr:cNvPr>
          <xdr:cNvSpPr/>
        </xdr:nvSpPr>
        <xdr:spPr>
          <a:xfrm>
            <a:off x="4631265" y="144777"/>
            <a:ext cx="2057400" cy="270087"/>
          </a:xfrm>
          <a:prstGeom prst="round2SameRect">
            <a:avLst/>
          </a:prstGeom>
          <a:solidFill>
            <a:schemeClr val="tx2">
              <a:lumMod val="75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solidFill>
                  <a:schemeClr val="bg1"/>
                </a:solidFill>
              </a:rPr>
              <a:t>Player</a:t>
            </a:r>
            <a:r>
              <a:rPr lang="en-US" sz="1200" b="1" baseline="0">
                <a:solidFill>
                  <a:schemeClr val="bg1"/>
                </a:solidFill>
              </a:rPr>
              <a:t> Leaderboard</a:t>
            </a:r>
            <a:endParaRPr lang="en-US" sz="1100" b="1">
              <a:solidFill>
                <a:schemeClr val="bg1"/>
              </a:solidFill>
            </a:endParaRPr>
          </a:p>
        </xdr:txBody>
      </xdr:sp>
      <xdr:sp macro="" textlink="">
        <xdr:nvSpPr>
          <xdr:cNvPr id="6" name="Round Same Side Corner Rectangle 5">
            <a:hlinkClick xmlns:r="http://schemas.openxmlformats.org/officeDocument/2006/relationships" r:id="rId4"/>
          </xdr:cNvPr>
          <xdr:cNvSpPr/>
        </xdr:nvSpPr>
        <xdr:spPr>
          <a:xfrm>
            <a:off x="68410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Matches</a:t>
            </a:r>
            <a:r>
              <a:rPr lang="en-US" sz="1200" b="0" baseline="0">
                <a:solidFill>
                  <a:schemeClr val="tx1">
                    <a:lumMod val="75000"/>
                    <a:lumOff val="25000"/>
                  </a:schemeClr>
                </a:solidFill>
              </a:rPr>
              <a:t> Schedule</a:t>
            </a:r>
            <a:endParaRPr lang="en-US" sz="1100" b="0">
              <a:solidFill>
                <a:schemeClr val="tx1">
                  <a:lumMod val="75000"/>
                  <a:lumOff val="25000"/>
                </a:schemeClr>
              </a:solidFill>
            </a:endParaRPr>
          </a:p>
        </xdr:txBody>
      </xdr:sp>
      <xdr:sp macro="" textlink="">
        <xdr:nvSpPr>
          <xdr:cNvPr id="7" name="Round Same Side Corner Rectangle 6">
            <a:hlinkClick xmlns:r="http://schemas.openxmlformats.org/officeDocument/2006/relationships" r:id="rId5"/>
          </xdr:cNvPr>
          <xdr:cNvSpPr/>
        </xdr:nvSpPr>
        <xdr:spPr>
          <a:xfrm>
            <a:off x="90508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About</a:t>
            </a:r>
            <a:endParaRPr lang="en-US" sz="1100" b="0">
              <a:solidFill>
                <a:schemeClr val="tx1">
                  <a:lumMod val="75000"/>
                  <a:lumOff val="25000"/>
                </a:schemeClr>
              </a:solidFill>
            </a:endParaRPr>
          </a:p>
        </xdr:txBody>
      </xdr:sp>
      <xdr:cxnSp macro="">
        <xdr:nvCxnSpPr>
          <xdr:cNvPr id="8" name="Straight Connector 7"/>
          <xdr:cNvCxnSpPr/>
        </xdr:nvCxnSpPr>
        <xdr:spPr>
          <a:xfrm>
            <a:off x="126999" y="414864"/>
            <a:ext cx="41148000" cy="0"/>
          </a:xfrm>
          <a:prstGeom prst="line">
            <a:avLst/>
          </a:prstGeom>
          <a:ln w="28575">
            <a:solidFill>
              <a:schemeClr val="tx2">
                <a:lumMod val="75000"/>
              </a:schemeClr>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95250</xdr:colOff>
      <xdr:row>2</xdr:row>
      <xdr:rowOff>60960</xdr:rowOff>
    </xdr:from>
    <xdr:to>
      <xdr:col>7</xdr:col>
      <xdr:colOff>651510</xdr:colOff>
      <xdr:row>3</xdr:row>
      <xdr:rowOff>121920</xdr:rowOff>
    </xdr:to>
    <xdr:sp macro="" textlink="">
      <xdr:nvSpPr>
        <xdr:cNvPr id="9" name="Rounded Rectangle 8">
          <a:hlinkClick xmlns:r="http://schemas.openxmlformats.org/officeDocument/2006/relationships" r:id="rId6"/>
        </xdr:cNvPr>
        <xdr:cNvSpPr/>
      </xdr:nvSpPr>
      <xdr:spPr>
        <a:xfrm>
          <a:off x="4621530" y="441960"/>
          <a:ext cx="2034540" cy="251460"/>
        </a:xfrm>
        <a:prstGeom prst="roundRect">
          <a:avLst/>
        </a:prstGeom>
        <a:solidFill>
          <a:schemeClr val="tx2">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a:solidFill>
                <a:schemeClr val="tx2">
                  <a:lumMod val="75000"/>
                </a:schemeClr>
              </a:solidFill>
            </a:rPr>
            <a:t>Group Stages</a:t>
          </a:r>
        </a:p>
      </xdr:txBody>
    </xdr:sp>
    <xdr:clientData/>
  </xdr:twoCellAnchor>
  <xdr:twoCellAnchor>
    <xdr:from>
      <xdr:col>8</xdr:col>
      <xdr:colOff>91440</xdr:colOff>
      <xdr:row>2</xdr:row>
      <xdr:rowOff>60960</xdr:rowOff>
    </xdr:from>
    <xdr:to>
      <xdr:col>11</xdr:col>
      <xdr:colOff>251460</xdr:colOff>
      <xdr:row>3</xdr:row>
      <xdr:rowOff>121920</xdr:rowOff>
    </xdr:to>
    <xdr:sp macro="" textlink="">
      <xdr:nvSpPr>
        <xdr:cNvPr id="10" name="Rounded Rectangle 9">
          <a:hlinkClick xmlns:r="http://schemas.openxmlformats.org/officeDocument/2006/relationships" r:id="rId7"/>
        </xdr:cNvPr>
        <xdr:cNvSpPr/>
      </xdr:nvSpPr>
      <xdr:spPr>
        <a:xfrm>
          <a:off x="6835140" y="441960"/>
          <a:ext cx="2034540" cy="251460"/>
        </a:xfrm>
        <a:prstGeom prst="roundRect">
          <a:avLst/>
        </a:prstGeom>
        <a:solidFill>
          <a:schemeClr val="tx2">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a:solidFill>
                <a:schemeClr val="tx2">
                  <a:lumMod val="75000"/>
                </a:schemeClr>
              </a:solidFill>
            </a:rPr>
            <a:t>Knock</a:t>
          </a:r>
          <a:r>
            <a:rPr lang="en-US" sz="1200" baseline="0">
              <a:solidFill>
                <a:schemeClr val="tx2">
                  <a:lumMod val="75000"/>
                </a:schemeClr>
              </a:solidFill>
            </a:rPr>
            <a:t> Out Stages</a:t>
          </a:r>
          <a:endParaRPr lang="en-US" sz="1200">
            <a:solidFill>
              <a:schemeClr val="tx2">
                <a:lumMod val="75000"/>
              </a:schemeClr>
            </a:solidFill>
          </a:endParaRPr>
        </a:p>
      </xdr:txBody>
    </xdr:sp>
    <xdr:clientData/>
  </xdr:twoCellAnchor>
  <xdr:twoCellAnchor>
    <xdr:from>
      <xdr:col>2</xdr:col>
      <xdr:colOff>99060</xdr:colOff>
      <xdr:row>2</xdr:row>
      <xdr:rowOff>60960</xdr:rowOff>
    </xdr:from>
    <xdr:to>
      <xdr:col>4</xdr:col>
      <xdr:colOff>655320</xdr:colOff>
      <xdr:row>3</xdr:row>
      <xdr:rowOff>121920</xdr:rowOff>
    </xdr:to>
    <xdr:sp macro="" textlink="">
      <xdr:nvSpPr>
        <xdr:cNvPr id="11" name="Rounded Rectangle 10">
          <a:hlinkClick xmlns:r="http://schemas.openxmlformats.org/officeDocument/2006/relationships" r:id="rId8"/>
        </xdr:cNvPr>
        <xdr:cNvSpPr/>
      </xdr:nvSpPr>
      <xdr:spPr>
        <a:xfrm>
          <a:off x="2407920" y="441960"/>
          <a:ext cx="2034540" cy="251460"/>
        </a:xfrm>
        <a:prstGeom prst="roundRect">
          <a:avLst/>
        </a:prstGeom>
        <a:solidFill>
          <a:schemeClr val="accent1">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t>All Stages</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114299</xdr:colOff>
      <xdr:row>0</xdr:row>
      <xdr:rowOff>114300</xdr:rowOff>
    </xdr:from>
    <xdr:to>
      <xdr:col>50</xdr:col>
      <xdr:colOff>15239</xdr:colOff>
      <xdr:row>1</xdr:row>
      <xdr:rowOff>186267</xdr:rowOff>
    </xdr:to>
    <xdr:grpSp>
      <xdr:nvGrpSpPr>
        <xdr:cNvPr id="2" name="Group 1"/>
        <xdr:cNvGrpSpPr/>
      </xdr:nvGrpSpPr>
      <xdr:grpSpPr>
        <a:xfrm>
          <a:off x="114299" y="114300"/>
          <a:ext cx="32308800" cy="262467"/>
          <a:chOff x="126999" y="144777"/>
          <a:chExt cx="27432000" cy="270087"/>
        </a:xfrm>
      </xdr:grpSpPr>
      <xdr:sp macro="" textlink="">
        <xdr:nvSpPr>
          <xdr:cNvPr id="3" name="Round Same Side Corner Rectangle 2">
            <a:hlinkClick xmlns:r="http://schemas.openxmlformats.org/officeDocument/2006/relationships" r:id="rId1"/>
          </xdr:cNvPr>
          <xdr:cNvSpPr/>
        </xdr:nvSpPr>
        <xdr:spPr>
          <a:xfrm>
            <a:off x="2116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Setup</a:t>
            </a:r>
            <a:endParaRPr lang="en-US" sz="1100" b="0">
              <a:solidFill>
                <a:schemeClr val="tx1">
                  <a:lumMod val="75000"/>
                  <a:lumOff val="25000"/>
                </a:schemeClr>
              </a:solidFill>
            </a:endParaRPr>
          </a:p>
        </xdr:txBody>
      </xdr:sp>
      <xdr:sp macro="" textlink="">
        <xdr:nvSpPr>
          <xdr:cNvPr id="4" name="Round Same Side Corner Rectangle 3">
            <a:hlinkClick xmlns:r="http://schemas.openxmlformats.org/officeDocument/2006/relationships" r:id="rId2"/>
          </xdr:cNvPr>
          <xdr:cNvSpPr/>
        </xdr:nvSpPr>
        <xdr:spPr>
          <a:xfrm>
            <a:off x="24214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Player</a:t>
            </a:r>
            <a:r>
              <a:rPr lang="en-US" sz="1200" b="0" baseline="0">
                <a:solidFill>
                  <a:schemeClr val="tx1">
                    <a:lumMod val="75000"/>
                    <a:lumOff val="25000"/>
                  </a:schemeClr>
                </a:solidFill>
              </a:rPr>
              <a:t> Scoreboard</a:t>
            </a:r>
            <a:endParaRPr lang="en-US" sz="1100" b="0">
              <a:solidFill>
                <a:schemeClr val="tx1">
                  <a:lumMod val="75000"/>
                  <a:lumOff val="25000"/>
                </a:schemeClr>
              </a:solidFill>
            </a:endParaRPr>
          </a:p>
        </xdr:txBody>
      </xdr:sp>
      <xdr:sp macro="" textlink="">
        <xdr:nvSpPr>
          <xdr:cNvPr id="5" name="Round Same Side Corner Rectangle 4">
            <a:hlinkClick xmlns:r="http://schemas.openxmlformats.org/officeDocument/2006/relationships" r:id="rId3"/>
          </xdr:cNvPr>
          <xdr:cNvSpPr/>
        </xdr:nvSpPr>
        <xdr:spPr>
          <a:xfrm>
            <a:off x="4631265" y="144777"/>
            <a:ext cx="2057400" cy="270087"/>
          </a:xfrm>
          <a:prstGeom prst="round2SameRect">
            <a:avLst/>
          </a:prstGeom>
          <a:solidFill>
            <a:schemeClr val="tx2">
              <a:lumMod val="75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solidFill>
                  <a:schemeClr val="bg1"/>
                </a:solidFill>
              </a:rPr>
              <a:t>Player</a:t>
            </a:r>
            <a:r>
              <a:rPr lang="en-US" sz="1200" b="1" baseline="0">
                <a:solidFill>
                  <a:schemeClr val="bg1"/>
                </a:solidFill>
              </a:rPr>
              <a:t> Leaderboard</a:t>
            </a:r>
            <a:endParaRPr lang="en-US" sz="1100" b="1">
              <a:solidFill>
                <a:schemeClr val="bg1"/>
              </a:solidFill>
            </a:endParaRPr>
          </a:p>
        </xdr:txBody>
      </xdr:sp>
      <xdr:sp macro="" textlink="">
        <xdr:nvSpPr>
          <xdr:cNvPr id="6" name="Round Same Side Corner Rectangle 5">
            <a:hlinkClick xmlns:r="http://schemas.openxmlformats.org/officeDocument/2006/relationships" r:id="rId4"/>
          </xdr:cNvPr>
          <xdr:cNvSpPr/>
        </xdr:nvSpPr>
        <xdr:spPr>
          <a:xfrm>
            <a:off x="68410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Matches</a:t>
            </a:r>
            <a:r>
              <a:rPr lang="en-US" sz="1200" b="0" baseline="0">
                <a:solidFill>
                  <a:schemeClr val="tx1">
                    <a:lumMod val="75000"/>
                    <a:lumOff val="25000"/>
                  </a:schemeClr>
                </a:solidFill>
              </a:rPr>
              <a:t> Schedule</a:t>
            </a:r>
            <a:endParaRPr lang="en-US" sz="1100" b="0">
              <a:solidFill>
                <a:schemeClr val="tx1">
                  <a:lumMod val="75000"/>
                  <a:lumOff val="25000"/>
                </a:schemeClr>
              </a:solidFill>
            </a:endParaRPr>
          </a:p>
        </xdr:txBody>
      </xdr:sp>
      <xdr:sp macro="" textlink="">
        <xdr:nvSpPr>
          <xdr:cNvPr id="7" name="Round Same Side Corner Rectangle 6">
            <a:hlinkClick xmlns:r="http://schemas.openxmlformats.org/officeDocument/2006/relationships" r:id="rId5"/>
          </xdr:cNvPr>
          <xdr:cNvSpPr/>
        </xdr:nvSpPr>
        <xdr:spPr>
          <a:xfrm>
            <a:off x="90508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About</a:t>
            </a:r>
            <a:endParaRPr lang="en-US" sz="1100" b="0">
              <a:solidFill>
                <a:schemeClr val="tx1">
                  <a:lumMod val="75000"/>
                  <a:lumOff val="25000"/>
                </a:schemeClr>
              </a:solidFill>
            </a:endParaRPr>
          </a:p>
        </xdr:txBody>
      </xdr:sp>
      <xdr:cxnSp macro="">
        <xdr:nvCxnSpPr>
          <xdr:cNvPr id="8" name="Straight Connector 7"/>
          <xdr:cNvCxnSpPr/>
        </xdr:nvCxnSpPr>
        <xdr:spPr>
          <a:xfrm>
            <a:off x="126999" y="414864"/>
            <a:ext cx="27432000" cy="0"/>
          </a:xfrm>
          <a:prstGeom prst="line">
            <a:avLst/>
          </a:prstGeom>
          <a:ln w="28575">
            <a:solidFill>
              <a:schemeClr val="tx2">
                <a:lumMod val="75000"/>
              </a:schemeClr>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209550</xdr:colOff>
      <xdr:row>2</xdr:row>
      <xdr:rowOff>60960</xdr:rowOff>
    </xdr:from>
    <xdr:to>
      <xdr:col>8</xdr:col>
      <xdr:colOff>369570</xdr:colOff>
      <xdr:row>3</xdr:row>
      <xdr:rowOff>121920</xdr:rowOff>
    </xdr:to>
    <xdr:sp macro="" textlink="">
      <xdr:nvSpPr>
        <xdr:cNvPr id="9" name="Rounded Rectangle 8">
          <a:hlinkClick xmlns:r="http://schemas.openxmlformats.org/officeDocument/2006/relationships" r:id="rId6"/>
        </xdr:cNvPr>
        <xdr:cNvSpPr/>
      </xdr:nvSpPr>
      <xdr:spPr>
        <a:xfrm>
          <a:off x="4621530" y="441960"/>
          <a:ext cx="2034540" cy="251460"/>
        </a:xfrm>
        <a:prstGeom prst="roundRect">
          <a:avLst/>
        </a:prstGeom>
        <a:solidFill>
          <a:schemeClr val="accent1">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solidFill>
                <a:schemeClr val="bg1"/>
              </a:solidFill>
            </a:rPr>
            <a:t>Group Stages</a:t>
          </a:r>
        </a:p>
      </xdr:txBody>
    </xdr:sp>
    <xdr:clientData/>
  </xdr:twoCellAnchor>
  <xdr:twoCellAnchor>
    <xdr:from>
      <xdr:col>8</xdr:col>
      <xdr:colOff>548640</xdr:colOff>
      <xdr:row>2</xdr:row>
      <xdr:rowOff>60960</xdr:rowOff>
    </xdr:from>
    <xdr:to>
      <xdr:col>12</xdr:col>
      <xdr:colOff>83820</xdr:colOff>
      <xdr:row>3</xdr:row>
      <xdr:rowOff>121920</xdr:rowOff>
    </xdr:to>
    <xdr:sp macro="" textlink="">
      <xdr:nvSpPr>
        <xdr:cNvPr id="10" name="Rounded Rectangle 9">
          <a:hlinkClick xmlns:r="http://schemas.openxmlformats.org/officeDocument/2006/relationships" r:id="rId7"/>
        </xdr:cNvPr>
        <xdr:cNvSpPr/>
      </xdr:nvSpPr>
      <xdr:spPr>
        <a:xfrm>
          <a:off x="6835140" y="441960"/>
          <a:ext cx="2034540" cy="251460"/>
        </a:xfrm>
        <a:prstGeom prst="roundRect">
          <a:avLst/>
        </a:prstGeom>
        <a:solidFill>
          <a:schemeClr val="tx2">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a:solidFill>
                <a:schemeClr val="tx2">
                  <a:lumMod val="75000"/>
                </a:schemeClr>
              </a:solidFill>
            </a:rPr>
            <a:t>Knock</a:t>
          </a:r>
          <a:r>
            <a:rPr lang="en-US" sz="1200" baseline="0">
              <a:solidFill>
                <a:schemeClr val="tx2">
                  <a:lumMod val="75000"/>
                </a:schemeClr>
              </a:solidFill>
            </a:rPr>
            <a:t> Out Stages</a:t>
          </a:r>
          <a:endParaRPr lang="en-US" sz="1200">
            <a:solidFill>
              <a:schemeClr val="tx2">
                <a:lumMod val="75000"/>
              </a:schemeClr>
            </a:solidFill>
          </a:endParaRPr>
        </a:p>
      </xdr:txBody>
    </xdr:sp>
    <xdr:clientData/>
  </xdr:twoCellAnchor>
  <xdr:twoCellAnchor>
    <xdr:from>
      <xdr:col>2</xdr:col>
      <xdr:colOff>99060</xdr:colOff>
      <xdr:row>2</xdr:row>
      <xdr:rowOff>60960</xdr:rowOff>
    </xdr:from>
    <xdr:to>
      <xdr:col>5</xdr:col>
      <xdr:colOff>30480</xdr:colOff>
      <xdr:row>3</xdr:row>
      <xdr:rowOff>121920</xdr:rowOff>
    </xdr:to>
    <xdr:sp macro="" textlink="">
      <xdr:nvSpPr>
        <xdr:cNvPr id="11" name="Rounded Rectangle 10">
          <a:hlinkClick xmlns:r="http://schemas.openxmlformats.org/officeDocument/2006/relationships" r:id="rId8"/>
        </xdr:cNvPr>
        <xdr:cNvSpPr/>
      </xdr:nvSpPr>
      <xdr:spPr>
        <a:xfrm>
          <a:off x="2407920" y="441960"/>
          <a:ext cx="2034540" cy="251460"/>
        </a:xfrm>
        <a:prstGeom prst="roundRect">
          <a:avLst/>
        </a:prstGeom>
        <a:solidFill>
          <a:schemeClr val="tx2">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2">
                  <a:lumMod val="50000"/>
                </a:schemeClr>
              </a:solidFill>
            </a:rPr>
            <a:t>All Stages</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114299</xdr:colOff>
      <xdr:row>0</xdr:row>
      <xdr:rowOff>114300</xdr:rowOff>
    </xdr:from>
    <xdr:to>
      <xdr:col>20</xdr:col>
      <xdr:colOff>45719</xdr:colOff>
      <xdr:row>1</xdr:row>
      <xdr:rowOff>186267</xdr:rowOff>
    </xdr:to>
    <xdr:grpSp>
      <xdr:nvGrpSpPr>
        <xdr:cNvPr id="2" name="Group 1"/>
        <xdr:cNvGrpSpPr/>
      </xdr:nvGrpSpPr>
      <xdr:grpSpPr>
        <a:xfrm>
          <a:off x="114299" y="114300"/>
          <a:ext cx="13716000" cy="262467"/>
          <a:chOff x="126999" y="144777"/>
          <a:chExt cx="13716000" cy="270087"/>
        </a:xfrm>
      </xdr:grpSpPr>
      <xdr:sp macro="" textlink="">
        <xdr:nvSpPr>
          <xdr:cNvPr id="3" name="Round Same Side Corner Rectangle 2">
            <a:hlinkClick xmlns:r="http://schemas.openxmlformats.org/officeDocument/2006/relationships" r:id="rId1"/>
          </xdr:cNvPr>
          <xdr:cNvSpPr/>
        </xdr:nvSpPr>
        <xdr:spPr>
          <a:xfrm>
            <a:off x="2116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Setup</a:t>
            </a:r>
            <a:endParaRPr lang="en-US" sz="1100" b="0">
              <a:solidFill>
                <a:schemeClr val="tx1">
                  <a:lumMod val="75000"/>
                  <a:lumOff val="25000"/>
                </a:schemeClr>
              </a:solidFill>
            </a:endParaRPr>
          </a:p>
        </xdr:txBody>
      </xdr:sp>
      <xdr:sp macro="" textlink="">
        <xdr:nvSpPr>
          <xdr:cNvPr id="4" name="Round Same Side Corner Rectangle 3">
            <a:hlinkClick xmlns:r="http://schemas.openxmlformats.org/officeDocument/2006/relationships" r:id="rId2"/>
          </xdr:cNvPr>
          <xdr:cNvSpPr/>
        </xdr:nvSpPr>
        <xdr:spPr>
          <a:xfrm>
            <a:off x="24214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Player</a:t>
            </a:r>
            <a:r>
              <a:rPr lang="en-US" sz="1200" b="0" baseline="0">
                <a:solidFill>
                  <a:schemeClr val="tx1">
                    <a:lumMod val="75000"/>
                    <a:lumOff val="25000"/>
                  </a:schemeClr>
                </a:solidFill>
              </a:rPr>
              <a:t> Scoreboard</a:t>
            </a:r>
            <a:endParaRPr lang="en-US" sz="1100" b="0">
              <a:solidFill>
                <a:schemeClr val="tx1">
                  <a:lumMod val="75000"/>
                  <a:lumOff val="25000"/>
                </a:schemeClr>
              </a:solidFill>
            </a:endParaRPr>
          </a:p>
        </xdr:txBody>
      </xdr:sp>
      <xdr:sp macro="" textlink="">
        <xdr:nvSpPr>
          <xdr:cNvPr id="5" name="Round Same Side Corner Rectangle 4">
            <a:hlinkClick xmlns:r="http://schemas.openxmlformats.org/officeDocument/2006/relationships" r:id="rId3"/>
          </xdr:cNvPr>
          <xdr:cNvSpPr/>
        </xdr:nvSpPr>
        <xdr:spPr>
          <a:xfrm>
            <a:off x="4631265" y="144777"/>
            <a:ext cx="2057400" cy="270087"/>
          </a:xfrm>
          <a:prstGeom prst="round2SameRect">
            <a:avLst/>
          </a:prstGeom>
          <a:solidFill>
            <a:schemeClr val="tx2">
              <a:lumMod val="75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solidFill>
                  <a:schemeClr val="bg1"/>
                </a:solidFill>
              </a:rPr>
              <a:t>Player</a:t>
            </a:r>
            <a:r>
              <a:rPr lang="en-US" sz="1200" b="1" baseline="0">
                <a:solidFill>
                  <a:schemeClr val="bg1"/>
                </a:solidFill>
              </a:rPr>
              <a:t> Leaderboard</a:t>
            </a:r>
            <a:endParaRPr lang="en-US" sz="1100" b="1">
              <a:solidFill>
                <a:schemeClr val="bg1"/>
              </a:solidFill>
            </a:endParaRPr>
          </a:p>
        </xdr:txBody>
      </xdr:sp>
      <xdr:sp macro="" textlink="">
        <xdr:nvSpPr>
          <xdr:cNvPr id="6" name="Round Same Side Corner Rectangle 5">
            <a:hlinkClick xmlns:r="http://schemas.openxmlformats.org/officeDocument/2006/relationships" r:id="rId4"/>
          </xdr:cNvPr>
          <xdr:cNvSpPr/>
        </xdr:nvSpPr>
        <xdr:spPr>
          <a:xfrm>
            <a:off x="68410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Matches</a:t>
            </a:r>
            <a:r>
              <a:rPr lang="en-US" sz="1200" b="0" baseline="0">
                <a:solidFill>
                  <a:schemeClr val="tx1">
                    <a:lumMod val="75000"/>
                    <a:lumOff val="25000"/>
                  </a:schemeClr>
                </a:solidFill>
              </a:rPr>
              <a:t> Schedule</a:t>
            </a:r>
            <a:endParaRPr lang="en-US" sz="1100" b="0">
              <a:solidFill>
                <a:schemeClr val="tx1">
                  <a:lumMod val="75000"/>
                  <a:lumOff val="25000"/>
                </a:schemeClr>
              </a:solidFill>
            </a:endParaRPr>
          </a:p>
        </xdr:txBody>
      </xdr:sp>
      <xdr:sp macro="" textlink="">
        <xdr:nvSpPr>
          <xdr:cNvPr id="7" name="Round Same Side Corner Rectangle 6">
            <a:hlinkClick xmlns:r="http://schemas.openxmlformats.org/officeDocument/2006/relationships" r:id="rId5"/>
          </xdr:cNvPr>
          <xdr:cNvSpPr/>
        </xdr:nvSpPr>
        <xdr:spPr>
          <a:xfrm>
            <a:off x="90508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About</a:t>
            </a:r>
            <a:endParaRPr lang="en-US" sz="1100" b="0">
              <a:solidFill>
                <a:schemeClr val="tx1">
                  <a:lumMod val="75000"/>
                  <a:lumOff val="25000"/>
                </a:schemeClr>
              </a:solidFill>
            </a:endParaRPr>
          </a:p>
        </xdr:txBody>
      </xdr:sp>
      <xdr:cxnSp macro="">
        <xdr:nvCxnSpPr>
          <xdr:cNvPr id="8" name="Straight Connector 7"/>
          <xdr:cNvCxnSpPr/>
        </xdr:nvCxnSpPr>
        <xdr:spPr>
          <a:xfrm>
            <a:off x="126999" y="414864"/>
            <a:ext cx="13716000" cy="0"/>
          </a:xfrm>
          <a:prstGeom prst="line">
            <a:avLst/>
          </a:prstGeom>
          <a:ln w="28575">
            <a:solidFill>
              <a:schemeClr val="tx2">
                <a:lumMod val="75000"/>
              </a:schemeClr>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209550</xdr:colOff>
      <xdr:row>2</xdr:row>
      <xdr:rowOff>60960</xdr:rowOff>
    </xdr:from>
    <xdr:to>
      <xdr:col>8</xdr:col>
      <xdr:colOff>369570</xdr:colOff>
      <xdr:row>3</xdr:row>
      <xdr:rowOff>121920</xdr:rowOff>
    </xdr:to>
    <xdr:sp macro="" textlink="">
      <xdr:nvSpPr>
        <xdr:cNvPr id="9" name="Rounded Rectangle 8">
          <a:hlinkClick xmlns:r="http://schemas.openxmlformats.org/officeDocument/2006/relationships" r:id="rId6"/>
        </xdr:cNvPr>
        <xdr:cNvSpPr/>
      </xdr:nvSpPr>
      <xdr:spPr>
        <a:xfrm>
          <a:off x="4621530" y="441960"/>
          <a:ext cx="2034540" cy="251460"/>
        </a:xfrm>
        <a:prstGeom prst="roundRect">
          <a:avLst/>
        </a:prstGeom>
        <a:solidFill>
          <a:schemeClr val="tx2">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a:solidFill>
                <a:schemeClr val="tx2">
                  <a:lumMod val="75000"/>
                </a:schemeClr>
              </a:solidFill>
            </a:rPr>
            <a:t>Group Stages</a:t>
          </a:r>
        </a:p>
      </xdr:txBody>
    </xdr:sp>
    <xdr:clientData/>
  </xdr:twoCellAnchor>
  <xdr:twoCellAnchor>
    <xdr:from>
      <xdr:col>8</xdr:col>
      <xdr:colOff>548640</xdr:colOff>
      <xdr:row>2</xdr:row>
      <xdr:rowOff>60960</xdr:rowOff>
    </xdr:from>
    <xdr:to>
      <xdr:col>12</xdr:col>
      <xdr:colOff>83820</xdr:colOff>
      <xdr:row>3</xdr:row>
      <xdr:rowOff>121920</xdr:rowOff>
    </xdr:to>
    <xdr:sp macro="" textlink="">
      <xdr:nvSpPr>
        <xdr:cNvPr id="10" name="Rounded Rectangle 9">
          <a:hlinkClick xmlns:r="http://schemas.openxmlformats.org/officeDocument/2006/relationships" r:id="rId7"/>
        </xdr:cNvPr>
        <xdr:cNvSpPr/>
      </xdr:nvSpPr>
      <xdr:spPr>
        <a:xfrm>
          <a:off x="6835140" y="441960"/>
          <a:ext cx="2034540" cy="251460"/>
        </a:xfrm>
        <a:prstGeom prst="roundRect">
          <a:avLst/>
        </a:prstGeom>
        <a:solidFill>
          <a:schemeClr val="accent1">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solidFill>
                <a:schemeClr val="bg1"/>
              </a:solidFill>
            </a:rPr>
            <a:t>Knock</a:t>
          </a:r>
          <a:r>
            <a:rPr lang="en-US" sz="1200" b="1" baseline="0">
              <a:solidFill>
                <a:schemeClr val="bg1"/>
              </a:solidFill>
            </a:rPr>
            <a:t> Out Stages</a:t>
          </a:r>
          <a:endParaRPr lang="en-US" sz="1200" b="1">
            <a:solidFill>
              <a:schemeClr val="bg1"/>
            </a:solidFill>
          </a:endParaRPr>
        </a:p>
      </xdr:txBody>
    </xdr:sp>
    <xdr:clientData/>
  </xdr:twoCellAnchor>
  <xdr:twoCellAnchor>
    <xdr:from>
      <xdr:col>2</xdr:col>
      <xdr:colOff>99060</xdr:colOff>
      <xdr:row>2</xdr:row>
      <xdr:rowOff>60960</xdr:rowOff>
    </xdr:from>
    <xdr:to>
      <xdr:col>5</xdr:col>
      <xdr:colOff>30480</xdr:colOff>
      <xdr:row>3</xdr:row>
      <xdr:rowOff>121920</xdr:rowOff>
    </xdr:to>
    <xdr:sp macro="" textlink="">
      <xdr:nvSpPr>
        <xdr:cNvPr id="11" name="Rounded Rectangle 10">
          <a:hlinkClick xmlns:r="http://schemas.openxmlformats.org/officeDocument/2006/relationships" r:id="rId8"/>
        </xdr:cNvPr>
        <xdr:cNvSpPr/>
      </xdr:nvSpPr>
      <xdr:spPr>
        <a:xfrm>
          <a:off x="2407920" y="441960"/>
          <a:ext cx="2034540" cy="251460"/>
        </a:xfrm>
        <a:prstGeom prst="roundRect">
          <a:avLst/>
        </a:prstGeom>
        <a:solidFill>
          <a:schemeClr val="tx2">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2">
                  <a:lumMod val="50000"/>
                </a:schemeClr>
              </a:solidFill>
            </a:rPr>
            <a:t>All Stages</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118538</xdr:colOff>
      <xdr:row>0</xdr:row>
      <xdr:rowOff>127005</xdr:rowOff>
    </xdr:from>
    <xdr:to>
      <xdr:col>29</xdr:col>
      <xdr:colOff>93138</xdr:colOff>
      <xdr:row>2</xdr:row>
      <xdr:rowOff>67739</xdr:rowOff>
    </xdr:to>
    <xdr:grpSp>
      <xdr:nvGrpSpPr>
        <xdr:cNvPr id="2" name="Group 1"/>
        <xdr:cNvGrpSpPr/>
      </xdr:nvGrpSpPr>
      <xdr:grpSpPr>
        <a:xfrm>
          <a:off x="118538" y="127005"/>
          <a:ext cx="11732260" cy="291254"/>
          <a:chOff x="127000" y="144777"/>
          <a:chExt cx="11768667" cy="270087"/>
        </a:xfrm>
      </xdr:grpSpPr>
      <xdr:sp macro="" textlink="">
        <xdr:nvSpPr>
          <xdr:cNvPr id="3" name="Round Same Side Corner Rectangle 2">
            <a:hlinkClick xmlns:r="http://schemas.openxmlformats.org/officeDocument/2006/relationships" r:id="rId1"/>
          </xdr:cNvPr>
          <xdr:cNvSpPr/>
        </xdr:nvSpPr>
        <xdr:spPr>
          <a:xfrm>
            <a:off x="2116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Setup</a:t>
            </a:r>
            <a:endParaRPr lang="en-US" sz="1100" b="0">
              <a:solidFill>
                <a:schemeClr val="tx1">
                  <a:lumMod val="75000"/>
                  <a:lumOff val="25000"/>
                </a:schemeClr>
              </a:solidFill>
            </a:endParaRPr>
          </a:p>
        </xdr:txBody>
      </xdr:sp>
      <xdr:sp macro="" textlink="">
        <xdr:nvSpPr>
          <xdr:cNvPr id="4" name="Round Same Side Corner Rectangle 3">
            <a:hlinkClick xmlns:r="http://schemas.openxmlformats.org/officeDocument/2006/relationships" r:id="rId2"/>
          </xdr:cNvPr>
          <xdr:cNvSpPr/>
        </xdr:nvSpPr>
        <xdr:spPr>
          <a:xfrm>
            <a:off x="24214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Player</a:t>
            </a:r>
            <a:r>
              <a:rPr lang="en-US" sz="1200" b="0" baseline="0">
                <a:solidFill>
                  <a:schemeClr val="tx1">
                    <a:lumMod val="75000"/>
                    <a:lumOff val="25000"/>
                  </a:schemeClr>
                </a:solidFill>
              </a:rPr>
              <a:t> Scoreboard</a:t>
            </a:r>
            <a:endParaRPr lang="en-US" sz="1100" b="0">
              <a:solidFill>
                <a:schemeClr val="tx1">
                  <a:lumMod val="75000"/>
                  <a:lumOff val="25000"/>
                </a:schemeClr>
              </a:solidFill>
            </a:endParaRPr>
          </a:p>
        </xdr:txBody>
      </xdr:sp>
      <xdr:sp macro="" textlink="">
        <xdr:nvSpPr>
          <xdr:cNvPr id="5" name="Round Same Side Corner Rectangle 4">
            <a:hlinkClick xmlns:r="http://schemas.openxmlformats.org/officeDocument/2006/relationships" r:id="rId3"/>
          </xdr:cNvPr>
          <xdr:cNvSpPr/>
        </xdr:nvSpPr>
        <xdr:spPr>
          <a:xfrm>
            <a:off x="46312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Player</a:t>
            </a:r>
            <a:r>
              <a:rPr lang="en-US" sz="1200" b="0" baseline="0">
                <a:solidFill>
                  <a:schemeClr val="tx1">
                    <a:lumMod val="75000"/>
                    <a:lumOff val="25000"/>
                  </a:schemeClr>
                </a:solidFill>
              </a:rPr>
              <a:t> Leaderboard</a:t>
            </a:r>
            <a:endParaRPr lang="en-US" sz="1100" b="0">
              <a:solidFill>
                <a:schemeClr val="tx1">
                  <a:lumMod val="75000"/>
                  <a:lumOff val="25000"/>
                </a:schemeClr>
              </a:solidFill>
            </a:endParaRPr>
          </a:p>
        </xdr:txBody>
      </xdr:sp>
      <xdr:sp macro="" textlink="">
        <xdr:nvSpPr>
          <xdr:cNvPr id="6" name="Round Same Side Corner Rectangle 5">
            <a:hlinkClick xmlns:r="http://schemas.openxmlformats.org/officeDocument/2006/relationships" r:id="rId4"/>
          </xdr:cNvPr>
          <xdr:cNvSpPr/>
        </xdr:nvSpPr>
        <xdr:spPr>
          <a:xfrm>
            <a:off x="6841065" y="144777"/>
            <a:ext cx="2057400" cy="270087"/>
          </a:xfrm>
          <a:prstGeom prst="round2SameRect">
            <a:avLst/>
          </a:prstGeom>
          <a:solidFill>
            <a:schemeClr val="tx2">
              <a:lumMod val="75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solidFill>
                  <a:schemeClr val="bg1"/>
                </a:solidFill>
              </a:rPr>
              <a:t>Matches</a:t>
            </a:r>
            <a:r>
              <a:rPr lang="en-US" sz="1200" b="1" baseline="0">
                <a:solidFill>
                  <a:schemeClr val="bg1"/>
                </a:solidFill>
              </a:rPr>
              <a:t> Schedule</a:t>
            </a:r>
            <a:endParaRPr lang="en-US" sz="1100" b="1">
              <a:solidFill>
                <a:schemeClr val="bg1"/>
              </a:solidFill>
            </a:endParaRPr>
          </a:p>
        </xdr:txBody>
      </xdr:sp>
      <xdr:sp macro="" textlink="">
        <xdr:nvSpPr>
          <xdr:cNvPr id="7" name="Round Same Side Corner Rectangle 6">
            <a:hlinkClick xmlns:r="http://schemas.openxmlformats.org/officeDocument/2006/relationships" r:id="rId5"/>
          </xdr:cNvPr>
          <xdr:cNvSpPr/>
        </xdr:nvSpPr>
        <xdr:spPr>
          <a:xfrm>
            <a:off x="90508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About</a:t>
            </a:r>
            <a:endParaRPr lang="en-US" sz="1100" b="0">
              <a:solidFill>
                <a:schemeClr val="tx1">
                  <a:lumMod val="75000"/>
                  <a:lumOff val="25000"/>
                </a:schemeClr>
              </a:solidFill>
            </a:endParaRPr>
          </a:p>
        </xdr:txBody>
      </xdr:sp>
      <xdr:cxnSp macro="">
        <xdr:nvCxnSpPr>
          <xdr:cNvPr id="8" name="Straight Connector 7"/>
          <xdr:cNvCxnSpPr/>
        </xdr:nvCxnSpPr>
        <xdr:spPr>
          <a:xfrm>
            <a:off x="127000" y="414864"/>
            <a:ext cx="11768667" cy="0"/>
          </a:xfrm>
          <a:prstGeom prst="line">
            <a:avLst/>
          </a:prstGeom>
          <a:ln w="28575">
            <a:solidFill>
              <a:schemeClr val="tx2">
                <a:lumMod val="75000"/>
              </a:schemeClr>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135467</xdr:colOff>
      <xdr:row>0</xdr:row>
      <xdr:rowOff>127843</xdr:rowOff>
    </xdr:from>
    <xdr:to>
      <xdr:col>31</xdr:col>
      <xdr:colOff>8467</xdr:colOff>
      <xdr:row>2</xdr:row>
      <xdr:rowOff>843</xdr:rowOff>
    </xdr:to>
    <xdr:grpSp>
      <xdr:nvGrpSpPr>
        <xdr:cNvPr id="9" name="Group 8"/>
        <xdr:cNvGrpSpPr/>
      </xdr:nvGrpSpPr>
      <xdr:grpSpPr>
        <a:xfrm>
          <a:off x="135467" y="127843"/>
          <a:ext cx="11775440" cy="254000"/>
          <a:chOff x="127000" y="144777"/>
          <a:chExt cx="11768667" cy="270087"/>
        </a:xfrm>
      </xdr:grpSpPr>
      <xdr:sp macro="" textlink="">
        <xdr:nvSpPr>
          <xdr:cNvPr id="2" name="Round Same Side Corner Rectangle 1">
            <a:hlinkClick xmlns:r="http://schemas.openxmlformats.org/officeDocument/2006/relationships" r:id="rId1"/>
          </xdr:cNvPr>
          <xdr:cNvSpPr/>
        </xdr:nvSpPr>
        <xdr:spPr>
          <a:xfrm>
            <a:off x="2116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Setup</a:t>
            </a:r>
            <a:endParaRPr lang="en-US" sz="1100" b="0">
              <a:solidFill>
                <a:schemeClr val="tx1">
                  <a:lumMod val="75000"/>
                  <a:lumOff val="25000"/>
                </a:schemeClr>
              </a:solidFill>
            </a:endParaRPr>
          </a:p>
        </xdr:txBody>
      </xdr:sp>
      <xdr:sp macro="" textlink="">
        <xdr:nvSpPr>
          <xdr:cNvPr id="3" name="Round Same Side Corner Rectangle 2">
            <a:hlinkClick xmlns:r="http://schemas.openxmlformats.org/officeDocument/2006/relationships" r:id="rId2"/>
          </xdr:cNvPr>
          <xdr:cNvSpPr/>
        </xdr:nvSpPr>
        <xdr:spPr>
          <a:xfrm>
            <a:off x="24214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Player</a:t>
            </a:r>
            <a:r>
              <a:rPr lang="en-US" sz="1200" b="0" baseline="0">
                <a:solidFill>
                  <a:schemeClr val="tx1">
                    <a:lumMod val="75000"/>
                    <a:lumOff val="25000"/>
                  </a:schemeClr>
                </a:solidFill>
              </a:rPr>
              <a:t> Scoreboard</a:t>
            </a:r>
            <a:endParaRPr lang="en-US" sz="1100" b="0">
              <a:solidFill>
                <a:schemeClr val="tx1">
                  <a:lumMod val="75000"/>
                  <a:lumOff val="25000"/>
                </a:schemeClr>
              </a:solidFill>
            </a:endParaRPr>
          </a:p>
        </xdr:txBody>
      </xdr:sp>
      <xdr:sp macro="" textlink="">
        <xdr:nvSpPr>
          <xdr:cNvPr id="4" name="Round Same Side Corner Rectangle 3">
            <a:hlinkClick xmlns:r="http://schemas.openxmlformats.org/officeDocument/2006/relationships" r:id="rId3"/>
          </xdr:cNvPr>
          <xdr:cNvSpPr/>
        </xdr:nvSpPr>
        <xdr:spPr>
          <a:xfrm>
            <a:off x="46312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Player</a:t>
            </a:r>
            <a:r>
              <a:rPr lang="en-US" sz="1200" b="0" baseline="0">
                <a:solidFill>
                  <a:schemeClr val="tx1">
                    <a:lumMod val="75000"/>
                    <a:lumOff val="25000"/>
                  </a:schemeClr>
                </a:solidFill>
              </a:rPr>
              <a:t> Leaderboard</a:t>
            </a:r>
            <a:endParaRPr lang="en-US" sz="1100" b="0">
              <a:solidFill>
                <a:schemeClr val="tx1">
                  <a:lumMod val="75000"/>
                  <a:lumOff val="25000"/>
                </a:schemeClr>
              </a:solidFill>
            </a:endParaRPr>
          </a:p>
        </xdr:txBody>
      </xdr:sp>
      <xdr:sp macro="" textlink="">
        <xdr:nvSpPr>
          <xdr:cNvPr id="5" name="Round Same Side Corner Rectangle 4">
            <a:hlinkClick xmlns:r="http://schemas.openxmlformats.org/officeDocument/2006/relationships" r:id="rId4"/>
          </xdr:cNvPr>
          <xdr:cNvSpPr/>
        </xdr:nvSpPr>
        <xdr:spPr>
          <a:xfrm>
            <a:off x="68410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Matches</a:t>
            </a:r>
            <a:r>
              <a:rPr lang="en-US" sz="1200" b="0" baseline="0">
                <a:solidFill>
                  <a:schemeClr val="tx1">
                    <a:lumMod val="75000"/>
                    <a:lumOff val="25000"/>
                  </a:schemeClr>
                </a:solidFill>
              </a:rPr>
              <a:t> Schedule</a:t>
            </a:r>
            <a:endParaRPr lang="en-US" sz="1100" b="0">
              <a:solidFill>
                <a:schemeClr val="tx1">
                  <a:lumMod val="75000"/>
                  <a:lumOff val="25000"/>
                </a:schemeClr>
              </a:solidFill>
            </a:endParaRPr>
          </a:p>
        </xdr:txBody>
      </xdr:sp>
      <xdr:sp macro="" textlink="">
        <xdr:nvSpPr>
          <xdr:cNvPr id="6" name="Round Same Side Corner Rectangle 5">
            <a:hlinkClick xmlns:r="http://schemas.openxmlformats.org/officeDocument/2006/relationships" r:id="rId5"/>
          </xdr:cNvPr>
          <xdr:cNvSpPr/>
        </xdr:nvSpPr>
        <xdr:spPr>
          <a:xfrm>
            <a:off x="90508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About</a:t>
            </a:r>
            <a:endParaRPr lang="en-US" sz="1100" b="0">
              <a:solidFill>
                <a:schemeClr val="tx1">
                  <a:lumMod val="75000"/>
                  <a:lumOff val="25000"/>
                </a:schemeClr>
              </a:solidFill>
            </a:endParaRPr>
          </a:p>
        </xdr:txBody>
      </xdr:sp>
      <xdr:cxnSp macro="">
        <xdr:nvCxnSpPr>
          <xdr:cNvPr id="8" name="Straight Connector 7"/>
          <xdr:cNvCxnSpPr/>
        </xdr:nvCxnSpPr>
        <xdr:spPr>
          <a:xfrm>
            <a:off x="127000" y="414864"/>
            <a:ext cx="11768667" cy="0"/>
          </a:xfrm>
          <a:prstGeom prst="line">
            <a:avLst/>
          </a:prstGeom>
          <a:ln w="28575">
            <a:solidFill>
              <a:schemeClr val="tx2">
                <a:lumMod val="75000"/>
              </a:schemeClr>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135467</xdr:colOff>
      <xdr:row>0</xdr:row>
      <xdr:rowOff>127843</xdr:rowOff>
    </xdr:from>
    <xdr:to>
      <xdr:col>31</xdr:col>
      <xdr:colOff>8467</xdr:colOff>
      <xdr:row>2</xdr:row>
      <xdr:rowOff>843</xdr:rowOff>
    </xdr:to>
    <xdr:grpSp>
      <xdr:nvGrpSpPr>
        <xdr:cNvPr id="2" name="Group 1"/>
        <xdr:cNvGrpSpPr/>
      </xdr:nvGrpSpPr>
      <xdr:grpSpPr>
        <a:xfrm>
          <a:off x="135467" y="127843"/>
          <a:ext cx="11775440" cy="254000"/>
          <a:chOff x="127000" y="144777"/>
          <a:chExt cx="11768667" cy="270087"/>
        </a:xfrm>
      </xdr:grpSpPr>
      <xdr:sp macro="" textlink="">
        <xdr:nvSpPr>
          <xdr:cNvPr id="3" name="Round Same Side Corner Rectangle 2">
            <a:hlinkClick xmlns:r="http://schemas.openxmlformats.org/officeDocument/2006/relationships" r:id="rId1"/>
          </xdr:cNvPr>
          <xdr:cNvSpPr/>
        </xdr:nvSpPr>
        <xdr:spPr>
          <a:xfrm>
            <a:off x="2116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Setup</a:t>
            </a:r>
            <a:endParaRPr lang="en-US" sz="1100" b="0">
              <a:solidFill>
                <a:schemeClr val="tx1">
                  <a:lumMod val="75000"/>
                  <a:lumOff val="25000"/>
                </a:schemeClr>
              </a:solidFill>
            </a:endParaRPr>
          </a:p>
        </xdr:txBody>
      </xdr:sp>
      <xdr:sp macro="" textlink="">
        <xdr:nvSpPr>
          <xdr:cNvPr id="4" name="Round Same Side Corner Rectangle 3">
            <a:hlinkClick xmlns:r="http://schemas.openxmlformats.org/officeDocument/2006/relationships" r:id="rId2"/>
          </xdr:cNvPr>
          <xdr:cNvSpPr/>
        </xdr:nvSpPr>
        <xdr:spPr>
          <a:xfrm>
            <a:off x="24214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Player</a:t>
            </a:r>
            <a:r>
              <a:rPr lang="en-US" sz="1200" b="0" baseline="0">
                <a:solidFill>
                  <a:schemeClr val="tx1">
                    <a:lumMod val="75000"/>
                    <a:lumOff val="25000"/>
                  </a:schemeClr>
                </a:solidFill>
              </a:rPr>
              <a:t> Scoreboard</a:t>
            </a:r>
            <a:endParaRPr lang="en-US" sz="1100" b="0">
              <a:solidFill>
                <a:schemeClr val="tx1">
                  <a:lumMod val="75000"/>
                  <a:lumOff val="25000"/>
                </a:schemeClr>
              </a:solidFill>
            </a:endParaRPr>
          </a:p>
        </xdr:txBody>
      </xdr:sp>
      <xdr:sp macro="" textlink="">
        <xdr:nvSpPr>
          <xdr:cNvPr id="5" name="Round Same Side Corner Rectangle 4">
            <a:hlinkClick xmlns:r="http://schemas.openxmlformats.org/officeDocument/2006/relationships" r:id="rId3"/>
          </xdr:cNvPr>
          <xdr:cNvSpPr/>
        </xdr:nvSpPr>
        <xdr:spPr>
          <a:xfrm>
            <a:off x="46312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Player</a:t>
            </a:r>
            <a:r>
              <a:rPr lang="en-US" sz="1200" b="0" baseline="0">
                <a:solidFill>
                  <a:schemeClr val="tx1">
                    <a:lumMod val="75000"/>
                    <a:lumOff val="25000"/>
                  </a:schemeClr>
                </a:solidFill>
              </a:rPr>
              <a:t> Leaderboard</a:t>
            </a:r>
            <a:endParaRPr lang="en-US" sz="1100" b="0">
              <a:solidFill>
                <a:schemeClr val="tx1">
                  <a:lumMod val="75000"/>
                  <a:lumOff val="25000"/>
                </a:schemeClr>
              </a:solidFill>
            </a:endParaRPr>
          </a:p>
        </xdr:txBody>
      </xdr:sp>
      <xdr:sp macro="" textlink="">
        <xdr:nvSpPr>
          <xdr:cNvPr id="6" name="Round Same Side Corner Rectangle 5">
            <a:hlinkClick xmlns:r="http://schemas.openxmlformats.org/officeDocument/2006/relationships" r:id="rId4"/>
          </xdr:cNvPr>
          <xdr:cNvSpPr/>
        </xdr:nvSpPr>
        <xdr:spPr>
          <a:xfrm>
            <a:off x="68410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Matches</a:t>
            </a:r>
            <a:r>
              <a:rPr lang="en-US" sz="1200" b="0" baseline="0">
                <a:solidFill>
                  <a:schemeClr val="tx1">
                    <a:lumMod val="75000"/>
                    <a:lumOff val="25000"/>
                  </a:schemeClr>
                </a:solidFill>
              </a:rPr>
              <a:t> Schedule</a:t>
            </a:r>
            <a:endParaRPr lang="en-US" sz="1100" b="0">
              <a:solidFill>
                <a:schemeClr val="tx1">
                  <a:lumMod val="75000"/>
                  <a:lumOff val="25000"/>
                </a:schemeClr>
              </a:solidFill>
            </a:endParaRPr>
          </a:p>
        </xdr:txBody>
      </xdr:sp>
      <xdr:sp macro="" textlink="">
        <xdr:nvSpPr>
          <xdr:cNvPr id="7" name="Round Same Side Corner Rectangle 6">
            <a:hlinkClick xmlns:r="http://schemas.openxmlformats.org/officeDocument/2006/relationships" r:id="rId5"/>
          </xdr:cNvPr>
          <xdr:cNvSpPr/>
        </xdr:nvSpPr>
        <xdr:spPr>
          <a:xfrm>
            <a:off x="90508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About</a:t>
            </a:r>
            <a:endParaRPr lang="en-US" sz="1100" b="0">
              <a:solidFill>
                <a:schemeClr val="tx1">
                  <a:lumMod val="75000"/>
                  <a:lumOff val="25000"/>
                </a:schemeClr>
              </a:solidFill>
            </a:endParaRPr>
          </a:p>
        </xdr:txBody>
      </xdr:sp>
      <xdr:cxnSp macro="">
        <xdr:nvCxnSpPr>
          <xdr:cNvPr id="8" name="Straight Connector 7"/>
          <xdr:cNvCxnSpPr/>
        </xdr:nvCxnSpPr>
        <xdr:spPr>
          <a:xfrm>
            <a:off x="127000" y="414864"/>
            <a:ext cx="11768667" cy="0"/>
          </a:xfrm>
          <a:prstGeom prst="line">
            <a:avLst/>
          </a:prstGeom>
          <a:ln w="28575">
            <a:solidFill>
              <a:schemeClr val="tx2">
                <a:lumMod val="75000"/>
              </a:schemeClr>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135467</xdr:colOff>
      <xdr:row>0</xdr:row>
      <xdr:rowOff>127843</xdr:rowOff>
    </xdr:from>
    <xdr:to>
      <xdr:col>31</xdr:col>
      <xdr:colOff>8467</xdr:colOff>
      <xdr:row>2</xdr:row>
      <xdr:rowOff>843</xdr:rowOff>
    </xdr:to>
    <xdr:grpSp>
      <xdr:nvGrpSpPr>
        <xdr:cNvPr id="2" name="Group 1"/>
        <xdr:cNvGrpSpPr/>
      </xdr:nvGrpSpPr>
      <xdr:grpSpPr>
        <a:xfrm>
          <a:off x="135467" y="127843"/>
          <a:ext cx="11775440" cy="254000"/>
          <a:chOff x="127000" y="144777"/>
          <a:chExt cx="11768667" cy="270087"/>
        </a:xfrm>
      </xdr:grpSpPr>
      <xdr:sp macro="" textlink="">
        <xdr:nvSpPr>
          <xdr:cNvPr id="3" name="Round Same Side Corner Rectangle 2">
            <a:hlinkClick xmlns:r="http://schemas.openxmlformats.org/officeDocument/2006/relationships" r:id="rId1"/>
          </xdr:cNvPr>
          <xdr:cNvSpPr/>
        </xdr:nvSpPr>
        <xdr:spPr>
          <a:xfrm>
            <a:off x="2116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Setup</a:t>
            </a:r>
            <a:endParaRPr lang="en-US" sz="1100" b="0">
              <a:solidFill>
                <a:schemeClr val="tx1">
                  <a:lumMod val="75000"/>
                  <a:lumOff val="25000"/>
                </a:schemeClr>
              </a:solidFill>
            </a:endParaRPr>
          </a:p>
        </xdr:txBody>
      </xdr:sp>
      <xdr:sp macro="" textlink="">
        <xdr:nvSpPr>
          <xdr:cNvPr id="4" name="Round Same Side Corner Rectangle 3">
            <a:hlinkClick xmlns:r="http://schemas.openxmlformats.org/officeDocument/2006/relationships" r:id="rId2"/>
          </xdr:cNvPr>
          <xdr:cNvSpPr/>
        </xdr:nvSpPr>
        <xdr:spPr>
          <a:xfrm>
            <a:off x="24214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Player</a:t>
            </a:r>
            <a:r>
              <a:rPr lang="en-US" sz="1200" b="0" baseline="0">
                <a:solidFill>
                  <a:schemeClr val="tx1">
                    <a:lumMod val="75000"/>
                    <a:lumOff val="25000"/>
                  </a:schemeClr>
                </a:solidFill>
              </a:rPr>
              <a:t> Scoreboard</a:t>
            </a:r>
            <a:endParaRPr lang="en-US" sz="1100" b="0">
              <a:solidFill>
                <a:schemeClr val="tx1">
                  <a:lumMod val="75000"/>
                  <a:lumOff val="25000"/>
                </a:schemeClr>
              </a:solidFill>
            </a:endParaRPr>
          </a:p>
        </xdr:txBody>
      </xdr:sp>
      <xdr:sp macro="" textlink="">
        <xdr:nvSpPr>
          <xdr:cNvPr id="5" name="Round Same Side Corner Rectangle 4">
            <a:hlinkClick xmlns:r="http://schemas.openxmlformats.org/officeDocument/2006/relationships" r:id="rId3"/>
          </xdr:cNvPr>
          <xdr:cNvSpPr/>
        </xdr:nvSpPr>
        <xdr:spPr>
          <a:xfrm>
            <a:off x="46312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Player</a:t>
            </a:r>
            <a:r>
              <a:rPr lang="en-US" sz="1200" b="0" baseline="0">
                <a:solidFill>
                  <a:schemeClr val="tx1">
                    <a:lumMod val="75000"/>
                    <a:lumOff val="25000"/>
                  </a:schemeClr>
                </a:solidFill>
              </a:rPr>
              <a:t> Leaderboard</a:t>
            </a:r>
            <a:endParaRPr lang="en-US" sz="1100" b="0">
              <a:solidFill>
                <a:schemeClr val="tx1">
                  <a:lumMod val="75000"/>
                  <a:lumOff val="25000"/>
                </a:schemeClr>
              </a:solidFill>
            </a:endParaRPr>
          </a:p>
        </xdr:txBody>
      </xdr:sp>
      <xdr:sp macro="" textlink="">
        <xdr:nvSpPr>
          <xdr:cNvPr id="6" name="Round Same Side Corner Rectangle 5">
            <a:hlinkClick xmlns:r="http://schemas.openxmlformats.org/officeDocument/2006/relationships" r:id="rId4"/>
          </xdr:cNvPr>
          <xdr:cNvSpPr/>
        </xdr:nvSpPr>
        <xdr:spPr>
          <a:xfrm>
            <a:off x="68410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Matches</a:t>
            </a:r>
            <a:r>
              <a:rPr lang="en-US" sz="1200" b="0" baseline="0">
                <a:solidFill>
                  <a:schemeClr val="tx1">
                    <a:lumMod val="75000"/>
                    <a:lumOff val="25000"/>
                  </a:schemeClr>
                </a:solidFill>
              </a:rPr>
              <a:t> Schedule</a:t>
            </a:r>
            <a:endParaRPr lang="en-US" sz="1100" b="0">
              <a:solidFill>
                <a:schemeClr val="tx1">
                  <a:lumMod val="75000"/>
                  <a:lumOff val="25000"/>
                </a:schemeClr>
              </a:solidFill>
            </a:endParaRPr>
          </a:p>
        </xdr:txBody>
      </xdr:sp>
      <xdr:sp macro="" textlink="">
        <xdr:nvSpPr>
          <xdr:cNvPr id="7" name="Round Same Side Corner Rectangle 6">
            <a:hlinkClick xmlns:r="http://schemas.openxmlformats.org/officeDocument/2006/relationships" r:id="rId5"/>
          </xdr:cNvPr>
          <xdr:cNvSpPr/>
        </xdr:nvSpPr>
        <xdr:spPr>
          <a:xfrm>
            <a:off x="90508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About</a:t>
            </a:r>
            <a:endParaRPr lang="en-US" sz="1100" b="0">
              <a:solidFill>
                <a:schemeClr val="tx1">
                  <a:lumMod val="75000"/>
                  <a:lumOff val="25000"/>
                </a:schemeClr>
              </a:solidFill>
            </a:endParaRPr>
          </a:p>
        </xdr:txBody>
      </xdr:sp>
      <xdr:cxnSp macro="">
        <xdr:nvCxnSpPr>
          <xdr:cNvPr id="8" name="Straight Connector 7"/>
          <xdr:cNvCxnSpPr/>
        </xdr:nvCxnSpPr>
        <xdr:spPr>
          <a:xfrm>
            <a:off x="127000" y="414864"/>
            <a:ext cx="11768667" cy="0"/>
          </a:xfrm>
          <a:prstGeom prst="line">
            <a:avLst/>
          </a:prstGeom>
          <a:ln w="28575">
            <a:solidFill>
              <a:schemeClr val="tx2">
                <a:lumMod val="75000"/>
              </a:schemeClr>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135467</xdr:colOff>
      <xdr:row>0</xdr:row>
      <xdr:rowOff>127843</xdr:rowOff>
    </xdr:from>
    <xdr:to>
      <xdr:col>31</xdr:col>
      <xdr:colOff>8467</xdr:colOff>
      <xdr:row>2</xdr:row>
      <xdr:rowOff>843</xdr:rowOff>
    </xdr:to>
    <xdr:grpSp>
      <xdr:nvGrpSpPr>
        <xdr:cNvPr id="2" name="Group 1"/>
        <xdr:cNvGrpSpPr/>
      </xdr:nvGrpSpPr>
      <xdr:grpSpPr>
        <a:xfrm>
          <a:off x="135467" y="127843"/>
          <a:ext cx="11775440" cy="254000"/>
          <a:chOff x="127000" y="144777"/>
          <a:chExt cx="11768667" cy="270087"/>
        </a:xfrm>
      </xdr:grpSpPr>
      <xdr:sp macro="" textlink="">
        <xdr:nvSpPr>
          <xdr:cNvPr id="3" name="Round Same Side Corner Rectangle 2">
            <a:hlinkClick xmlns:r="http://schemas.openxmlformats.org/officeDocument/2006/relationships" r:id="rId1"/>
          </xdr:cNvPr>
          <xdr:cNvSpPr/>
        </xdr:nvSpPr>
        <xdr:spPr>
          <a:xfrm>
            <a:off x="2116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Setup</a:t>
            </a:r>
            <a:endParaRPr lang="en-US" sz="1100" b="0">
              <a:solidFill>
                <a:schemeClr val="tx1">
                  <a:lumMod val="75000"/>
                  <a:lumOff val="25000"/>
                </a:schemeClr>
              </a:solidFill>
            </a:endParaRPr>
          </a:p>
        </xdr:txBody>
      </xdr:sp>
      <xdr:sp macro="" textlink="">
        <xdr:nvSpPr>
          <xdr:cNvPr id="4" name="Round Same Side Corner Rectangle 3">
            <a:hlinkClick xmlns:r="http://schemas.openxmlformats.org/officeDocument/2006/relationships" r:id="rId2"/>
          </xdr:cNvPr>
          <xdr:cNvSpPr/>
        </xdr:nvSpPr>
        <xdr:spPr>
          <a:xfrm>
            <a:off x="24214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Player</a:t>
            </a:r>
            <a:r>
              <a:rPr lang="en-US" sz="1200" b="0" baseline="0">
                <a:solidFill>
                  <a:schemeClr val="tx1">
                    <a:lumMod val="75000"/>
                    <a:lumOff val="25000"/>
                  </a:schemeClr>
                </a:solidFill>
              </a:rPr>
              <a:t> Scoreboard</a:t>
            </a:r>
            <a:endParaRPr lang="en-US" sz="1100" b="0">
              <a:solidFill>
                <a:schemeClr val="tx1">
                  <a:lumMod val="75000"/>
                  <a:lumOff val="25000"/>
                </a:schemeClr>
              </a:solidFill>
            </a:endParaRPr>
          </a:p>
        </xdr:txBody>
      </xdr:sp>
      <xdr:sp macro="" textlink="">
        <xdr:nvSpPr>
          <xdr:cNvPr id="5" name="Round Same Side Corner Rectangle 4">
            <a:hlinkClick xmlns:r="http://schemas.openxmlformats.org/officeDocument/2006/relationships" r:id="rId3"/>
          </xdr:cNvPr>
          <xdr:cNvSpPr/>
        </xdr:nvSpPr>
        <xdr:spPr>
          <a:xfrm>
            <a:off x="46312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Player</a:t>
            </a:r>
            <a:r>
              <a:rPr lang="en-US" sz="1200" b="0" baseline="0">
                <a:solidFill>
                  <a:schemeClr val="tx1">
                    <a:lumMod val="75000"/>
                    <a:lumOff val="25000"/>
                  </a:schemeClr>
                </a:solidFill>
              </a:rPr>
              <a:t> Leaderboard</a:t>
            </a:r>
            <a:endParaRPr lang="en-US" sz="1100" b="0">
              <a:solidFill>
                <a:schemeClr val="tx1">
                  <a:lumMod val="75000"/>
                  <a:lumOff val="25000"/>
                </a:schemeClr>
              </a:solidFill>
            </a:endParaRPr>
          </a:p>
        </xdr:txBody>
      </xdr:sp>
      <xdr:sp macro="" textlink="">
        <xdr:nvSpPr>
          <xdr:cNvPr id="6" name="Round Same Side Corner Rectangle 5">
            <a:hlinkClick xmlns:r="http://schemas.openxmlformats.org/officeDocument/2006/relationships" r:id="rId4"/>
          </xdr:cNvPr>
          <xdr:cNvSpPr/>
        </xdr:nvSpPr>
        <xdr:spPr>
          <a:xfrm>
            <a:off x="68410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Matches</a:t>
            </a:r>
            <a:r>
              <a:rPr lang="en-US" sz="1200" b="0" baseline="0">
                <a:solidFill>
                  <a:schemeClr val="tx1">
                    <a:lumMod val="75000"/>
                    <a:lumOff val="25000"/>
                  </a:schemeClr>
                </a:solidFill>
              </a:rPr>
              <a:t> Schedule</a:t>
            </a:r>
            <a:endParaRPr lang="en-US" sz="1100" b="0">
              <a:solidFill>
                <a:schemeClr val="tx1">
                  <a:lumMod val="75000"/>
                  <a:lumOff val="25000"/>
                </a:schemeClr>
              </a:solidFill>
            </a:endParaRPr>
          </a:p>
        </xdr:txBody>
      </xdr:sp>
      <xdr:sp macro="" textlink="">
        <xdr:nvSpPr>
          <xdr:cNvPr id="7" name="Round Same Side Corner Rectangle 6">
            <a:hlinkClick xmlns:r="http://schemas.openxmlformats.org/officeDocument/2006/relationships" r:id="rId5"/>
          </xdr:cNvPr>
          <xdr:cNvSpPr/>
        </xdr:nvSpPr>
        <xdr:spPr>
          <a:xfrm>
            <a:off x="90508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About</a:t>
            </a:r>
            <a:endParaRPr lang="en-US" sz="1100" b="0">
              <a:solidFill>
                <a:schemeClr val="tx1">
                  <a:lumMod val="75000"/>
                  <a:lumOff val="25000"/>
                </a:schemeClr>
              </a:solidFill>
            </a:endParaRPr>
          </a:p>
        </xdr:txBody>
      </xdr:sp>
      <xdr:cxnSp macro="">
        <xdr:nvCxnSpPr>
          <xdr:cNvPr id="8" name="Straight Connector 7"/>
          <xdr:cNvCxnSpPr/>
        </xdr:nvCxnSpPr>
        <xdr:spPr>
          <a:xfrm>
            <a:off x="127000" y="414864"/>
            <a:ext cx="11768667" cy="0"/>
          </a:xfrm>
          <a:prstGeom prst="line">
            <a:avLst/>
          </a:prstGeom>
          <a:ln w="28575">
            <a:solidFill>
              <a:schemeClr val="tx2">
                <a:lumMod val="75000"/>
              </a:schemeClr>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135467</xdr:colOff>
      <xdr:row>0</xdr:row>
      <xdr:rowOff>127843</xdr:rowOff>
    </xdr:from>
    <xdr:to>
      <xdr:col>31</xdr:col>
      <xdr:colOff>8467</xdr:colOff>
      <xdr:row>2</xdr:row>
      <xdr:rowOff>843</xdr:rowOff>
    </xdr:to>
    <xdr:grpSp>
      <xdr:nvGrpSpPr>
        <xdr:cNvPr id="2" name="Group 1"/>
        <xdr:cNvGrpSpPr/>
      </xdr:nvGrpSpPr>
      <xdr:grpSpPr>
        <a:xfrm>
          <a:off x="135467" y="127843"/>
          <a:ext cx="11775440" cy="254000"/>
          <a:chOff x="127000" y="144777"/>
          <a:chExt cx="11768667" cy="270087"/>
        </a:xfrm>
      </xdr:grpSpPr>
      <xdr:sp macro="" textlink="">
        <xdr:nvSpPr>
          <xdr:cNvPr id="3" name="Round Same Side Corner Rectangle 2">
            <a:hlinkClick xmlns:r="http://schemas.openxmlformats.org/officeDocument/2006/relationships" r:id="rId1"/>
          </xdr:cNvPr>
          <xdr:cNvSpPr/>
        </xdr:nvSpPr>
        <xdr:spPr>
          <a:xfrm>
            <a:off x="2116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Setup</a:t>
            </a:r>
            <a:endParaRPr lang="en-US" sz="1100" b="0">
              <a:solidFill>
                <a:schemeClr val="tx1">
                  <a:lumMod val="75000"/>
                  <a:lumOff val="25000"/>
                </a:schemeClr>
              </a:solidFill>
            </a:endParaRPr>
          </a:p>
        </xdr:txBody>
      </xdr:sp>
      <xdr:sp macro="" textlink="">
        <xdr:nvSpPr>
          <xdr:cNvPr id="4" name="Round Same Side Corner Rectangle 3">
            <a:hlinkClick xmlns:r="http://schemas.openxmlformats.org/officeDocument/2006/relationships" r:id="rId2"/>
          </xdr:cNvPr>
          <xdr:cNvSpPr/>
        </xdr:nvSpPr>
        <xdr:spPr>
          <a:xfrm>
            <a:off x="24214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Player</a:t>
            </a:r>
            <a:r>
              <a:rPr lang="en-US" sz="1200" b="0" baseline="0">
                <a:solidFill>
                  <a:schemeClr val="tx1">
                    <a:lumMod val="75000"/>
                    <a:lumOff val="25000"/>
                  </a:schemeClr>
                </a:solidFill>
              </a:rPr>
              <a:t> Scoreboard</a:t>
            </a:r>
            <a:endParaRPr lang="en-US" sz="1100" b="0">
              <a:solidFill>
                <a:schemeClr val="tx1">
                  <a:lumMod val="75000"/>
                  <a:lumOff val="25000"/>
                </a:schemeClr>
              </a:solidFill>
            </a:endParaRPr>
          </a:p>
        </xdr:txBody>
      </xdr:sp>
      <xdr:sp macro="" textlink="">
        <xdr:nvSpPr>
          <xdr:cNvPr id="5" name="Round Same Side Corner Rectangle 4">
            <a:hlinkClick xmlns:r="http://schemas.openxmlformats.org/officeDocument/2006/relationships" r:id="rId3"/>
          </xdr:cNvPr>
          <xdr:cNvSpPr/>
        </xdr:nvSpPr>
        <xdr:spPr>
          <a:xfrm>
            <a:off x="46312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Player</a:t>
            </a:r>
            <a:r>
              <a:rPr lang="en-US" sz="1200" b="0" baseline="0">
                <a:solidFill>
                  <a:schemeClr val="tx1">
                    <a:lumMod val="75000"/>
                    <a:lumOff val="25000"/>
                  </a:schemeClr>
                </a:solidFill>
              </a:rPr>
              <a:t> Leaderboard</a:t>
            </a:r>
            <a:endParaRPr lang="en-US" sz="1100" b="0">
              <a:solidFill>
                <a:schemeClr val="tx1">
                  <a:lumMod val="75000"/>
                  <a:lumOff val="25000"/>
                </a:schemeClr>
              </a:solidFill>
            </a:endParaRPr>
          </a:p>
        </xdr:txBody>
      </xdr:sp>
      <xdr:sp macro="" textlink="">
        <xdr:nvSpPr>
          <xdr:cNvPr id="6" name="Round Same Side Corner Rectangle 5">
            <a:hlinkClick xmlns:r="http://schemas.openxmlformats.org/officeDocument/2006/relationships" r:id="rId4"/>
          </xdr:cNvPr>
          <xdr:cNvSpPr/>
        </xdr:nvSpPr>
        <xdr:spPr>
          <a:xfrm>
            <a:off x="68410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Matches</a:t>
            </a:r>
            <a:r>
              <a:rPr lang="en-US" sz="1200" b="0" baseline="0">
                <a:solidFill>
                  <a:schemeClr val="tx1">
                    <a:lumMod val="75000"/>
                    <a:lumOff val="25000"/>
                  </a:schemeClr>
                </a:solidFill>
              </a:rPr>
              <a:t> Schedule</a:t>
            </a:r>
            <a:endParaRPr lang="en-US" sz="1100" b="0">
              <a:solidFill>
                <a:schemeClr val="tx1">
                  <a:lumMod val="75000"/>
                  <a:lumOff val="25000"/>
                </a:schemeClr>
              </a:solidFill>
            </a:endParaRPr>
          </a:p>
        </xdr:txBody>
      </xdr:sp>
      <xdr:sp macro="" textlink="">
        <xdr:nvSpPr>
          <xdr:cNvPr id="7" name="Round Same Side Corner Rectangle 6">
            <a:hlinkClick xmlns:r="http://schemas.openxmlformats.org/officeDocument/2006/relationships" r:id="rId5"/>
          </xdr:cNvPr>
          <xdr:cNvSpPr/>
        </xdr:nvSpPr>
        <xdr:spPr>
          <a:xfrm>
            <a:off x="90508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About</a:t>
            </a:r>
            <a:endParaRPr lang="en-US" sz="1100" b="0">
              <a:solidFill>
                <a:schemeClr val="tx1">
                  <a:lumMod val="75000"/>
                  <a:lumOff val="25000"/>
                </a:schemeClr>
              </a:solidFill>
            </a:endParaRPr>
          </a:p>
        </xdr:txBody>
      </xdr:sp>
      <xdr:cxnSp macro="">
        <xdr:nvCxnSpPr>
          <xdr:cNvPr id="8" name="Straight Connector 7"/>
          <xdr:cNvCxnSpPr/>
        </xdr:nvCxnSpPr>
        <xdr:spPr>
          <a:xfrm>
            <a:off x="127000" y="414864"/>
            <a:ext cx="11768667" cy="0"/>
          </a:xfrm>
          <a:prstGeom prst="line">
            <a:avLst/>
          </a:prstGeom>
          <a:ln w="28575">
            <a:solidFill>
              <a:schemeClr val="tx2">
                <a:lumMod val="75000"/>
              </a:schemeClr>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135467</xdr:colOff>
      <xdr:row>0</xdr:row>
      <xdr:rowOff>127843</xdr:rowOff>
    </xdr:from>
    <xdr:to>
      <xdr:col>31</xdr:col>
      <xdr:colOff>8467</xdr:colOff>
      <xdr:row>2</xdr:row>
      <xdr:rowOff>843</xdr:rowOff>
    </xdr:to>
    <xdr:grpSp>
      <xdr:nvGrpSpPr>
        <xdr:cNvPr id="2" name="Group 1"/>
        <xdr:cNvGrpSpPr/>
      </xdr:nvGrpSpPr>
      <xdr:grpSpPr>
        <a:xfrm>
          <a:off x="135467" y="127843"/>
          <a:ext cx="11775440" cy="254000"/>
          <a:chOff x="127000" y="144777"/>
          <a:chExt cx="11768667" cy="270087"/>
        </a:xfrm>
      </xdr:grpSpPr>
      <xdr:sp macro="" textlink="">
        <xdr:nvSpPr>
          <xdr:cNvPr id="3" name="Round Same Side Corner Rectangle 2">
            <a:hlinkClick xmlns:r="http://schemas.openxmlformats.org/officeDocument/2006/relationships" r:id="rId1"/>
          </xdr:cNvPr>
          <xdr:cNvSpPr/>
        </xdr:nvSpPr>
        <xdr:spPr>
          <a:xfrm>
            <a:off x="2116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Setup</a:t>
            </a:r>
            <a:endParaRPr lang="en-US" sz="1100" b="0">
              <a:solidFill>
                <a:schemeClr val="tx1">
                  <a:lumMod val="75000"/>
                  <a:lumOff val="25000"/>
                </a:schemeClr>
              </a:solidFill>
            </a:endParaRPr>
          </a:p>
        </xdr:txBody>
      </xdr:sp>
      <xdr:sp macro="" textlink="">
        <xdr:nvSpPr>
          <xdr:cNvPr id="4" name="Round Same Side Corner Rectangle 3">
            <a:hlinkClick xmlns:r="http://schemas.openxmlformats.org/officeDocument/2006/relationships" r:id="rId2"/>
          </xdr:cNvPr>
          <xdr:cNvSpPr/>
        </xdr:nvSpPr>
        <xdr:spPr>
          <a:xfrm>
            <a:off x="24214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Player</a:t>
            </a:r>
            <a:r>
              <a:rPr lang="en-US" sz="1200" b="0" baseline="0">
                <a:solidFill>
                  <a:schemeClr val="tx1">
                    <a:lumMod val="75000"/>
                    <a:lumOff val="25000"/>
                  </a:schemeClr>
                </a:solidFill>
              </a:rPr>
              <a:t> Scoreboard</a:t>
            </a:r>
            <a:endParaRPr lang="en-US" sz="1100" b="0">
              <a:solidFill>
                <a:schemeClr val="tx1">
                  <a:lumMod val="75000"/>
                  <a:lumOff val="25000"/>
                </a:schemeClr>
              </a:solidFill>
            </a:endParaRPr>
          </a:p>
        </xdr:txBody>
      </xdr:sp>
      <xdr:sp macro="" textlink="">
        <xdr:nvSpPr>
          <xdr:cNvPr id="5" name="Round Same Side Corner Rectangle 4">
            <a:hlinkClick xmlns:r="http://schemas.openxmlformats.org/officeDocument/2006/relationships" r:id="rId3"/>
          </xdr:cNvPr>
          <xdr:cNvSpPr/>
        </xdr:nvSpPr>
        <xdr:spPr>
          <a:xfrm>
            <a:off x="46312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Player</a:t>
            </a:r>
            <a:r>
              <a:rPr lang="en-US" sz="1200" b="0" baseline="0">
                <a:solidFill>
                  <a:schemeClr val="tx1">
                    <a:lumMod val="75000"/>
                    <a:lumOff val="25000"/>
                  </a:schemeClr>
                </a:solidFill>
              </a:rPr>
              <a:t> Leaderboard</a:t>
            </a:r>
            <a:endParaRPr lang="en-US" sz="1100" b="0">
              <a:solidFill>
                <a:schemeClr val="tx1">
                  <a:lumMod val="75000"/>
                  <a:lumOff val="25000"/>
                </a:schemeClr>
              </a:solidFill>
            </a:endParaRPr>
          </a:p>
        </xdr:txBody>
      </xdr:sp>
      <xdr:sp macro="" textlink="">
        <xdr:nvSpPr>
          <xdr:cNvPr id="6" name="Round Same Side Corner Rectangle 5">
            <a:hlinkClick xmlns:r="http://schemas.openxmlformats.org/officeDocument/2006/relationships" r:id="rId4"/>
          </xdr:cNvPr>
          <xdr:cNvSpPr/>
        </xdr:nvSpPr>
        <xdr:spPr>
          <a:xfrm>
            <a:off x="68410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Matches</a:t>
            </a:r>
            <a:r>
              <a:rPr lang="en-US" sz="1200" b="0" baseline="0">
                <a:solidFill>
                  <a:schemeClr val="tx1">
                    <a:lumMod val="75000"/>
                    <a:lumOff val="25000"/>
                  </a:schemeClr>
                </a:solidFill>
              </a:rPr>
              <a:t> Schedule</a:t>
            </a:r>
            <a:endParaRPr lang="en-US" sz="1100" b="0">
              <a:solidFill>
                <a:schemeClr val="tx1">
                  <a:lumMod val="75000"/>
                  <a:lumOff val="25000"/>
                </a:schemeClr>
              </a:solidFill>
            </a:endParaRPr>
          </a:p>
        </xdr:txBody>
      </xdr:sp>
      <xdr:sp macro="" textlink="">
        <xdr:nvSpPr>
          <xdr:cNvPr id="7" name="Round Same Side Corner Rectangle 6">
            <a:hlinkClick xmlns:r="http://schemas.openxmlformats.org/officeDocument/2006/relationships" r:id="rId5"/>
          </xdr:cNvPr>
          <xdr:cNvSpPr/>
        </xdr:nvSpPr>
        <xdr:spPr>
          <a:xfrm>
            <a:off x="90508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About</a:t>
            </a:r>
            <a:endParaRPr lang="en-US" sz="1100" b="0">
              <a:solidFill>
                <a:schemeClr val="tx1">
                  <a:lumMod val="75000"/>
                  <a:lumOff val="25000"/>
                </a:schemeClr>
              </a:solidFill>
            </a:endParaRPr>
          </a:p>
        </xdr:txBody>
      </xdr:sp>
      <xdr:cxnSp macro="">
        <xdr:nvCxnSpPr>
          <xdr:cNvPr id="8" name="Straight Connector 7"/>
          <xdr:cNvCxnSpPr/>
        </xdr:nvCxnSpPr>
        <xdr:spPr>
          <a:xfrm>
            <a:off x="127000" y="414864"/>
            <a:ext cx="11768667" cy="0"/>
          </a:xfrm>
          <a:prstGeom prst="line">
            <a:avLst/>
          </a:prstGeom>
          <a:ln w="28575">
            <a:solidFill>
              <a:schemeClr val="tx2">
                <a:lumMod val="75000"/>
              </a:schemeClr>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135467</xdr:colOff>
      <xdr:row>0</xdr:row>
      <xdr:rowOff>127843</xdr:rowOff>
    </xdr:from>
    <xdr:to>
      <xdr:col>31</xdr:col>
      <xdr:colOff>8467</xdr:colOff>
      <xdr:row>2</xdr:row>
      <xdr:rowOff>843</xdr:rowOff>
    </xdr:to>
    <xdr:grpSp>
      <xdr:nvGrpSpPr>
        <xdr:cNvPr id="2" name="Group 1"/>
        <xdr:cNvGrpSpPr/>
      </xdr:nvGrpSpPr>
      <xdr:grpSpPr>
        <a:xfrm>
          <a:off x="135467" y="127843"/>
          <a:ext cx="11775440" cy="254000"/>
          <a:chOff x="127000" y="144777"/>
          <a:chExt cx="11768667" cy="270087"/>
        </a:xfrm>
      </xdr:grpSpPr>
      <xdr:sp macro="" textlink="">
        <xdr:nvSpPr>
          <xdr:cNvPr id="3" name="Round Same Side Corner Rectangle 2">
            <a:hlinkClick xmlns:r="http://schemas.openxmlformats.org/officeDocument/2006/relationships" r:id="rId1"/>
          </xdr:cNvPr>
          <xdr:cNvSpPr/>
        </xdr:nvSpPr>
        <xdr:spPr>
          <a:xfrm>
            <a:off x="2116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Setup</a:t>
            </a:r>
            <a:endParaRPr lang="en-US" sz="1100" b="0">
              <a:solidFill>
                <a:schemeClr val="tx1">
                  <a:lumMod val="75000"/>
                  <a:lumOff val="25000"/>
                </a:schemeClr>
              </a:solidFill>
            </a:endParaRPr>
          </a:p>
        </xdr:txBody>
      </xdr:sp>
      <xdr:sp macro="" textlink="">
        <xdr:nvSpPr>
          <xdr:cNvPr id="4" name="Round Same Side Corner Rectangle 3">
            <a:hlinkClick xmlns:r="http://schemas.openxmlformats.org/officeDocument/2006/relationships" r:id="rId2"/>
          </xdr:cNvPr>
          <xdr:cNvSpPr/>
        </xdr:nvSpPr>
        <xdr:spPr>
          <a:xfrm>
            <a:off x="24214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Player</a:t>
            </a:r>
            <a:r>
              <a:rPr lang="en-US" sz="1200" b="0" baseline="0">
                <a:solidFill>
                  <a:schemeClr val="tx1">
                    <a:lumMod val="75000"/>
                    <a:lumOff val="25000"/>
                  </a:schemeClr>
                </a:solidFill>
              </a:rPr>
              <a:t> Scoreboard</a:t>
            </a:r>
            <a:endParaRPr lang="en-US" sz="1100" b="0">
              <a:solidFill>
                <a:schemeClr val="tx1">
                  <a:lumMod val="75000"/>
                  <a:lumOff val="25000"/>
                </a:schemeClr>
              </a:solidFill>
            </a:endParaRPr>
          </a:p>
        </xdr:txBody>
      </xdr:sp>
      <xdr:sp macro="" textlink="">
        <xdr:nvSpPr>
          <xdr:cNvPr id="5" name="Round Same Side Corner Rectangle 4">
            <a:hlinkClick xmlns:r="http://schemas.openxmlformats.org/officeDocument/2006/relationships" r:id="rId3"/>
          </xdr:cNvPr>
          <xdr:cNvSpPr/>
        </xdr:nvSpPr>
        <xdr:spPr>
          <a:xfrm>
            <a:off x="46312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Player</a:t>
            </a:r>
            <a:r>
              <a:rPr lang="en-US" sz="1200" b="0" baseline="0">
                <a:solidFill>
                  <a:schemeClr val="tx1">
                    <a:lumMod val="75000"/>
                    <a:lumOff val="25000"/>
                  </a:schemeClr>
                </a:solidFill>
              </a:rPr>
              <a:t> Leaderboard</a:t>
            </a:r>
            <a:endParaRPr lang="en-US" sz="1100" b="0">
              <a:solidFill>
                <a:schemeClr val="tx1">
                  <a:lumMod val="75000"/>
                  <a:lumOff val="25000"/>
                </a:schemeClr>
              </a:solidFill>
            </a:endParaRPr>
          </a:p>
        </xdr:txBody>
      </xdr:sp>
      <xdr:sp macro="" textlink="">
        <xdr:nvSpPr>
          <xdr:cNvPr id="6" name="Round Same Side Corner Rectangle 5">
            <a:hlinkClick xmlns:r="http://schemas.openxmlformats.org/officeDocument/2006/relationships" r:id="rId4"/>
          </xdr:cNvPr>
          <xdr:cNvSpPr/>
        </xdr:nvSpPr>
        <xdr:spPr>
          <a:xfrm>
            <a:off x="68410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Matches</a:t>
            </a:r>
            <a:r>
              <a:rPr lang="en-US" sz="1200" b="0" baseline="0">
                <a:solidFill>
                  <a:schemeClr val="tx1">
                    <a:lumMod val="75000"/>
                    <a:lumOff val="25000"/>
                  </a:schemeClr>
                </a:solidFill>
              </a:rPr>
              <a:t> Schedule</a:t>
            </a:r>
            <a:endParaRPr lang="en-US" sz="1100" b="0">
              <a:solidFill>
                <a:schemeClr val="tx1">
                  <a:lumMod val="75000"/>
                  <a:lumOff val="25000"/>
                </a:schemeClr>
              </a:solidFill>
            </a:endParaRPr>
          </a:p>
        </xdr:txBody>
      </xdr:sp>
      <xdr:sp macro="" textlink="">
        <xdr:nvSpPr>
          <xdr:cNvPr id="7" name="Round Same Side Corner Rectangle 6">
            <a:hlinkClick xmlns:r="http://schemas.openxmlformats.org/officeDocument/2006/relationships" r:id="rId5"/>
          </xdr:cNvPr>
          <xdr:cNvSpPr/>
        </xdr:nvSpPr>
        <xdr:spPr>
          <a:xfrm>
            <a:off x="90508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About</a:t>
            </a:r>
            <a:endParaRPr lang="en-US" sz="1100" b="0">
              <a:solidFill>
                <a:schemeClr val="tx1">
                  <a:lumMod val="75000"/>
                  <a:lumOff val="25000"/>
                </a:schemeClr>
              </a:solidFill>
            </a:endParaRPr>
          </a:p>
        </xdr:txBody>
      </xdr:sp>
      <xdr:cxnSp macro="">
        <xdr:nvCxnSpPr>
          <xdr:cNvPr id="8" name="Straight Connector 7"/>
          <xdr:cNvCxnSpPr/>
        </xdr:nvCxnSpPr>
        <xdr:spPr>
          <a:xfrm>
            <a:off x="127000" y="414864"/>
            <a:ext cx="11768667" cy="0"/>
          </a:xfrm>
          <a:prstGeom prst="line">
            <a:avLst/>
          </a:prstGeom>
          <a:ln w="28575">
            <a:solidFill>
              <a:schemeClr val="tx2">
                <a:lumMod val="75000"/>
              </a:schemeClr>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6.xml><?xml version="1.0" encoding="utf-8"?>
<xdr:wsDr xmlns:xdr="http://schemas.openxmlformats.org/drawingml/2006/spreadsheetDrawing" xmlns:a="http://schemas.openxmlformats.org/drawingml/2006/main">
  <xdr:twoCellAnchor>
    <xdr:from>
      <xdr:col>0</xdr:col>
      <xdr:colOff>135467</xdr:colOff>
      <xdr:row>0</xdr:row>
      <xdr:rowOff>127843</xdr:rowOff>
    </xdr:from>
    <xdr:to>
      <xdr:col>31</xdr:col>
      <xdr:colOff>8467</xdr:colOff>
      <xdr:row>2</xdr:row>
      <xdr:rowOff>843</xdr:rowOff>
    </xdr:to>
    <xdr:grpSp>
      <xdr:nvGrpSpPr>
        <xdr:cNvPr id="2" name="Group 1"/>
        <xdr:cNvGrpSpPr/>
      </xdr:nvGrpSpPr>
      <xdr:grpSpPr>
        <a:xfrm>
          <a:off x="135467" y="127843"/>
          <a:ext cx="11775440" cy="254000"/>
          <a:chOff x="127000" y="144777"/>
          <a:chExt cx="11768667" cy="270087"/>
        </a:xfrm>
      </xdr:grpSpPr>
      <xdr:sp macro="" textlink="">
        <xdr:nvSpPr>
          <xdr:cNvPr id="3" name="Round Same Side Corner Rectangle 2">
            <a:hlinkClick xmlns:r="http://schemas.openxmlformats.org/officeDocument/2006/relationships" r:id="rId1"/>
          </xdr:cNvPr>
          <xdr:cNvSpPr/>
        </xdr:nvSpPr>
        <xdr:spPr>
          <a:xfrm>
            <a:off x="2116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Setup</a:t>
            </a:r>
            <a:endParaRPr lang="en-US" sz="1100" b="0">
              <a:solidFill>
                <a:schemeClr val="tx1">
                  <a:lumMod val="75000"/>
                  <a:lumOff val="25000"/>
                </a:schemeClr>
              </a:solidFill>
            </a:endParaRPr>
          </a:p>
        </xdr:txBody>
      </xdr:sp>
      <xdr:sp macro="" textlink="">
        <xdr:nvSpPr>
          <xdr:cNvPr id="4" name="Round Same Side Corner Rectangle 3">
            <a:hlinkClick xmlns:r="http://schemas.openxmlformats.org/officeDocument/2006/relationships" r:id="rId2"/>
          </xdr:cNvPr>
          <xdr:cNvSpPr/>
        </xdr:nvSpPr>
        <xdr:spPr>
          <a:xfrm>
            <a:off x="24214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Player</a:t>
            </a:r>
            <a:r>
              <a:rPr lang="en-US" sz="1200" b="0" baseline="0">
                <a:solidFill>
                  <a:schemeClr val="tx1">
                    <a:lumMod val="75000"/>
                    <a:lumOff val="25000"/>
                  </a:schemeClr>
                </a:solidFill>
              </a:rPr>
              <a:t> Scoreboard</a:t>
            </a:r>
            <a:endParaRPr lang="en-US" sz="1100" b="0">
              <a:solidFill>
                <a:schemeClr val="tx1">
                  <a:lumMod val="75000"/>
                  <a:lumOff val="25000"/>
                </a:schemeClr>
              </a:solidFill>
            </a:endParaRPr>
          </a:p>
        </xdr:txBody>
      </xdr:sp>
      <xdr:sp macro="" textlink="">
        <xdr:nvSpPr>
          <xdr:cNvPr id="5" name="Round Same Side Corner Rectangle 4">
            <a:hlinkClick xmlns:r="http://schemas.openxmlformats.org/officeDocument/2006/relationships" r:id="rId3"/>
          </xdr:cNvPr>
          <xdr:cNvSpPr/>
        </xdr:nvSpPr>
        <xdr:spPr>
          <a:xfrm>
            <a:off x="46312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Player</a:t>
            </a:r>
            <a:r>
              <a:rPr lang="en-US" sz="1200" b="0" baseline="0">
                <a:solidFill>
                  <a:schemeClr val="tx1">
                    <a:lumMod val="75000"/>
                    <a:lumOff val="25000"/>
                  </a:schemeClr>
                </a:solidFill>
              </a:rPr>
              <a:t> Leaderboard</a:t>
            </a:r>
            <a:endParaRPr lang="en-US" sz="1100" b="0">
              <a:solidFill>
                <a:schemeClr val="tx1">
                  <a:lumMod val="75000"/>
                  <a:lumOff val="25000"/>
                </a:schemeClr>
              </a:solidFill>
            </a:endParaRPr>
          </a:p>
        </xdr:txBody>
      </xdr:sp>
      <xdr:sp macro="" textlink="">
        <xdr:nvSpPr>
          <xdr:cNvPr id="6" name="Round Same Side Corner Rectangle 5">
            <a:hlinkClick xmlns:r="http://schemas.openxmlformats.org/officeDocument/2006/relationships" r:id="rId4"/>
          </xdr:cNvPr>
          <xdr:cNvSpPr/>
        </xdr:nvSpPr>
        <xdr:spPr>
          <a:xfrm>
            <a:off x="68410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Matches</a:t>
            </a:r>
            <a:r>
              <a:rPr lang="en-US" sz="1200" b="0" baseline="0">
                <a:solidFill>
                  <a:schemeClr val="tx1">
                    <a:lumMod val="75000"/>
                    <a:lumOff val="25000"/>
                  </a:schemeClr>
                </a:solidFill>
              </a:rPr>
              <a:t> Schedule</a:t>
            </a:r>
            <a:endParaRPr lang="en-US" sz="1100" b="0">
              <a:solidFill>
                <a:schemeClr val="tx1">
                  <a:lumMod val="75000"/>
                  <a:lumOff val="25000"/>
                </a:schemeClr>
              </a:solidFill>
            </a:endParaRPr>
          </a:p>
        </xdr:txBody>
      </xdr:sp>
      <xdr:sp macro="" textlink="">
        <xdr:nvSpPr>
          <xdr:cNvPr id="7" name="Round Same Side Corner Rectangle 6">
            <a:hlinkClick xmlns:r="http://schemas.openxmlformats.org/officeDocument/2006/relationships" r:id="rId5"/>
          </xdr:cNvPr>
          <xdr:cNvSpPr/>
        </xdr:nvSpPr>
        <xdr:spPr>
          <a:xfrm>
            <a:off x="90508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About</a:t>
            </a:r>
            <a:endParaRPr lang="en-US" sz="1100" b="0">
              <a:solidFill>
                <a:schemeClr val="tx1">
                  <a:lumMod val="75000"/>
                  <a:lumOff val="25000"/>
                </a:schemeClr>
              </a:solidFill>
            </a:endParaRPr>
          </a:p>
        </xdr:txBody>
      </xdr:sp>
      <xdr:cxnSp macro="">
        <xdr:nvCxnSpPr>
          <xdr:cNvPr id="8" name="Straight Connector 7"/>
          <xdr:cNvCxnSpPr/>
        </xdr:nvCxnSpPr>
        <xdr:spPr>
          <a:xfrm>
            <a:off x="127000" y="414864"/>
            <a:ext cx="11768667" cy="0"/>
          </a:xfrm>
          <a:prstGeom prst="line">
            <a:avLst/>
          </a:prstGeom>
          <a:ln w="28575">
            <a:solidFill>
              <a:schemeClr val="tx2">
                <a:lumMod val="75000"/>
              </a:schemeClr>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7.xml><?xml version="1.0" encoding="utf-8"?>
<xdr:wsDr xmlns:xdr="http://schemas.openxmlformats.org/drawingml/2006/spreadsheetDrawing" xmlns:a="http://schemas.openxmlformats.org/drawingml/2006/main">
  <xdr:twoCellAnchor>
    <xdr:from>
      <xdr:col>0</xdr:col>
      <xdr:colOff>135467</xdr:colOff>
      <xdr:row>0</xdr:row>
      <xdr:rowOff>127843</xdr:rowOff>
    </xdr:from>
    <xdr:to>
      <xdr:col>31</xdr:col>
      <xdr:colOff>8467</xdr:colOff>
      <xdr:row>2</xdr:row>
      <xdr:rowOff>843</xdr:rowOff>
    </xdr:to>
    <xdr:grpSp>
      <xdr:nvGrpSpPr>
        <xdr:cNvPr id="2" name="Group 1"/>
        <xdr:cNvGrpSpPr/>
      </xdr:nvGrpSpPr>
      <xdr:grpSpPr>
        <a:xfrm>
          <a:off x="135467" y="127843"/>
          <a:ext cx="11775440" cy="254000"/>
          <a:chOff x="127000" y="144777"/>
          <a:chExt cx="11768667" cy="270087"/>
        </a:xfrm>
      </xdr:grpSpPr>
      <xdr:sp macro="" textlink="">
        <xdr:nvSpPr>
          <xdr:cNvPr id="3" name="Round Same Side Corner Rectangle 2">
            <a:hlinkClick xmlns:r="http://schemas.openxmlformats.org/officeDocument/2006/relationships" r:id="rId1"/>
          </xdr:cNvPr>
          <xdr:cNvSpPr/>
        </xdr:nvSpPr>
        <xdr:spPr>
          <a:xfrm>
            <a:off x="2116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Setup</a:t>
            </a:r>
            <a:endParaRPr lang="en-US" sz="1100" b="0">
              <a:solidFill>
                <a:schemeClr val="tx1">
                  <a:lumMod val="75000"/>
                  <a:lumOff val="25000"/>
                </a:schemeClr>
              </a:solidFill>
            </a:endParaRPr>
          </a:p>
        </xdr:txBody>
      </xdr:sp>
      <xdr:sp macro="" textlink="">
        <xdr:nvSpPr>
          <xdr:cNvPr id="4" name="Round Same Side Corner Rectangle 3">
            <a:hlinkClick xmlns:r="http://schemas.openxmlformats.org/officeDocument/2006/relationships" r:id="rId2"/>
          </xdr:cNvPr>
          <xdr:cNvSpPr/>
        </xdr:nvSpPr>
        <xdr:spPr>
          <a:xfrm>
            <a:off x="24214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Player</a:t>
            </a:r>
            <a:r>
              <a:rPr lang="en-US" sz="1200" b="0" baseline="0">
                <a:solidFill>
                  <a:schemeClr val="tx1">
                    <a:lumMod val="75000"/>
                    <a:lumOff val="25000"/>
                  </a:schemeClr>
                </a:solidFill>
              </a:rPr>
              <a:t> Scoreboard</a:t>
            </a:r>
            <a:endParaRPr lang="en-US" sz="1100" b="0">
              <a:solidFill>
                <a:schemeClr val="tx1">
                  <a:lumMod val="75000"/>
                  <a:lumOff val="25000"/>
                </a:schemeClr>
              </a:solidFill>
            </a:endParaRPr>
          </a:p>
        </xdr:txBody>
      </xdr:sp>
      <xdr:sp macro="" textlink="">
        <xdr:nvSpPr>
          <xdr:cNvPr id="5" name="Round Same Side Corner Rectangle 4">
            <a:hlinkClick xmlns:r="http://schemas.openxmlformats.org/officeDocument/2006/relationships" r:id="rId3"/>
          </xdr:cNvPr>
          <xdr:cNvSpPr/>
        </xdr:nvSpPr>
        <xdr:spPr>
          <a:xfrm>
            <a:off x="46312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Player</a:t>
            </a:r>
            <a:r>
              <a:rPr lang="en-US" sz="1200" b="0" baseline="0">
                <a:solidFill>
                  <a:schemeClr val="tx1">
                    <a:lumMod val="75000"/>
                    <a:lumOff val="25000"/>
                  </a:schemeClr>
                </a:solidFill>
              </a:rPr>
              <a:t> Leaderboard</a:t>
            </a:r>
            <a:endParaRPr lang="en-US" sz="1100" b="0">
              <a:solidFill>
                <a:schemeClr val="tx1">
                  <a:lumMod val="75000"/>
                  <a:lumOff val="25000"/>
                </a:schemeClr>
              </a:solidFill>
            </a:endParaRPr>
          </a:p>
        </xdr:txBody>
      </xdr:sp>
      <xdr:sp macro="" textlink="">
        <xdr:nvSpPr>
          <xdr:cNvPr id="6" name="Round Same Side Corner Rectangle 5">
            <a:hlinkClick xmlns:r="http://schemas.openxmlformats.org/officeDocument/2006/relationships" r:id="rId4"/>
          </xdr:cNvPr>
          <xdr:cNvSpPr/>
        </xdr:nvSpPr>
        <xdr:spPr>
          <a:xfrm>
            <a:off x="68410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Matches</a:t>
            </a:r>
            <a:r>
              <a:rPr lang="en-US" sz="1200" b="0" baseline="0">
                <a:solidFill>
                  <a:schemeClr val="tx1">
                    <a:lumMod val="75000"/>
                    <a:lumOff val="25000"/>
                  </a:schemeClr>
                </a:solidFill>
              </a:rPr>
              <a:t> Schedule</a:t>
            </a:r>
            <a:endParaRPr lang="en-US" sz="1100" b="0">
              <a:solidFill>
                <a:schemeClr val="tx1">
                  <a:lumMod val="75000"/>
                  <a:lumOff val="25000"/>
                </a:schemeClr>
              </a:solidFill>
            </a:endParaRPr>
          </a:p>
        </xdr:txBody>
      </xdr:sp>
      <xdr:sp macro="" textlink="">
        <xdr:nvSpPr>
          <xdr:cNvPr id="7" name="Round Same Side Corner Rectangle 6">
            <a:hlinkClick xmlns:r="http://schemas.openxmlformats.org/officeDocument/2006/relationships" r:id="rId5"/>
          </xdr:cNvPr>
          <xdr:cNvSpPr/>
        </xdr:nvSpPr>
        <xdr:spPr>
          <a:xfrm>
            <a:off x="90508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About</a:t>
            </a:r>
            <a:endParaRPr lang="en-US" sz="1100" b="0">
              <a:solidFill>
                <a:schemeClr val="tx1">
                  <a:lumMod val="75000"/>
                  <a:lumOff val="25000"/>
                </a:schemeClr>
              </a:solidFill>
            </a:endParaRPr>
          </a:p>
        </xdr:txBody>
      </xdr:sp>
      <xdr:cxnSp macro="">
        <xdr:nvCxnSpPr>
          <xdr:cNvPr id="8" name="Straight Connector 7"/>
          <xdr:cNvCxnSpPr/>
        </xdr:nvCxnSpPr>
        <xdr:spPr>
          <a:xfrm>
            <a:off x="127000" y="414864"/>
            <a:ext cx="11768667" cy="0"/>
          </a:xfrm>
          <a:prstGeom prst="line">
            <a:avLst/>
          </a:prstGeom>
          <a:ln w="28575">
            <a:solidFill>
              <a:schemeClr val="tx2">
                <a:lumMod val="75000"/>
              </a:schemeClr>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8.xml><?xml version="1.0" encoding="utf-8"?>
<xdr:wsDr xmlns:xdr="http://schemas.openxmlformats.org/drawingml/2006/spreadsheetDrawing" xmlns:a="http://schemas.openxmlformats.org/drawingml/2006/main">
  <xdr:twoCellAnchor>
    <xdr:from>
      <xdr:col>0</xdr:col>
      <xdr:colOff>135467</xdr:colOff>
      <xdr:row>0</xdr:row>
      <xdr:rowOff>127843</xdr:rowOff>
    </xdr:from>
    <xdr:to>
      <xdr:col>31</xdr:col>
      <xdr:colOff>8467</xdr:colOff>
      <xdr:row>2</xdr:row>
      <xdr:rowOff>843</xdr:rowOff>
    </xdr:to>
    <xdr:grpSp>
      <xdr:nvGrpSpPr>
        <xdr:cNvPr id="2" name="Group 1"/>
        <xdr:cNvGrpSpPr/>
      </xdr:nvGrpSpPr>
      <xdr:grpSpPr>
        <a:xfrm>
          <a:off x="135467" y="127843"/>
          <a:ext cx="11775440" cy="254000"/>
          <a:chOff x="127000" y="144777"/>
          <a:chExt cx="11768667" cy="270087"/>
        </a:xfrm>
      </xdr:grpSpPr>
      <xdr:sp macro="" textlink="">
        <xdr:nvSpPr>
          <xdr:cNvPr id="3" name="Round Same Side Corner Rectangle 2">
            <a:hlinkClick xmlns:r="http://schemas.openxmlformats.org/officeDocument/2006/relationships" r:id="rId1"/>
          </xdr:cNvPr>
          <xdr:cNvSpPr/>
        </xdr:nvSpPr>
        <xdr:spPr>
          <a:xfrm>
            <a:off x="2116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Setup</a:t>
            </a:r>
            <a:endParaRPr lang="en-US" sz="1100" b="0">
              <a:solidFill>
                <a:schemeClr val="tx1">
                  <a:lumMod val="75000"/>
                  <a:lumOff val="25000"/>
                </a:schemeClr>
              </a:solidFill>
            </a:endParaRPr>
          </a:p>
        </xdr:txBody>
      </xdr:sp>
      <xdr:sp macro="" textlink="">
        <xdr:nvSpPr>
          <xdr:cNvPr id="4" name="Round Same Side Corner Rectangle 3">
            <a:hlinkClick xmlns:r="http://schemas.openxmlformats.org/officeDocument/2006/relationships" r:id="rId2"/>
          </xdr:cNvPr>
          <xdr:cNvSpPr/>
        </xdr:nvSpPr>
        <xdr:spPr>
          <a:xfrm>
            <a:off x="24214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Player</a:t>
            </a:r>
            <a:r>
              <a:rPr lang="en-US" sz="1200" b="0" baseline="0">
                <a:solidFill>
                  <a:schemeClr val="tx1">
                    <a:lumMod val="75000"/>
                    <a:lumOff val="25000"/>
                  </a:schemeClr>
                </a:solidFill>
              </a:rPr>
              <a:t> Scoreboard</a:t>
            </a:r>
            <a:endParaRPr lang="en-US" sz="1100" b="0">
              <a:solidFill>
                <a:schemeClr val="tx1">
                  <a:lumMod val="75000"/>
                  <a:lumOff val="25000"/>
                </a:schemeClr>
              </a:solidFill>
            </a:endParaRPr>
          </a:p>
        </xdr:txBody>
      </xdr:sp>
      <xdr:sp macro="" textlink="">
        <xdr:nvSpPr>
          <xdr:cNvPr id="5" name="Round Same Side Corner Rectangle 4">
            <a:hlinkClick xmlns:r="http://schemas.openxmlformats.org/officeDocument/2006/relationships" r:id="rId3"/>
          </xdr:cNvPr>
          <xdr:cNvSpPr/>
        </xdr:nvSpPr>
        <xdr:spPr>
          <a:xfrm>
            <a:off x="46312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Player</a:t>
            </a:r>
            <a:r>
              <a:rPr lang="en-US" sz="1200" b="0" baseline="0">
                <a:solidFill>
                  <a:schemeClr val="tx1">
                    <a:lumMod val="75000"/>
                    <a:lumOff val="25000"/>
                  </a:schemeClr>
                </a:solidFill>
              </a:rPr>
              <a:t> Leaderboard</a:t>
            </a:r>
            <a:endParaRPr lang="en-US" sz="1100" b="0">
              <a:solidFill>
                <a:schemeClr val="tx1">
                  <a:lumMod val="75000"/>
                  <a:lumOff val="25000"/>
                </a:schemeClr>
              </a:solidFill>
            </a:endParaRPr>
          </a:p>
        </xdr:txBody>
      </xdr:sp>
      <xdr:sp macro="" textlink="">
        <xdr:nvSpPr>
          <xdr:cNvPr id="6" name="Round Same Side Corner Rectangle 5">
            <a:hlinkClick xmlns:r="http://schemas.openxmlformats.org/officeDocument/2006/relationships" r:id="rId4"/>
          </xdr:cNvPr>
          <xdr:cNvSpPr/>
        </xdr:nvSpPr>
        <xdr:spPr>
          <a:xfrm>
            <a:off x="68410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Matches</a:t>
            </a:r>
            <a:r>
              <a:rPr lang="en-US" sz="1200" b="0" baseline="0">
                <a:solidFill>
                  <a:schemeClr val="tx1">
                    <a:lumMod val="75000"/>
                    <a:lumOff val="25000"/>
                  </a:schemeClr>
                </a:solidFill>
              </a:rPr>
              <a:t> Schedule</a:t>
            </a:r>
            <a:endParaRPr lang="en-US" sz="1100" b="0">
              <a:solidFill>
                <a:schemeClr val="tx1">
                  <a:lumMod val="75000"/>
                  <a:lumOff val="25000"/>
                </a:schemeClr>
              </a:solidFill>
            </a:endParaRPr>
          </a:p>
        </xdr:txBody>
      </xdr:sp>
      <xdr:sp macro="" textlink="">
        <xdr:nvSpPr>
          <xdr:cNvPr id="7" name="Round Same Side Corner Rectangle 6">
            <a:hlinkClick xmlns:r="http://schemas.openxmlformats.org/officeDocument/2006/relationships" r:id="rId5"/>
          </xdr:cNvPr>
          <xdr:cNvSpPr/>
        </xdr:nvSpPr>
        <xdr:spPr>
          <a:xfrm>
            <a:off x="90508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About</a:t>
            </a:r>
            <a:endParaRPr lang="en-US" sz="1100" b="0">
              <a:solidFill>
                <a:schemeClr val="tx1">
                  <a:lumMod val="75000"/>
                  <a:lumOff val="25000"/>
                </a:schemeClr>
              </a:solidFill>
            </a:endParaRPr>
          </a:p>
        </xdr:txBody>
      </xdr:sp>
      <xdr:cxnSp macro="">
        <xdr:nvCxnSpPr>
          <xdr:cNvPr id="8" name="Straight Connector 7"/>
          <xdr:cNvCxnSpPr/>
        </xdr:nvCxnSpPr>
        <xdr:spPr>
          <a:xfrm>
            <a:off x="127000" y="414864"/>
            <a:ext cx="11768667" cy="0"/>
          </a:xfrm>
          <a:prstGeom prst="line">
            <a:avLst/>
          </a:prstGeom>
          <a:ln w="28575">
            <a:solidFill>
              <a:schemeClr val="tx2">
                <a:lumMod val="75000"/>
              </a:schemeClr>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9.xml><?xml version="1.0" encoding="utf-8"?>
<xdr:wsDr xmlns:xdr="http://schemas.openxmlformats.org/drawingml/2006/spreadsheetDrawing" xmlns:a="http://schemas.openxmlformats.org/drawingml/2006/main">
  <xdr:twoCellAnchor>
    <xdr:from>
      <xdr:col>0</xdr:col>
      <xdr:colOff>135467</xdr:colOff>
      <xdr:row>0</xdr:row>
      <xdr:rowOff>127843</xdr:rowOff>
    </xdr:from>
    <xdr:to>
      <xdr:col>31</xdr:col>
      <xdr:colOff>8467</xdr:colOff>
      <xdr:row>2</xdr:row>
      <xdr:rowOff>843</xdr:rowOff>
    </xdr:to>
    <xdr:grpSp>
      <xdr:nvGrpSpPr>
        <xdr:cNvPr id="2" name="Group 1"/>
        <xdr:cNvGrpSpPr/>
      </xdr:nvGrpSpPr>
      <xdr:grpSpPr>
        <a:xfrm>
          <a:off x="135467" y="127843"/>
          <a:ext cx="11775440" cy="254000"/>
          <a:chOff x="127000" y="144777"/>
          <a:chExt cx="11768667" cy="270087"/>
        </a:xfrm>
      </xdr:grpSpPr>
      <xdr:sp macro="" textlink="">
        <xdr:nvSpPr>
          <xdr:cNvPr id="3" name="Round Same Side Corner Rectangle 2">
            <a:hlinkClick xmlns:r="http://schemas.openxmlformats.org/officeDocument/2006/relationships" r:id="rId1"/>
          </xdr:cNvPr>
          <xdr:cNvSpPr/>
        </xdr:nvSpPr>
        <xdr:spPr>
          <a:xfrm>
            <a:off x="2116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Setup</a:t>
            </a:r>
            <a:endParaRPr lang="en-US" sz="1100" b="0">
              <a:solidFill>
                <a:schemeClr val="tx1">
                  <a:lumMod val="75000"/>
                  <a:lumOff val="25000"/>
                </a:schemeClr>
              </a:solidFill>
            </a:endParaRPr>
          </a:p>
        </xdr:txBody>
      </xdr:sp>
      <xdr:sp macro="" textlink="">
        <xdr:nvSpPr>
          <xdr:cNvPr id="4" name="Round Same Side Corner Rectangle 3">
            <a:hlinkClick xmlns:r="http://schemas.openxmlformats.org/officeDocument/2006/relationships" r:id="rId2"/>
          </xdr:cNvPr>
          <xdr:cNvSpPr/>
        </xdr:nvSpPr>
        <xdr:spPr>
          <a:xfrm>
            <a:off x="24214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Player</a:t>
            </a:r>
            <a:r>
              <a:rPr lang="en-US" sz="1200" b="0" baseline="0">
                <a:solidFill>
                  <a:schemeClr val="tx1">
                    <a:lumMod val="75000"/>
                    <a:lumOff val="25000"/>
                  </a:schemeClr>
                </a:solidFill>
              </a:rPr>
              <a:t> Scoreboard</a:t>
            </a:r>
            <a:endParaRPr lang="en-US" sz="1100" b="0">
              <a:solidFill>
                <a:schemeClr val="tx1">
                  <a:lumMod val="75000"/>
                  <a:lumOff val="25000"/>
                </a:schemeClr>
              </a:solidFill>
            </a:endParaRPr>
          </a:p>
        </xdr:txBody>
      </xdr:sp>
      <xdr:sp macro="" textlink="">
        <xdr:nvSpPr>
          <xdr:cNvPr id="5" name="Round Same Side Corner Rectangle 4">
            <a:hlinkClick xmlns:r="http://schemas.openxmlformats.org/officeDocument/2006/relationships" r:id="rId3"/>
          </xdr:cNvPr>
          <xdr:cNvSpPr/>
        </xdr:nvSpPr>
        <xdr:spPr>
          <a:xfrm>
            <a:off x="46312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Player</a:t>
            </a:r>
            <a:r>
              <a:rPr lang="en-US" sz="1200" b="0" baseline="0">
                <a:solidFill>
                  <a:schemeClr val="tx1">
                    <a:lumMod val="75000"/>
                    <a:lumOff val="25000"/>
                  </a:schemeClr>
                </a:solidFill>
              </a:rPr>
              <a:t> Leaderboard</a:t>
            </a:r>
            <a:endParaRPr lang="en-US" sz="1100" b="0">
              <a:solidFill>
                <a:schemeClr val="tx1">
                  <a:lumMod val="75000"/>
                  <a:lumOff val="25000"/>
                </a:schemeClr>
              </a:solidFill>
            </a:endParaRPr>
          </a:p>
        </xdr:txBody>
      </xdr:sp>
      <xdr:sp macro="" textlink="">
        <xdr:nvSpPr>
          <xdr:cNvPr id="6" name="Round Same Side Corner Rectangle 5">
            <a:hlinkClick xmlns:r="http://schemas.openxmlformats.org/officeDocument/2006/relationships" r:id="rId4"/>
          </xdr:cNvPr>
          <xdr:cNvSpPr/>
        </xdr:nvSpPr>
        <xdr:spPr>
          <a:xfrm>
            <a:off x="68410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Matches</a:t>
            </a:r>
            <a:r>
              <a:rPr lang="en-US" sz="1200" b="0" baseline="0">
                <a:solidFill>
                  <a:schemeClr val="tx1">
                    <a:lumMod val="75000"/>
                    <a:lumOff val="25000"/>
                  </a:schemeClr>
                </a:solidFill>
              </a:rPr>
              <a:t> Schedule</a:t>
            </a:r>
            <a:endParaRPr lang="en-US" sz="1100" b="0">
              <a:solidFill>
                <a:schemeClr val="tx1">
                  <a:lumMod val="75000"/>
                  <a:lumOff val="25000"/>
                </a:schemeClr>
              </a:solidFill>
            </a:endParaRPr>
          </a:p>
        </xdr:txBody>
      </xdr:sp>
      <xdr:sp macro="" textlink="">
        <xdr:nvSpPr>
          <xdr:cNvPr id="7" name="Round Same Side Corner Rectangle 6">
            <a:hlinkClick xmlns:r="http://schemas.openxmlformats.org/officeDocument/2006/relationships" r:id="rId5"/>
          </xdr:cNvPr>
          <xdr:cNvSpPr/>
        </xdr:nvSpPr>
        <xdr:spPr>
          <a:xfrm>
            <a:off x="90508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About</a:t>
            </a:r>
            <a:endParaRPr lang="en-US" sz="1100" b="0">
              <a:solidFill>
                <a:schemeClr val="tx1">
                  <a:lumMod val="75000"/>
                  <a:lumOff val="25000"/>
                </a:schemeClr>
              </a:solidFill>
            </a:endParaRPr>
          </a:p>
        </xdr:txBody>
      </xdr:sp>
      <xdr:cxnSp macro="">
        <xdr:nvCxnSpPr>
          <xdr:cNvPr id="8" name="Straight Connector 7"/>
          <xdr:cNvCxnSpPr/>
        </xdr:nvCxnSpPr>
        <xdr:spPr>
          <a:xfrm>
            <a:off x="127000" y="414864"/>
            <a:ext cx="11768667" cy="0"/>
          </a:xfrm>
          <a:prstGeom prst="line">
            <a:avLst/>
          </a:prstGeom>
          <a:ln w="28575">
            <a:solidFill>
              <a:schemeClr val="tx2">
                <a:lumMod val="75000"/>
              </a:schemeClr>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0.xml><?xml version="1.0" encoding="utf-8"?>
<xdr:wsDr xmlns:xdr="http://schemas.openxmlformats.org/drawingml/2006/spreadsheetDrawing" xmlns:a="http://schemas.openxmlformats.org/drawingml/2006/main">
  <xdr:twoCellAnchor>
    <xdr:from>
      <xdr:col>0</xdr:col>
      <xdr:colOff>135467</xdr:colOff>
      <xdr:row>0</xdr:row>
      <xdr:rowOff>127843</xdr:rowOff>
    </xdr:from>
    <xdr:to>
      <xdr:col>31</xdr:col>
      <xdr:colOff>8467</xdr:colOff>
      <xdr:row>2</xdr:row>
      <xdr:rowOff>843</xdr:rowOff>
    </xdr:to>
    <xdr:grpSp>
      <xdr:nvGrpSpPr>
        <xdr:cNvPr id="2" name="Group 1"/>
        <xdr:cNvGrpSpPr/>
      </xdr:nvGrpSpPr>
      <xdr:grpSpPr>
        <a:xfrm>
          <a:off x="135467" y="127843"/>
          <a:ext cx="11775440" cy="254000"/>
          <a:chOff x="127000" y="144777"/>
          <a:chExt cx="11768667" cy="270087"/>
        </a:xfrm>
      </xdr:grpSpPr>
      <xdr:sp macro="" textlink="">
        <xdr:nvSpPr>
          <xdr:cNvPr id="3" name="Round Same Side Corner Rectangle 2">
            <a:hlinkClick xmlns:r="http://schemas.openxmlformats.org/officeDocument/2006/relationships" r:id="rId1"/>
          </xdr:cNvPr>
          <xdr:cNvSpPr/>
        </xdr:nvSpPr>
        <xdr:spPr>
          <a:xfrm>
            <a:off x="2116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Setup</a:t>
            </a:r>
            <a:endParaRPr lang="en-US" sz="1100" b="0">
              <a:solidFill>
                <a:schemeClr val="tx1">
                  <a:lumMod val="75000"/>
                  <a:lumOff val="25000"/>
                </a:schemeClr>
              </a:solidFill>
            </a:endParaRPr>
          </a:p>
        </xdr:txBody>
      </xdr:sp>
      <xdr:sp macro="" textlink="">
        <xdr:nvSpPr>
          <xdr:cNvPr id="4" name="Round Same Side Corner Rectangle 3">
            <a:hlinkClick xmlns:r="http://schemas.openxmlformats.org/officeDocument/2006/relationships" r:id="rId2"/>
          </xdr:cNvPr>
          <xdr:cNvSpPr/>
        </xdr:nvSpPr>
        <xdr:spPr>
          <a:xfrm>
            <a:off x="24214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Player</a:t>
            </a:r>
            <a:r>
              <a:rPr lang="en-US" sz="1200" b="0" baseline="0">
                <a:solidFill>
                  <a:schemeClr val="tx1">
                    <a:lumMod val="75000"/>
                    <a:lumOff val="25000"/>
                  </a:schemeClr>
                </a:solidFill>
              </a:rPr>
              <a:t> Scoreboard</a:t>
            </a:r>
            <a:endParaRPr lang="en-US" sz="1100" b="0">
              <a:solidFill>
                <a:schemeClr val="tx1">
                  <a:lumMod val="75000"/>
                  <a:lumOff val="25000"/>
                </a:schemeClr>
              </a:solidFill>
            </a:endParaRPr>
          </a:p>
        </xdr:txBody>
      </xdr:sp>
      <xdr:sp macro="" textlink="">
        <xdr:nvSpPr>
          <xdr:cNvPr id="5" name="Round Same Side Corner Rectangle 4">
            <a:hlinkClick xmlns:r="http://schemas.openxmlformats.org/officeDocument/2006/relationships" r:id="rId3"/>
          </xdr:cNvPr>
          <xdr:cNvSpPr/>
        </xdr:nvSpPr>
        <xdr:spPr>
          <a:xfrm>
            <a:off x="46312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Player</a:t>
            </a:r>
            <a:r>
              <a:rPr lang="en-US" sz="1200" b="0" baseline="0">
                <a:solidFill>
                  <a:schemeClr val="tx1">
                    <a:lumMod val="75000"/>
                    <a:lumOff val="25000"/>
                  </a:schemeClr>
                </a:solidFill>
              </a:rPr>
              <a:t> Leaderboard</a:t>
            </a:r>
            <a:endParaRPr lang="en-US" sz="1100" b="0">
              <a:solidFill>
                <a:schemeClr val="tx1">
                  <a:lumMod val="75000"/>
                  <a:lumOff val="25000"/>
                </a:schemeClr>
              </a:solidFill>
            </a:endParaRPr>
          </a:p>
        </xdr:txBody>
      </xdr:sp>
      <xdr:sp macro="" textlink="">
        <xdr:nvSpPr>
          <xdr:cNvPr id="6" name="Round Same Side Corner Rectangle 5">
            <a:hlinkClick xmlns:r="http://schemas.openxmlformats.org/officeDocument/2006/relationships" r:id="rId4"/>
          </xdr:cNvPr>
          <xdr:cNvSpPr/>
        </xdr:nvSpPr>
        <xdr:spPr>
          <a:xfrm>
            <a:off x="68410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Matches</a:t>
            </a:r>
            <a:r>
              <a:rPr lang="en-US" sz="1200" b="0" baseline="0">
                <a:solidFill>
                  <a:schemeClr val="tx1">
                    <a:lumMod val="75000"/>
                    <a:lumOff val="25000"/>
                  </a:schemeClr>
                </a:solidFill>
              </a:rPr>
              <a:t> Schedule</a:t>
            </a:r>
            <a:endParaRPr lang="en-US" sz="1100" b="0">
              <a:solidFill>
                <a:schemeClr val="tx1">
                  <a:lumMod val="75000"/>
                  <a:lumOff val="25000"/>
                </a:schemeClr>
              </a:solidFill>
            </a:endParaRPr>
          </a:p>
        </xdr:txBody>
      </xdr:sp>
      <xdr:sp macro="" textlink="">
        <xdr:nvSpPr>
          <xdr:cNvPr id="7" name="Round Same Side Corner Rectangle 6">
            <a:hlinkClick xmlns:r="http://schemas.openxmlformats.org/officeDocument/2006/relationships" r:id="rId5"/>
          </xdr:cNvPr>
          <xdr:cNvSpPr/>
        </xdr:nvSpPr>
        <xdr:spPr>
          <a:xfrm>
            <a:off x="90508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About</a:t>
            </a:r>
            <a:endParaRPr lang="en-US" sz="1100" b="0">
              <a:solidFill>
                <a:schemeClr val="tx1">
                  <a:lumMod val="75000"/>
                  <a:lumOff val="25000"/>
                </a:schemeClr>
              </a:solidFill>
            </a:endParaRPr>
          </a:p>
        </xdr:txBody>
      </xdr:sp>
      <xdr:cxnSp macro="">
        <xdr:nvCxnSpPr>
          <xdr:cNvPr id="8" name="Straight Connector 7"/>
          <xdr:cNvCxnSpPr/>
        </xdr:nvCxnSpPr>
        <xdr:spPr>
          <a:xfrm>
            <a:off x="127000" y="414864"/>
            <a:ext cx="11768667" cy="0"/>
          </a:xfrm>
          <a:prstGeom prst="line">
            <a:avLst/>
          </a:prstGeom>
          <a:ln w="28575">
            <a:solidFill>
              <a:schemeClr val="tx2">
                <a:lumMod val="75000"/>
              </a:schemeClr>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1.xml><?xml version="1.0" encoding="utf-8"?>
<xdr:wsDr xmlns:xdr="http://schemas.openxmlformats.org/drawingml/2006/spreadsheetDrawing" xmlns:a="http://schemas.openxmlformats.org/drawingml/2006/main">
  <xdr:twoCellAnchor>
    <xdr:from>
      <xdr:col>0</xdr:col>
      <xdr:colOff>135467</xdr:colOff>
      <xdr:row>0</xdr:row>
      <xdr:rowOff>127843</xdr:rowOff>
    </xdr:from>
    <xdr:to>
      <xdr:col>31</xdr:col>
      <xdr:colOff>8467</xdr:colOff>
      <xdr:row>2</xdr:row>
      <xdr:rowOff>843</xdr:rowOff>
    </xdr:to>
    <xdr:grpSp>
      <xdr:nvGrpSpPr>
        <xdr:cNvPr id="2" name="Group 1"/>
        <xdr:cNvGrpSpPr/>
      </xdr:nvGrpSpPr>
      <xdr:grpSpPr>
        <a:xfrm>
          <a:off x="135467" y="127843"/>
          <a:ext cx="11775440" cy="254000"/>
          <a:chOff x="127000" y="144777"/>
          <a:chExt cx="11768667" cy="270087"/>
        </a:xfrm>
      </xdr:grpSpPr>
      <xdr:sp macro="" textlink="">
        <xdr:nvSpPr>
          <xdr:cNvPr id="3" name="Round Same Side Corner Rectangle 2">
            <a:hlinkClick xmlns:r="http://schemas.openxmlformats.org/officeDocument/2006/relationships" r:id="rId1"/>
          </xdr:cNvPr>
          <xdr:cNvSpPr/>
        </xdr:nvSpPr>
        <xdr:spPr>
          <a:xfrm>
            <a:off x="2116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Setup</a:t>
            </a:r>
            <a:endParaRPr lang="en-US" sz="1100" b="0">
              <a:solidFill>
                <a:schemeClr val="tx1">
                  <a:lumMod val="75000"/>
                  <a:lumOff val="25000"/>
                </a:schemeClr>
              </a:solidFill>
            </a:endParaRPr>
          </a:p>
        </xdr:txBody>
      </xdr:sp>
      <xdr:sp macro="" textlink="">
        <xdr:nvSpPr>
          <xdr:cNvPr id="4" name="Round Same Side Corner Rectangle 3">
            <a:hlinkClick xmlns:r="http://schemas.openxmlformats.org/officeDocument/2006/relationships" r:id="rId2"/>
          </xdr:cNvPr>
          <xdr:cNvSpPr/>
        </xdr:nvSpPr>
        <xdr:spPr>
          <a:xfrm>
            <a:off x="24214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Player</a:t>
            </a:r>
            <a:r>
              <a:rPr lang="en-US" sz="1200" b="0" baseline="0">
                <a:solidFill>
                  <a:schemeClr val="tx1">
                    <a:lumMod val="75000"/>
                    <a:lumOff val="25000"/>
                  </a:schemeClr>
                </a:solidFill>
              </a:rPr>
              <a:t> Scoreboard</a:t>
            </a:r>
            <a:endParaRPr lang="en-US" sz="1100" b="0">
              <a:solidFill>
                <a:schemeClr val="tx1">
                  <a:lumMod val="75000"/>
                  <a:lumOff val="25000"/>
                </a:schemeClr>
              </a:solidFill>
            </a:endParaRPr>
          </a:p>
        </xdr:txBody>
      </xdr:sp>
      <xdr:sp macro="" textlink="">
        <xdr:nvSpPr>
          <xdr:cNvPr id="5" name="Round Same Side Corner Rectangle 4">
            <a:hlinkClick xmlns:r="http://schemas.openxmlformats.org/officeDocument/2006/relationships" r:id="rId3"/>
          </xdr:cNvPr>
          <xdr:cNvSpPr/>
        </xdr:nvSpPr>
        <xdr:spPr>
          <a:xfrm>
            <a:off x="46312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Player</a:t>
            </a:r>
            <a:r>
              <a:rPr lang="en-US" sz="1200" b="0" baseline="0">
                <a:solidFill>
                  <a:schemeClr val="tx1">
                    <a:lumMod val="75000"/>
                    <a:lumOff val="25000"/>
                  </a:schemeClr>
                </a:solidFill>
              </a:rPr>
              <a:t> Leaderboard</a:t>
            </a:r>
            <a:endParaRPr lang="en-US" sz="1100" b="0">
              <a:solidFill>
                <a:schemeClr val="tx1">
                  <a:lumMod val="75000"/>
                  <a:lumOff val="25000"/>
                </a:schemeClr>
              </a:solidFill>
            </a:endParaRPr>
          </a:p>
        </xdr:txBody>
      </xdr:sp>
      <xdr:sp macro="" textlink="">
        <xdr:nvSpPr>
          <xdr:cNvPr id="6" name="Round Same Side Corner Rectangle 5">
            <a:hlinkClick xmlns:r="http://schemas.openxmlformats.org/officeDocument/2006/relationships" r:id="rId4"/>
          </xdr:cNvPr>
          <xdr:cNvSpPr/>
        </xdr:nvSpPr>
        <xdr:spPr>
          <a:xfrm>
            <a:off x="68410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Matches</a:t>
            </a:r>
            <a:r>
              <a:rPr lang="en-US" sz="1200" b="0" baseline="0">
                <a:solidFill>
                  <a:schemeClr val="tx1">
                    <a:lumMod val="75000"/>
                    <a:lumOff val="25000"/>
                  </a:schemeClr>
                </a:solidFill>
              </a:rPr>
              <a:t> Schedule</a:t>
            </a:r>
            <a:endParaRPr lang="en-US" sz="1100" b="0">
              <a:solidFill>
                <a:schemeClr val="tx1">
                  <a:lumMod val="75000"/>
                  <a:lumOff val="25000"/>
                </a:schemeClr>
              </a:solidFill>
            </a:endParaRPr>
          </a:p>
        </xdr:txBody>
      </xdr:sp>
      <xdr:sp macro="" textlink="">
        <xdr:nvSpPr>
          <xdr:cNvPr id="7" name="Round Same Side Corner Rectangle 6">
            <a:hlinkClick xmlns:r="http://schemas.openxmlformats.org/officeDocument/2006/relationships" r:id="rId5"/>
          </xdr:cNvPr>
          <xdr:cNvSpPr/>
        </xdr:nvSpPr>
        <xdr:spPr>
          <a:xfrm>
            <a:off x="90508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About</a:t>
            </a:r>
            <a:endParaRPr lang="en-US" sz="1100" b="0">
              <a:solidFill>
                <a:schemeClr val="tx1">
                  <a:lumMod val="75000"/>
                  <a:lumOff val="25000"/>
                </a:schemeClr>
              </a:solidFill>
            </a:endParaRPr>
          </a:p>
        </xdr:txBody>
      </xdr:sp>
      <xdr:cxnSp macro="">
        <xdr:nvCxnSpPr>
          <xdr:cNvPr id="8" name="Straight Connector 7"/>
          <xdr:cNvCxnSpPr/>
        </xdr:nvCxnSpPr>
        <xdr:spPr>
          <a:xfrm>
            <a:off x="127000" y="414864"/>
            <a:ext cx="11768667" cy="0"/>
          </a:xfrm>
          <a:prstGeom prst="line">
            <a:avLst/>
          </a:prstGeom>
          <a:ln w="28575">
            <a:solidFill>
              <a:schemeClr val="tx2">
                <a:lumMod val="75000"/>
              </a:schemeClr>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2.xml><?xml version="1.0" encoding="utf-8"?>
<xdr:wsDr xmlns:xdr="http://schemas.openxmlformats.org/drawingml/2006/spreadsheetDrawing" xmlns:a="http://schemas.openxmlformats.org/drawingml/2006/main">
  <xdr:twoCellAnchor>
    <xdr:from>
      <xdr:col>0</xdr:col>
      <xdr:colOff>135467</xdr:colOff>
      <xdr:row>0</xdr:row>
      <xdr:rowOff>127843</xdr:rowOff>
    </xdr:from>
    <xdr:to>
      <xdr:col>31</xdr:col>
      <xdr:colOff>8467</xdr:colOff>
      <xdr:row>2</xdr:row>
      <xdr:rowOff>843</xdr:rowOff>
    </xdr:to>
    <xdr:grpSp>
      <xdr:nvGrpSpPr>
        <xdr:cNvPr id="2" name="Group 1"/>
        <xdr:cNvGrpSpPr/>
      </xdr:nvGrpSpPr>
      <xdr:grpSpPr>
        <a:xfrm>
          <a:off x="135467" y="127843"/>
          <a:ext cx="11775440" cy="254000"/>
          <a:chOff x="127000" y="144777"/>
          <a:chExt cx="11768667" cy="270087"/>
        </a:xfrm>
      </xdr:grpSpPr>
      <xdr:sp macro="" textlink="">
        <xdr:nvSpPr>
          <xdr:cNvPr id="3" name="Round Same Side Corner Rectangle 2">
            <a:hlinkClick xmlns:r="http://schemas.openxmlformats.org/officeDocument/2006/relationships" r:id="rId1"/>
          </xdr:cNvPr>
          <xdr:cNvSpPr/>
        </xdr:nvSpPr>
        <xdr:spPr>
          <a:xfrm>
            <a:off x="2116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Setup</a:t>
            </a:r>
            <a:endParaRPr lang="en-US" sz="1100" b="0">
              <a:solidFill>
                <a:schemeClr val="tx1">
                  <a:lumMod val="75000"/>
                  <a:lumOff val="25000"/>
                </a:schemeClr>
              </a:solidFill>
            </a:endParaRPr>
          </a:p>
        </xdr:txBody>
      </xdr:sp>
      <xdr:sp macro="" textlink="">
        <xdr:nvSpPr>
          <xdr:cNvPr id="4" name="Round Same Side Corner Rectangle 3">
            <a:hlinkClick xmlns:r="http://schemas.openxmlformats.org/officeDocument/2006/relationships" r:id="rId2"/>
          </xdr:cNvPr>
          <xdr:cNvSpPr/>
        </xdr:nvSpPr>
        <xdr:spPr>
          <a:xfrm>
            <a:off x="24214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Player</a:t>
            </a:r>
            <a:r>
              <a:rPr lang="en-US" sz="1200" b="0" baseline="0">
                <a:solidFill>
                  <a:schemeClr val="tx1">
                    <a:lumMod val="75000"/>
                    <a:lumOff val="25000"/>
                  </a:schemeClr>
                </a:solidFill>
              </a:rPr>
              <a:t> Scoreboard</a:t>
            </a:r>
            <a:endParaRPr lang="en-US" sz="1100" b="0">
              <a:solidFill>
                <a:schemeClr val="tx1">
                  <a:lumMod val="75000"/>
                  <a:lumOff val="25000"/>
                </a:schemeClr>
              </a:solidFill>
            </a:endParaRPr>
          </a:p>
        </xdr:txBody>
      </xdr:sp>
      <xdr:sp macro="" textlink="">
        <xdr:nvSpPr>
          <xdr:cNvPr id="5" name="Round Same Side Corner Rectangle 4">
            <a:hlinkClick xmlns:r="http://schemas.openxmlformats.org/officeDocument/2006/relationships" r:id="rId3"/>
          </xdr:cNvPr>
          <xdr:cNvSpPr/>
        </xdr:nvSpPr>
        <xdr:spPr>
          <a:xfrm>
            <a:off x="46312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Player</a:t>
            </a:r>
            <a:r>
              <a:rPr lang="en-US" sz="1200" b="0" baseline="0">
                <a:solidFill>
                  <a:schemeClr val="tx1">
                    <a:lumMod val="75000"/>
                    <a:lumOff val="25000"/>
                  </a:schemeClr>
                </a:solidFill>
              </a:rPr>
              <a:t> Leaderboard</a:t>
            </a:r>
            <a:endParaRPr lang="en-US" sz="1100" b="0">
              <a:solidFill>
                <a:schemeClr val="tx1">
                  <a:lumMod val="75000"/>
                  <a:lumOff val="25000"/>
                </a:schemeClr>
              </a:solidFill>
            </a:endParaRPr>
          </a:p>
        </xdr:txBody>
      </xdr:sp>
      <xdr:sp macro="" textlink="">
        <xdr:nvSpPr>
          <xdr:cNvPr id="6" name="Round Same Side Corner Rectangle 5">
            <a:hlinkClick xmlns:r="http://schemas.openxmlformats.org/officeDocument/2006/relationships" r:id="rId4"/>
          </xdr:cNvPr>
          <xdr:cNvSpPr/>
        </xdr:nvSpPr>
        <xdr:spPr>
          <a:xfrm>
            <a:off x="68410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Matches</a:t>
            </a:r>
            <a:r>
              <a:rPr lang="en-US" sz="1200" b="0" baseline="0">
                <a:solidFill>
                  <a:schemeClr val="tx1">
                    <a:lumMod val="75000"/>
                    <a:lumOff val="25000"/>
                  </a:schemeClr>
                </a:solidFill>
              </a:rPr>
              <a:t> Schedule</a:t>
            </a:r>
            <a:endParaRPr lang="en-US" sz="1100" b="0">
              <a:solidFill>
                <a:schemeClr val="tx1">
                  <a:lumMod val="75000"/>
                  <a:lumOff val="25000"/>
                </a:schemeClr>
              </a:solidFill>
            </a:endParaRPr>
          </a:p>
        </xdr:txBody>
      </xdr:sp>
      <xdr:sp macro="" textlink="">
        <xdr:nvSpPr>
          <xdr:cNvPr id="7" name="Round Same Side Corner Rectangle 6">
            <a:hlinkClick xmlns:r="http://schemas.openxmlformats.org/officeDocument/2006/relationships" r:id="rId5"/>
          </xdr:cNvPr>
          <xdr:cNvSpPr/>
        </xdr:nvSpPr>
        <xdr:spPr>
          <a:xfrm>
            <a:off x="90508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About</a:t>
            </a:r>
            <a:endParaRPr lang="en-US" sz="1100" b="0">
              <a:solidFill>
                <a:schemeClr val="tx1">
                  <a:lumMod val="75000"/>
                  <a:lumOff val="25000"/>
                </a:schemeClr>
              </a:solidFill>
            </a:endParaRPr>
          </a:p>
        </xdr:txBody>
      </xdr:sp>
      <xdr:cxnSp macro="">
        <xdr:nvCxnSpPr>
          <xdr:cNvPr id="8" name="Straight Connector 7"/>
          <xdr:cNvCxnSpPr/>
        </xdr:nvCxnSpPr>
        <xdr:spPr>
          <a:xfrm>
            <a:off x="127000" y="414864"/>
            <a:ext cx="11768667" cy="0"/>
          </a:xfrm>
          <a:prstGeom prst="line">
            <a:avLst/>
          </a:prstGeom>
          <a:ln w="28575">
            <a:solidFill>
              <a:schemeClr val="tx2">
                <a:lumMod val="75000"/>
              </a:schemeClr>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3.xml><?xml version="1.0" encoding="utf-8"?>
<xdr:wsDr xmlns:xdr="http://schemas.openxmlformats.org/drawingml/2006/spreadsheetDrawing" xmlns:a="http://schemas.openxmlformats.org/drawingml/2006/main">
  <xdr:twoCellAnchor>
    <xdr:from>
      <xdr:col>0</xdr:col>
      <xdr:colOff>135467</xdr:colOff>
      <xdr:row>0</xdr:row>
      <xdr:rowOff>127843</xdr:rowOff>
    </xdr:from>
    <xdr:to>
      <xdr:col>31</xdr:col>
      <xdr:colOff>8467</xdr:colOff>
      <xdr:row>2</xdr:row>
      <xdr:rowOff>843</xdr:rowOff>
    </xdr:to>
    <xdr:grpSp>
      <xdr:nvGrpSpPr>
        <xdr:cNvPr id="2" name="Group 1"/>
        <xdr:cNvGrpSpPr/>
      </xdr:nvGrpSpPr>
      <xdr:grpSpPr>
        <a:xfrm>
          <a:off x="135467" y="127843"/>
          <a:ext cx="11775440" cy="254000"/>
          <a:chOff x="127000" y="144777"/>
          <a:chExt cx="11768667" cy="270087"/>
        </a:xfrm>
      </xdr:grpSpPr>
      <xdr:sp macro="" textlink="">
        <xdr:nvSpPr>
          <xdr:cNvPr id="3" name="Round Same Side Corner Rectangle 2">
            <a:hlinkClick xmlns:r="http://schemas.openxmlformats.org/officeDocument/2006/relationships" r:id="rId1"/>
          </xdr:cNvPr>
          <xdr:cNvSpPr/>
        </xdr:nvSpPr>
        <xdr:spPr>
          <a:xfrm>
            <a:off x="2116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Setup</a:t>
            </a:r>
            <a:endParaRPr lang="en-US" sz="1100" b="0">
              <a:solidFill>
                <a:schemeClr val="tx1">
                  <a:lumMod val="75000"/>
                  <a:lumOff val="25000"/>
                </a:schemeClr>
              </a:solidFill>
            </a:endParaRPr>
          </a:p>
        </xdr:txBody>
      </xdr:sp>
      <xdr:sp macro="" textlink="">
        <xdr:nvSpPr>
          <xdr:cNvPr id="4" name="Round Same Side Corner Rectangle 3">
            <a:hlinkClick xmlns:r="http://schemas.openxmlformats.org/officeDocument/2006/relationships" r:id="rId2"/>
          </xdr:cNvPr>
          <xdr:cNvSpPr/>
        </xdr:nvSpPr>
        <xdr:spPr>
          <a:xfrm>
            <a:off x="24214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Player</a:t>
            </a:r>
            <a:r>
              <a:rPr lang="en-US" sz="1200" b="0" baseline="0">
                <a:solidFill>
                  <a:schemeClr val="tx1">
                    <a:lumMod val="75000"/>
                    <a:lumOff val="25000"/>
                  </a:schemeClr>
                </a:solidFill>
              </a:rPr>
              <a:t> Scoreboard</a:t>
            </a:r>
            <a:endParaRPr lang="en-US" sz="1100" b="0">
              <a:solidFill>
                <a:schemeClr val="tx1">
                  <a:lumMod val="75000"/>
                  <a:lumOff val="25000"/>
                </a:schemeClr>
              </a:solidFill>
            </a:endParaRPr>
          </a:p>
        </xdr:txBody>
      </xdr:sp>
      <xdr:sp macro="" textlink="">
        <xdr:nvSpPr>
          <xdr:cNvPr id="5" name="Round Same Side Corner Rectangle 4">
            <a:hlinkClick xmlns:r="http://schemas.openxmlformats.org/officeDocument/2006/relationships" r:id="rId3"/>
          </xdr:cNvPr>
          <xdr:cNvSpPr/>
        </xdr:nvSpPr>
        <xdr:spPr>
          <a:xfrm>
            <a:off x="46312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Player</a:t>
            </a:r>
            <a:r>
              <a:rPr lang="en-US" sz="1200" b="0" baseline="0">
                <a:solidFill>
                  <a:schemeClr val="tx1">
                    <a:lumMod val="75000"/>
                    <a:lumOff val="25000"/>
                  </a:schemeClr>
                </a:solidFill>
              </a:rPr>
              <a:t> Leaderboard</a:t>
            </a:r>
            <a:endParaRPr lang="en-US" sz="1100" b="0">
              <a:solidFill>
                <a:schemeClr val="tx1">
                  <a:lumMod val="75000"/>
                  <a:lumOff val="25000"/>
                </a:schemeClr>
              </a:solidFill>
            </a:endParaRPr>
          </a:p>
        </xdr:txBody>
      </xdr:sp>
      <xdr:sp macro="" textlink="">
        <xdr:nvSpPr>
          <xdr:cNvPr id="6" name="Round Same Side Corner Rectangle 5">
            <a:hlinkClick xmlns:r="http://schemas.openxmlformats.org/officeDocument/2006/relationships" r:id="rId4"/>
          </xdr:cNvPr>
          <xdr:cNvSpPr/>
        </xdr:nvSpPr>
        <xdr:spPr>
          <a:xfrm>
            <a:off x="68410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Matches</a:t>
            </a:r>
            <a:r>
              <a:rPr lang="en-US" sz="1200" b="0" baseline="0">
                <a:solidFill>
                  <a:schemeClr val="tx1">
                    <a:lumMod val="75000"/>
                    <a:lumOff val="25000"/>
                  </a:schemeClr>
                </a:solidFill>
              </a:rPr>
              <a:t> Schedule</a:t>
            </a:r>
            <a:endParaRPr lang="en-US" sz="1100" b="0">
              <a:solidFill>
                <a:schemeClr val="tx1">
                  <a:lumMod val="75000"/>
                  <a:lumOff val="25000"/>
                </a:schemeClr>
              </a:solidFill>
            </a:endParaRPr>
          </a:p>
        </xdr:txBody>
      </xdr:sp>
      <xdr:sp macro="" textlink="">
        <xdr:nvSpPr>
          <xdr:cNvPr id="7" name="Round Same Side Corner Rectangle 6">
            <a:hlinkClick xmlns:r="http://schemas.openxmlformats.org/officeDocument/2006/relationships" r:id="rId5"/>
          </xdr:cNvPr>
          <xdr:cNvSpPr/>
        </xdr:nvSpPr>
        <xdr:spPr>
          <a:xfrm>
            <a:off x="90508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About</a:t>
            </a:r>
            <a:endParaRPr lang="en-US" sz="1100" b="0">
              <a:solidFill>
                <a:schemeClr val="tx1">
                  <a:lumMod val="75000"/>
                  <a:lumOff val="25000"/>
                </a:schemeClr>
              </a:solidFill>
            </a:endParaRPr>
          </a:p>
        </xdr:txBody>
      </xdr:sp>
      <xdr:cxnSp macro="">
        <xdr:nvCxnSpPr>
          <xdr:cNvPr id="8" name="Straight Connector 7"/>
          <xdr:cNvCxnSpPr/>
        </xdr:nvCxnSpPr>
        <xdr:spPr>
          <a:xfrm>
            <a:off x="127000" y="414864"/>
            <a:ext cx="11768667" cy="0"/>
          </a:xfrm>
          <a:prstGeom prst="line">
            <a:avLst/>
          </a:prstGeom>
          <a:ln w="28575">
            <a:solidFill>
              <a:schemeClr val="tx2">
                <a:lumMod val="75000"/>
              </a:schemeClr>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4.xml><?xml version="1.0" encoding="utf-8"?>
<xdr:wsDr xmlns:xdr="http://schemas.openxmlformats.org/drawingml/2006/spreadsheetDrawing" xmlns:a="http://schemas.openxmlformats.org/drawingml/2006/main">
  <xdr:twoCellAnchor editAs="oneCell">
    <xdr:from>
      <xdr:col>0</xdr:col>
      <xdr:colOff>114300</xdr:colOff>
      <xdr:row>0</xdr:row>
      <xdr:rowOff>114300</xdr:rowOff>
    </xdr:from>
    <xdr:to>
      <xdr:col>47</xdr:col>
      <xdr:colOff>73152</xdr:colOff>
      <xdr:row>2</xdr:row>
      <xdr:rowOff>39794</xdr:rowOff>
    </xdr:to>
    <xdr:grpSp>
      <xdr:nvGrpSpPr>
        <xdr:cNvPr id="2" name="Group 1"/>
        <xdr:cNvGrpSpPr/>
      </xdr:nvGrpSpPr>
      <xdr:grpSpPr>
        <a:xfrm>
          <a:off x="114300" y="114300"/>
          <a:ext cx="11777472" cy="260774"/>
          <a:chOff x="127000" y="144777"/>
          <a:chExt cx="11768667" cy="270087"/>
        </a:xfrm>
      </xdr:grpSpPr>
      <xdr:sp macro="" textlink="">
        <xdr:nvSpPr>
          <xdr:cNvPr id="3" name="Round Same Side Corner Rectangle 2">
            <a:hlinkClick xmlns:r="http://schemas.openxmlformats.org/officeDocument/2006/relationships" r:id="rId1"/>
          </xdr:cNvPr>
          <xdr:cNvSpPr/>
        </xdr:nvSpPr>
        <xdr:spPr>
          <a:xfrm>
            <a:off x="2116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Setup</a:t>
            </a:r>
            <a:endParaRPr lang="en-US" sz="1100" b="0">
              <a:solidFill>
                <a:schemeClr val="tx1">
                  <a:lumMod val="75000"/>
                  <a:lumOff val="25000"/>
                </a:schemeClr>
              </a:solidFill>
            </a:endParaRPr>
          </a:p>
        </xdr:txBody>
      </xdr:sp>
      <xdr:sp macro="" textlink="">
        <xdr:nvSpPr>
          <xdr:cNvPr id="4" name="Round Same Side Corner Rectangle 3">
            <a:hlinkClick xmlns:r="http://schemas.openxmlformats.org/officeDocument/2006/relationships" r:id="rId2"/>
          </xdr:cNvPr>
          <xdr:cNvSpPr/>
        </xdr:nvSpPr>
        <xdr:spPr>
          <a:xfrm>
            <a:off x="24214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Player</a:t>
            </a:r>
            <a:r>
              <a:rPr lang="en-US" sz="1200" b="0" baseline="0">
                <a:solidFill>
                  <a:schemeClr val="tx1">
                    <a:lumMod val="75000"/>
                    <a:lumOff val="25000"/>
                  </a:schemeClr>
                </a:solidFill>
              </a:rPr>
              <a:t> Scoreboard</a:t>
            </a:r>
            <a:endParaRPr lang="en-US" sz="1100" b="0">
              <a:solidFill>
                <a:schemeClr val="tx1">
                  <a:lumMod val="75000"/>
                  <a:lumOff val="25000"/>
                </a:schemeClr>
              </a:solidFill>
            </a:endParaRPr>
          </a:p>
        </xdr:txBody>
      </xdr:sp>
      <xdr:sp macro="" textlink="">
        <xdr:nvSpPr>
          <xdr:cNvPr id="5" name="Round Same Side Corner Rectangle 4">
            <a:hlinkClick xmlns:r="http://schemas.openxmlformats.org/officeDocument/2006/relationships" r:id="rId3"/>
          </xdr:cNvPr>
          <xdr:cNvSpPr/>
        </xdr:nvSpPr>
        <xdr:spPr>
          <a:xfrm>
            <a:off x="46312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1">
                    <a:lumMod val="75000"/>
                    <a:lumOff val="25000"/>
                  </a:schemeClr>
                </a:solidFill>
              </a:rPr>
              <a:t>Player</a:t>
            </a:r>
            <a:r>
              <a:rPr lang="en-US" sz="1200" b="0" baseline="0">
                <a:solidFill>
                  <a:schemeClr val="tx1">
                    <a:lumMod val="75000"/>
                    <a:lumOff val="25000"/>
                  </a:schemeClr>
                </a:solidFill>
              </a:rPr>
              <a:t> Leaderboard</a:t>
            </a:r>
            <a:endParaRPr lang="en-US" sz="1100" b="0">
              <a:solidFill>
                <a:schemeClr val="tx1">
                  <a:lumMod val="75000"/>
                  <a:lumOff val="25000"/>
                </a:schemeClr>
              </a:solidFill>
            </a:endParaRPr>
          </a:p>
        </xdr:txBody>
      </xdr:sp>
      <xdr:sp macro="" textlink="">
        <xdr:nvSpPr>
          <xdr:cNvPr id="6" name="Round Same Side Corner Rectangle 5">
            <a:hlinkClick xmlns:r="http://schemas.openxmlformats.org/officeDocument/2006/relationships" r:id="rId4"/>
          </xdr:cNvPr>
          <xdr:cNvSpPr/>
        </xdr:nvSpPr>
        <xdr:spPr>
          <a:xfrm>
            <a:off x="6841065" y="144777"/>
            <a:ext cx="2057400" cy="270087"/>
          </a:xfrm>
          <a:prstGeom prst="round2SameRect">
            <a:avLst/>
          </a:prstGeom>
          <a:solidFill>
            <a:schemeClr val="tx2">
              <a:lumMod val="60000"/>
              <a:lumOff val="40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0">
                <a:solidFill>
                  <a:schemeClr val="tx2">
                    <a:lumMod val="75000"/>
                  </a:schemeClr>
                </a:solidFill>
              </a:rPr>
              <a:t>Matches</a:t>
            </a:r>
            <a:r>
              <a:rPr lang="en-US" sz="1200" b="0" baseline="0">
                <a:solidFill>
                  <a:schemeClr val="tx2">
                    <a:lumMod val="75000"/>
                  </a:schemeClr>
                </a:solidFill>
              </a:rPr>
              <a:t> Schedule</a:t>
            </a:r>
            <a:endParaRPr lang="en-US" sz="1100" b="0">
              <a:solidFill>
                <a:schemeClr val="tx2">
                  <a:lumMod val="75000"/>
                </a:schemeClr>
              </a:solidFill>
            </a:endParaRPr>
          </a:p>
        </xdr:txBody>
      </xdr:sp>
      <xdr:sp macro="" textlink="">
        <xdr:nvSpPr>
          <xdr:cNvPr id="7" name="Round Same Side Corner Rectangle 6">
            <a:hlinkClick xmlns:r="http://schemas.openxmlformats.org/officeDocument/2006/relationships" r:id="rId5"/>
          </xdr:cNvPr>
          <xdr:cNvSpPr/>
        </xdr:nvSpPr>
        <xdr:spPr>
          <a:xfrm>
            <a:off x="9050865" y="144777"/>
            <a:ext cx="2057400" cy="270087"/>
          </a:xfrm>
          <a:prstGeom prst="round2SameRect">
            <a:avLst/>
          </a:prstGeom>
          <a:solidFill>
            <a:schemeClr val="tx2">
              <a:lumMod val="75000"/>
            </a:schemeClr>
          </a:solidFill>
          <a:ln>
            <a:solidFill>
              <a:schemeClr val="tx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solidFill>
                  <a:schemeClr val="bg1"/>
                </a:solidFill>
              </a:rPr>
              <a:t>About</a:t>
            </a:r>
            <a:endParaRPr lang="en-US" sz="1100" b="1">
              <a:solidFill>
                <a:schemeClr val="bg1"/>
              </a:solidFill>
            </a:endParaRPr>
          </a:p>
        </xdr:txBody>
      </xdr:sp>
      <xdr:cxnSp macro="">
        <xdr:nvCxnSpPr>
          <xdr:cNvPr id="8" name="Straight Connector 7"/>
          <xdr:cNvCxnSpPr/>
        </xdr:nvCxnSpPr>
        <xdr:spPr>
          <a:xfrm>
            <a:off x="127000" y="414864"/>
            <a:ext cx="11768667" cy="0"/>
          </a:xfrm>
          <a:prstGeom prst="line">
            <a:avLst/>
          </a:prstGeom>
          <a:ln w="28575">
            <a:solidFill>
              <a:schemeClr val="tx2">
                <a:lumMod val="75000"/>
              </a:schemeClr>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198120</xdr:colOff>
      <xdr:row>3</xdr:row>
      <xdr:rowOff>30480</xdr:rowOff>
    </xdr:from>
    <xdr:to>
      <xdr:col>22</xdr:col>
      <xdr:colOff>91440</xdr:colOff>
      <xdr:row>12</xdr:row>
      <xdr:rowOff>22860</xdr:rowOff>
    </xdr:to>
    <xdr:sp macro="" textlink="">
      <xdr:nvSpPr>
        <xdr:cNvPr id="9" name="TextBox 8"/>
        <xdr:cNvSpPr txBox="1"/>
      </xdr:nvSpPr>
      <xdr:spPr>
        <a:xfrm>
          <a:off x="198120" y="533400"/>
          <a:ext cx="5425440" cy="170688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100" b="1">
              <a:solidFill>
                <a:schemeClr val="dk1"/>
              </a:solidFill>
              <a:effectLst/>
              <a:latin typeface="+mn-lt"/>
              <a:ea typeface="+mn-ea"/>
              <a:cs typeface="+mn-cs"/>
            </a:rPr>
            <a:t>World Cup 2014</a:t>
          </a:r>
          <a:r>
            <a:rPr lang="en-US" sz="1100" b="1" baseline="0">
              <a:solidFill>
                <a:schemeClr val="dk1"/>
              </a:solidFill>
              <a:effectLst/>
              <a:latin typeface="+mn-lt"/>
              <a:ea typeface="+mn-ea"/>
              <a:cs typeface="+mn-cs"/>
            </a:rPr>
            <a:t> </a:t>
          </a:r>
          <a:r>
            <a:rPr lang="en-US" sz="1100" b="1">
              <a:solidFill>
                <a:schemeClr val="dk1"/>
              </a:solidFill>
              <a:effectLst/>
              <a:latin typeface="+mn-lt"/>
              <a:ea typeface="+mn-ea"/>
              <a:cs typeface="+mn-cs"/>
            </a:rPr>
            <a:t>Office Pool</a:t>
          </a:r>
          <a:r>
            <a:rPr lang="en-US" sz="1100" b="1" baseline="0">
              <a:solidFill>
                <a:schemeClr val="dk1"/>
              </a:solidFill>
              <a:effectLst/>
              <a:latin typeface="+mn-lt"/>
              <a:ea typeface="+mn-ea"/>
              <a:cs typeface="+mn-cs"/>
            </a:rPr>
            <a:t> Lite</a:t>
          </a:r>
        </a:p>
        <a:p>
          <a:pPr algn="ctr"/>
          <a:r>
            <a:rPr lang="en-US" sz="1100" baseline="0">
              <a:solidFill>
                <a:schemeClr val="dk1"/>
              </a:solidFill>
              <a:effectLst/>
              <a:latin typeface="+mn-lt"/>
              <a:ea typeface="+mn-ea"/>
              <a:cs typeface="+mn-cs"/>
            </a:rPr>
            <a:t>V1.50</a:t>
          </a:r>
        </a:p>
        <a:p>
          <a:pPr algn="ctr"/>
          <a:endParaRPr lang="en-US">
            <a:effectLst/>
          </a:endParaRPr>
        </a:p>
        <a:p>
          <a:pPr algn="ctr"/>
          <a:r>
            <a:rPr lang="en-US" sz="1100" baseline="0">
              <a:solidFill>
                <a:schemeClr val="dk1"/>
              </a:solidFill>
              <a:effectLst/>
              <a:latin typeface="+mn-lt"/>
              <a:ea typeface="+mn-ea"/>
              <a:cs typeface="+mn-cs"/>
            </a:rPr>
            <a:t>License: Free for Personal Usage (read EULA)</a:t>
          </a:r>
          <a:endParaRPr lang="en-US">
            <a:effectLst/>
          </a:endParaRPr>
        </a:p>
        <a:p>
          <a:pPr algn="ctr"/>
          <a:r>
            <a:rPr lang="en-US" sz="1100" baseline="0">
              <a:solidFill>
                <a:schemeClr val="dk1"/>
              </a:solidFill>
              <a:effectLst/>
              <a:latin typeface="+mn-lt"/>
              <a:ea typeface="+mn-ea"/>
              <a:cs typeface="+mn-cs"/>
            </a:rPr>
            <a:t>Copyrights (c) 2014 - Exceltemplate.net</a:t>
          </a:r>
          <a:endParaRPr lang="en-US">
            <a:effectLst/>
          </a:endParaRPr>
        </a:p>
        <a:p>
          <a:pPr algn="ctr"/>
          <a:r>
            <a:rPr lang="en-US" sz="1100" baseline="0">
              <a:solidFill>
                <a:schemeClr val="dk1"/>
              </a:solidFill>
              <a:effectLst/>
              <a:latin typeface="+mn-lt"/>
              <a:ea typeface="+mn-ea"/>
              <a:cs typeface="+mn-cs"/>
            </a:rPr>
            <a:t>All rights reserved</a:t>
          </a:r>
        </a:p>
        <a:p>
          <a:pPr algn="ctr"/>
          <a:endParaRPr lang="en-US">
            <a:effectLst/>
          </a:endParaRPr>
        </a:p>
        <a:p>
          <a:pPr algn="ctr"/>
          <a:r>
            <a:rPr lang="en-US" sz="1100" baseline="0">
              <a:solidFill>
                <a:schemeClr val="dk1"/>
              </a:solidFill>
              <a:effectLst/>
              <a:latin typeface="+mn-lt"/>
              <a:ea typeface="+mn-ea"/>
              <a:cs typeface="+mn-cs"/>
            </a:rPr>
            <a:t>More template information</a:t>
          </a:r>
          <a:endParaRPr lang="en-US">
            <a:effectLst/>
          </a:endParaRPr>
        </a:p>
        <a:p>
          <a:pPr algn="ctr"/>
          <a:r>
            <a:rPr lang="en-US" sz="1100">
              <a:solidFill>
                <a:schemeClr val="dk1"/>
              </a:solidFill>
              <a:effectLst/>
              <a:latin typeface="+mn-lt"/>
              <a:ea typeface="+mn-ea"/>
              <a:cs typeface="+mn-cs"/>
            </a:rPr>
            <a:t>http://exceltemplate.net/sports/world-cup-2014-office-pool-spreadsheet/</a:t>
          </a:r>
          <a:endParaRPr lang="en-US">
            <a:effectLst/>
          </a:endParaRPr>
        </a:p>
        <a:p>
          <a:endParaRPr lang="en-US" sz="1100"/>
        </a:p>
      </xdr:txBody>
    </xdr:sp>
    <xdr:clientData/>
  </xdr:twoCellAnchor>
  <xdr:twoCellAnchor>
    <xdr:from>
      <xdr:col>0</xdr:col>
      <xdr:colOff>205740</xdr:colOff>
      <xdr:row>12</xdr:row>
      <xdr:rowOff>175260</xdr:rowOff>
    </xdr:from>
    <xdr:to>
      <xdr:col>22</xdr:col>
      <xdr:colOff>99060</xdr:colOff>
      <xdr:row>18</xdr:row>
      <xdr:rowOff>114300</xdr:rowOff>
    </xdr:to>
    <xdr:sp macro="" textlink="">
      <xdr:nvSpPr>
        <xdr:cNvPr id="10" name="TextBox 9"/>
        <xdr:cNvSpPr txBox="1"/>
      </xdr:nvSpPr>
      <xdr:spPr>
        <a:xfrm>
          <a:off x="205740" y="2392680"/>
          <a:ext cx="5425440" cy="10820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100" b="0">
              <a:solidFill>
                <a:schemeClr val="dk1"/>
              </a:solidFill>
              <a:effectLst/>
              <a:latin typeface="+mn-lt"/>
              <a:ea typeface="+mn-ea"/>
              <a:cs typeface="+mn-cs"/>
            </a:rPr>
            <a:t>Below are several of my sport</a:t>
          </a:r>
          <a:r>
            <a:rPr lang="en-US" sz="1100" b="0" baseline="0">
              <a:solidFill>
                <a:schemeClr val="dk1"/>
              </a:solidFill>
              <a:effectLst/>
              <a:latin typeface="+mn-lt"/>
              <a:ea typeface="+mn-ea"/>
              <a:cs typeface="+mn-cs"/>
            </a:rPr>
            <a:t> templates that you might need. You can download or purchase where you can learn the formula, create your own sport competition or modify its layout to meet your own requirement</a:t>
          </a:r>
          <a:endParaRPr lang="en-US" sz="1100"/>
        </a:p>
      </xdr:txBody>
    </xdr:sp>
    <xdr:clientData/>
  </xdr:twoCellAnchor>
  <xdr:oneCellAnchor>
    <xdr:from>
      <xdr:col>20</xdr:col>
      <xdr:colOff>161926</xdr:colOff>
      <xdr:row>39</xdr:row>
      <xdr:rowOff>58197</xdr:rowOff>
    </xdr:from>
    <xdr:ext cx="914400" cy="320040"/>
    <xdr:pic>
      <xdr:nvPicPr>
        <xdr:cNvPr id="16" name="Picture 15">
          <a:hlinkClick xmlns:r="http://schemas.openxmlformats.org/officeDocument/2006/relationships" r:id="rId6"/>
        </xdr:cNvPr>
        <xdr:cNvPicPr>
          <a:picLocks/>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5191126" y="9583197"/>
          <a:ext cx="914400" cy="320040"/>
        </a:xfrm>
        <a:prstGeom prst="rect">
          <a:avLst/>
        </a:prstGeom>
      </xdr:spPr>
    </xdr:pic>
    <xdr:clientData/>
  </xdr:oneCellAnchor>
  <xdr:oneCellAnchor>
    <xdr:from>
      <xdr:col>20</xdr:col>
      <xdr:colOff>167640</xdr:colOff>
      <xdr:row>41</xdr:row>
      <xdr:rowOff>45720</xdr:rowOff>
    </xdr:from>
    <xdr:ext cx="914400" cy="320040"/>
    <xdr:pic>
      <xdr:nvPicPr>
        <xdr:cNvPr id="17" name="Picture 16">
          <a:hlinkClick xmlns:r="http://schemas.openxmlformats.org/officeDocument/2006/relationships" r:id="rId8"/>
        </xdr:cNvPr>
        <xdr:cNvPicPr>
          <a:picLocks/>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5196840" y="9951720"/>
          <a:ext cx="914400" cy="320040"/>
        </a:xfrm>
        <a:prstGeom prst="rect">
          <a:avLst/>
        </a:prstGeom>
      </xdr:spPr>
    </xdr:pic>
    <xdr:clientData/>
  </xdr:oneCellAnchor>
  <xdr:oneCellAnchor>
    <xdr:from>
      <xdr:col>45</xdr:col>
      <xdr:colOff>198120</xdr:colOff>
      <xdr:row>39</xdr:row>
      <xdr:rowOff>45720</xdr:rowOff>
    </xdr:from>
    <xdr:ext cx="914400" cy="320040"/>
    <xdr:pic>
      <xdr:nvPicPr>
        <xdr:cNvPr id="18" name="Picture 17">
          <a:hlinkClick xmlns:r="http://schemas.openxmlformats.org/officeDocument/2006/relationships" r:id="rId9"/>
        </xdr:cNvPr>
        <xdr:cNvPicPr>
          <a:picLocks/>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11513820" y="9570720"/>
          <a:ext cx="914400" cy="320040"/>
        </a:xfrm>
        <a:prstGeom prst="rect">
          <a:avLst/>
        </a:prstGeom>
      </xdr:spPr>
    </xdr:pic>
    <xdr:clientData/>
  </xdr:oneCellAnchor>
  <xdr:oneCellAnchor>
    <xdr:from>
      <xdr:col>20</xdr:col>
      <xdr:colOff>175260</xdr:colOff>
      <xdr:row>52</xdr:row>
      <xdr:rowOff>45719</xdr:rowOff>
    </xdr:from>
    <xdr:ext cx="914400" cy="322252"/>
    <xdr:pic>
      <xdr:nvPicPr>
        <xdr:cNvPr id="19" name="Picture 18">
          <a:hlinkClick xmlns:r="http://schemas.openxmlformats.org/officeDocument/2006/relationships" r:id="rId10"/>
        </xdr:cNvPr>
        <xdr:cNvPicPr>
          <a:picLocks/>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5204460" y="13190219"/>
          <a:ext cx="914400" cy="322252"/>
        </a:xfrm>
        <a:prstGeom prst="rect">
          <a:avLst/>
        </a:prstGeom>
      </xdr:spPr>
    </xdr:pic>
    <xdr:clientData/>
  </xdr:oneCellAnchor>
  <xdr:oneCellAnchor>
    <xdr:from>
      <xdr:col>45</xdr:col>
      <xdr:colOff>190500</xdr:colOff>
      <xdr:row>49</xdr:row>
      <xdr:rowOff>45719</xdr:rowOff>
    </xdr:from>
    <xdr:ext cx="914400" cy="322252"/>
    <xdr:pic>
      <xdr:nvPicPr>
        <xdr:cNvPr id="20" name="Picture 19">
          <a:hlinkClick xmlns:r="http://schemas.openxmlformats.org/officeDocument/2006/relationships" r:id="rId11"/>
        </xdr:cNvPr>
        <xdr:cNvPicPr>
          <a:picLocks/>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11506200" y="12047219"/>
          <a:ext cx="914400" cy="322252"/>
        </a:xfrm>
        <a:prstGeom prst="rect">
          <a:avLst/>
        </a:prstGeom>
      </xdr:spPr>
    </xdr:pic>
    <xdr:clientData/>
  </xdr:oneCellAnchor>
  <xdr:oneCellAnchor>
    <xdr:from>
      <xdr:col>20</xdr:col>
      <xdr:colOff>190500</xdr:colOff>
      <xdr:row>24</xdr:row>
      <xdr:rowOff>45719</xdr:rowOff>
    </xdr:from>
    <xdr:ext cx="914400" cy="322252"/>
    <xdr:pic>
      <xdr:nvPicPr>
        <xdr:cNvPr id="21" name="Picture 20">
          <a:hlinkClick xmlns:r="http://schemas.openxmlformats.org/officeDocument/2006/relationships" r:id="rId12"/>
        </xdr:cNvPr>
        <xdr:cNvPicPr>
          <a:picLocks/>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5219700" y="4998719"/>
          <a:ext cx="914400" cy="322252"/>
        </a:xfrm>
        <a:prstGeom prst="rect">
          <a:avLst/>
        </a:prstGeom>
      </xdr:spPr>
    </xdr:pic>
    <xdr:clientData/>
  </xdr:oneCellAnchor>
  <xdr:oneCellAnchor>
    <xdr:from>
      <xdr:col>45</xdr:col>
      <xdr:colOff>190500</xdr:colOff>
      <xdr:row>24</xdr:row>
      <xdr:rowOff>45719</xdr:rowOff>
    </xdr:from>
    <xdr:ext cx="914400" cy="322252"/>
    <xdr:pic>
      <xdr:nvPicPr>
        <xdr:cNvPr id="22" name="Picture 21">
          <a:hlinkClick xmlns:r="http://schemas.openxmlformats.org/officeDocument/2006/relationships" r:id="rId13"/>
        </xdr:cNvPr>
        <xdr:cNvPicPr>
          <a:picLocks/>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11506200" y="4998719"/>
          <a:ext cx="914400" cy="322252"/>
        </a:xfrm>
        <a:prstGeom prst="rect">
          <a:avLst/>
        </a:prstGeom>
      </xdr:spPr>
    </xdr:pic>
    <xdr:clientData/>
  </xdr:oneCellAnchor>
  <xdr:oneCellAnchor>
    <xdr:from>
      <xdr:col>20</xdr:col>
      <xdr:colOff>190500</xdr:colOff>
      <xdr:row>31</xdr:row>
      <xdr:rowOff>45719</xdr:rowOff>
    </xdr:from>
    <xdr:ext cx="914400" cy="322252"/>
    <xdr:pic>
      <xdr:nvPicPr>
        <xdr:cNvPr id="23" name="Picture 22">
          <a:hlinkClick xmlns:r="http://schemas.openxmlformats.org/officeDocument/2006/relationships" r:id="rId14"/>
        </xdr:cNvPr>
        <xdr:cNvPicPr>
          <a:picLocks/>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5219700" y="7094219"/>
          <a:ext cx="914400" cy="322252"/>
        </a:xfrm>
        <a:prstGeom prst="rect">
          <a:avLst/>
        </a:prstGeom>
      </xdr:spPr>
    </xdr:pic>
    <xdr:clientData/>
  </xdr:oneCellAnchor>
  <xdr:oneCellAnchor>
    <xdr:from>
      <xdr:col>45</xdr:col>
      <xdr:colOff>190500</xdr:colOff>
      <xdr:row>31</xdr:row>
      <xdr:rowOff>45719</xdr:rowOff>
    </xdr:from>
    <xdr:ext cx="914400" cy="322252"/>
    <xdr:pic>
      <xdr:nvPicPr>
        <xdr:cNvPr id="24" name="Picture 23">
          <a:hlinkClick xmlns:r="http://schemas.openxmlformats.org/officeDocument/2006/relationships" r:id="rId15"/>
        </xdr:cNvPr>
        <xdr:cNvPicPr>
          <a:picLocks/>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11506200" y="7094219"/>
          <a:ext cx="914400" cy="322252"/>
        </a:xfrm>
        <a:prstGeom prst="rect">
          <a:avLst/>
        </a:prstGeom>
      </xdr:spPr>
    </xdr:pic>
    <xdr:clientData/>
  </xdr:oneCellAnchor>
  <xdr:twoCellAnchor>
    <xdr:from>
      <xdr:col>2</xdr:col>
      <xdr:colOff>7620</xdr:colOff>
      <xdr:row>56</xdr:row>
      <xdr:rowOff>68580</xdr:rowOff>
    </xdr:from>
    <xdr:to>
      <xdr:col>49</xdr:col>
      <xdr:colOff>243840</xdr:colOff>
      <xdr:row>118</xdr:row>
      <xdr:rowOff>38100</xdr:rowOff>
    </xdr:to>
    <xdr:sp macro="" textlink="">
      <xdr:nvSpPr>
        <xdr:cNvPr id="25" name="TextBox 24"/>
        <xdr:cNvSpPr txBox="1"/>
      </xdr:nvSpPr>
      <xdr:spPr>
        <a:xfrm>
          <a:off x="510540" y="14097000"/>
          <a:ext cx="12054840" cy="1077468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a:t>SINGLE USER LICENSE AGREEMENT</a:t>
          </a:r>
        </a:p>
        <a:p>
          <a:endParaRPr lang="en-US" sz="1100"/>
        </a:p>
        <a:p>
          <a:r>
            <a:rPr lang="en-US" sz="1100" b="1"/>
            <a:t>IMPORTANT. PLEASE READ THE TERMS AND CONDITIONS OF THIS LICENSE AGREEMENT CAREFULLY BEFORE USING THIS SOFTWARE</a:t>
          </a:r>
        </a:p>
        <a:p>
          <a:r>
            <a:rPr lang="en-US" sz="1100"/>
            <a:t>This is a legal agreement between you (either an individual or a single entity) and EXCELTEMPLATE.NET for the WORLD CUP 2014 OFFICE POOL LITE identified above which may include associated software components, media, printed materials, and "online" or electronic documentation ("WORLD CUP 2014 OFFICE POOL LITE"). By installing, copying, or otherwise using the WORLD CUP 2014 OFFICE POOL LITE, you agree to be bound by the terms of this agreement. This license agreement represents the entire agreement concerning the program between you and EXCELTEMPLATE.NET, (referred to as "licenser"), and it supersedes any prior proposal, representation, or understanding between the parties. If you do not agree to the terms of this agreement, do not install or use the WORLD CUP 2014 OFFICE POOL LITE.</a:t>
          </a:r>
        </a:p>
        <a:p>
          <a:endParaRPr lang="en-US" sz="1100"/>
        </a:p>
        <a:p>
          <a:r>
            <a:rPr lang="en-US" sz="1100"/>
            <a:t>The WORLD CUP 2014 OFFICE POOL LITE is protected by copyright laws and international copyright treaties, as well as other intellectual property laws and treaties. The WORLD CUP 2014 OFFICE POOL LITE is licensed, not sold.</a:t>
          </a:r>
        </a:p>
        <a:p>
          <a:endParaRPr lang="en-US" sz="1100"/>
        </a:p>
        <a:p>
          <a:r>
            <a:rPr lang="en-US" sz="1100" b="1"/>
            <a:t>1. GRANT OF LICENSE TO A SINGLE USER.</a:t>
          </a:r>
        </a:p>
        <a:p>
          <a:r>
            <a:rPr lang="en-US" sz="1100"/>
            <a:t>The WORLD CUP 2014 OFFICE POOL LITE is licensed as follows:</a:t>
          </a:r>
        </a:p>
        <a:p>
          <a:r>
            <a:rPr lang="en-US" sz="1100"/>
            <a:t>(a) Installation and Use.</a:t>
          </a:r>
        </a:p>
        <a:p>
          <a:r>
            <a:rPr lang="en-US" sz="1100"/>
            <a:t>EXCELTEMPLATE.NET grants you the right to install and use copies of the WORLD CUP 2014 OFFICE POOL LITE on your own computer running validly licensed copies of the office suite [Microsoft Excel 2007, Microsoft Excel 2010, Microsoft Excel 2013) and Windows operating system [Windows NT, Windows 98, Windows 2000, Windows 2003, Windows XP, Windows ME, Windows Vista, Windows 7, Windows 8] for which the WORLD CUP 2014 OFFICE POOL LITE was designed.</a:t>
          </a:r>
        </a:p>
        <a:p>
          <a:r>
            <a:rPr lang="en-US" sz="1100"/>
            <a:t>(b) Backup Copies.</a:t>
          </a:r>
        </a:p>
        <a:p>
          <a:r>
            <a:rPr lang="en-US" sz="1100"/>
            <a:t>You may also make copies of the WORLD CUP 2014 OFFICE POOL LITE as may be necessary for backup and archival purposes.</a:t>
          </a:r>
        </a:p>
        <a:p>
          <a:endParaRPr lang="en-US" sz="1100"/>
        </a:p>
        <a:p>
          <a:r>
            <a:rPr lang="en-US" sz="1100" b="1"/>
            <a:t>2. DESCRIPTION OF OTHER RIGHTS AND LIMITATIONS.</a:t>
          </a:r>
        </a:p>
        <a:p>
          <a:r>
            <a:rPr lang="en-US" sz="1100"/>
            <a:t>(a) Maintenance of Copyright Notices.</a:t>
          </a:r>
        </a:p>
        <a:p>
          <a:r>
            <a:rPr lang="en-US" sz="1100"/>
            <a:t>You must not remove or alter any copyright notices on any and all copies of the WORLD CUP 2014 OFFICE POOL LITE.</a:t>
          </a:r>
        </a:p>
        <a:p>
          <a:r>
            <a:rPr lang="en-US" sz="1100"/>
            <a:t>(b) Distribution.</a:t>
          </a:r>
        </a:p>
        <a:p>
          <a:r>
            <a:rPr lang="en-US" sz="1100"/>
            <a:t>You may not distribute registered copies of the WORLD CUP 2014 OFFICE POOL LITE to third parties. The customized version may be used and shared within your company, but it may NOT be sold, distributed, or placed on a public server which could be accessed through internet without permission. Evaluation versions available for download from EXCELTEMPLATE.NET's websites may be freely distributed.</a:t>
          </a:r>
        </a:p>
        <a:p>
          <a:r>
            <a:rPr lang="en-US" sz="1100"/>
            <a:t>(c) Prohibition on Reverse Engineering, Decompilation, and Disassembly.</a:t>
          </a:r>
        </a:p>
        <a:p>
          <a:r>
            <a:rPr lang="en-US" sz="1100"/>
            <a:t>You may not reverse engineer, decompile, or disassemble the WORLD CUP 2014 OFFICE POOL LITE, except and only to the extent that such activity is expressly permitted by applicable law notwithstanding this limitation.</a:t>
          </a:r>
        </a:p>
        <a:p>
          <a:r>
            <a:rPr lang="en-US" sz="1100"/>
            <a:t>(d) Rental.</a:t>
          </a:r>
        </a:p>
        <a:p>
          <a:r>
            <a:rPr lang="en-US" sz="1100"/>
            <a:t>You may not rent, lease, or lend the WORLD CUP 2014 OFFICE POOL LITE.</a:t>
          </a:r>
        </a:p>
        <a:p>
          <a:r>
            <a:rPr lang="en-US" sz="1100"/>
            <a:t>(e) Support Services.</a:t>
          </a:r>
        </a:p>
        <a:p>
          <a:r>
            <a:rPr lang="en-US" sz="1100"/>
            <a:t>EXCELTEMPLATE.NET may provide you with support services related to the WORLD CUP 2014 OFFICE POOL LITE ("Support Services"). Any supplemental software code provided to you as part of the Support Services shall be considered part of the WORLD CUP 2014 OFFICE POOL LITE and subject to the terms and conditions of this agreement.</a:t>
          </a:r>
        </a:p>
        <a:p>
          <a:r>
            <a:rPr lang="en-US" sz="1100"/>
            <a:t>(f) Compliance with Applicable Laws.</a:t>
          </a:r>
        </a:p>
        <a:p>
          <a:r>
            <a:rPr lang="en-US" sz="1100"/>
            <a:t>Some countries and their authorities required any third parties to apply for licenses to duplicate their competition/tournament. You must comply with those requirements and all applicable laws regarding use of the WORLD CUP 2014 OFFICE POOL LITE.</a:t>
          </a:r>
        </a:p>
        <a:p>
          <a:endParaRPr lang="en-US" sz="1100"/>
        </a:p>
        <a:p>
          <a:r>
            <a:rPr lang="en-US" sz="1100" b="1"/>
            <a:t>3. TERMINATION</a:t>
          </a:r>
        </a:p>
        <a:p>
          <a:r>
            <a:rPr lang="en-US" sz="1100"/>
            <a:t>Without prejudice to any other rights, EXCELTEMPLATE.NET may terminate this agreement if you fail to comply with the terms and conditions of this agreement. In such event, you must destroy all copies of the WORLD CUP 2014 OFFICE POOL LITE in your possession.</a:t>
          </a:r>
        </a:p>
        <a:p>
          <a:endParaRPr lang="en-US" sz="1100"/>
        </a:p>
        <a:p>
          <a:r>
            <a:rPr lang="en-US" sz="1100" b="1"/>
            <a:t>4. COPYRIGHT</a:t>
          </a:r>
        </a:p>
        <a:p>
          <a:r>
            <a:rPr lang="en-US" sz="1100"/>
            <a:t>All title, including but not limited to copyrights, in and to the WORLD CUP 2014 OFFICE POOL LITE and any copies thereof are owned by EXCELTEMPLATE.NET or its suppliers. All title and intellectual property rights in and to the content which may be accessed through use of the WORLD CUP 2014 OFFICE POOL LITE is the property of the respective content owner and may be protected by applicable copyright or other intellectual property laws and treaties. This agreement grants you no rights to use such content. All rights not expressly granted are reserved by EXCELTEMPLATE.NET.</a:t>
          </a:r>
        </a:p>
        <a:p>
          <a:endParaRPr lang="en-US" sz="1100"/>
        </a:p>
        <a:p>
          <a:r>
            <a:rPr lang="en-US" sz="1100" b="1"/>
            <a:t>5. NO WARRANTIES</a:t>
          </a:r>
        </a:p>
        <a:p>
          <a:r>
            <a:rPr lang="en-US" sz="1100"/>
            <a:t>EXCELTEMPLATE.NET expressly disclaims any warranty for the WORLD CUP 2014 OFFICE POOL LITE. The WORLD CUP 2014 OFFICE POOL LITE is provided 'As Is' without any express or implied warranty of any kind, including but not limited to any warranties of merchantability, noninfringement, or fitness of a particular purpose. EXCELTEMPLATE.NET does not warrant or assume responsibility for the accuracy or completeness of any information, text, graphics, links or other items contained within the WORLD CUP 2014 OFFICE POOL LITE. EXCELTEMPLATE.NET makes no warranties respecting any harm that may be caused by the transmission of a computer virus, worm, time bomb, logic bomb, or other such computer program. EXCELTEMPLATE.NET further expressly disclaims any warranty or representation to Authorized Users or to any third party.</a:t>
          </a:r>
        </a:p>
        <a:p>
          <a:endParaRPr lang="en-US" sz="1100"/>
        </a:p>
        <a:p>
          <a:r>
            <a:rPr lang="en-US" sz="1100" b="1"/>
            <a:t>6. LIMITATION OF LIABILITY</a:t>
          </a:r>
        </a:p>
        <a:p>
          <a:r>
            <a:rPr lang="en-US" sz="1100"/>
            <a:t>In no event shall EXCELTEMPLATE.NET be liable for any damages (including, without limitation, lost profits, business interruption, or lost information) rising out of 'Authorized Users' use of or inability to use the WORLD CUP 2014 OFFICE POOL LITE, even if EXCELTEMPLATE.NET has been advised of the possibility of such damages. In no event will EXCELTEMPLATE.NET be liable for loss of data or for indirect, special, incidental, consequential (including lost profit), or other damages based in contract, tort or otherwise. EXCELTEMPLATE.NET shall have no liability with respect to the content of the WORLD CUP 2014 OFFICE POOL LITE or any part thereof, including but not limited to errors or omissions contained therein, libel, infringements of rights of publicity, privacy, trademark rights, business interruption, personal injury, loss of privacy, moral rights or the disclosure of confidential information.</a:t>
          </a:r>
        </a:p>
        <a:p>
          <a:endParaRPr lang="en-US" sz="1100"/>
        </a:p>
        <a:p>
          <a:r>
            <a:rPr lang="en-US" sz="1100"/>
            <a:t>Developers are responsible for the content of their agreement and this should only be used as a guide.</a:t>
          </a:r>
        </a:p>
        <a:p>
          <a:endParaRPr lang="en-US" sz="1100"/>
        </a:p>
        <a:p>
          <a:endParaRPr lang="en-US" sz="1100"/>
        </a:p>
      </xdr:txBody>
    </xdr:sp>
    <xdr:clientData/>
  </xdr:twoCellAnchor>
  <xdr:twoCellAnchor>
    <xdr:from>
      <xdr:col>22</xdr:col>
      <xdr:colOff>243840</xdr:colOff>
      <xdr:row>3</xdr:row>
      <xdr:rowOff>22860</xdr:rowOff>
    </xdr:from>
    <xdr:to>
      <xdr:col>50</xdr:col>
      <xdr:colOff>7620</xdr:colOff>
      <xdr:row>18</xdr:row>
      <xdr:rowOff>76200</xdr:rowOff>
    </xdr:to>
    <xdr:sp macro="" textlink="">
      <xdr:nvSpPr>
        <xdr:cNvPr id="26" name="TextBox 25"/>
        <xdr:cNvSpPr txBox="1"/>
      </xdr:nvSpPr>
      <xdr:spPr>
        <a:xfrm>
          <a:off x="5775960" y="525780"/>
          <a:ext cx="6804660" cy="29108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sz="1100" b="0">
              <a:solidFill>
                <a:schemeClr val="dk1"/>
              </a:solidFill>
              <a:effectLst/>
              <a:latin typeface="+mn-lt"/>
              <a:ea typeface="+mn-ea"/>
              <a:cs typeface="+mn-cs"/>
            </a:rPr>
            <a:t>V1.50</a:t>
          </a:r>
        </a:p>
        <a:p>
          <a:pPr algn="l"/>
          <a:r>
            <a:rPr lang="en-US" sz="1100" b="0">
              <a:solidFill>
                <a:schemeClr val="dk1"/>
              </a:solidFill>
              <a:effectLst/>
              <a:latin typeface="+mn-lt"/>
              <a:ea typeface="+mn-ea"/>
              <a:cs typeface="+mn-cs"/>
            </a:rPr>
            <a:t>- Fixed leaderboard</a:t>
          </a:r>
          <a:r>
            <a:rPr lang="en-US" sz="1100" b="0" baseline="0">
              <a:solidFill>
                <a:schemeClr val="dk1"/>
              </a:solidFill>
              <a:effectLst/>
              <a:latin typeface="+mn-lt"/>
              <a:ea typeface="+mn-ea"/>
              <a:cs typeface="+mn-cs"/>
            </a:rPr>
            <a:t> rank for correct prediction tie breaker</a:t>
          </a:r>
          <a:endParaRPr lang="en-US" sz="1100" b="0">
            <a:solidFill>
              <a:schemeClr val="dk1"/>
            </a:solidFill>
            <a:effectLst/>
            <a:latin typeface="+mn-lt"/>
            <a:ea typeface="+mn-ea"/>
            <a:cs typeface="+mn-cs"/>
          </a:endParaRPr>
        </a:p>
        <a:p>
          <a:pPr algn="l"/>
          <a:r>
            <a:rPr lang="en-US" sz="1100" b="0">
              <a:solidFill>
                <a:schemeClr val="dk1"/>
              </a:solidFill>
              <a:effectLst/>
              <a:latin typeface="+mn-lt"/>
              <a:ea typeface="+mn-ea"/>
              <a:cs typeface="+mn-cs"/>
            </a:rPr>
            <a:t>V1.49</a:t>
          </a:r>
        </a:p>
        <a:p>
          <a:pPr algn="l"/>
          <a:r>
            <a:rPr lang="en-US" sz="1100" b="0">
              <a:solidFill>
                <a:schemeClr val="dk1"/>
              </a:solidFill>
              <a:effectLst/>
              <a:latin typeface="+mn-lt"/>
              <a:ea typeface="+mn-ea"/>
              <a:cs typeface="+mn-cs"/>
            </a:rPr>
            <a:t>- Unprotected country</a:t>
          </a:r>
          <a:r>
            <a:rPr lang="en-US" sz="1100" b="0" baseline="0">
              <a:solidFill>
                <a:schemeClr val="dk1"/>
              </a:solidFill>
              <a:effectLst/>
              <a:latin typeface="+mn-lt"/>
              <a:ea typeface="+mn-ea"/>
              <a:cs typeface="+mn-cs"/>
            </a:rPr>
            <a:t> name cells for group standing adjustment in match schedule worksheet</a:t>
          </a:r>
          <a:endParaRPr lang="en-US" sz="1100" b="0">
            <a:solidFill>
              <a:schemeClr val="dk1"/>
            </a:solidFill>
            <a:effectLst/>
            <a:latin typeface="+mn-lt"/>
            <a:ea typeface="+mn-ea"/>
            <a:cs typeface="+mn-cs"/>
          </a:endParaRPr>
        </a:p>
        <a:p>
          <a:pPr algn="l"/>
          <a:r>
            <a:rPr lang="en-US" sz="1100" b="0">
              <a:solidFill>
                <a:schemeClr val="dk1"/>
              </a:solidFill>
              <a:effectLst/>
              <a:latin typeface="+mn-lt"/>
              <a:ea typeface="+mn-ea"/>
              <a:cs typeface="+mn-cs"/>
            </a:rPr>
            <a:t>- Fixed player 15 point</a:t>
          </a:r>
          <a:r>
            <a:rPr lang="en-US" sz="1100" b="0" baseline="0">
              <a:solidFill>
                <a:schemeClr val="dk1"/>
              </a:solidFill>
              <a:effectLst/>
              <a:latin typeface="+mn-lt"/>
              <a:ea typeface="+mn-ea"/>
              <a:cs typeface="+mn-cs"/>
            </a:rPr>
            <a:t> formula</a:t>
          </a:r>
          <a:endParaRPr lang="en-US" sz="1100" b="0">
            <a:solidFill>
              <a:schemeClr val="dk1"/>
            </a:solidFill>
            <a:effectLst/>
            <a:latin typeface="+mn-lt"/>
            <a:ea typeface="+mn-ea"/>
            <a:cs typeface="+mn-cs"/>
          </a:endParaRPr>
        </a:p>
        <a:p>
          <a:pPr algn="l"/>
          <a:r>
            <a:rPr lang="en-US" sz="1100" b="0">
              <a:solidFill>
                <a:schemeClr val="dk1"/>
              </a:solidFill>
              <a:effectLst/>
              <a:latin typeface="+mn-lt"/>
              <a:ea typeface="+mn-ea"/>
              <a:cs typeface="+mn-cs"/>
            </a:rPr>
            <a:t>V1.48</a:t>
          </a:r>
        </a:p>
        <a:p>
          <a:pPr algn="l"/>
          <a:r>
            <a:rPr lang="en-US" sz="1100" b="0">
              <a:solidFill>
                <a:schemeClr val="dk1"/>
              </a:solidFill>
              <a:effectLst/>
              <a:latin typeface="+mn-lt"/>
              <a:ea typeface="+mn-ea"/>
              <a:cs typeface="+mn-cs"/>
            </a:rPr>
            <a:t>- Fixed shifted language translation reference from P</a:t>
          </a:r>
          <a:r>
            <a:rPr lang="en-US" sz="1100" b="0" baseline="0">
              <a:solidFill>
                <a:schemeClr val="dk1"/>
              </a:solidFill>
              <a:effectLst/>
              <a:latin typeface="+mn-lt"/>
              <a:ea typeface="+mn-ea"/>
              <a:cs typeface="+mn-cs"/>
            </a:rPr>
            <a:t> letter onward</a:t>
          </a:r>
          <a:endParaRPr lang="en-US" sz="1100" b="0">
            <a:solidFill>
              <a:schemeClr val="dk1"/>
            </a:solidFill>
            <a:effectLst/>
            <a:latin typeface="+mn-lt"/>
            <a:ea typeface="+mn-ea"/>
            <a:cs typeface="+mn-cs"/>
          </a:endParaRPr>
        </a:p>
        <a:p>
          <a:pPr algn="l"/>
          <a:r>
            <a:rPr lang="en-US" sz="1100" b="0">
              <a:solidFill>
                <a:schemeClr val="dk1"/>
              </a:solidFill>
              <a:effectLst/>
              <a:latin typeface="+mn-lt"/>
              <a:ea typeface="+mn-ea"/>
              <a:cs typeface="+mn-cs"/>
            </a:rPr>
            <a:t>V1.47 </a:t>
          </a:r>
        </a:p>
        <a:p>
          <a:pPr algn="l"/>
          <a:r>
            <a:rPr lang="en-US" sz="1100" b="0">
              <a:solidFill>
                <a:schemeClr val="dk1"/>
              </a:solidFill>
              <a:effectLst/>
              <a:latin typeface="+mn-lt"/>
              <a:ea typeface="+mn-ea"/>
              <a:cs typeface="+mn-cs"/>
            </a:rPr>
            <a:t>- Changed Knock Out Match Number</a:t>
          </a:r>
          <a:r>
            <a:rPr lang="en-US" sz="1100" b="0" baseline="0">
              <a:solidFill>
                <a:schemeClr val="dk1"/>
              </a:solidFill>
              <a:effectLst/>
              <a:latin typeface="+mn-lt"/>
              <a:ea typeface="+mn-ea"/>
              <a:cs typeface="+mn-cs"/>
            </a:rPr>
            <a:t> 51 to 52, 57 to 58 and vice versa in Matches Schedule worksheet</a:t>
          </a:r>
          <a:endParaRPr lang="en-US" sz="1100" b="0">
            <a:solidFill>
              <a:schemeClr val="dk1"/>
            </a:solidFill>
            <a:effectLst/>
            <a:latin typeface="+mn-lt"/>
            <a:ea typeface="+mn-ea"/>
            <a:cs typeface="+mn-cs"/>
          </a:endParaRPr>
        </a:p>
        <a:p>
          <a:pPr algn="l"/>
          <a:r>
            <a:rPr lang="en-US" sz="1100" b="0">
              <a:solidFill>
                <a:schemeClr val="dk1"/>
              </a:solidFill>
              <a:effectLst/>
              <a:latin typeface="+mn-lt"/>
              <a:ea typeface="+mn-ea"/>
              <a:cs typeface="+mn-cs"/>
            </a:rPr>
            <a:t>- Unhide Leaderboard column</a:t>
          </a:r>
          <a:r>
            <a:rPr lang="en-US" sz="1100" b="0" baseline="0">
              <a:solidFill>
                <a:schemeClr val="dk1"/>
              </a:solidFill>
              <a:effectLst/>
              <a:latin typeface="+mn-lt"/>
              <a:ea typeface="+mn-ea"/>
              <a:cs typeface="+mn-cs"/>
            </a:rPr>
            <a:t> for match 10 - 17</a:t>
          </a:r>
          <a:endParaRPr lang="en-US" sz="1100" b="0">
            <a:solidFill>
              <a:schemeClr val="dk1"/>
            </a:solidFill>
            <a:effectLst/>
            <a:latin typeface="+mn-lt"/>
            <a:ea typeface="+mn-ea"/>
            <a:cs typeface="+mn-cs"/>
          </a:endParaRPr>
        </a:p>
        <a:p>
          <a:pPr algn="l"/>
          <a:r>
            <a:rPr lang="en-US" sz="1100" b="0">
              <a:solidFill>
                <a:schemeClr val="dk1"/>
              </a:solidFill>
              <a:effectLst/>
              <a:latin typeface="+mn-lt"/>
              <a:ea typeface="+mn-ea"/>
              <a:cs typeface="+mn-cs"/>
            </a:rPr>
            <a:t>V1.45</a:t>
          </a:r>
        </a:p>
        <a:p>
          <a:pPr algn="l"/>
          <a:r>
            <a:rPr lang="en-US" sz="1100" b="0">
              <a:solidFill>
                <a:schemeClr val="dk1"/>
              </a:solidFill>
              <a:effectLst/>
              <a:latin typeface="+mn-lt"/>
              <a:ea typeface="+mn-ea"/>
              <a:cs typeface="+mn-cs"/>
            </a:rPr>
            <a:t>- Fixed</a:t>
          </a:r>
          <a:r>
            <a:rPr lang="en-US" sz="1100" b="0" baseline="0">
              <a:solidFill>
                <a:schemeClr val="dk1"/>
              </a:solidFill>
              <a:effectLst/>
              <a:latin typeface="+mn-lt"/>
              <a:ea typeface="+mn-ea"/>
              <a:cs typeface="+mn-cs"/>
            </a:rPr>
            <a:t> error formulas</a:t>
          </a:r>
          <a:endParaRPr lang="en-US" sz="1100" b="0">
            <a:solidFill>
              <a:schemeClr val="dk1"/>
            </a:solidFill>
            <a:effectLst/>
            <a:latin typeface="+mn-lt"/>
            <a:ea typeface="+mn-ea"/>
            <a:cs typeface="+mn-cs"/>
          </a:endParaRPr>
        </a:p>
        <a:p>
          <a:pPr algn="l"/>
          <a:r>
            <a:rPr lang="en-US" sz="1100" b="0">
              <a:solidFill>
                <a:schemeClr val="dk1"/>
              </a:solidFill>
              <a:effectLst/>
              <a:latin typeface="+mn-lt"/>
              <a:ea typeface="+mn-ea"/>
              <a:cs typeface="+mn-cs"/>
            </a:rPr>
            <a:t>V1.44</a:t>
          </a:r>
        </a:p>
        <a:p>
          <a:pPr algn="l"/>
          <a:r>
            <a:rPr lang="en-US" sz="1100" b="0">
              <a:solidFill>
                <a:schemeClr val="dk1"/>
              </a:solidFill>
              <a:effectLst/>
              <a:latin typeface="+mn-lt"/>
              <a:ea typeface="+mn-ea"/>
              <a:cs typeface="+mn-cs"/>
            </a:rPr>
            <a:t>- First</a:t>
          </a:r>
          <a:r>
            <a:rPr lang="en-US" sz="1100" b="0" baseline="0">
              <a:solidFill>
                <a:schemeClr val="dk1"/>
              </a:solidFill>
              <a:effectLst/>
              <a:latin typeface="+mn-lt"/>
              <a:ea typeface="+mn-ea"/>
              <a:cs typeface="+mn-cs"/>
            </a:rPr>
            <a:t> Release</a:t>
          </a:r>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3.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4.xml"/></Relationships>
</file>

<file path=xl/worksheets/_rels/sheet9.xml.rels><?xml version="1.0" encoding="UTF-8" standalone="yes"?>
<Relationships xmlns="http://schemas.openxmlformats.org/package/2006/relationships"><Relationship Id="rId3" Type="http://schemas.openxmlformats.org/officeDocument/2006/relationships/hyperlink" Target="http://exceltemplate.net/" TargetMode="External"/><Relationship Id="rId7" Type="http://schemas.openxmlformats.org/officeDocument/2006/relationships/comments" Target="../comments5.xml"/><Relationship Id="rId2" Type="http://schemas.openxmlformats.org/officeDocument/2006/relationships/hyperlink" Target="http://www.exceltemplate.net/" TargetMode="External"/><Relationship Id="rId1" Type="http://schemas.openxmlformats.org/officeDocument/2006/relationships/hyperlink" Target="http://www.exceltemplate.net/" TargetMode="External"/><Relationship Id="rId6" Type="http://schemas.openxmlformats.org/officeDocument/2006/relationships/vmlDrawing" Target="../drawings/vmlDrawing5.vml"/><Relationship Id="rId5" Type="http://schemas.openxmlformats.org/officeDocument/2006/relationships/drawing" Target="../drawings/drawing8.xml"/><Relationship Id="rId4"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8" Type="http://schemas.openxmlformats.org/officeDocument/2006/relationships/hyperlink" Target="http://exceltemplate.net/download/118/" TargetMode="External"/><Relationship Id="rId13" Type="http://schemas.openxmlformats.org/officeDocument/2006/relationships/hyperlink" Target="http://exceltemplate.net/download/122/" TargetMode="External"/><Relationship Id="rId3" Type="http://schemas.openxmlformats.org/officeDocument/2006/relationships/hyperlink" Target="http://exceltemplate.net/download/100/" TargetMode="External"/><Relationship Id="rId7" Type="http://schemas.openxmlformats.org/officeDocument/2006/relationships/hyperlink" Target="http://exceltemplate.net/download/117/" TargetMode="External"/><Relationship Id="rId12" Type="http://schemas.openxmlformats.org/officeDocument/2006/relationships/hyperlink" Target="http://exceltemplate.net/download/124/" TargetMode="External"/><Relationship Id="rId2" Type="http://schemas.openxmlformats.org/officeDocument/2006/relationships/hyperlink" Target="http://exceltemplate.net/download/75/" TargetMode="External"/><Relationship Id="rId1" Type="http://schemas.openxmlformats.org/officeDocument/2006/relationships/hyperlink" Target="http://exceltemplate.net/download/74/" TargetMode="External"/><Relationship Id="rId6" Type="http://schemas.openxmlformats.org/officeDocument/2006/relationships/hyperlink" Target="http://exceltemplate.net/download/116/" TargetMode="External"/><Relationship Id="rId11" Type="http://schemas.openxmlformats.org/officeDocument/2006/relationships/hyperlink" Target="http://exceltemplate.net/download/121/" TargetMode="External"/><Relationship Id="rId5" Type="http://schemas.openxmlformats.org/officeDocument/2006/relationships/hyperlink" Target="http://exceltemplate.net/download/120/" TargetMode="External"/><Relationship Id="rId15" Type="http://schemas.openxmlformats.org/officeDocument/2006/relationships/drawing" Target="../drawings/drawing24.xml"/><Relationship Id="rId10" Type="http://schemas.openxmlformats.org/officeDocument/2006/relationships/hyperlink" Target="http://exceltemplate.net/download/123/" TargetMode="External"/><Relationship Id="rId4" Type="http://schemas.openxmlformats.org/officeDocument/2006/relationships/hyperlink" Target="http://exceltemplate.net/download/101/" TargetMode="External"/><Relationship Id="rId9" Type="http://schemas.openxmlformats.org/officeDocument/2006/relationships/hyperlink" Target="http://exceltemplate.net/download/119/" TargetMode="External"/><Relationship Id="rId14"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N33"/>
  <sheetViews>
    <sheetView showGridLines="0" zoomScaleNormal="100" workbookViewId="0">
      <selection activeCell="C5" sqref="C5"/>
    </sheetView>
  </sheetViews>
  <sheetFormatPr defaultColWidth="0" defaultRowHeight="14.4" zeroHeight="1"/>
  <cols>
    <col min="1" max="1" width="2.44140625" style="27" customWidth="1"/>
    <col min="2" max="2" width="11.77734375" style="27" customWidth="1"/>
    <col min="3" max="3" width="85.44140625" style="27" customWidth="1"/>
    <col min="4" max="7" width="10.77734375" style="27" customWidth="1"/>
    <col min="8" max="8" width="8.88671875" style="27" customWidth="1"/>
    <col min="9" max="9" width="13.33203125" style="27" customWidth="1"/>
    <col min="10" max="10" width="17.88671875" style="27" customWidth="1"/>
    <col min="11" max="11" width="13" style="27" hidden="1" customWidth="1"/>
    <col min="12" max="12" width="11.5546875" style="27" hidden="1" customWidth="1"/>
    <col min="13" max="14" width="0" style="27" hidden="1" customWidth="1"/>
    <col min="15" max="16384" width="8.88671875" style="27" hidden="1"/>
  </cols>
  <sheetData>
    <row r="1" spans="2:14" ht="15" customHeight="1"/>
    <row r="2" spans="2:14" ht="15" customHeight="1"/>
    <row r="3" spans="2:14" ht="15" customHeight="1">
      <c r="C3" s="266" t="s">
        <v>4195</v>
      </c>
    </row>
    <row r="4" spans="2:14" ht="15" customHeight="1">
      <c r="C4" s="266"/>
    </row>
    <row r="5" spans="2:14" ht="15" customHeight="1">
      <c r="B5" s="41" t="s">
        <v>3882</v>
      </c>
      <c r="C5" s="257" t="s">
        <v>4197</v>
      </c>
      <c r="D5" s="261" t="s">
        <v>3956</v>
      </c>
      <c r="E5" s="261"/>
      <c r="F5" s="261"/>
      <c r="G5" s="261"/>
      <c r="H5" s="261"/>
      <c r="I5" s="261"/>
      <c r="J5" s="261"/>
    </row>
    <row r="6" spans="2:14" ht="15" customHeight="1"/>
    <row r="7" spans="2:14" ht="15" customHeight="1">
      <c r="B7" s="31" t="s">
        <v>3552</v>
      </c>
      <c r="C7" s="30"/>
      <c r="D7" s="30"/>
      <c r="E7" s="30"/>
      <c r="F7" s="30"/>
      <c r="G7" s="30"/>
      <c r="H7" s="30"/>
    </row>
    <row r="8" spans="2:14" ht="15" customHeight="1">
      <c r="D8" s="28"/>
      <c r="E8" s="28"/>
      <c r="F8" s="28"/>
      <c r="G8" s="28"/>
    </row>
    <row r="9" spans="2:14" ht="30" customHeight="1">
      <c r="B9" s="17" t="s">
        <v>3527</v>
      </c>
      <c r="D9" s="33" t="s">
        <v>3879</v>
      </c>
      <c r="E9" s="16"/>
      <c r="F9" s="16"/>
      <c r="G9" s="16"/>
      <c r="N9" s="29"/>
    </row>
    <row r="10" spans="2:14" ht="15" customHeight="1">
      <c r="B10" s="36" t="s">
        <v>3960</v>
      </c>
      <c r="C10" s="34"/>
      <c r="D10" s="35">
        <v>100</v>
      </c>
      <c r="E10" s="16"/>
      <c r="F10" s="16"/>
      <c r="G10" s="16"/>
      <c r="N10" s="29"/>
    </row>
    <row r="11" spans="2:14" ht="15" customHeight="1">
      <c r="B11" s="36" t="s">
        <v>3961</v>
      </c>
      <c r="C11" s="34"/>
      <c r="D11" s="35">
        <v>75</v>
      </c>
      <c r="E11" s="16"/>
      <c r="F11" s="16"/>
      <c r="G11" s="16"/>
      <c r="N11" s="29"/>
    </row>
    <row r="12" spans="2:14" ht="15" customHeight="1">
      <c r="B12" s="36" t="s">
        <v>3959</v>
      </c>
      <c r="C12" s="34"/>
      <c r="D12" s="35">
        <v>50</v>
      </c>
      <c r="E12" s="16"/>
      <c r="F12" s="16"/>
      <c r="G12" s="16"/>
      <c r="N12" s="29"/>
    </row>
    <row r="13" spans="2:14" ht="15" customHeight="1">
      <c r="D13" s="28"/>
      <c r="E13" s="28"/>
      <c r="F13" s="28"/>
      <c r="G13" s="28"/>
    </row>
    <row r="14" spans="2:14" ht="15" customHeight="1">
      <c r="B14" s="31" t="s">
        <v>3553</v>
      </c>
      <c r="C14" s="32"/>
      <c r="D14" s="32"/>
      <c r="E14" s="32"/>
      <c r="F14" s="32"/>
      <c r="G14" s="32"/>
      <c r="H14" s="32"/>
    </row>
    <row r="15" spans="2:14" ht="15" customHeight="1"/>
    <row r="16" spans="2:14" ht="15" customHeight="1">
      <c r="B16" s="34" t="s">
        <v>3880</v>
      </c>
      <c r="C16" s="34"/>
      <c r="D16" s="35" t="s">
        <v>3543</v>
      </c>
      <c r="E16" s="39">
        <f>IF(D16="include",1,0)</f>
        <v>1</v>
      </c>
    </row>
    <row r="17" spans="2:8" ht="15" customHeight="1">
      <c r="B17" s="34" t="s">
        <v>3881</v>
      </c>
      <c r="C17" s="34"/>
      <c r="D17" s="35" t="s">
        <v>3555</v>
      </c>
      <c r="E17" s="39">
        <f>IF(D17="include",1,0)</f>
        <v>0</v>
      </c>
    </row>
    <row r="18" spans="2:8" ht="15" customHeight="1"/>
    <row r="19" spans="2:8" ht="30" customHeight="1">
      <c r="B19" s="17" t="s">
        <v>3527</v>
      </c>
      <c r="C19" s="29"/>
      <c r="D19" s="33" t="s">
        <v>1152</v>
      </c>
      <c r="E19" s="33" t="s">
        <v>1150</v>
      </c>
      <c r="F19" s="33" t="s">
        <v>489</v>
      </c>
      <c r="G19" s="33" t="s">
        <v>2434</v>
      </c>
      <c r="H19" s="33" t="s">
        <v>1151</v>
      </c>
    </row>
    <row r="20" spans="2:8" ht="15" customHeight="1">
      <c r="B20" s="36" t="s">
        <v>3960</v>
      </c>
      <c r="C20" s="37"/>
      <c r="D20" s="38">
        <v>200</v>
      </c>
      <c r="E20" s="40">
        <v>400</v>
      </c>
      <c r="F20" s="38">
        <v>800</v>
      </c>
      <c r="G20" s="40">
        <v>800</v>
      </c>
      <c r="H20" s="38">
        <v>1600</v>
      </c>
    </row>
    <row r="21" spans="2:8" ht="15" customHeight="1">
      <c r="B21" s="36" t="s">
        <v>3961</v>
      </c>
      <c r="C21" s="37"/>
      <c r="D21" s="38">
        <v>150</v>
      </c>
      <c r="E21" s="40">
        <v>300</v>
      </c>
      <c r="F21" s="38">
        <v>600</v>
      </c>
      <c r="G21" s="40">
        <v>600</v>
      </c>
      <c r="H21" s="38">
        <v>1200</v>
      </c>
    </row>
    <row r="22" spans="2:8" ht="15" customHeight="1">
      <c r="B22" s="36" t="s">
        <v>3959</v>
      </c>
      <c r="C22" s="37"/>
      <c r="D22" s="38">
        <v>100</v>
      </c>
      <c r="E22" s="40">
        <v>200</v>
      </c>
      <c r="F22" s="38">
        <v>400</v>
      </c>
      <c r="G22" s="40">
        <v>400</v>
      </c>
      <c r="H22" s="38">
        <v>800</v>
      </c>
    </row>
    <row r="23" spans="2:8" ht="15" customHeight="1"/>
    <row r="24" spans="2:8" ht="15" customHeight="1">
      <c r="B24" s="31" t="s">
        <v>3885</v>
      </c>
      <c r="C24" s="32"/>
      <c r="D24" s="32"/>
      <c r="E24" s="32"/>
      <c r="F24" s="32"/>
      <c r="G24" s="32"/>
      <c r="H24" s="32"/>
    </row>
    <row r="25" spans="2:8" ht="15" customHeight="1"/>
    <row r="26" spans="2:8" ht="15" customHeight="1">
      <c r="B26" s="27" t="s">
        <v>3886</v>
      </c>
    </row>
    <row r="27" spans="2:8" ht="15" customHeight="1">
      <c r="B27" s="27" t="s">
        <v>3887</v>
      </c>
    </row>
    <row r="28" spans="2:8">
      <c r="B28" s="27" t="s">
        <v>3958</v>
      </c>
    </row>
    <row r="29" spans="2:8">
      <c r="B29" s="27" t="s">
        <v>3957</v>
      </c>
    </row>
    <row r="30" spans="2:8"/>
    <row r="31" spans="2:8">
      <c r="B31" s="30"/>
      <c r="C31" s="30"/>
      <c r="D31" s="30"/>
      <c r="E31" s="30"/>
      <c r="F31" s="30"/>
      <c r="G31" s="30"/>
      <c r="H31" s="30"/>
    </row>
    <row r="32" spans="2:8"/>
    <row r="33"/>
  </sheetData>
  <sheetProtection password="CEE2" sheet="1" objects="1" scenarios="1"/>
  <mergeCells count="1">
    <mergeCell ref="C3:C4"/>
  </mergeCells>
  <dataValidations count="1">
    <dataValidation type="list" allowBlank="1" showInputMessage="1" showErrorMessage="1" sqref="D16:D17">
      <formula1>"Include,Exclude"</formula1>
    </dataValidation>
  </dataValidations>
  <pageMargins left="0.7" right="0.7" top="0.75" bottom="0.75" header="0.3" footer="0.3"/>
  <pageSetup scale="69" orientation="landscape"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21"/>
  <sheetViews>
    <sheetView showGridLines="0" workbookViewId="0">
      <selection activeCell="C5" sqref="C5"/>
    </sheetView>
  </sheetViews>
  <sheetFormatPr defaultColWidth="0" defaultRowHeight="14.4" zeroHeight="1"/>
  <cols>
    <col min="1" max="1" width="2.77734375" customWidth="1"/>
    <col min="2" max="2" width="4" style="6" bestFit="1" customWidth="1"/>
    <col min="3" max="3" width="68.6640625" style="19" customWidth="1"/>
    <col min="4" max="4" width="8.88671875" style="6" customWidth="1"/>
    <col min="5" max="15" width="8.88671875" customWidth="1"/>
    <col min="16" max="16384" width="8.88671875" hidden="1"/>
  </cols>
  <sheetData>
    <row r="1" spans="2:5" ht="15" customHeight="1"/>
    <row r="2" spans="2:5" ht="15" customHeight="1"/>
    <row r="3" spans="2:5" ht="15" customHeight="1"/>
    <row r="4" spans="2:5" ht="15" customHeight="1"/>
    <row r="5" spans="2:5" ht="19.95" customHeight="1">
      <c r="B5" s="43" t="s">
        <v>490</v>
      </c>
      <c r="C5" s="44" t="s">
        <v>1149</v>
      </c>
    </row>
    <row r="6" spans="2:5" ht="19.95" customHeight="1">
      <c r="B6" s="42">
        <v>1</v>
      </c>
      <c r="C6" s="256" t="s">
        <v>3528</v>
      </c>
      <c r="E6" s="56" t="s">
        <v>3888</v>
      </c>
    </row>
    <row r="7" spans="2:5" ht="19.95" customHeight="1">
      <c r="B7" s="42">
        <v>2</v>
      </c>
      <c r="C7" s="256" t="s">
        <v>3529</v>
      </c>
      <c r="E7" s="56" t="s">
        <v>3889</v>
      </c>
    </row>
    <row r="8" spans="2:5" ht="19.95" customHeight="1">
      <c r="B8" s="42">
        <v>3</v>
      </c>
      <c r="C8" s="256" t="s">
        <v>3530</v>
      </c>
      <c r="E8" s="56" t="s">
        <v>4196</v>
      </c>
    </row>
    <row r="9" spans="2:5" ht="19.95" customHeight="1">
      <c r="B9" s="42">
        <v>4</v>
      </c>
      <c r="C9" s="256" t="s">
        <v>3531</v>
      </c>
    </row>
    <row r="10" spans="2:5" ht="19.95" customHeight="1">
      <c r="B10" s="42">
        <v>5</v>
      </c>
      <c r="C10" s="256" t="s">
        <v>3532</v>
      </c>
    </row>
    <row r="11" spans="2:5" ht="19.95" customHeight="1">
      <c r="B11" s="42">
        <v>6</v>
      </c>
      <c r="C11" s="256" t="s">
        <v>3533</v>
      </c>
    </row>
    <row r="12" spans="2:5" ht="19.95" customHeight="1">
      <c r="B12" s="42">
        <v>7</v>
      </c>
      <c r="C12" s="256" t="s">
        <v>3534</v>
      </c>
    </row>
    <row r="13" spans="2:5" ht="19.95" customHeight="1">
      <c r="B13" s="42">
        <v>8</v>
      </c>
      <c r="C13" s="256" t="s">
        <v>3535</v>
      </c>
    </row>
    <row r="14" spans="2:5" ht="19.95" customHeight="1">
      <c r="B14" s="42">
        <v>9</v>
      </c>
      <c r="C14" s="256" t="s">
        <v>3536</v>
      </c>
    </row>
    <row r="15" spans="2:5" ht="19.95" customHeight="1">
      <c r="B15" s="42">
        <v>10</v>
      </c>
      <c r="C15" s="256" t="s">
        <v>3537</v>
      </c>
    </row>
    <row r="16" spans="2:5" ht="19.95" customHeight="1">
      <c r="B16" s="42">
        <v>11</v>
      </c>
      <c r="C16" s="256" t="s">
        <v>3538</v>
      </c>
      <c r="E16" t="s">
        <v>3883</v>
      </c>
    </row>
    <row r="17" spans="2:3" ht="19.95" customHeight="1">
      <c r="B17" s="42">
        <v>12</v>
      </c>
      <c r="C17" s="256" t="s">
        <v>3539</v>
      </c>
    </row>
    <row r="18" spans="2:3" ht="19.95" customHeight="1">
      <c r="B18" s="42">
        <v>13</v>
      </c>
      <c r="C18" s="256" t="s">
        <v>3540</v>
      </c>
    </row>
    <row r="19" spans="2:3" ht="19.95" customHeight="1">
      <c r="B19" s="42">
        <v>14</v>
      </c>
      <c r="C19" s="256" t="s">
        <v>3541</v>
      </c>
    </row>
    <row r="20" spans="2:3" ht="19.95" customHeight="1">
      <c r="B20" s="42">
        <v>15</v>
      </c>
      <c r="C20" s="256" t="s">
        <v>3542</v>
      </c>
    </row>
    <row r="21" spans="2:3"/>
  </sheetData>
  <sheetProtection password="CEE2" sheet="1" objects="1" scenarios="1"/>
  <conditionalFormatting sqref="C6:C20">
    <cfRule type="duplicateValues" dxfId="597" priority="81"/>
  </conditionalFormatting>
  <pageMargins left="0.7" right="0.7" top="0.75" bottom="0.75" header="0.3" footer="0.3"/>
  <pageSetup scale="34"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W24"/>
  <sheetViews>
    <sheetView showGridLines="0" topLeftCell="C1" workbookViewId="0">
      <selection activeCell="C7" sqref="C7:C9"/>
    </sheetView>
  </sheetViews>
  <sheetFormatPr defaultColWidth="0" defaultRowHeight="14.4"/>
  <cols>
    <col min="1" max="1" width="4.44140625" style="5" customWidth="1"/>
    <col min="2" max="2" width="14" style="5" hidden="1" customWidth="1"/>
    <col min="3" max="3" width="34" style="5" customWidth="1"/>
    <col min="4" max="5" width="14.109375" style="5" customWidth="1"/>
    <col min="6" max="9" width="11.21875" style="5" customWidth="1"/>
    <col min="10" max="10" width="19.6640625" style="5" bestFit="1" customWidth="1"/>
    <col min="11" max="74" width="10.6640625" style="5" customWidth="1"/>
    <col min="75" max="75" width="3.21875" style="5" customWidth="1"/>
    <col min="76" max="16384" width="9.109375" style="5" hidden="1"/>
  </cols>
  <sheetData>
    <row r="1" spans="1:74" ht="15" customHeight="1"/>
    <row r="2" spans="1:74" ht="15" customHeight="1"/>
    <row r="3" spans="1:74" ht="15" customHeight="1"/>
    <row r="4" spans="1:74" ht="15" customHeight="1">
      <c r="A4" s="16"/>
      <c r="B4" s="16"/>
      <c r="C4" s="16"/>
      <c r="D4" s="16"/>
      <c r="E4" s="16"/>
      <c r="F4" s="16"/>
      <c r="H4" s="16"/>
      <c r="I4" s="16"/>
    </row>
    <row r="5" spans="1:74" ht="15" customHeight="1">
      <c r="A5" s="21"/>
      <c r="B5" s="21"/>
      <c r="C5" s="21"/>
      <c r="D5" s="21"/>
      <c r="E5" s="21"/>
      <c r="F5" s="20"/>
      <c r="G5" s="20"/>
      <c r="H5" s="20"/>
      <c r="K5" s="268" t="s">
        <v>1830</v>
      </c>
      <c r="L5" s="268"/>
      <c r="M5" s="268"/>
      <c r="N5" s="268"/>
      <c r="O5" s="268"/>
      <c r="P5" s="268"/>
      <c r="Q5" s="268"/>
      <c r="R5" s="268"/>
      <c r="S5" s="268"/>
      <c r="T5" s="268"/>
      <c r="U5" s="268"/>
      <c r="V5" s="268"/>
      <c r="W5" s="268"/>
      <c r="X5" s="268"/>
      <c r="Y5" s="268"/>
      <c r="Z5" s="268"/>
      <c r="AA5" s="268"/>
      <c r="AB5" s="268"/>
      <c r="AC5" s="268"/>
      <c r="AD5" s="268"/>
      <c r="AE5" s="268"/>
      <c r="AF5" s="268"/>
      <c r="AG5" s="268"/>
      <c r="AH5" s="268"/>
      <c r="AI5" s="268"/>
      <c r="AJ5" s="268"/>
      <c r="AK5" s="268"/>
      <c r="AL5" s="268"/>
      <c r="AM5" s="268"/>
      <c r="AN5" s="268"/>
      <c r="AO5" s="268"/>
      <c r="AP5" s="268"/>
      <c r="AQ5" s="268"/>
      <c r="AR5" s="268"/>
      <c r="AS5" s="268"/>
      <c r="AT5" s="268"/>
      <c r="AU5" s="268"/>
      <c r="AV5" s="268"/>
      <c r="AW5" s="268"/>
      <c r="AX5" s="268"/>
      <c r="AY5" s="268"/>
      <c r="AZ5" s="268"/>
      <c r="BA5" s="268"/>
      <c r="BB5" s="268"/>
      <c r="BC5" s="268"/>
      <c r="BD5" s="268"/>
      <c r="BE5" s="268"/>
      <c r="BF5" s="268"/>
      <c r="BG5" s="267" t="s">
        <v>864</v>
      </c>
      <c r="BH5" s="267"/>
      <c r="BI5" s="267"/>
      <c r="BJ5" s="267"/>
      <c r="BK5" s="267"/>
      <c r="BL5" s="267"/>
      <c r="BM5" s="267"/>
      <c r="BN5" s="267"/>
      <c r="BO5" s="267" t="s">
        <v>1831</v>
      </c>
      <c r="BP5" s="267"/>
      <c r="BQ5" s="267"/>
      <c r="BR5" s="267"/>
      <c r="BS5" s="267" t="s">
        <v>1832</v>
      </c>
      <c r="BT5" s="267"/>
      <c r="BU5" s="54" t="s">
        <v>1833</v>
      </c>
      <c r="BV5" s="55" t="s">
        <v>1151</v>
      </c>
    </row>
    <row r="6" spans="1:74" ht="15" customHeight="1">
      <c r="A6" s="21"/>
      <c r="B6" s="21"/>
      <c r="C6" s="21"/>
      <c r="D6" s="21"/>
      <c r="E6" s="21"/>
      <c r="F6" s="20"/>
      <c r="G6" s="20"/>
      <c r="H6" s="20"/>
      <c r="I6" s="20"/>
      <c r="K6" s="55">
        <v>1</v>
      </c>
      <c r="L6" s="55">
        <v>2</v>
      </c>
      <c r="M6" s="55">
        <v>3</v>
      </c>
      <c r="N6" s="55">
        <v>4</v>
      </c>
      <c r="O6" s="55">
        <v>5</v>
      </c>
      <c r="P6" s="55">
        <v>6</v>
      </c>
      <c r="Q6" s="55">
        <v>7</v>
      </c>
      <c r="R6" s="55">
        <v>8</v>
      </c>
      <c r="S6" s="55">
        <v>9</v>
      </c>
      <c r="T6" s="55">
        <v>10</v>
      </c>
      <c r="U6" s="55">
        <v>11</v>
      </c>
      <c r="V6" s="55">
        <v>12</v>
      </c>
      <c r="W6" s="55">
        <v>13</v>
      </c>
      <c r="X6" s="55">
        <v>14</v>
      </c>
      <c r="Y6" s="55">
        <v>15</v>
      </c>
      <c r="Z6" s="55">
        <v>16</v>
      </c>
      <c r="AA6" s="55">
        <v>17</v>
      </c>
      <c r="AB6" s="55">
        <v>18</v>
      </c>
      <c r="AC6" s="55">
        <v>19</v>
      </c>
      <c r="AD6" s="55">
        <v>20</v>
      </c>
      <c r="AE6" s="55">
        <v>21</v>
      </c>
      <c r="AF6" s="55">
        <v>22</v>
      </c>
      <c r="AG6" s="55">
        <v>23</v>
      </c>
      <c r="AH6" s="55">
        <v>24</v>
      </c>
      <c r="AI6" s="55">
        <v>25</v>
      </c>
      <c r="AJ6" s="55">
        <v>26</v>
      </c>
      <c r="AK6" s="55">
        <v>27</v>
      </c>
      <c r="AL6" s="55">
        <v>28</v>
      </c>
      <c r="AM6" s="55">
        <v>29</v>
      </c>
      <c r="AN6" s="55">
        <v>30</v>
      </c>
      <c r="AO6" s="55">
        <v>31</v>
      </c>
      <c r="AP6" s="55">
        <v>32</v>
      </c>
      <c r="AQ6" s="55">
        <v>33</v>
      </c>
      <c r="AR6" s="55">
        <v>34</v>
      </c>
      <c r="AS6" s="55">
        <v>35</v>
      </c>
      <c r="AT6" s="55">
        <v>36</v>
      </c>
      <c r="AU6" s="55">
        <v>37</v>
      </c>
      <c r="AV6" s="55">
        <v>38</v>
      </c>
      <c r="AW6" s="55">
        <v>39</v>
      </c>
      <c r="AX6" s="55">
        <v>40</v>
      </c>
      <c r="AY6" s="55">
        <v>41</v>
      </c>
      <c r="AZ6" s="55">
        <v>42</v>
      </c>
      <c r="BA6" s="55">
        <v>43</v>
      </c>
      <c r="BB6" s="55">
        <v>44</v>
      </c>
      <c r="BC6" s="55">
        <v>45</v>
      </c>
      <c r="BD6" s="55">
        <v>46</v>
      </c>
      <c r="BE6" s="55">
        <v>47</v>
      </c>
      <c r="BF6" s="55">
        <v>48</v>
      </c>
      <c r="BG6" s="55">
        <v>49</v>
      </c>
      <c r="BH6" s="55">
        <v>50</v>
      </c>
      <c r="BI6" s="55">
        <v>51</v>
      </c>
      <c r="BJ6" s="55">
        <v>52</v>
      </c>
      <c r="BK6" s="55">
        <v>53</v>
      </c>
      <c r="BL6" s="55">
        <v>54</v>
      </c>
      <c r="BM6" s="55">
        <v>55</v>
      </c>
      <c r="BN6" s="55">
        <v>56</v>
      </c>
      <c r="BO6" s="55">
        <v>57</v>
      </c>
      <c r="BP6" s="55">
        <v>58</v>
      </c>
      <c r="BQ6" s="55">
        <v>59</v>
      </c>
      <c r="BR6" s="55">
        <v>60</v>
      </c>
      <c r="BS6" s="55">
        <v>61</v>
      </c>
      <c r="BT6" s="55">
        <v>62</v>
      </c>
      <c r="BU6" s="55">
        <v>63</v>
      </c>
      <c r="BV6" s="55">
        <v>64</v>
      </c>
    </row>
    <row r="7" spans="1:74" ht="15" customHeight="1">
      <c r="A7" s="270" t="s">
        <v>490</v>
      </c>
      <c r="B7" s="52" t="s">
        <v>488</v>
      </c>
      <c r="C7" s="270" t="s">
        <v>1149</v>
      </c>
      <c r="D7" s="270" t="s">
        <v>3522</v>
      </c>
      <c r="E7" s="269" t="s">
        <v>3545</v>
      </c>
      <c r="F7" s="269" t="s">
        <v>860</v>
      </c>
      <c r="G7" s="269"/>
      <c r="H7" s="269" t="s">
        <v>3544</v>
      </c>
      <c r="I7" s="269"/>
      <c r="J7" s="8" t="s">
        <v>3520</v>
      </c>
      <c r="K7" s="23">
        <f>Setup!D10</f>
        <v>100</v>
      </c>
      <c r="L7" s="23">
        <f>K7</f>
        <v>100</v>
      </c>
      <c r="M7" s="23">
        <f t="shared" ref="M7:BF7" si="0">L7</f>
        <v>100</v>
      </c>
      <c r="N7" s="23">
        <f t="shared" si="0"/>
        <v>100</v>
      </c>
      <c r="O7" s="23">
        <f t="shared" si="0"/>
        <v>100</v>
      </c>
      <c r="P7" s="23">
        <f t="shared" si="0"/>
        <v>100</v>
      </c>
      <c r="Q7" s="23">
        <f t="shared" si="0"/>
        <v>100</v>
      </c>
      <c r="R7" s="23">
        <f t="shared" si="0"/>
        <v>100</v>
      </c>
      <c r="S7" s="23">
        <f t="shared" si="0"/>
        <v>100</v>
      </c>
      <c r="T7" s="23">
        <f t="shared" si="0"/>
        <v>100</v>
      </c>
      <c r="U7" s="23">
        <f t="shared" si="0"/>
        <v>100</v>
      </c>
      <c r="V7" s="23">
        <f t="shared" si="0"/>
        <v>100</v>
      </c>
      <c r="W7" s="23">
        <f t="shared" si="0"/>
        <v>100</v>
      </c>
      <c r="X7" s="23">
        <f t="shared" si="0"/>
        <v>100</v>
      </c>
      <c r="Y7" s="23">
        <f t="shared" si="0"/>
        <v>100</v>
      </c>
      <c r="Z7" s="23">
        <f t="shared" si="0"/>
        <v>100</v>
      </c>
      <c r="AA7" s="23">
        <f t="shared" si="0"/>
        <v>100</v>
      </c>
      <c r="AB7" s="23">
        <f t="shared" si="0"/>
        <v>100</v>
      </c>
      <c r="AC7" s="23">
        <f t="shared" si="0"/>
        <v>100</v>
      </c>
      <c r="AD7" s="23">
        <f t="shared" si="0"/>
        <v>100</v>
      </c>
      <c r="AE7" s="23">
        <f t="shared" si="0"/>
        <v>100</v>
      </c>
      <c r="AF7" s="23">
        <f t="shared" si="0"/>
        <v>100</v>
      </c>
      <c r="AG7" s="23">
        <f t="shared" si="0"/>
        <v>100</v>
      </c>
      <c r="AH7" s="23">
        <f t="shared" si="0"/>
        <v>100</v>
      </c>
      <c r="AI7" s="23">
        <f t="shared" si="0"/>
        <v>100</v>
      </c>
      <c r="AJ7" s="23">
        <f t="shared" si="0"/>
        <v>100</v>
      </c>
      <c r="AK7" s="23">
        <f t="shared" si="0"/>
        <v>100</v>
      </c>
      <c r="AL7" s="23">
        <f t="shared" si="0"/>
        <v>100</v>
      </c>
      <c r="AM7" s="23">
        <f t="shared" si="0"/>
        <v>100</v>
      </c>
      <c r="AN7" s="23">
        <f t="shared" si="0"/>
        <v>100</v>
      </c>
      <c r="AO7" s="23">
        <f t="shared" si="0"/>
        <v>100</v>
      </c>
      <c r="AP7" s="23">
        <f t="shared" si="0"/>
        <v>100</v>
      </c>
      <c r="AQ7" s="23">
        <f t="shared" si="0"/>
        <v>100</v>
      </c>
      <c r="AR7" s="23">
        <f t="shared" si="0"/>
        <v>100</v>
      </c>
      <c r="AS7" s="23">
        <f t="shared" si="0"/>
        <v>100</v>
      </c>
      <c r="AT7" s="23">
        <f t="shared" si="0"/>
        <v>100</v>
      </c>
      <c r="AU7" s="23">
        <f t="shared" si="0"/>
        <v>100</v>
      </c>
      <c r="AV7" s="23">
        <f t="shared" si="0"/>
        <v>100</v>
      </c>
      <c r="AW7" s="23">
        <f t="shared" si="0"/>
        <v>100</v>
      </c>
      <c r="AX7" s="23">
        <f t="shared" si="0"/>
        <v>100</v>
      </c>
      <c r="AY7" s="23">
        <f t="shared" si="0"/>
        <v>100</v>
      </c>
      <c r="AZ7" s="23">
        <f t="shared" si="0"/>
        <v>100</v>
      </c>
      <c r="BA7" s="23">
        <f t="shared" si="0"/>
        <v>100</v>
      </c>
      <c r="BB7" s="23">
        <f t="shared" si="0"/>
        <v>100</v>
      </c>
      <c r="BC7" s="23">
        <f t="shared" si="0"/>
        <v>100</v>
      </c>
      <c r="BD7" s="23">
        <f t="shared" si="0"/>
        <v>100</v>
      </c>
      <c r="BE7" s="23">
        <f t="shared" si="0"/>
        <v>100</v>
      </c>
      <c r="BF7" s="23">
        <f t="shared" si="0"/>
        <v>100</v>
      </c>
      <c r="BG7" s="22">
        <f>Setup!D20</f>
        <v>200</v>
      </c>
      <c r="BH7" s="22">
        <f>BG7</f>
        <v>200</v>
      </c>
      <c r="BI7" s="22">
        <f t="shared" ref="BI7:BN7" si="1">BH7</f>
        <v>200</v>
      </c>
      <c r="BJ7" s="22">
        <f t="shared" si="1"/>
        <v>200</v>
      </c>
      <c r="BK7" s="22">
        <f t="shared" si="1"/>
        <v>200</v>
      </c>
      <c r="BL7" s="22">
        <f t="shared" si="1"/>
        <v>200</v>
      </c>
      <c r="BM7" s="22">
        <f t="shared" si="1"/>
        <v>200</v>
      </c>
      <c r="BN7" s="22">
        <f t="shared" si="1"/>
        <v>200</v>
      </c>
      <c r="BO7" s="22">
        <f>Setup!E20</f>
        <v>400</v>
      </c>
      <c r="BP7" s="22">
        <f>BO7</f>
        <v>400</v>
      </c>
      <c r="BQ7" s="22">
        <f t="shared" ref="BQ7:BR7" si="2">BP7</f>
        <v>400</v>
      </c>
      <c r="BR7" s="22">
        <f t="shared" si="2"/>
        <v>400</v>
      </c>
      <c r="BS7" s="22">
        <f>Setup!F20</f>
        <v>800</v>
      </c>
      <c r="BT7" s="22">
        <f>BS7</f>
        <v>800</v>
      </c>
      <c r="BU7" s="22">
        <f>Setup!G20</f>
        <v>800</v>
      </c>
      <c r="BV7" s="22">
        <f>Setup!H20</f>
        <v>1600</v>
      </c>
    </row>
    <row r="8" spans="1:74" ht="15" customHeight="1">
      <c r="A8" s="270"/>
      <c r="B8" s="53"/>
      <c r="C8" s="270"/>
      <c r="D8" s="270"/>
      <c r="E8" s="269"/>
      <c r="F8" s="269" t="s">
        <v>3522</v>
      </c>
      <c r="G8" s="269" t="s">
        <v>3523</v>
      </c>
      <c r="H8" s="269" t="s">
        <v>3522</v>
      </c>
      <c r="I8" s="269" t="s">
        <v>3523</v>
      </c>
      <c r="J8" s="8" t="s">
        <v>3521</v>
      </c>
      <c r="K8" s="7" t="str">
        <f ca="1">LEFT(OFFSET(Tournament!$H$15,K$6,0),3)&amp;" vs "&amp;LEFT(OFFSET(Tournament!$N$15,K$6,0),3)</f>
        <v>Bra vs Cro</v>
      </c>
      <c r="L8" s="7" t="str">
        <f ca="1">LEFT(OFFSET(Tournament!$H$15,L$6,0),3)&amp;" vs "&amp;LEFT(OFFSET(Tournament!$N$15,L$6,0),3)</f>
        <v>Mex vs Cam</v>
      </c>
      <c r="M8" s="7" t="str">
        <f ca="1">LEFT(OFFSET(Tournament!$H$15,M$6,0),3)&amp;" vs "&amp;LEFT(OFFSET(Tournament!$N$15,M$6,0),3)</f>
        <v>Spa vs Net</v>
      </c>
      <c r="N8" s="7" t="str">
        <f ca="1">LEFT(OFFSET(Tournament!$H$15,N$6,0),3)&amp;" vs "&amp;LEFT(OFFSET(Tournament!$N$15,N$6,0),3)</f>
        <v>Chi vs Aus</v>
      </c>
      <c r="O8" s="7" t="str">
        <f ca="1">LEFT(OFFSET(Tournament!$H$15,O$6,0),3)&amp;" vs "&amp;LEFT(OFFSET(Tournament!$N$15,O$6,0),3)</f>
        <v>Col vs Gre</v>
      </c>
      <c r="P8" s="7" t="str">
        <f ca="1">LEFT(OFFSET(Tournament!$H$15,P$6,0),3)&amp;" vs "&amp;LEFT(OFFSET(Tournament!$N$15,P$6,0),3)</f>
        <v>Ivo vs Jap</v>
      </c>
      <c r="Q8" s="7" t="str">
        <f ca="1">LEFT(OFFSET(Tournament!$H$15,Q$6,0),3)&amp;" vs "&amp;LEFT(OFFSET(Tournament!$N$15,Q$6,0),3)</f>
        <v>Uru vs Cos</v>
      </c>
      <c r="R8" s="7" t="str">
        <f ca="1">LEFT(OFFSET(Tournament!$H$15,R$6,0),3)&amp;" vs "&amp;LEFT(OFFSET(Tournament!$N$15,R$6,0),3)</f>
        <v>Eng vs Ita</v>
      </c>
      <c r="S8" s="7" t="str">
        <f ca="1">LEFT(OFFSET(Tournament!$H$15,S$6,0),3)&amp;" vs "&amp;LEFT(OFFSET(Tournament!$N$15,S$6,0),3)</f>
        <v>Swi vs Ecu</v>
      </c>
      <c r="T8" s="7" t="str">
        <f ca="1">LEFT(OFFSET(Tournament!$H$15,T$6,0),3)&amp;" vs "&amp;LEFT(OFFSET(Tournament!$N$15,T$6,0),3)</f>
        <v>Fra vs Hon</v>
      </c>
      <c r="U8" s="7" t="str">
        <f ca="1">LEFT(OFFSET(Tournament!$H$15,U$6,0),3)&amp;" vs "&amp;LEFT(OFFSET(Tournament!$N$15,U$6,0),3)</f>
        <v>Arg vs Bos</v>
      </c>
      <c r="V8" s="7" t="str">
        <f ca="1">LEFT(OFFSET(Tournament!$H$15,V$6,0),3)&amp;" vs "&amp;LEFT(OFFSET(Tournament!$N$15,V$6,0),3)</f>
        <v>Ira vs Nig</v>
      </c>
      <c r="W8" s="7" t="str">
        <f ca="1">LEFT(OFFSET(Tournament!$H$15,W$6,0),3)&amp;" vs "&amp;LEFT(OFFSET(Tournament!$N$15,W$6,0),3)</f>
        <v>Ger vs Por</v>
      </c>
      <c r="X8" s="7" t="str">
        <f ca="1">LEFT(OFFSET(Tournament!$H$15,X$6,0),3)&amp;" vs "&amp;LEFT(OFFSET(Tournament!$N$15,X$6,0),3)</f>
        <v>Gha vs USA</v>
      </c>
      <c r="Y8" s="7" t="str">
        <f ca="1">LEFT(OFFSET(Tournament!$H$15,Y$6,0),3)&amp;" vs "&amp;LEFT(OFFSET(Tournament!$N$15,Y$6,0),3)</f>
        <v>Bel vs Alg</v>
      </c>
      <c r="Z8" s="7" t="str">
        <f ca="1">LEFT(OFFSET(Tournament!$H$15,Z$6,0),3)&amp;" vs "&amp;LEFT(OFFSET(Tournament!$N$15,Z$6,0),3)</f>
        <v>Rus vs Sou</v>
      </c>
      <c r="AA8" s="7" t="str">
        <f ca="1">LEFT(OFFSET(Tournament!$H$15,AA$6,0),3)&amp;" vs "&amp;LEFT(OFFSET(Tournament!$N$15,AA$6,0),3)</f>
        <v>Bra vs Mex</v>
      </c>
      <c r="AB8" s="7" t="str">
        <f ca="1">LEFT(OFFSET(Tournament!$H$15,AB$6,0),3)&amp;" vs "&amp;LEFT(OFFSET(Tournament!$N$15,AB$6,0),3)</f>
        <v>Cam vs Cro</v>
      </c>
      <c r="AC8" s="7" t="str">
        <f ca="1">LEFT(OFFSET(Tournament!$H$15,AC$6,0),3)&amp;" vs "&amp;LEFT(OFFSET(Tournament!$N$15,AC$6,0),3)</f>
        <v>Spa vs Chi</v>
      </c>
      <c r="AD8" s="7" t="str">
        <f ca="1">LEFT(OFFSET(Tournament!$H$15,AD$6,0),3)&amp;" vs "&amp;LEFT(OFFSET(Tournament!$N$15,AD$6,0),3)</f>
        <v>Aus vs Net</v>
      </c>
      <c r="AE8" s="7" t="str">
        <f ca="1">LEFT(OFFSET(Tournament!$H$15,AE$6,0),3)&amp;" vs "&amp;LEFT(OFFSET(Tournament!$N$15,AE$6,0),3)</f>
        <v>Col vs Ivo</v>
      </c>
      <c r="AF8" s="7" t="str">
        <f ca="1">LEFT(OFFSET(Tournament!$H$15,AF$6,0),3)&amp;" vs "&amp;LEFT(OFFSET(Tournament!$N$15,AF$6,0),3)</f>
        <v>Jap vs Gre</v>
      </c>
      <c r="AG8" s="7" t="str">
        <f ca="1">LEFT(OFFSET(Tournament!$H$15,AG$6,0),3)&amp;" vs "&amp;LEFT(OFFSET(Tournament!$N$15,AG$6,0),3)</f>
        <v>Uru vs Eng</v>
      </c>
      <c r="AH8" s="7" t="str">
        <f ca="1">LEFT(OFFSET(Tournament!$H$15,AH$6,0),3)&amp;" vs "&amp;LEFT(OFFSET(Tournament!$N$15,AH$6,0),3)</f>
        <v>Ita vs Cos</v>
      </c>
      <c r="AI8" s="7" t="str">
        <f ca="1">LEFT(OFFSET(Tournament!$H$15,AI$6,0),3)&amp;" vs "&amp;LEFT(OFFSET(Tournament!$N$15,AI$6,0),3)</f>
        <v>Swi vs Fra</v>
      </c>
      <c r="AJ8" s="7" t="str">
        <f ca="1">LEFT(OFFSET(Tournament!$H$15,AJ$6,0),3)&amp;" vs "&amp;LEFT(OFFSET(Tournament!$N$15,AJ$6,0),3)</f>
        <v>Hon vs Ecu</v>
      </c>
      <c r="AK8" s="7" t="str">
        <f ca="1">LEFT(OFFSET(Tournament!$H$15,AK$6,0),3)&amp;" vs "&amp;LEFT(OFFSET(Tournament!$N$15,AK$6,0),3)</f>
        <v>Arg vs Ira</v>
      </c>
      <c r="AL8" s="7" t="str">
        <f ca="1">LEFT(OFFSET(Tournament!$H$15,AL$6,0),3)&amp;" vs "&amp;LEFT(OFFSET(Tournament!$N$15,AL$6,0),3)</f>
        <v>Nig vs Bos</v>
      </c>
      <c r="AM8" s="7" t="str">
        <f ca="1">LEFT(OFFSET(Tournament!$H$15,AM$6,0),3)&amp;" vs "&amp;LEFT(OFFSET(Tournament!$N$15,AM$6,0),3)</f>
        <v>Ger vs Gha</v>
      </c>
      <c r="AN8" s="7" t="str">
        <f ca="1">LEFT(OFFSET(Tournament!$H$15,AN$6,0),3)&amp;" vs "&amp;LEFT(OFFSET(Tournament!$N$15,AN$6,0),3)</f>
        <v>USA vs Por</v>
      </c>
      <c r="AO8" s="7" t="str">
        <f ca="1">LEFT(OFFSET(Tournament!$H$15,AO$6,0),3)&amp;" vs "&amp;LEFT(OFFSET(Tournament!$N$15,AO$6,0),3)</f>
        <v>Bel vs Rus</v>
      </c>
      <c r="AP8" s="7" t="str">
        <f ca="1">LEFT(OFFSET(Tournament!$H$15,AP$6,0),3)&amp;" vs "&amp;LEFT(OFFSET(Tournament!$N$15,AP$6,0),3)</f>
        <v>Sou vs Alg</v>
      </c>
      <c r="AQ8" s="7" t="str">
        <f ca="1">LEFT(OFFSET(Tournament!$H$15,AQ$6,0),3)&amp;" vs "&amp;LEFT(OFFSET(Tournament!$N$15,AQ$6,0),3)</f>
        <v>Cam vs Bra</v>
      </c>
      <c r="AR8" s="7" t="str">
        <f ca="1">LEFT(OFFSET(Tournament!$H$15,AR$6,0),3)&amp;" vs "&amp;LEFT(OFFSET(Tournament!$N$15,AR$6,0),3)</f>
        <v>Cro vs Mex</v>
      </c>
      <c r="AS8" s="7" t="str">
        <f ca="1">LEFT(OFFSET(Tournament!$H$15,AS$6,0),3)&amp;" vs "&amp;LEFT(OFFSET(Tournament!$N$15,AS$6,0),3)</f>
        <v>Aus vs Spa</v>
      </c>
      <c r="AT8" s="7" t="str">
        <f ca="1">LEFT(OFFSET(Tournament!$H$15,AT$6,0),3)&amp;" vs "&amp;LEFT(OFFSET(Tournament!$N$15,AT$6,0),3)</f>
        <v>Net vs Chi</v>
      </c>
      <c r="AU8" s="7" t="str">
        <f ca="1">LEFT(OFFSET(Tournament!$H$15,AU$6,0),3)&amp;" vs "&amp;LEFT(OFFSET(Tournament!$N$15,AU$6,0),3)</f>
        <v>Jap vs Col</v>
      </c>
      <c r="AV8" s="7" t="str">
        <f ca="1">LEFT(OFFSET(Tournament!$H$15,AV$6,0),3)&amp;" vs "&amp;LEFT(OFFSET(Tournament!$N$15,AV$6,0),3)</f>
        <v>Gre vs Ivo</v>
      </c>
      <c r="AW8" s="7" t="str">
        <f ca="1">LEFT(OFFSET(Tournament!$H$15,AW$6,0),3)&amp;" vs "&amp;LEFT(OFFSET(Tournament!$N$15,AW$6,0),3)</f>
        <v>Ita vs Uru</v>
      </c>
      <c r="AX8" s="7" t="str">
        <f ca="1">LEFT(OFFSET(Tournament!$H$15,AX$6,0),3)&amp;" vs "&amp;LEFT(OFFSET(Tournament!$N$15,AX$6,0),3)</f>
        <v>Cos vs Eng</v>
      </c>
      <c r="AY8" s="7" t="str">
        <f ca="1">LEFT(OFFSET(Tournament!$H$15,AY$6,0),3)&amp;" vs "&amp;LEFT(OFFSET(Tournament!$N$15,AY$6,0),3)</f>
        <v>Hon vs Swi</v>
      </c>
      <c r="AZ8" s="7" t="str">
        <f ca="1">LEFT(OFFSET(Tournament!$H$15,AZ$6,0),3)&amp;" vs "&amp;LEFT(OFFSET(Tournament!$N$15,AZ$6,0),3)</f>
        <v>Ecu vs Fra</v>
      </c>
      <c r="BA8" s="7" t="str">
        <f ca="1">LEFT(OFFSET(Tournament!$H$15,BA$6,0),3)&amp;" vs "&amp;LEFT(OFFSET(Tournament!$N$15,BA$6,0),3)</f>
        <v>Nig vs Arg</v>
      </c>
      <c r="BB8" s="7" t="str">
        <f ca="1">LEFT(OFFSET(Tournament!$H$15,BB$6,0),3)&amp;" vs "&amp;LEFT(OFFSET(Tournament!$N$15,BB$6,0),3)</f>
        <v>Bos vs Ira</v>
      </c>
      <c r="BC8" s="7" t="str">
        <f ca="1">LEFT(OFFSET(Tournament!$H$15,BC$6,0),3)&amp;" vs "&amp;LEFT(OFFSET(Tournament!$N$15,BC$6,0),3)</f>
        <v>USA vs Ger</v>
      </c>
      <c r="BD8" s="7" t="str">
        <f ca="1">LEFT(OFFSET(Tournament!$H$15,BD$6,0),3)&amp;" vs "&amp;LEFT(OFFSET(Tournament!$N$15,BD$6,0),3)</f>
        <v>Por vs Gha</v>
      </c>
      <c r="BE8" s="7" t="str">
        <f ca="1">LEFT(OFFSET(Tournament!$H$15,BE$6,0),3)&amp;" vs "&amp;LEFT(OFFSET(Tournament!$N$15,BE$6,0),3)</f>
        <v>Sou vs Bel</v>
      </c>
      <c r="BF8" s="7" t="str">
        <f ca="1">LEFT(OFFSET(Tournament!$H$15,BF$6,0),3)&amp;" vs "&amp;LEFT(OFFSET(Tournament!$N$15,BF$6,0),3)</f>
        <v>Alg vs Rus</v>
      </c>
      <c r="BG8" s="18" t="str">
        <f ca="1">LEFT(OFFSET(Tournament!$H$68,1,0),3)&amp;" vs "&amp;LEFT(OFFSET(Tournament!$N$68,1,0),3)</f>
        <v>Gro vs Gro</v>
      </c>
      <c r="BH8" s="18" t="str">
        <f ca="1">LEFT(OFFSET(Tournament!$H$68,7,0),3)&amp;" vs "&amp;LEFT(OFFSET(Tournament!$N$68,7,0),3)</f>
        <v>Gro vs Gro</v>
      </c>
      <c r="BI8" s="18" t="str">
        <f ca="1">LEFT(OFFSET(Tournament!$H$68,13,0),3)&amp;" vs "&amp;LEFT(OFFSET(Tournament!$N$68,13,0),3)</f>
        <v>Gro vs Gro</v>
      </c>
      <c r="BJ8" s="18" t="str">
        <f ca="1">LEFT(OFFSET(Tournament!$H$68,19,0),3)&amp;" vs "&amp;LEFT(OFFSET(Tournament!$N$68,19,0),3)</f>
        <v>Gro vs Gro</v>
      </c>
      <c r="BK8" s="18" t="str">
        <f ca="1">LEFT(OFFSET(Tournament!$H$68,25,0),3)&amp;" vs "&amp;LEFT(OFFSET(Tournament!$N$68,25,0),3)</f>
        <v>Gro vs Gro</v>
      </c>
      <c r="BL8" s="18" t="str">
        <f ca="1">LEFT(OFFSET(Tournament!$H$68,31,0),3)&amp;" vs "&amp;LEFT(OFFSET(Tournament!$N$68,31,0),3)</f>
        <v>Gro vs Gro</v>
      </c>
      <c r="BM8" s="18" t="str">
        <f ca="1">LEFT(OFFSET(Tournament!$H$68,37,0),3)&amp;" vs "&amp;LEFT(OFFSET(Tournament!$N$68,37,0),3)</f>
        <v>Gro vs Gro</v>
      </c>
      <c r="BN8" s="18" t="str">
        <f ca="1">LEFT(OFFSET(Tournament!$H$68,43,0),3)&amp;" vs "&amp;LEFT(OFFSET(Tournament!$N$68,43,0),3)</f>
        <v>Gro vs Gro</v>
      </c>
      <c r="BO8" s="18" t="str">
        <f ca="1">LEFT(OFFSET(Tournament!$Y$68,1,0),3)&amp;" vs "&amp;LEFT(OFFSET(Tournament!$AE$68,1,0),3)</f>
        <v>Mat vs Mat</v>
      </c>
      <c r="BP8" s="18" t="str">
        <f ca="1">LEFT(OFFSET(Tournament!$Y$68,6,0),3)&amp;" vs "&amp;LEFT(OFFSET(Tournament!$AE$68,6,0),3)</f>
        <v>Mat vs Mat</v>
      </c>
      <c r="BQ8" s="18" t="str">
        <f ca="1">LEFT(OFFSET(Tournament!$Y$68,11,0),3)&amp;" vs "&amp;LEFT(OFFSET(Tournament!$AE$68,11,0),3)</f>
        <v>Mat vs Mat</v>
      </c>
      <c r="BR8" s="18" t="str">
        <f ca="1">LEFT(OFFSET(Tournament!$Y$68,16,0),3)&amp;" vs "&amp;LEFT(OFFSET(Tournament!$AE$68,16,0),3)</f>
        <v>Mat vs Mat</v>
      </c>
      <c r="BS8" s="18" t="str">
        <f ca="1">LEFT(OFFSET(Tournament!$Y$91,1,0),3)&amp;" vs "&amp;LEFT(OFFSET(Tournament!$AE$91,1,0),3)</f>
        <v>Mat vs Mat</v>
      </c>
      <c r="BT8" s="18" t="str">
        <f ca="1">LEFT(OFFSET(Tournament!$Y$91,6,0),3)&amp;" vs "&amp;LEFT(OFFSET(Tournament!$AE$91,6,0),3)</f>
        <v>Mat vs Mat</v>
      </c>
      <c r="BU8" s="18" t="str">
        <f ca="1">LEFT(OFFSET(Tournament!$Y$104,1,0),3)&amp;" vs "&amp;LEFT(OFFSET(Tournament!$AE$104,1,0),3)</f>
        <v>Mat vs Mat</v>
      </c>
      <c r="BV8" s="18" t="str">
        <f ca="1">LEFT(OFFSET(Tournament!$Y$112,1,0),3)&amp;" vs "&amp;LEFT(OFFSET(Tournament!$AE$112,1,0),3)</f>
        <v>Mat vs Mat</v>
      </c>
    </row>
    <row r="9" spans="1:74" ht="15" customHeight="1">
      <c r="A9" s="270"/>
      <c r="B9" s="52"/>
      <c r="C9" s="270"/>
      <c r="D9" s="270"/>
      <c r="E9" s="269"/>
      <c r="F9" s="269"/>
      <c r="G9" s="269"/>
      <c r="H9" s="269"/>
      <c r="I9" s="269"/>
      <c r="J9" s="8" t="s">
        <v>3556</v>
      </c>
      <c r="K9" s="7" t="str">
        <f ca="1">LEFT(OFFSET(Tournament!$J$15,K$6,0),3)&amp;" - "&amp;LEFT(OFFSET(Tournament!$L$15,K$6,0),3)</f>
        <v>3 - 1</v>
      </c>
      <c r="L9" s="7" t="str">
        <f ca="1">LEFT(OFFSET(Tournament!$J$15,L$6,0),3)&amp;" - "&amp;LEFT(OFFSET(Tournament!$L$15,L$6,0),3)</f>
        <v>1 - 0</v>
      </c>
      <c r="M9" s="7" t="str">
        <f ca="1">LEFT(OFFSET(Tournament!$J$15,M$6,0),3)&amp;" - "&amp;LEFT(OFFSET(Tournament!$L$15,M$6,0),3)</f>
        <v>1 - 5</v>
      </c>
      <c r="N9" s="7" t="str">
        <f ca="1">LEFT(OFFSET(Tournament!$J$15,N$6,0),3)&amp;" - "&amp;LEFT(OFFSET(Tournament!$L$15,N$6,0),3)</f>
        <v>3 - 1</v>
      </c>
      <c r="O9" s="7" t="str">
        <f ca="1">LEFT(OFFSET(Tournament!$J$15,O$6,0),3)&amp;" - "&amp;LEFT(OFFSET(Tournament!$L$15,O$6,0),3)</f>
        <v xml:space="preserve"> - </v>
      </c>
      <c r="P9" s="7" t="str">
        <f ca="1">LEFT(OFFSET(Tournament!$J$15,P$6,0),3)&amp;" - "&amp;LEFT(OFFSET(Tournament!$L$15,P$6,0),3)</f>
        <v xml:space="preserve"> - </v>
      </c>
      <c r="Q9" s="7" t="str">
        <f ca="1">LEFT(OFFSET(Tournament!$J$15,Q$6,0),3)&amp;" - "&amp;LEFT(OFFSET(Tournament!$L$15,Q$6,0),3)</f>
        <v xml:space="preserve"> - </v>
      </c>
      <c r="R9" s="7" t="str">
        <f ca="1">LEFT(OFFSET(Tournament!$J$15,R$6,0),3)&amp;" - "&amp;LEFT(OFFSET(Tournament!$L$15,R$6,0),3)</f>
        <v xml:space="preserve"> - </v>
      </c>
      <c r="S9" s="7" t="str">
        <f ca="1">LEFT(OFFSET(Tournament!$J$15,S$6,0),3)&amp;" - "&amp;LEFT(OFFSET(Tournament!$L$15,S$6,0),3)</f>
        <v xml:space="preserve"> - </v>
      </c>
      <c r="T9" s="7" t="str">
        <f ca="1">LEFT(OFFSET(Tournament!$J$15,T$6,0),3)&amp;" - "&amp;LEFT(OFFSET(Tournament!$L$15,T$6,0),3)</f>
        <v xml:space="preserve"> - </v>
      </c>
      <c r="U9" s="7" t="str">
        <f ca="1">LEFT(OFFSET(Tournament!$J$15,U$6,0),3)&amp;" - "&amp;LEFT(OFFSET(Tournament!$L$15,U$6,0),3)</f>
        <v xml:space="preserve"> - </v>
      </c>
      <c r="V9" s="7" t="str">
        <f ca="1">LEFT(OFFSET(Tournament!$J$15,V$6,0),3)&amp;" - "&amp;LEFT(OFFSET(Tournament!$L$15,V$6,0),3)</f>
        <v xml:space="preserve"> - </v>
      </c>
      <c r="W9" s="7" t="str">
        <f ca="1">LEFT(OFFSET(Tournament!$J$15,W$6,0),3)&amp;" - "&amp;LEFT(OFFSET(Tournament!$L$15,W$6,0),3)</f>
        <v xml:space="preserve"> - </v>
      </c>
      <c r="X9" s="7" t="str">
        <f ca="1">LEFT(OFFSET(Tournament!$J$15,X$6,0),3)&amp;" - "&amp;LEFT(OFFSET(Tournament!$L$15,X$6,0),3)</f>
        <v xml:space="preserve"> - </v>
      </c>
      <c r="Y9" s="7" t="str">
        <f ca="1">LEFT(OFFSET(Tournament!$J$15,Y$6,0),3)&amp;" - "&amp;LEFT(OFFSET(Tournament!$L$15,Y$6,0),3)</f>
        <v xml:space="preserve"> - </v>
      </c>
      <c r="Z9" s="7" t="str">
        <f ca="1">LEFT(OFFSET(Tournament!$J$15,Z$6,0),3)&amp;" - "&amp;LEFT(OFFSET(Tournament!$L$15,Z$6,0),3)</f>
        <v xml:space="preserve"> - </v>
      </c>
      <c r="AA9" s="7" t="str">
        <f ca="1">LEFT(OFFSET(Tournament!$J$15,AA$6,0),3)&amp;" - "&amp;LEFT(OFFSET(Tournament!$L$15,AA$6,0),3)</f>
        <v xml:space="preserve"> - </v>
      </c>
      <c r="AB9" s="7" t="str">
        <f ca="1">LEFT(OFFSET(Tournament!$J$15,AB$6,0),3)&amp;" - "&amp;LEFT(OFFSET(Tournament!$L$15,AB$6,0),3)</f>
        <v xml:space="preserve"> - </v>
      </c>
      <c r="AC9" s="7" t="str">
        <f ca="1">LEFT(OFFSET(Tournament!$J$15,AC$6,0),3)&amp;" - "&amp;LEFT(OFFSET(Tournament!$L$15,AC$6,0),3)</f>
        <v xml:space="preserve"> - </v>
      </c>
      <c r="AD9" s="7" t="str">
        <f ca="1">LEFT(OFFSET(Tournament!$J$15,AD$6,0),3)&amp;" - "&amp;LEFT(OFFSET(Tournament!$L$15,AD$6,0),3)</f>
        <v xml:space="preserve"> - </v>
      </c>
      <c r="AE9" s="7" t="str">
        <f ca="1">LEFT(OFFSET(Tournament!$J$15,AE$6,0),3)&amp;" - "&amp;LEFT(OFFSET(Tournament!$L$15,AE$6,0),3)</f>
        <v xml:space="preserve"> - </v>
      </c>
      <c r="AF9" s="7" t="str">
        <f ca="1">LEFT(OFFSET(Tournament!$J$15,AF$6,0),3)&amp;" - "&amp;LEFT(OFFSET(Tournament!$L$15,AF$6,0),3)</f>
        <v xml:space="preserve"> - </v>
      </c>
      <c r="AG9" s="7" t="str">
        <f ca="1">LEFT(OFFSET(Tournament!$J$15,AG$6,0),3)&amp;" - "&amp;LEFT(OFFSET(Tournament!$L$15,AG$6,0),3)</f>
        <v xml:space="preserve"> - </v>
      </c>
      <c r="AH9" s="7" t="str">
        <f ca="1">LEFT(OFFSET(Tournament!$J$15,AH$6,0),3)&amp;" - "&amp;LEFT(OFFSET(Tournament!$L$15,AH$6,0),3)</f>
        <v xml:space="preserve"> - </v>
      </c>
      <c r="AI9" s="7" t="str">
        <f ca="1">LEFT(OFFSET(Tournament!$J$15,AI$6,0),3)&amp;" - "&amp;LEFT(OFFSET(Tournament!$L$15,AI$6,0),3)</f>
        <v xml:space="preserve"> - </v>
      </c>
      <c r="AJ9" s="7" t="str">
        <f ca="1">LEFT(OFFSET(Tournament!$J$15,AJ$6,0),3)&amp;" - "&amp;LEFT(OFFSET(Tournament!$L$15,AJ$6,0),3)</f>
        <v xml:space="preserve"> - </v>
      </c>
      <c r="AK9" s="7" t="str">
        <f ca="1">LEFT(OFFSET(Tournament!$J$15,AK$6,0),3)&amp;" - "&amp;LEFT(OFFSET(Tournament!$L$15,AK$6,0),3)</f>
        <v xml:space="preserve"> - </v>
      </c>
      <c r="AL9" s="7" t="str">
        <f ca="1">LEFT(OFFSET(Tournament!$J$15,AL$6,0),3)&amp;" - "&amp;LEFT(OFFSET(Tournament!$L$15,AL$6,0),3)</f>
        <v xml:space="preserve"> - </v>
      </c>
      <c r="AM9" s="7" t="str">
        <f ca="1">LEFT(OFFSET(Tournament!$J$15,AM$6,0),3)&amp;" - "&amp;LEFT(OFFSET(Tournament!$L$15,AM$6,0),3)</f>
        <v xml:space="preserve"> - </v>
      </c>
      <c r="AN9" s="7" t="str">
        <f ca="1">LEFT(OFFSET(Tournament!$J$15,AN$6,0),3)&amp;" - "&amp;LEFT(OFFSET(Tournament!$L$15,AN$6,0),3)</f>
        <v xml:space="preserve"> - </v>
      </c>
      <c r="AO9" s="7" t="str">
        <f ca="1">LEFT(OFFSET(Tournament!$J$15,AO$6,0),3)&amp;" - "&amp;LEFT(OFFSET(Tournament!$L$15,AO$6,0),3)</f>
        <v xml:space="preserve"> - </v>
      </c>
      <c r="AP9" s="7" t="str">
        <f ca="1">LEFT(OFFSET(Tournament!$J$15,AP$6,0),3)&amp;" - "&amp;LEFT(OFFSET(Tournament!$L$15,AP$6,0),3)</f>
        <v xml:space="preserve"> - </v>
      </c>
      <c r="AQ9" s="7" t="str">
        <f ca="1">LEFT(OFFSET(Tournament!$J$15,AQ$6,0),3)&amp;" - "&amp;LEFT(OFFSET(Tournament!$L$15,AQ$6,0),3)</f>
        <v xml:space="preserve"> - </v>
      </c>
      <c r="AR9" s="7" t="str">
        <f ca="1">LEFT(OFFSET(Tournament!$J$15,AR$6,0),3)&amp;" - "&amp;LEFT(OFFSET(Tournament!$L$15,AR$6,0),3)</f>
        <v xml:space="preserve"> - </v>
      </c>
      <c r="AS9" s="7" t="str">
        <f ca="1">LEFT(OFFSET(Tournament!$J$15,AS$6,0),3)&amp;" - "&amp;LEFT(OFFSET(Tournament!$L$15,AS$6,0),3)</f>
        <v xml:space="preserve"> - </v>
      </c>
      <c r="AT9" s="7" t="str">
        <f ca="1">LEFT(OFFSET(Tournament!$J$15,AT$6,0),3)&amp;" - "&amp;LEFT(OFFSET(Tournament!$L$15,AT$6,0),3)</f>
        <v xml:space="preserve"> - </v>
      </c>
      <c r="AU9" s="7" t="str">
        <f ca="1">LEFT(OFFSET(Tournament!$J$15,AU$6,0),3)&amp;" - "&amp;LEFT(OFFSET(Tournament!$L$15,AU$6,0),3)</f>
        <v xml:space="preserve"> - </v>
      </c>
      <c r="AV9" s="7" t="str">
        <f ca="1">LEFT(OFFSET(Tournament!$J$15,AV$6,0),3)&amp;" - "&amp;LEFT(OFFSET(Tournament!$L$15,AV$6,0),3)</f>
        <v xml:space="preserve"> - </v>
      </c>
      <c r="AW9" s="7" t="str">
        <f ca="1">LEFT(OFFSET(Tournament!$J$15,AW$6,0),3)&amp;" - "&amp;LEFT(OFFSET(Tournament!$L$15,AW$6,0),3)</f>
        <v xml:space="preserve"> - </v>
      </c>
      <c r="AX9" s="7" t="str">
        <f ca="1">LEFT(OFFSET(Tournament!$J$15,AX$6,0),3)&amp;" - "&amp;LEFT(OFFSET(Tournament!$L$15,AX$6,0),3)</f>
        <v xml:space="preserve"> - </v>
      </c>
      <c r="AY9" s="7" t="str">
        <f ca="1">LEFT(OFFSET(Tournament!$J$15,AY$6,0),3)&amp;" - "&amp;LEFT(OFFSET(Tournament!$L$15,AY$6,0),3)</f>
        <v xml:space="preserve"> - </v>
      </c>
      <c r="AZ9" s="7" t="str">
        <f ca="1">LEFT(OFFSET(Tournament!$J$15,AZ$6,0),3)&amp;" - "&amp;LEFT(OFFSET(Tournament!$L$15,AZ$6,0),3)</f>
        <v xml:space="preserve"> - </v>
      </c>
      <c r="BA9" s="7" t="str">
        <f ca="1">LEFT(OFFSET(Tournament!$J$15,BA$6,0),3)&amp;" - "&amp;LEFT(OFFSET(Tournament!$L$15,BA$6,0),3)</f>
        <v xml:space="preserve"> - </v>
      </c>
      <c r="BB9" s="7" t="str">
        <f ca="1">LEFT(OFFSET(Tournament!$J$15,BB$6,0),3)&amp;" - "&amp;LEFT(OFFSET(Tournament!$L$15,BB$6,0),3)</f>
        <v xml:space="preserve"> - </v>
      </c>
      <c r="BC9" s="7" t="str">
        <f ca="1">LEFT(OFFSET(Tournament!$J$15,BC$6,0),3)&amp;" - "&amp;LEFT(OFFSET(Tournament!$L$15,BC$6,0),3)</f>
        <v xml:space="preserve"> - </v>
      </c>
      <c r="BD9" s="7" t="str">
        <f ca="1">LEFT(OFFSET(Tournament!$J$15,BD$6,0),3)&amp;" - "&amp;LEFT(OFFSET(Tournament!$L$15,BD$6,0),3)</f>
        <v xml:space="preserve"> - </v>
      </c>
      <c r="BE9" s="7" t="str">
        <f ca="1">LEFT(OFFSET(Tournament!$J$15,BE$6,0),3)&amp;" - "&amp;LEFT(OFFSET(Tournament!$L$15,BE$6,0),3)</f>
        <v xml:space="preserve"> - </v>
      </c>
      <c r="BF9" s="7" t="str">
        <f ca="1">LEFT(OFFSET(Tournament!$J$15,BF$6,0),3)&amp;" - "&amp;LEFT(OFFSET(Tournament!$L$15,BF$6,0),3)</f>
        <v xml:space="preserve"> - </v>
      </c>
      <c r="BG9" s="18" t="str">
        <f ca="1">LEFT(OFFSET(Player!$R$65,BG$6-48,0),3)&amp;" - "&amp;LEFT(OFFSET(Player!$T$65,BG$6-48,0),3)</f>
        <v xml:space="preserve"> - </v>
      </c>
      <c r="BH9" s="18" t="str">
        <f ca="1">LEFT(OFFSET(Player!$R$65,BH$6-48,0),3)&amp;" - "&amp;LEFT(OFFSET(Player!$T$65,BH$6-48,0),3)</f>
        <v xml:space="preserve"> - </v>
      </c>
      <c r="BI9" s="18" t="str">
        <f ca="1">LEFT(OFFSET(Player!$R$65,BI$6-48,0),3)&amp;" - "&amp;LEFT(OFFSET(Player!$T$65,BI$6-48,0),3)</f>
        <v xml:space="preserve"> - </v>
      </c>
      <c r="BJ9" s="18" t="str">
        <f ca="1">LEFT(OFFSET(Player!$R$65,BJ$6-48,0),3)&amp;" - "&amp;LEFT(OFFSET(Player!$T$65,BJ$6-48,0),3)</f>
        <v xml:space="preserve"> - </v>
      </c>
      <c r="BK9" s="18" t="str">
        <f ca="1">LEFT(OFFSET(Player!$R$65,BK$6-48,0),3)&amp;" - "&amp;LEFT(OFFSET(Player!$T$65,BK$6-48,0),3)</f>
        <v xml:space="preserve"> - </v>
      </c>
      <c r="BL9" s="18" t="str">
        <f ca="1">LEFT(OFFSET(Player!$R$65,BL$6-48,0),3)&amp;" - "&amp;LEFT(OFFSET(Player!$T$65,BL$6-48,0),3)</f>
        <v xml:space="preserve"> - </v>
      </c>
      <c r="BM9" s="18" t="str">
        <f ca="1">LEFT(OFFSET(Player!$R$65,BM$6-48,0),3)&amp;" - "&amp;LEFT(OFFSET(Player!$T$65,BM$6-48,0),3)</f>
        <v xml:space="preserve"> - </v>
      </c>
      <c r="BN9" s="18" t="str">
        <f ca="1">LEFT(OFFSET(Player!$R$65,BN$6-48,0),3)&amp;" - "&amp;LEFT(OFFSET(Player!$T$65,BN$6-48,0),3)</f>
        <v xml:space="preserve"> - </v>
      </c>
      <c r="BO9" s="18" t="str">
        <f ca="1">LEFT(OFFSET(Player!$R$65,BO$6-48,0),3)&amp;" - "&amp;LEFT(OFFSET(Player!$T$65,BO$6-48,0),3)</f>
        <v xml:space="preserve"> - </v>
      </c>
      <c r="BP9" s="18" t="str">
        <f ca="1">LEFT(OFFSET(Player!$R$65,BP$6-48,0),3)&amp;" - "&amp;LEFT(OFFSET(Player!$T$65,BP$6-48,0),3)</f>
        <v xml:space="preserve"> - </v>
      </c>
      <c r="BQ9" s="18" t="str">
        <f ca="1">LEFT(OFFSET(Player!$R$65,BQ$6-48,0),3)&amp;" - "&amp;LEFT(OFFSET(Player!$T$65,BQ$6-48,0),3)</f>
        <v xml:space="preserve"> - </v>
      </c>
      <c r="BR9" s="18" t="str">
        <f ca="1">LEFT(OFFSET(Player!$R$65,BR$6-48,0),3)&amp;" - "&amp;LEFT(OFFSET(Player!$T$65,BR$6-48,0),3)</f>
        <v xml:space="preserve"> - </v>
      </c>
      <c r="BS9" s="18" t="str">
        <f ca="1">LEFT(OFFSET(Player!$R$65,BS$6-48,0),3)&amp;" - "&amp;LEFT(OFFSET(Player!$T$65,BS$6-48,0),3)</f>
        <v xml:space="preserve"> - </v>
      </c>
      <c r="BT9" s="18" t="str">
        <f ca="1">LEFT(OFFSET(Player!$R$65,BT$6-48,0),3)&amp;" - "&amp;LEFT(OFFSET(Player!$T$65,BT$6-48,0),3)</f>
        <v xml:space="preserve"> - </v>
      </c>
      <c r="BU9" s="18" t="str">
        <f ca="1">LEFT(OFFSET(Player!$R$65,BU$6-48,0),3)&amp;" - "&amp;LEFT(OFFSET(Player!$T$65,BU$6-48,0),3)</f>
        <v xml:space="preserve"> - </v>
      </c>
      <c r="BV9" s="18" t="str">
        <f ca="1">LEFT(OFFSET(Player!$R$65,BV$6-48,0),3)&amp;" - "&amp;LEFT(OFFSET(Player!$T$65,BV$6-48,0),3)</f>
        <v xml:space="preserve"> - </v>
      </c>
    </row>
    <row r="10" spans="1:74" ht="15" customHeight="1">
      <c r="A10" s="12">
        <f>IF(C10&lt;&gt;"",1,"")</f>
        <v>1</v>
      </c>
      <c r="B10" s="45" t="s">
        <v>3524</v>
      </c>
      <c r="C10" s="46" t="str">
        <f>IF('Player Name'!C6&lt;&gt;"",'Player Name'!C6,"")</f>
        <v>John 1</v>
      </c>
      <c r="D10" s="25">
        <f ca="1">IF(C10&lt;&gt;"",F10+H10,"")</f>
        <v>0</v>
      </c>
      <c r="E10" s="12">
        <f ca="1">IF(C10&lt;&gt;"",G10+I10,"")</f>
        <v>0</v>
      </c>
      <c r="F10" s="25">
        <f ca="1">IF(C10&lt;&gt;"",SUM(K10:BF10),"")</f>
        <v>0</v>
      </c>
      <c r="G10" s="12">
        <f ca="1">IF(C10&lt;&gt;"",COUNTIF(K10:BF10,$K$7),"")</f>
        <v>0</v>
      </c>
      <c r="H10" s="25">
        <f ca="1">IF(C10&lt;&gt;"",SUM(BG10:BV10),"")</f>
        <v>0</v>
      </c>
      <c r="I10" s="12">
        <f ca="1">IF(C10&lt;&gt;"",COUNTIF(BG10:BN10,$BG$7)+COUNTIF(BO10:BR10,$BO$7)+COUNTIF(BS10:BT10,$BS$7)+COUNTIF(BU10,$BU$7)+COUNTIF(BV10,$BV$7),"")</f>
        <v>0</v>
      </c>
      <c r="J10" s="47" t="str">
        <f>HYPERLINK("["&amp;Setup!$C$5&amp;"]'"&amp;B10&amp;"'!D4","Update score")</f>
        <v>Update score</v>
      </c>
      <c r="K10" s="48" t="str">
        <f ca="1">IF($C10&lt;&gt;"",INDIRECT("'"&amp;$B10&amp;"'!"&amp;"$AD"&amp;K$6+14),"")</f>
        <v/>
      </c>
      <c r="L10" s="48" t="str">
        <f t="shared" ref="L10:AA24" ca="1" si="3">IF($C10&lt;&gt;"",INDIRECT("'"&amp;$B10&amp;"'!"&amp;"$AD"&amp;L$6+14),"")</f>
        <v/>
      </c>
      <c r="M10" s="48" t="str">
        <f t="shared" ca="1" si="3"/>
        <v/>
      </c>
      <c r="N10" s="48" t="str">
        <f t="shared" ca="1" si="3"/>
        <v/>
      </c>
      <c r="O10" s="48" t="str">
        <f t="shared" ca="1" si="3"/>
        <v/>
      </c>
      <c r="P10" s="48" t="str">
        <f t="shared" ca="1" si="3"/>
        <v/>
      </c>
      <c r="Q10" s="48" t="str">
        <f t="shared" ca="1" si="3"/>
        <v/>
      </c>
      <c r="R10" s="48" t="str">
        <f t="shared" ca="1" si="3"/>
        <v/>
      </c>
      <c r="S10" s="48" t="str">
        <f t="shared" ca="1" si="3"/>
        <v/>
      </c>
      <c r="T10" s="48" t="str">
        <f t="shared" ca="1" si="3"/>
        <v/>
      </c>
      <c r="U10" s="48" t="str">
        <f t="shared" ca="1" si="3"/>
        <v/>
      </c>
      <c r="V10" s="48" t="str">
        <f t="shared" ca="1" si="3"/>
        <v/>
      </c>
      <c r="W10" s="48" t="str">
        <f t="shared" ca="1" si="3"/>
        <v/>
      </c>
      <c r="X10" s="48" t="str">
        <f t="shared" ca="1" si="3"/>
        <v/>
      </c>
      <c r="Y10" s="48" t="str">
        <f t="shared" ca="1" si="3"/>
        <v/>
      </c>
      <c r="Z10" s="48" t="str">
        <f t="shared" ca="1" si="3"/>
        <v/>
      </c>
      <c r="AA10" s="48" t="str">
        <f t="shared" ca="1" si="3"/>
        <v/>
      </c>
      <c r="AB10" s="48" t="str">
        <f t="shared" ref="AB10:AQ24" ca="1" si="4">IF($C10&lt;&gt;"",INDIRECT("'"&amp;$B10&amp;"'!"&amp;"$AD"&amp;AB$6+14),"")</f>
        <v/>
      </c>
      <c r="AC10" s="48" t="str">
        <f t="shared" ca="1" si="4"/>
        <v/>
      </c>
      <c r="AD10" s="48" t="str">
        <f t="shared" ca="1" si="4"/>
        <v/>
      </c>
      <c r="AE10" s="48" t="str">
        <f t="shared" ca="1" si="4"/>
        <v/>
      </c>
      <c r="AF10" s="48" t="str">
        <f t="shared" ca="1" si="4"/>
        <v/>
      </c>
      <c r="AG10" s="48" t="str">
        <f t="shared" ca="1" si="4"/>
        <v/>
      </c>
      <c r="AH10" s="48" t="str">
        <f t="shared" ca="1" si="4"/>
        <v/>
      </c>
      <c r="AI10" s="48" t="str">
        <f t="shared" ca="1" si="4"/>
        <v/>
      </c>
      <c r="AJ10" s="48" t="str">
        <f t="shared" ca="1" si="4"/>
        <v/>
      </c>
      <c r="AK10" s="48" t="str">
        <f t="shared" ca="1" si="4"/>
        <v/>
      </c>
      <c r="AL10" s="48" t="str">
        <f t="shared" ca="1" si="4"/>
        <v/>
      </c>
      <c r="AM10" s="48" t="str">
        <f t="shared" ca="1" si="4"/>
        <v/>
      </c>
      <c r="AN10" s="48" t="str">
        <f t="shared" ca="1" si="4"/>
        <v/>
      </c>
      <c r="AO10" s="48" t="str">
        <f t="shared" ca="1" si="4"/>
        <v/>
      </c>
      <c r="AP10" s="48" t="str">
        <f t="shared" ca="1" si="4"/>
        <v/>
      </c>
      <c r="AQ10" s="48" t="str">
        <f t="shared" ca="1" si="4"/>
        <v/>
      </c>
      <c r="AR10" s="48" t="str">
        <f t="shared" ref="AR10:BF24" ca="1" si="5">IF($C10&lt;&gt;"",INDIRECT("'"&amp;$B10&amp;"'!"&amp;"$AD"&amp;AR$6+14),"")</f>
        <v/>
      </c>
      <c r="AS10" s="48" t="str">
        <f t="shared" ca="1" si="5"/>
        <v/>
      </c>
      <c r="AT10" s="48" t="str">
        <f t="shared" ca="1" si="5"/>
        <v/>
      </c>
      <c r="AU10" s="48" t="str">
        <f t="shared" ca="1" si="5"/>
        <v/>
      </c>
      <c r="AV10" s="48" t="str">
        <f t="shared" ca="1" si="5"/>
        <v/>
      </c>
      <c r="AW10" s="48" t="str">
        <f t="shared" ca="1" si="5"/>
        <v/>
      </c>
      <c r="AX10" s="48" t="str">
        <f t="shared" ca="1" si="5"/>
        <v/>
      </c>
      <c r="AY10" s="48" t="str">
        <f t="shared" ca="1" si="5"/>
        <v/>
      </c>
      <c r="AZ10" s="48" t="str">
        <f t="shared" ca="1" si="5"/>
        <v/>
      </c>
      <c r="BA10" s="48" t="str">
        <f t="shared" ca="1" si="5"/>
        <v/>
      </c>
      <c r="BB10" s="48" t="str">
        <f t="shared" ca="1" si="5"/>
        <v/>
      </c>
      <c r="BC10" s="48" t="str">
        <f t="shared" ca="1" si="5"/>
        <v/>
      </c>
      <c r="BD10" s="48" t="str">
        <f t="shared" ca="1" si="5"/>
        <v/>
      </c>
      <c r="BE10" s="48" t="str">
        <f t="shared" ca="1" si="5"/>
        <v/>
      </c>
      <c r="BF10" s="48" t="str">
        <f t="shared" ca="1" si="5"/>
        <v/>
      </c>
      <c r="BG10" s="48" t="str">
        <f ca="1">IF($C10&lt;&gt;"",INDIRECT("'"&amp;$B10&amp;"'!"&amp;"$AD"&amp;BG$6+17),"")</f>
        <v/>
      </c>
      <c r="BH10" s="48" t="str">
        <f t="shared" ref="BH10:BV24" ca="1" si="6">IF($C10&lt;&gt;"",INDIRECT("'"&amp;$B10&amp;"'!"&amp;"$AD"&amp;BH$6+17),"")</f>
        <v/>
      </c>
      <c r="BI10" s="48" t="str">
        <f t="shared" ca="1" si="6"/>
        <v/>
      </c>
      <c r="BJ10" s="48" t="str">
        <f t="shared" ca="1" si="6"/>
        <v/>
      </c>
      <c r="BK10" s="48" t="str">
        <f t="shared" ca="1" si="6"/>
        <v/>
      </c>
      <c r="BL10" s="48" t="str">
        <f t="shared" ca="1" si="6"/>
        <v/>
      </c>
      <c r="BM10" s="48" t="str">
        <f t="shared" ca="1" si="6"/>
        <v/>
      </c>
      <c r="BN10" s="48" t="str">
        <f t="shared" ca="1" si="6"/>
        <v/>
      </c>
      <c r="BO10" s="48" t="str">
        <f t="shared" ca="1" si="6"/>
        <v/>
      </c>
      <c r="BP10" s="48" t="str">
        <f t="shared" ca="1" si="6"/>
        <v/>
      </c>
      <c r="BQ10" s="48" t="str">
        <f t="shared" ca="1" si="6"/>
        <v/>
      </c>
      <c r="BR10" s="48" t="str">
        <f t="shared" ca="1" si="6"/>
        <v/>
      </c>
      <c r="BS10" s="48" t="str">
        <f t="shared" ca="1" si="6"/>
        <v/>
      </c>
      <c r="BT10" s="48" t="str">
        <f t="shared" ca="1" si="6"/>
        <v/>
      </c>
      <c r="BU10" s="48" t="str">
        <f t="shared" ca="1" si="6"/>
        <v/>
      </c>
      <c r="BV10" s="48" t="str">
        <f t="shared" ca="1" si="6"/>
        <v/>
      </c>
    </row>
    <row r="11" spans="1:74" ht="15" customHeight="1">
      <c r="A11" s="14">
        <f>IF(C11&lt;&gt;"",A10+1,"")</f>
        <v>2</v>
      </c>
      <c r="B11" s="45" t="s">
        <v>3890</v>
      </c>
      <c r="C11" s="49" t="str">
        <f>IF('Player Name'!C7&lt;&gt;"",'Player Name'!C7,"")</f>
        <v>John 2</v>
      </c>
      <c r="D11" s="26">
        <f t="shared" ref="D11:D24" ca="1" si="7">IF(C11&lt;&gt;"",F11+H11,"")</f>
        <v>0</v>
      </c>
      <c r="E11" s="14">
        <f t="shared" ref="E11:E24" ca="1" si="8">IF(C11&lt;&gt;"",G11+I11,"")</f>
        <v>0</v>
      </c>
      <c r="F11" s="26">
        <f t="shared" ref="F11:F24" ca="1" si="9">IF(C11&lt;&gt;"",SUM(K11:BF11),"")</f>
        <v>0</v>
      </c>
      <c r="G11" s="26">
        <f t="shared" ref="G11:G24" ca="1" si="10">IF(C11&lt;&gt;"",COUNTIF(K11:BF11,$K$7),"")</f>
        <v>0</v>
      </c>
      <c r="H11" s="26">
        <f t="shared" ref="H11:H24" ca="1" si="11">IF(C11&lt;&gt;"",SUM(BG11:BV11),"")</f>
        <v>0</v>
      </c>
      <c r="I11" s="26">
        <f t="shared" ref="I11:I24" ca="1" si="12">IF(C11&lt;&gt;"",COUNTIF(BG11:BN11,$BG$7)+COUNTIF(BO11:BR11,$BO$7)+COUNTIF(BS11:BT11,$BS$7)+COUNTIF(BU11,$BU$7)+COUNTIF(BV11,$BV$7),"")</f>
        <v>0</v>
      </c>
      <c r="J11" s="50" t="str">
        <f>HYPERLINK("["&amp;Setup!$C$5&amp;"]'"&amp;B11&amp;"'!D4","Update score")</f>
        <v>Update score</v>
      </c>
      <c r="K11" s="14" t="str">
        <f t="shared" ref="K11:K24" ca="1" si="13">IF($C11&lt;&gt;"",INDIRECT("'"&amp;$B11&amp;"'!"&amp;"$AD"&amp;K$6+14),"")</f>
        <v/>
      </c>
      <c r="L11" s="14" t="str">
        <f t="shared" ca="1" si="3"/>
        <v/>
      </c>
      <c r="M11" s="14" t="str">
        <f t="shared" ca="1" si="3"/>
        <v/>
      </c>
      <c r="N11" s="14" t="str">
        <f t="shared" ca="1" si="3"/>
        <v/>
      </c>
      <c r="O11" s="14" t="str">
        <f t="shared" ca="1" si="3"/>
        <v/>
      </c>
      <c r="P11" s="14" t="str">
        <f t="shared" ca="1" si="3"/>
        <v/>
      </c>
      <c r="Q11" s="14" t="str">
        <f t="shared" ca="1" si="3"/>
        <v/>
      </c>
      <c r="R11" s="14" t="str">
        <f t="shared" ca="1" si="3"/>
        <v/>
      </c>
      <c r="S11" s="14" t="str">
        <f t="shared" ca="1" si="3"/>
        <v/>
      </c>
      <c r="T11" s="14" t="str">
        <f t="shared" ca="1" si="3"/>
        <v/>
      </c>
      <c r="U11" s="14" t="str">
        <f t="shared" ca="1" si="3"/>
        <v/>
      </c>
      <c r="V11" s="14" t="str">
        <f t="shared" ca="1" si="3"/>
        <v/>
      </c>
      <c r="W11" s="14" t="str">
        <f t="shared" ca="1" si="3"/>
        <v/>
      </c>
      <c r="X11" s="14" t="str">
        <f t="shared" ca="1" si="3"/>
        <v/>
      </c>
      <c r="Y11" s="14" t="str">
        <f t="shared" ca="1" si="3"/>
        <v/>
      </c>
      <c r="Z11" s="14" t="str">
        <f t="shared" ca="1" si="3"/>
        <v/>
      </c>
      <c r="AA11" s="14" t="str">
        <f t="shared" ca="1" si="3"/>
        <v/>
      </c>
      <c r="AB11" s="14" t="str">
        <f t="shared" ca="1" si="4"/>
        <v/>
      </c>
      <c r="AC11" s="14" t="str">
        <f t="shared" ca="1" si="4"/>
        <v/>
      </c>
      <c r="AD11" s="14" t="str">
        <f t="shared" ca="1" si="4"/>
        <v/>
      </c>
      <c r="AE11" s="14" t="str">
        <f t="shared" ca="1" si="4"/>
        <v/>
      </c>
      <c r="AF11" s="14" t="str">
        <f t="shared" ca="1" si="4"/>
        <v/>
      </c>
      <c r="AG11" s="14" t="str">
        <f t="shared" ca="1" si="4"/>
        <v/>
      </c>
      <c r="AH11" s="14" t="str">
        <f t="shared" ca="1" si="4"/>
        <v/>
      </c>
      <c r="AI11" s="14" t="str">
        <f t="shared" ca="1" si="4"/>
        <v/>
      </c>
      <c r="AJ11" s="14" t="str">
        <f t="shared" ca="1" si="4"/>
        <v/>
      </c>
      <c r="AK11" s="14" t="str">
        <f t="shared" ca="1" si="4"/>
        <v/>
      </c>
      <c r="AL11" s="14" t="str">
        <f t="shared" ca="1" si="4"/>
        <v/>
      </c>
      <c r="AM11" s="14" t="str">
        <f t="shared" ca="1" si="4"/>
        <v/>
      </c>
      <c r="AN11" s="14" t="str">
        <f t="shared" ca="1" si="4"/>
        <v/>
      </c>
      <c r="AO11" s="14" t="str">
        <f t="shared" ca="1" si="4"/>
        <v/>
      </c>
      <c r="AP11" s="14" t="str">
        <f t="shared" ca="1" si="4"/>
        <v/>
      </c>
      <c r="AQ11" s="14" t="str">
        <f t="shared" ca="1" si="4"/>
        <v/>
      </c>
      <c r="AR11" s="14" t="str">
        <f t="shared" ca="1" si="5"/>
        <v/>
      </c>
      <c r="AS11" s="14" t="str">
        <f t="shared" ca="1" si="5"/>
        <v/>
      </c>
      <c r="AT11" s="14" t="str">
        <f t="shared" ca="1" si="5"/>
        <v/>
      </c>
      <c r="AU11" s="14" t="str">
        <f t="shared" ca="1" si="5"/>
        <v/>
      </c>
      <c r="AV11" s="14" t="str">
        <f t="shared" ca="1" si="5"/>
        <v/>
      </c>
      <c r="AW11" s="14" t="str">
        <f t="shared" ca="1" si="5"/>
        <v/>
      </c>
      <c r="AX11" s="14" t="str">
        <f t="shared" ca="1" si="5"/>
        <v/>
      </c>
      <c r="AY11" s="14" t="str">
        <f t="shared" ca="1" si="5"/>
        <v/>
      </c>
      <c r="AZ11" s="14" t="str">
        <f t="shared" ca="1" si="5"/>
        <v/>
      </c>
      <c r="BA11" s="14" t="str">
        <f t="shared" ca="1" si="5"/>
        <v/>
      </c>
      <c r="BB11" s="14" t="str">
        <f t="shared" ca="1" si="5"/>
        <v/>
      </c>
      <c r="BC11" s="14" t="str">
        <f t="shared" ca="1" si="5"/>
        <v/>
      </c>
      <c r="BD11" s="14" t="str">
        <f t="shared" ca="1" si="5"/>
        <v/>
      </c>
      <c r="BE11" s="14" t="str">
        <f t="shared" ca="1" si="5"/>
        <v/>
      </c>
      <c r="BF11" s="14" t="str">
        <f t="shared" ca="1" si="5"/>
        <v/>
      </c>
      <c r="BG11" s="14" t="str">
        <f t="shared" ref="BG11:BG24" ca="1" si="14">IF($C11&lt;&gt;"",INDIRECT("'"&amp;$B11&amp;"'!"&amp;"$AD"&amp;BG$6+17),"")</f>
        <v/>
      </c>
      <c r="BH11" s="14" t="str">
        <f t="shared" ca="1" si="6"/>
        <v/>
      </c>
      <c r="BI11" s="14" t="str">
        <f t="shared" ca="1" si="6"/>
        <v/>
      </c>
      <c r="BJ11" s="14" t="str">
        <f t="shared" ca="1" si="6"/>
        <v/>
      </c>
      <c r="BK11" s="14" t="str">
        <f t="shared" ca="1" si="6"/>
        <v/>
      </c>
      <c r="BL11" s="14" t="str">
        <f t="shared" ca="1" si="6"/>
        <v/>
      </c>
      <c r="BM11" s="14" t="str">
        <f t="shared" ca="1" si="6"/>
        <v/>
      </c>
      <c r="BN11" s="14" t="str">
        <f t="shared" ca="1" si="6"/>
        <v/>
      </c>
      <c r="BO11" s="14" t="str">
        <f t="shared" ca="1" si="6"/>
        <v/>
      </c>
      <c r="BP11" s="14" t="str">
        <f t="shared" ca="1" si="6"/>
        <v/>
      </c>
      <c r="BQ11" s="14" t="str">
        <f t="shared" ca="1" si="6"/>
        <v/>
      </c>
      <c r="BR11" s="14" t="str">
        <f t="shared" ca="1" si="6"/>
        <v/>
      </c>
      <c r="BS11" s="14" t="str">
        <f t="shared" ca="1" si="6"/>
        <v/>
      </c>
      <c r="BT11" s="14" t="str">
        <f t="shared" ca="1" si="6"/>
        <v/>
      </c>
      <c r="BU11" s="14" t="str">
        <f t="shared" ca="1" si="6"/>
        <v/>
      </c>
      <c r="BV11" s="14" t="str">
        <f t="shared" ca="1" si="6"/>
        <v/>
      </c>
    </row>
    <row r="12" spans="1:74" ht="15" customHeight="1">
      <c r="A12" s="12">
        <f t="shared" ref="A12:A24" si="15">IF(C12&lt;&gt;"",A11+1,"")</f>
        <v>3</v>
      </c>
      <c r="B12" s="45" t="s">
        <v>3891</v>
      </c>
      <c r="C12" s="46" t="str">
        <f>IF('Player Name'!C8&lt;&gt;"",'Player Name'!C8,"")</f>
        <v>John 3</v>
      </c>
      <c r="D12" s="25">
        <f t="shared" ca="1" si="7"/>
        <v>0</v>
      </c>
      <c r="E12" s="12">
        <f t="shared" ca="1" si="8"/>
        <v>0</v>
      </c>
      <c r="F12" s="25">
        <f t="shared" ca="1" si="9"/>
        <v>0</v>
      </c>
      <c r="G12" s="25">
        <f t="shared" ca="1" si="10"/>
        <v>0</v>
      </c>
      <c r="H12" s="25">
        <f t="shared" ca="1" si="11"/>
        <v>0</v>
      </c>
      <c r="I12" s="25">
        <f t="shared" ca="1" si="12"/>
        <v>0</v>
      </c>
      <c r="J12" s="51" t="str">
        <f>HYPERLINK("["&amp;Setup!$C$5&amp;"]'"&amp;B12&amp;"'!D4","Update score")</f>
        <v>Update score</v>
      </c>
      <c r="K12" s="12" t="str">
        <f t="shared" ca="1" si="13"/>
        <v/>
      </c>
      <c r="L12" s="12" t="str">
        <f t="shared" ca="1" si="3"/>
        <v/>
      </c>
      <c r="M12" s="12" t="str">
        <f t="shared" ca="1" si="3"/>
        <v/>
      </c>
      <c r="N12" s="12" t="str">
        <f t="shared" ca="1" si="3"/>
        <v/>
      </c>
      <c r="O12" s="12" t="str">
        <f t="shared" ca="1" si="3"/>
        <v/>
      </c>
      <c r="P12" s="12" t="str">
        <f t="shared" ca="1" si="3"/>
        <v/>
      </c>
      <c r="Q12" s="12" t="str">
        <f t="shared" ca="1" si="3"/>
        <v/>
      </c>
      <c r="R12" s="12" t="str">
        <f t="shared" ca="1" si="3"/>
        <v/>
      </c>
      <c r="S12" s="12" t="str">
        <f t="shared" ca="1" si="3"/>
        <v/>
      </c>
      <c r="T12" s="12" t="str">
        <f t="shared" ca="1" si="3"/>
        <v/>
      </c>
      <c r="U12" s="12" t="str">
        <f t="shared" ca="1" si="3"/>
        <v/>
      </c>
      <c r="V12" s="12" t="str">
        <f t="shared" ca="1" si="3"/>
        <v/>
      </c>
      <c r="W12" s="12" t="str">
        <f t="shared" ca="1" si="3"/>
        <v/>
      </c>
      <c r="X12" s="12" t="str">
        <f t="shared" ca="1" si="3"/>
        <v/>
      </c>
      <c r="Y12" s="12" t="str">
        <f t="shared" ca="1" si="3"/>
        <v/>
      </c>
      <c r="Z12" s="12" t="str">
        <f t="shared" ca="1" si="3"/>
        <v/>
      </c>
      <c r="AA12" s="12" t="str">
        <f t="shared" ca="1" si="3"/>
        <v/>
      </c>
      <c r="AB12" s="12" t="str">
        <f t="shared" ca="1" si="4"/>
        <v/>
      </c>
      <c r="AC12" s="12" t="str">
        <f t="shared" ca="1" si="4"/>
        <v/>
      </c>
      <c r="AD12" s="12" t="str">
        <f t="shared" ca="1" si="4"/>
        <v/>
      </c>
      <c r="AE12" s="12" t="str">
        <f t="shared" ca="1" si="4"/>
        <v/>
      </c>
      <c r="AF12" s="12" t="str">
        <f t="shared" ca="1" si="4"/>
        <v/>
      </c>
      <c r="AG12" s="12" t="str">
        <f t="shared" ca="1" si="4"/>
        <v/>
      </c>
      <c r="AH12" s="12" t="str">
        <f t="shared" ca="1" si="4"/>
        <v/>
      </c>
      <c r="AI12" s="12" t="str">
        <f t="shared" ca="1" si="4"/>
        <v/>
      </c>
      <c r="AJ12" s="12" t="str">
        <f t="shared" ca="1" si="4"/>
        <v/>
      </c>
      <c r="AK12" s="12" t="str">
        <f t="shared" ca="1" si="4"/>
        <v/>
      </c>
      <c r="AL12" s="12" t="str">
        <f t="shared" ca="1" si="4"/>
        <v/>
      </c>
      <c r="AM12" s="12" t="str">
        <f t="shared" ca="1" si="4"/>
        <v/>
      </c>
      <c r="AN12" s="12" t="str">
        <f t="shared" ca="1" si="4"/>
        <v/>
      </c>
      <c r="AO12" s="12" t="str">
        <f t="shared" ca="1" si="4"/>
        <v/>
      </c>
      <c r="AP12" s="12" t="str">
        <f t="shared" ca="1" si="4"/>
        <v/>
      </c>
      <c r="AQ12" s="12" t="str">
        <f t="shared" ca="1" si="4"/>
        <v/>
      </c>
      <c r="AR12" s="12" t="str">
        <f t="shared" ca="1" si="5"/>
        <v/>
      </c>
      <c r="AS12" s="12" t="str">
        <f t="shared" ca="1" si="5"/>
        <v/>
      </c>
      <c r="AT12" s="12" t="str">
        <f t="shared" ca="1" si="5"/>
        <v/>
      </c>
      <c r="AU12" s="12" t="str">
        <f t="shared" ca="1" si="5"/>
        <v/>
      </c>
      <c r="AV12" s="12" t="str">
        <f t="shared" ca="1" si="5"/>
        <v/>
      </c>
      <c r="AW12" s="12" t="str">
        <f t="shared" ca="1" si="5"/>
        <v/>
      </c>
      <c r="AX12" s="12" t="str">
        <f t="shared" ca="1" si="5"/>
        <v/>
      </c>
      <c r="AY12" s="12" t="str">
        <f t="shared" ca="1" si="5"/>
        <v/>
      </c>
      <c r="AZ12" s="12" t="str">
        <f t="shared" ca="1" si="5"/>
        <v/>
      </c>
      <c r="BA12" s="12" t="str">
        <f t="shared" ca="1" si="5"/>
        <v/>
      </c>
      <c r="BB12" s="12" t="str">
        <f t="shared" ca="1" si="5"/>
        <v/>
      </c>
      <c r="BC12" s="12" t="str">
        <f t="shared" ca="1" si="5"/>
        <v/>
      </c>
      <c r="BD12" s="12" t="str">
        <f t="shared" ca="1" si="5"/>
        <v/>
      </c>
      <c r="BE12" s="12" t="str">
        <f t="shared" ca="1" si="5"/>
        <v/>
      </c>
      <c r="BF12" s="12" t="str">
        <f t="shared" ca="1" si="5"/>
        <v/>
      </c>
      <c r="BG12" s="12" t="str">
        <f t="shared" ca="1" si="14"/>
        <v/>
      </c>
      <c r="BH12" s="12" t="str">
        <f t="shared" ca="1" si="6"/>
        <v/>
      </c>
      <c r="BI12" s="12" t="str">
        <f t="shared" ca="1" si="6"/>
        <v/>
      </c>
      <c r="BJ12" s="12" t="str">
        <f t="shared" ca="1" si="6"/>
        <v/>
      </c>
      <c r="BK12" s="12" t="str">
        <f t="shared" ca="1" si="6"/>
        <v/>
      </c>
      <c r="BL12" s="12" t="str">
        <f t="shared" ca="1" si="6"/>
        <v/>
      </c>
      <c r="BM12" s="12" t="str">
        <f t="shared" ca="1" si="6"/>
        <v/>
      </c>
      <c r="BN12" s="12" t="str">
        <f t="shared" ca="1" si="6"/>
        <v/>
      </c>
      <c r="BO12" s="12" t="str">
        <f t="shared" ca="1" si="6"/>
        <v/>
      </c>
      <c r="BP12" s="12" t="str">
        <f t="shared" ca="1" si="6"/>
        <v/>
      </c>
      <c r="BQ12" s="12" t="str">
        <f t="shared" ca="1" si="6"/>
        <v/>
      </c>
      <c r="BR12" s="12" t="str">
        <f t="shared" ca="1" si="6"/>
        <v/>
      </c>
      <c r="BS12" s="12" t="str">
        <f t="shared" ca="1" si="6"/>
        <v/>
      </c>
      <c r="BT12" s="12" t="str">
        <f t="shared" ca="1" si="6"/>
        <v/>
      </c>
      <c r="BU12" s="12" t="str">
        <f t="shared" ca="1" si="6"/>
        <v/>
      </c>
      <c r="BV12" s="12" t="str">
        <f t="shared" ca="1" si="6"/>
        <v/>
      </c>
    </row>
    <row r="13" spans="1:74" ht="15" customHeight="1">
      <c r="A13" s="14">
        <f t="shared" si="15"/>
        <v>4</v>
      </c>
      <c r="B13" s="45" t="s">
        <v>3892</v>
      </c>
      <c r="C13" s="49" t="str">
        <f>IF('Player Name'!C9&lt;&gt;"",'Player Name'!C9,"")</f>
        <v>John 4</v>
      </c>
      <c r="D13" s="26">
        <f t="shared" ca="1" si="7"/>
        <v>0</v>
      </c>
      <c r="E13" s="14">
        <f t="shared" ca="1" si="8"/>
        <v>0</v>
      </c>
      <c r="F13" s="26">
        <f t="shared" ca="1" si="9"/>
        <v>0</v>
      </c>
      <c r="G13" s="26">
        <f t="shared" ca="1" si="10"/>
        <v>0</v>
      </c>
      <c r="H13" s="26">
        <f t="shared" ca="1" si="11"/>
        <v>0</v>
      </c>
      <c r="I13" s="26">
        <f t="shared" ca="1" si="12"/>
        <v>0</v>
      </c>
      <c r="J13" s="50" t="str">
        <f>HYPERLINK("["&amp;Setup!$C$5&amp;"]'"&amp;B13&amp;"'!D4","Update score")</f>
        <v>Update score</v>
      </c>
      <c r="K13" s="14" t="str">
        <f t="shared" ca="1" si="13"/>
        <v/>
      </c>
      <c r="L13" s="14" t="str">
        <f t="shared" ca="1" si="3"/>
        <v/>
      </c>
      <c r="M13" s="14" t="str">
        <f t="shared" ca="1" si="3"/>
        <v/>
      </c>
      <c r="N13" s="14" t="str">
        <f t="shared" ca="1" si="3"/>
        <v/>
      </c>
      <c r="O13" s="14" t="str">
        <f t="shared" ca="1" si="3"/>
        <v/>
      </c>
      <c r="P13" s="14" t="str">
        <f t="shared" ca="1" si="3"/>
        <v/>
      </c>
      <c r="Q13" s="14" t="str">
        <f t="shared" ca="1" si="3"/>
        <v/>
      </c>
      <c r="R13" s="14" t="str">
        <f t="shared" ca="1" si="3"/>
        <v/>
      </c>
      <c r="S13" s="14" t="str">
        <f t="shared" ca="1" si="3"/>
        <v/>
      </c>
      <c r="T13" s="14" t="str">
        <f t="shared" ca="1" si="3"/>
        <v/>
      </c>
      <c r="U13" s="14" t="str">
        <f t="shared" ca="1" si="3"/>
        <v/>
      </c>
      <c r="V13" s="14" t="str">
        <f t="shared" ca="1" si="3"/>
        <v/>
      </c>
      <c r="W13" s="14" t="str">
        <f t="shared" ca="1" si="3"/>
        <v/>
      </c>
      <c r="X13" s="14" t="str">
        <f t="shared" ca="1" si="3"/>
        <v/>
      </c>
      <c r="Y13" s="14" t="str">
        <f t="shared" ca="1" si="3"/>
        <v/>
      </c>
      <c r="Z13" s="14" t="str">
        <f t="shared" ca="1" si="3"/>
        <v/>
      </c>
      <c r="AA13" s="14" t="str">
        <f t="shared" ca="1" si="3"/>
        <v/>
      </c>
      <c r="AB13" s="14" t="str">
        <f t="shared" ca="1" si="4"/>
        <v/>
      </c>
      <c r="AC13" s="14" t="str">
        <f t="shared" ca="1" si="4"/>
        <v/>
      </c>
      <c r="AD13" s="14" t="str">
        <f t="shared" ca="1" si="4"/>
        <v/>
      </c>
      <c r="AE13" s="14" t="str">
        <f t="shared" ca="1" si="4"/>
        <v/>
      </c>
      <c r="AF13" s="14" t="str">
        <f t="shared" ca="1" si="4"/>
        <v/>
      </c>
      <c r="AG13" s="14" t="str">
        <f t="shared" ca="1" si="4"/>
        <v/>
      </c>
      <c r="AH13" s="14" t="str">
        <f t="shared" ca="1" si="4"/>
        <v/>
      </c>
      <c r="AI13" s="14" t="str">
        <f t="shared" ca="1" si="4"/>
        <v/>
      </c>
      <c r="AJ13" s="14" t="str">
        <f t="shared" ca="1" si="4"/>
        <v/>
      </c>
      <c r="AK13" s="14" t="str">
        <f t="shared" ca="1" si="4"/>
        <v/>
      </c>
      <c r="AL13" s="14" t="str">
        <f t="shared" ca="1" si="4"/>
        <v/>
      </c>
      <c r="AM13" s="14" t="str">
        <f t="shared" ca="1" si="4"/>
        <v/>
      </c>
      <c r="AN13" s="14" t="str">
        <f t="shared" ca="1" si="4"/>
        <v/>
      </c>
      <c r="AO13" s="14" t="str">
        <f t="shared" ca="1" si="4"/>
        <v/>
      </c>
      <c r="AP13" s="14" t="str">
        <f t="shared" ca="1" si="4"/>
        <v/>
      </c>
      <c r="AQ13" s="14" t="str">
        <f t="shared" ca="1" si="4"/>
        <v/>
      </c>
      <c r="AR13" s="14" t="str">
        <f t="shared" ca="1" si="5"/>
        <v/>
      </c>
      <c r="AS13" s="14" t="str">
        <f t="shared" ca="1" si="5"/>
        <v/>
      </c>
      <c r="AT13" s="14" t="str">
        <f t="shared" ca="1" si="5"/>
        <v/>
      </c>
      <c r="AU13" s="14" t="str">
        <f t="shared" ca="1" si="5"/>
        <v/>
      </c>
      <c r="AV13" s="14" t="str">
        <f t="shared" ca="1" si="5"/>
        <v/>
      </c>
      <c r="AW13" s="14" t="str">
        <f t="shared" ca="1" si="5"/>
        <v/>
      </c>
      <c r="AX13" s="14" t="str">
        <f t="shared" ca="1" si="5"/>
        <v/>
      </c>
      <c r="AY13" s="14" t="str">
        <f t="shared" ca="1" si="5"/>
        <v/>
      </c>
      <c r="AZ13" s="14" t="str">
        <f t="shared" ca="1" si="5"/>
        <v/>
      </c>
      <c r="BA13" s="14" t="str">
        <f t="shared" ca="1" si="5"/>
        <v/>
      </c>
      <c r="BB13" s="14" t="str">
        <f t="shared" ca="1" si="5"/>
        <v/>
      </c>
      <c r="BC13" s="14" t="str">
        <f t="shared" ca="1" si="5"/>
        <v/>
      </c>
      <c r="BD13" s="14" t="str">
        <f t="shared" ca="1" si="5"/>
        <v/>
      </c>
      <c r="BE13" s="14" t="str">
        <f t="shared" ca="1" si="5"/>
        <v/>
      </c>
      <c r="BF13" s="14" t="str">
        <f t="shared" ca="1" si="5"/>
        <v/>
      </c>
      <c r="BG13" s="14" t="str">
        <f t="shared" ca="1" si="14"/>
        <v/>
      </c>
      <c r="BH13" s="14" t="str">
        <f t="shared" ca="1" si="6"/>
        <v/>
      </c>
      <c r="BI13" s="14" t="str">
        <f t="shared" ca="1" si="6"/>
        <v/>
      </c>
      <c r="BJ13" s="14" t="str">
        <f t="shared" ca="1" si="6"/>
        <v/>
      </c>
      <c r="BK13" s="14" t="str">
        <f t="shared" ca="1" si="6"/>
        <v/>
      </c>
      <c r="BL13" s="14" t="str">
        <f t="shared" ca="1" si="6"/>
        <v/>
      </c>
      <c r="BM13" s="14" t="str">
        <f t="shared" ca="1" si="6"/>
        <v/>
      </c>
      <c r="BN13" s="14" t="str">
        <f t="shared" ca="1" si="6"/>
        <v/>
      </c>
      <c r="BO13" s="14" t="str">
        <f t="shared" ca="1" si="6"/>
        <v/>
      </c>
      <c r="BP13" s="14" t="str">
        <f t="shared" ca="1" si="6"/>
        <v/>
      </c>
      <c r="BQ13" s="14" t="str">
        <f t="shared" ca="1" si="6"/>
        <v/>
      </c>
      <c r="BR13" s="14" t="str">
        <f t="shared" ca="1" si="6"/>
        <v/>
      </c>
      <c r="BS13" s="14" t="str">
        <f t="shared" ca="1" si="6"/>
        <v/>
      </c>
      <c r="BT13" s="14" t="str">
        <f t="shared" ca="1" si="6"/>
        <v/>
      </c>
      <c r="BU13" s="14" t="str">
        <f t="shared" ca="1" si="6"/>
        <v/>
      </c>
      <c r="BV13" s="14" t="str">
        <f t="shared" ca="1" si="6"/>
        <v/>
      </c>
    </row>
    <row r="14" spans="1:74" ht="15" customHeight="1">
      <c r="A14" s="12">
        <f t="shared" si="15"/>
        <v>5</v>
      </c>
      <c r="B14" s="45" t="s">
        <v>3893</v>
      </c>
      <c r="C14" s="46" t="str">
        <f>IF('Player Name'!C10&lt;&gt;"",'Player Name'!C10,"")</f>
        <v>John 5</v>
      </c>
      <c r="D14" s="25">
        <f t="shared" ca="1" si="7"/>
        <v>0</v>
      </c>
      <c r="E14" s="12">
        <f t="shared" ca="1" si="8"/>
        <v>0</v>
      </c>
      <c r="F14" s="25">
        <f t="shared" ca="1" si="9"/>
        <v>0</v>
      </c>
      <c r="G14" s="25">
        <f t="shared" ca="1" si="10"/>
        <v>0</v>
      </c>
      <c r="H14" s="25">
        <f t="shared" ca="1" si="11"/>
        <v>0</v>
      </c>
      <c r="I14" s="25">
        <f t="shared" ca="1" si="12"/>
        <v>0</v>
      </c>
      <c r="J14" s="51" t="str">
        <f>HYPERLINK("["&amp;Setup!$C$5&amp;"]'"&amp;B14&amp;"'!D4","Update score")</f>
        <v>Update score</v>
      </c>
      <c r="K14" s="12" t="str">
        <f t="shared" ca="1" si="13"/>
        <v/>
      </c>
      <c r="L14" s="12" t="str">
        <f t="shared" ca="1" si="3"/>
        <v/>
      </c>
      <c r="M14" s="12" t="str">
        <f t="shared" ca="1" si="3"/>
        <v/>
      </c>
      <c r="N14" s="12" t="str">
        <f t="shared" ca="1" si="3"/>
        <v/>
      </c>
      <c r="O14" s="12" t="str">
        <f t="shared" ca="1" si="3"/>
        <v/>
      </c>
      <c r="P14" s="12" t="str">
        <f t="shared" ca="1" si="3"/>
        <v/>
      </c>
      <c r="Q14" s="12" t="str">
        <f t="shared" ca="1" si="3"/>
        <v/>
      </c>
      <c r="R14" s="12" t="str">
        <f t="shared" ca="1" si="3"/>
        <v/>
      </c>
      <c r="S14" s="12" t="str">
        <f t="shared" ca="1" si="3"/>
        <v/>
      </c>
      <c r="T14" s="12" t="str">
        <f t="shared" ca="1" si="3"/>
        <v/>
      </c>
      <c r="U14" s="12" t="str">
        <f t="shared" ca="1" si="3"/>
        <v/>
      </c>
      <c r="V14" s="12" t="str">
        <f t="shared" ca="1" si="3"/>
        <v/>
      </c>
      <c r="W14" s="12" t="str">
        <f t="shared" ca="1" si="3"/>
        <v/>
      </c>
      <c r="X14" s="12" t="str">
        <f t="shared" ca="1" si="3"/>
        <v/>
      </c>
      <c r="Y14" s="12" t="str">
        <f t="shared" ca="1" si="3"/>
        <v/>
      </c>
      <c r="Z14" s="12" t="str">
        <f t="shared" ca="1" si="3"/>
        <v/>
      </c>
      <c r="AA14" s="12" t="str">
        <f t="shared" ca="1" si="3"/>
        <v/>
      </c>
      <c r="AB14" s="12" t="str">
        <f t="shared" ca="1" si="4"/>
        <v/>
      </c>
      <c r="AC14" s="12" t="str">
        <f t="shared" ca="1" si="4"/>
        <v/>
      </c>
      <c r="AD14" s="12" t="str">
        <f t="shared" ca="1" si="4"/>
        <v/>
      </c>
      <c r="AE14" s="12" t="str">
        <f t="shared" ca="1" si="4"/>
        <v/>
      </c>
      <c r="AF14" s="12" t="str">
        <f t="shared" ca="1" si="4"/>
        <v/>
      </c>
      <c r="AG14" s="12" t="str">
        <f t="shared" ca="1" si="4"/>
        <v/>
      </c>
      <c r="AH14" s="12" t="str">
        <f t="shared" ca="1" si="4"/>
        <v/>
      </c>
      <c r="AI14" s="12" t="str">
        <f t="shared" ca="1" si="4"/>
        <v/>
      </c>
      <c r="AJ14" s="12" t="str">
        <f t="shared" ca="1" si="4"/>
        <v/>
      </c>
      <c r="AK14" s="12" t="str">
        <f t="shared" ca="1" si="4"/>
        <v/>
      </c>
      <c r="AL14" s="12" t="str">
        <f t="shared" ca="1" si="4"/>
        <v/>
      </c>
      <c r="AM14" s="12" t="str">
        <f t="shared" ca="1" si="4"/>
        <v/>
      </c>
      <c r="AN14" s="12" t="str">
        <f t="shared" ca="1" si="4"/>
        <v/>
      </c>
      <c r="AO14" s="12" t="str">
        <f t="shared" ca="1" si="4"/>
        <v/>
      </c>
      <c r="AP14" s="12" t="str">
        <f t="shared" ca="1" si="4"/>
        <v/>
      </c>
      <c r="AQ14" s="12" t="str">
        <f t="shared" ca="1" si="4"/>
        <v/>
      </c>
      <c r="AR14" s="12" t="str">
        <f t="shared" ca="1" si="5"/>
        <v/>
      </c>
      <c r="AS14" s="12" t="str">
        <f t="shared" ca="1" si="5"/>
        <v/>
      </c>
      <c r="AT14" s="12" t="str">
        <f t="shared" ca="1" si="5"/>
        <v/>
      </c>
      <c r="AU14" s="12" t="str">
        <f t="shared" ca="1" si="5"/>
        <v/>
      </c>
      <c r="AV14" s="12" t="str">
        <f t="shared" ca="1" si="5"/>
        <v/>
      </c>
      <c r="AW14" s="12" t="str">
        <f t="shared" ca="1" si="5"/>
        <v/>
      </c>
      <c r="AX14" s="12" t="str">
        <f t="shared" ca="1" si="5"/>
        <v/>
      </c>
      <c r="AY14" s="12" t="str">
        <f t="shared" ca="1" si="5"/>
        <v/>
      </c>
      <c r="AZ14" s="12" t="str">
        <f t="shared" ca="1" si="5"/>
        <v/>
      </c>
      <c r="BA14" s="12" t="str">
        <f t="shared" ca="1" si="5"/>
        <v/>
      </c>
      <c r="BB14" s="12" t="str">
        <f t="shared" ca="1" si="5"/>
        <v/>
      </c>
      <c r="BC14" s="12" t="str">
        <f t="shared" ca="1" si="5"/>
        <v/>
      </c>
      <c r="BD14" s="12" t="str">
        <f t="shared" ca="1" si="5"/>
        <v/>
      </c>
      <c r="BE14" s="12" t="str">
        <f t="shared" ca="1" si="5"/>
        <v/>
      </c>
      <c r="BF14" s="12" t="str">
        <f t="shared" ca="1" si="5"/>
        <v/>
      </c>
      <c r="BG14" s="12" t="str">
        <f t="shared" ca="1" si="14"/>
        <v/>
      </c>
      <c r="BH14" s="12" t="str">
        <f t="shared" ca="1" si="6"/>
        <v/>
      </c>
      <c r="BI14" s="12" t="str">
        <f t="shared" ca="1" si="6"/>
        <v/>
      </c>
      <c r="BJ14" s="12" t="str">
        <f t="shared" ca="1" si="6"/>
        <v/>
      </c>
      <c r="BK14" s="12" t="str">
        <f t="shared" ca="1" si="6"/>
        <v/>
      </c>
      <c r="BL14" s="12" t="str">
        <f t="shared" ca="1" si="6"/>
        <v/>
      </c>
      <c r="BM14" s="12" t="str">
        <f t="shared" ca="1" si="6"/>
        <v/>
      </c>
      <c r="BN14" s="12" t="str">
        <f t="shared" ca="1" si="6"/>
        <v/>
      </c>
      <c r="BO14" s="12" t="str">
        <f t="shared" ca="1" si="6"/>
        <v/>
      </c>
      <c r="BP14" s="12" t="str">
        <f t="shared" ca="1" si="6"/>
        <v/>
      </c>
      <c r="BQ14" s="12" t="str">
        <f t="shared" ca="1" si="6"/>
        <v/>
      </c>
      <c r="BR14" s="12" t="str">
        <f t="shared" ca="1" si="6"/>
        <v/>
      </c>
      <c r="BS14" s="12" t="str">
        <f t="shared" ca="1" si="6"/>
        <v/>
      </c>
      <c r="BT14" s="12" t="str">
        <f t="shared" ca="1" si="6"/>
        <v/>
      </c>
      <c r="BU14" s="12" t="str">
        <f t="shared" ca="1" si="6"/>
        <v/>
      </c>
      <c r="BV14" s="12" t="str">
        <f t="shared" ca="1" si="6"/>
        <v/>
      </c>
    </row>
    <row r="15" spans="1:74" ht="15" customHeight="1">
      <c r="A15" s="14">
        <f t="shared" si="15"/>
        <v>6</v>
      </c>
      <c r="B15" s="45" t="s">
        <v>3894</v>
      </c>
      <c r="C15" s="49" t="str">
        <f>IF('Player Name'!C11&lt;&gt;"",'Player Name'!C11,"")</f>
        <v>John 6</v>
      </c>
      <c r="D15" s="26">
        <f t="shared" ca="1" si="7"/>
        <v>0</v>
      </c>
      <c r="E15" s="14">
        <f t="shared" ca="1" si="8"/>
        <v>0</v>
      </c>
      <c r="F15" s="26">
        <f t="shared" ca="1" si="9"/>
        <v>0</v>
      </c>
      <c r="G15" s="26">
        <f t="shared" ca="1" si="10"/>
        <v>0</v>
      </c>
      <c r="H15" s="26">
        <f t="shared" ca="1" si="11"/>
        <v>0</v>
      </c>
      <c r="I15" s="26">
        <f t="shared" ca="1" si="12"/>
        <v>0</v>
      </c>
      <c r="J15" s="50" t="str">
        <f>HYPERLINK("["&amp;Setup!$C$5&amp;"]'"&amp;B15&amp;"'!D4","Update score")</f>
        <v>Update score</v>
      </c>
      <c r="K15" s="14" t="str">
        <f t="shared" ca="1" si="13"/>
        <v/>
      </c>
      <c r="L15" s="14" t="str">
        <f t="shared" ca="1" si="3"/>
        <v/>
      </c>
      <c r="M15" s="14" t="str">
        <f t="shared" ca="1" si="3"/>
        <v/>
      </c>
      <c r="N15" s="14" t="str">
        <f t="shared" ca="1" si="3"/>
        <v/>
      </c>
      <c r="O15" s="14" t="str">
        <f t="shared" ca="1" si="3"/>
        <v/>
      </c>
      <c r="P15" s="14" t="str">
        <f t="shared" ca="1" si="3"/>
        <v/>
      </c>
      <c r="Q15" s="14" t="str">
        <f t="shared" ca="1" si="3"/>
        <v/>
      </c>
      <c r="R15" s="14" t="str">
        <f t="shared" ca="1" si="3"/>
        <v/>
      </c>
      <c r="S15" s="14" t="str">
        <f t="shared" ca="1" si="3"/>
        <v/>
      </c>
      <c r="T15" s="14" t="str">
        <f t="shared" ca="1" si="3"/>
        <v/>
      </c>
      <c r="U15" s="14" t="str">
        <f t="shared" ca="1" si="3"/>
        <v/>
      </c>
      <c r="V15" s="14" t="str">
        <f t="shared" ca="1" si="3"/>
        <v/>
      </c>
      <c r="W15" s="14" t="str">
        <f t="shared" ca="1" si="3"/>
        <v/>
      </c>
      <c r="X15" s="14" t="str">
        <f t="shared" ca="1" si="3"/>
        <v/>
      </c>
      <c r="Y15" s="14" t="str">
        <f t="shared" ca="1" si="3"/>
        <v/>
      </c>
      <c r="Z15" s="14" t="str">
        <f t="shared" ca="1" si="3"/>
        <v/>
      </c>
      <c r="AA15" s="14" t="str">
        <f t="shared" ca="1" si="3"/>
        <v/>
      </c>
      <c r="AB15" s="14" t="str">
        <f t="shared" ca="1" si="4"/>
        <v/>
      </c>
      <c r="AC15" s="14" t="str">
        <f t="shared" ca="1" si="4"/>
        <v/>
      </c>
      <c r="AD15" s="14" t="str">
        <f t="shared" ca="1" si="4"/>
        <v/>
      </c>
      <c r="AE15" s="14" t="str">
        <f t="shared" ca="1" si="4"/>
        <v/>
      </c>
      <c r="AF15" s="14" t="str">
        <f t="shared" ca="1" si="4"/>
        <v/>
      </c>
      <c r="AG15" s="14" t="str">
        <f t="shared" ca="1" si="4"/>
        <v/>
      </c>
      <c r="AH15" s="14" t="str">
        <f t="shared" ca="1" si="4"/>
        <v/>
      </c>
      <c r="AI15" s="14" t="str">
        <f t="shared" ca="1" si="4"/>
        <v/>
      </c>
      <c r="AJ15" s="14" t="str">
        <f t="shared" ca="1" si="4"/>
        <v/>
      </c>
      <c r="AK15" s="14" t="str">
        <f t="shared" ca="1" si="4"/>
        <v/>
      </c>
      <c r="AL15" s="14" t="str">
        <f t="shared" ca="1" si="4"/>
        <v/>
      </c>
      <c r="AM15" s="14" t="str">
        <f t="shared" ca="1" si="4"/>
        <v/>
      </c>
      <c r="AN15" s="14" t="str">
        <f t="shared" ca="1" si="4"/>
        <v/>
      </c>
      <c r="AO15" s="14" t="str">
        <f t="shared" ca="1" si="4"/>
        <v/>
      </c>
      <c r="AP15" s="14" t="str">
        <f t="shared" ca="1" si="4"/>
        <v/>
      </c>
      <c r="AQ15" s="14" t="str">
        <f t="shared" ca="1" si="4"/>
        <v/>
      </c>
      <c r="AR15" s="14" t="str">
        <f t="shared" ca="1" si="5"/>
        <v/>
      </c>
      <c r="AS15" s="14" t="str">
        <f t="shared" ca="1" si="5"/>
        <v/>
      </c>
      <c r="AT15" s="14" t="str">
        <f t="shared" ca="1" si="5"/>
        <v/>
      </c>
      <c r="AU15" s="14" t="str">
        <f t="shared" ca="1" si="5"/>
        <v/>
      </c>
      <c r="AV15" s="14" t="str">
        <f t="shared" ca="1" si="5"/>
        <v/>
      </c>
      <c r="AW15" s="14" t="str">
        <f t="shared" ca="1" si="5"/>
        <v/>
      </c>
      <c r="AX15" s="14" t="str">
        <f t="shared" ca="1" si="5"/>
        <v/>
      </c>
      <c r="AY15" s="14" t="str">
        <f t="shared" ca="1" si="5"/>
        <v/>
      </c>
      <c r="AZ15" s="14" t="str">
        <f t="shared" ca="1" si="5"/>
        <v/>
      </c>
      <c r="BA15" s="14" t="str">
        <f t="shared" ca="1" si="5"/>
        <v/>
      </c>
      <c r="BB15" s="14" t="str">
        <f t="shared" ca="1" si="5"/>
        <v/>
      </c>
      <c r="BC15" s="14" t="str">
        <f t="shared" ca="1" si="5"/>
        <v/>
      </c>
      <c r="BD15" s="14" t="str">
        <f t="shared" ca="1" si="5"/>
        <v/>
      </c>
      <c r="BE15" s="14" t="str">
        <f t="shared" ca="1" si="5"/>
        <v/>
      </c>
      <c r="BF15" s="14" t="str">
        <f t="shared" ca="1" si="5"/>
        <v/>
      </c>
      <c r="BG15" s="14" t="str">
        <f t="shared" ca="1" si="14"/>
        <v/>
      </c>
      <c r="BH15" s="14" t="str">
        <f t="shared" ca="1" si="6"/>
        <v/>
      </c>
      <c r="BI15" s="14" t="str">
        <f t="shared" ca="1" si="6"/>
        <v/>
      </c>
      <c r="BJ15" s="14" t="str">
        <f t="shared" ca="1" si="6"/>
        <v/>
      </c>
      <c r="BK15" s="14" t="str">
        <f t="shared" ca="1" si="6"/>
        <v/>
      </c>
      <c r="BL15" s="14" t="str">
        <f t="shared" ca="1" si="6"/>
        <v/>
      </c>
      <c r="BM15" s="14" t="str">
        <f t="shared" ca="1" si="6"/>
        <v/>
      </c>
      <c r="BN15" s="14" t="str">
        <f t="shared" ca="1" si="6"/>
        <v/>
      </c>
      <c r="BO15" s="14" t="str">
        <f t="shared" ca="1" si="6"/>
        <v/>
      </c>
      <c r="BP15" s="14" t="str">
        <f t="shared" ca="1" si="6"/>
        <v/>
      </c>
      <c r="BQ15" s="14" t="str">
        <f t="shared" ca="1" si="6"/>
        <v/>
      </c>
      <c r="BR15" s="14" t="str">
        <f t="shared" ca="1" si="6"/>
        <v/>
      </c>
      <c r="BS15" s="14" t="str">
        <f t="shared" ca="1" si="6"/>
        <v/>
      </c>
      <c r="BT15" s="14" t="str">
        <f t="shared" ca="1" si="6"/>
        <v/>
      </c>
      <c r="BU15" s="14" t="str">
        <f t="shared" ca="1" si="6"/>
        <v/>
      </c>
      <c r="BV15" s="14" t="str">
        <f t="shared" ca="1" si="6"/>
        <v/>
      </c>
    </row>
    <row r="16" spans="1:74" ht="15" customHeight="1">
      <c r="A16" s="12">
        <f t="shared" si="15"/>
        <v>7</v>
      </c>
      <c r="B16" s="45" t="s">
        <v>3895</v>
      </c>
      <c r="C16" s="46" t="str">
        <f>IF('Player Name'!C12&lt;&gt;"",'Player Name'!C12,"")</f>
        <v>John 7</v>
      </c>
      <c r="D16" s="25">
        <f t="shared" ca="1" si="7"/>
        <v>0</v>
      </c>
      <c r="E16" s="12">
        <f t="shared" ca="1" si="8"/>
        <v>0</v>
      </c>
      <c r="F16" s="25">
        <f t="shared" ca="1" si="9"/>
        <v>0</v>
      </c>
      <c r="G16" s="25">
        <f t="shared" ca="1" si="10"/>
        <v>0</v>
      </c>
      <c r="H16" s="25">
        <f t="shared" ca="1" si="11"/>
        <v>0</v>
      </c>
      <c r="I16" s="25">
        <f t="shared" ca="1" si="12"/>
        <v>0</v>
      </c>
      <c r="J16" s="51" t="str">
        <f>HYPERLINK("["&amp;Setup!$C$5&amp;"]'"&amp;B16&amp;"'!D4","Update score")</f>
        <v>Update score</v>
      </c>
      <c r="K16" s="12" t="str">
        <f t="shared" ca="1" si="13"/>
        <v/>
      </c>
      <c r="L16" s="12" t="str">
        <f t="shared" ca="1" si="3"/>
        <v/>
      </c>
      <c r="M16" s="12" t="str">
        <f t="shared" ca="1" si="3"/>
        <v/>
      </c>
      <c r="N16" s="12" t="str">
        <f t="shared" ca="1" si="3"/>
        <v/>
      </c>
      <c r="O16" s="12" t="str">
        <f t="shared" ca="1" si="3"/>
        <v/>
      </c>
      <c r="P16" s="12" t="str">
        <f t="shared" ca="1" si="3"/>
        <v/>
      </c>
      <c r="Q16" s="12" t="str">
        <f t="shared" ca="1" si="3"/>
        <v/>
      </c>
      <c r="R16" s="12" t="str">
        <f t="shared" ca="1" si="3"/>
        <v/>
      </c>
      <c r="S16" s="12" t="str">
        <f t="shared" ca="1" si="3"/>
        <v/>
      </c>
      <c r="T16" s="12" t="str">
        <f t="shared" ca="1" si="3"/>
        <v/>
      </c>
      <c r="U16" s="12" t="str">
        <f t="shared" ca="1" si="3"/>
        <v/>
      </c>
      <c r="V16" s="12" t="str">
        <f t="shared" ca="1" si="3"/>
        <v/>
      </c>
      <c r="W16" s="12" t="str">
        <f t="shared" ca="1" si="3"/>
        <v/>
      </c>
      <c r="X16" s="12" t="str">
        <f t="shared" ca="1" si="3"/>
        <v/>
      </c>
      <c r="Y16" s="12" t="str">
        <f t="shared" ca="1" si="3"/>
        <v/>
      </c>
      <c r="Z16" s="12" t="str">
        <f t="shared" ca="1" si="3"/>
        <v/>
      </c>
      <c r="AA16" s="12" t="str">
        <f t="shared" ca="1" si="3"/>
        <v/>
      </c>
      <c r="AB16" s="12" t="str">
        <f t="shared" ca="1" si="4"/>
        <v/>
      </c>
      <c r="AC16" s="12" t="str">
        <f t="shared" ca="1" si="4"/>
        <v/>
      </c>
      <c r="AD16" s="12" t="str">
        <f t="shared" ca="1" si="4"/>
        <v/>
      </c>
      <c r="AE16" s="12" t="str">
        <f t="shared" ca="1" si="4"/>
        <v/>
      </c>
      <c r="AF16" s="12" t="str">
        <f t="shared" ca="1" si="4"/>
        <v/>
      </c>
      <c r="AG16" s="12" t="str">
        <f t="shared" ca="1" si="4"/>
        <v/>
      </c>
      <c r="AH16" s="12" t="str">
        <f t="shared" ca="1" si="4"/>
        <v/>
      </c>
      <c r="AI16" s="12" t="str">
        <f t="shared" ca="1" si="4"/>
        <v/>
      </c>
      <c r="AJ16" s="12" t="str">
        <f t="shared" ca="1" si="4"/>
        <v/>
      </c>
      <c r="AK16" s="12" t="str">
        <f t="shared" ca="1" si="4"/>
        <v/>
      </c>
      <c r="AL16" s="12" t="str">
        <f t="shared" ca="1" si="4"/>
        <v/>
      </c>
      <c r="AM16" s="12" t="str">
        <f t="shared" ca="1" si="4"/>
        <v/>
      </c>
      <c r="AN16" s="12" t="str">
        <f t="shared" ca="1" si="4"/>
        <v/>
      </c>
      <c r="AO16" s="12" t="str">
        <f t="shared" ca="1" si="4"/>
        <v/>
      </c>
      <c r="AP16" s="12" t="str">
        <f t="shared" ca="1" si="4"/>
        <v/>
      </c>
      <c r="AQ16" s="12" t="str">
        <f t="shared" ca="1" si="4"/>
        <v/>
      </c>
      <c r="AR16" s="12" t="str">
        <f t="shared" ca="1" si="5"/>
        <v/>
      </c>
      <c r="AS16" s="12" t="str">
        <f t="shared" ca="1" si="5"/>
        <v/>
      </c>
      <c r="AT16" s="12" t="str">
        <f t="shared" ca="1" si="5"/>
        <v/>
      </c>
      <c r="AU16" s="12" t="str">
        <f t="shared" ca="1" si="5"/>
        <v/>
      </c>
      <c r="AV16" s="12" t="str">
        <f t="shared" ca="1" si="5"/>
        <v/>
      </c>
      <c r="AW16" s="12" t="str">
        <f t="shared" ca="1" si="5"/>
        <v/>
      </c>
      <c r="AX16" s="12" t="str">
        <f t="shared" ca="1" si="5"/>
        <v/>
      </c>
      <c r="AY16" s="12" t="str">
        <f t="shared" ca="1" si="5"/>
        <v/>
      </c>
      <c r="AZ16" s="12" t="str">
        <f t="shared" ca="1" si="5"/>
        <v/>
      </c>
      <c r="BA16" s="12" t="str">
        <f t="shared" ca="1" si="5"/>
        <v/>
      </c>
      <c r="BB16" s="12" t="str">
        <f t="shared" ca="1" si="5"/>
        <v/>
      </c>
      <c r="BC16" s="12" t="str">
        <f t="shared" ca="1" si="5"/>
        <v/>
      </c>
      <c r="BD16" s="12" t="str">
        <f t="shared" ca="1" si="5"/>
        <v/>
      </c>
      <c r="BE16" s="12" t="str">
        <f t="shared" ca="1" si="5"/>
        <v/>
      </c>
      <c r="BF16" s="12" t="str">
        <f t="shared" ca="1" si="5"/>
        <v/>
      </c>
      <c r="BG16" s="12" t="str">
        <f t="shared" ca="1" si="14"/>
        <v/>
      </c>
      <c r="BH16" s="12" t="str">
        <f t="shared" ca="1" si="6"/>
        <v/>
      </c>
      <c r="BI16" s="12" t="str">
        <f t="shared" ca="1" si="6"/>
        <v/>
      </c>
      <c r="BJ16" s="12" t="str">
        <f t="shared" ca="1" si="6"/>
        <v/>
      </c>
      <c r="BK16" s="12" t="str">
        <f t="shared" ca="1" si="6"/>
        <v/>
      </c>
      <c r="BL16" s="12" t="str">
        <f t="shared" ca="1" si="6"/>
        <v/>
      </c>
      <c r="BM16" s="12" t="str">
        <f t="shared" ca="1" si="6"/>
        <v/>
      </c>
      <c r="BN16" s="12" t="str">
        <f t="shared" ca="1" si="6"/>
        <v/>
      </c>
      <c r="BO16" s="12" t="str">
        <f t="shared" ca="1" si="6"/>
        <v/>
      </c>
      <c r="BP16" s="12" t="str">
        <f t="shared" ca="1" si="6"/>
        <v/>
      </c>
      <c r="BQ16" s="12" t="str">
        <f t="shared" ca="1" si="6"/>
        <v/>
      </c>
      <c r="BR16" s="12" t="str">
        <f t="shared" ca="1" si="6"/>
        <v/>
      </c>
      <c r="BS16" s="12" t="str">
        <f t="shared" ca="1" si="6"/>
        <v/>
      </c>
      <c r="BT16" s="12" t="str">
        <f t="shared" ca="1" si="6"/>
        <v/>
      </c>
      <c r="BU16" s="12" t="str">
        <f t="shared" ca="1" si="6"/>
        <v/>
      </c>
      <c r="BV16" s="12" t="str">
        <f t="shared" ca="1" si="6"/>
        <v/>
      </c>
    </row>
    <row r="17" spans="1:74" ht="15" customHeight="1">
      <c r="A17" s="14">
        <f t="shared" si="15"/>
        <v>8</v>
      </c>
      <c r="B17" s="45" t="s">
        <v>3896</v>
      </c>
      <c r="C17" s="49" t="str">
        <f>IF('Player Name'!C13&lt;&gt;"",'Player Name'!C13,"")</f>
        <v>John 8</v>
      </c>
      <c r="D17" s="26">
        <f t="shared" ca="1" si="7"/>
        <v>0</v>
      </c>
      <c r="E17" s="14">
        <f t="shared" ca="1" si="8"/>
        <v>0</v>
      </c>
      <c r="F17" s="26">
        <f t="shared" ca="1" si="9"/>
        <v>0</v>
      </c>
      <c r="G17" s="26">
        <f t="shared" ca="1" si="10"/>
        <v>0</v>
      </c>
      <c r="H17" s="26">
        <f t="shared" ca="1" si="11"/>
        <v>0</v>
      </c>
      <c r="I17" s="26">
        <f t="shared" ca="1" si="12"/>
        <v>0</v>
      </c>
      <c r="J17" s="50" t="str">
        <f>HYPERLINK("["&amp;Setup!$C$5&amp;"]'"&amp;B17&amp;"'!D4","Update score")</f>
        <v>Update score</v>
      </c>
      <c r="K17" s="14" t="str">
        <f t="shared" ca="1" si="13"/>
        <v/>
      </c>
      <c r="L17" s="14" t="str">
        <f t="shared" ca="1" si="3"/>
        <v/>
      </c>
      <c r="M17" s="14" t="str">
        <f t="shared" ca="1" si="3"/>
        <v/>
      </c>
      <c r="N17" s="14" t="str">
        <f t="shared" ca="1" si="3"/>
        <v/>
      </c>
      <c r="O17" s="14" t="str">
        <f t="shared" ca="1" si="3"/>
        <v/>
      </c>
      <c r="P17" s="14" t="str">
        <f t="shared" ca="1" si="3"/>
        <v/>
      </c>
      <c r="Q17" s="14" t="str">
        <f t="shared" ca="1" si="3"/>
        <v/>
      </c>
      <c r="R17" s="14" t="str">
        <f t="shared" ca="1" si="3"/>
        <v/>
      </c>
      <c r="S17" s="14" t="str">
        <f t="shared" ca="1" si="3"/>
        <v/>
      </c>
      <c r="T17" s="14" t="str">
        <f t="shared" ca="1" si="3"/>
        <v/>
      </c>
      <c r="U17" s="14" t="str">
        <f t="shared" ca="1" si="3"/>
        <v/>
      </c>
      <c r="V17" s="14" t="str">
        <f t="shared" ca="1" si="3"/>
        <v/>
      </c>
      <c r="W17" s="14" t="str">
        <f t="shared" ca="1" si="3"/>
        <v/>
      </c>
      <c r="X17" s="14" t="str">
        <f t="shared" ca="1" si="3"/>
        <v/>
      </c>
      <c r="Y17" s="14" t="str">
        <f t="shared" ca="1" si="3"/>
        <v/>
      </c>
      <c r="Z17" s="14" t="str">
        <f t="shared" ca="1" si="3"/>
        <v/>
      </c>
      <c r="AA17" s="14" t="str">
        <f t="shared" ca="1" si="3"/>
        <v/>
      </c>
      <c r="AB17" s="14" t="str">
        <f t="shared" ca="1" si="4"/>
        <v/>
      </c>
      <c r="AC17" s="14" t="str">
        <f t="shared" ca="1" si="4"/>
        <v/>
      </c>
      <c r="AD17" s="14" t="str">
        <f t="shared" ca="1" si="4"/>
        <v/>
      </c>
      <c r="AE17" s="14" t="str">
        <f t="shared" ca="1" si="4"/>
        <v/>
      </c>
      <c r="AF17" s="14" t="str">
        <f t="shared" ca="1" si="4"/>
        <v/>
      </c>
      <c r="AG17" s="14" t="str">
        <f t="shared" ca="1" si="4"/>
        <v/>
      </c>
      <c r="AH17" s="14" t="str">
        <f t="shared" ca="1" si="4"/>
        <v/>
      </c>
      <c r="AI17" s="14" t="str">
        <f t="shared" ca="1" si="4"/>
        <v/>
      </c>
      <c r="AJ17" s="14" t="str">
        <f t="shared" ca="1" si="4"/>
        <v/>
      </c>
      <c r="AK17" s="14" t="str">
        <f t="shared" ca="1" si="4"/>
        <v/>
      </c>
      <c r="AL17" s="14" t="str">
        <f t="shared" ca="1" si="4"/>
        <v/>
      </c>
      <c r="AM17" s="14" t="str">
        <f t="shared" ca="1" si="4"/>
        <v/>
      </c>
      <c r="AN17" s="14" t="str">
        <f t="shared" ca="1" si="4"/>
        <v/>
      </c>
      <c r="AO17" s="14" t="str">
        <f t="shared" ca="1" si="4"/>
        <v/>
      </c>
      <c r="AP17" s="14" t="str">
        <f t="shared" ca="1" si="4"/>
        <v/>
      </c>
      <c r="AQ17" s="14" t="str">
        <f t="shared" ca="1" si="4"/>
        <v/>
      </c>
      <c r="AR17" s="14" t="str">
        <f t="shared" ca="1" si="5"/>
        <v/>
      </c>
      <c r="AS17" s="14" t="str">
        <f t="shared" ca="1" si="5"/>
        <v/>
      </c>
      <c r="AT17" s="14" t="str">
        <f t="shared" ca="1" si="5"/>
        <v/>
      </c>
      <c r="AU17" s="14" t="str">
        <f t="shared" ca="1" si="5"/>
        <v/>
      </c>
      <c r="AV17" s="14" t="str">
        <f t="shared" ca="1" si="5"/>
        <v/>
      </c>
      <c r="AW17" s="14" t="str">
        <f t="shared" ca="1" si="5"/>
        <v/>
      </c>
      <c r="AX17" s="14" t="str">
        <f t="shared" ca="1" si="5"/>
        <v/>
      </c>
      <c r="AY17" s="14" t="str">
        <f t="shared" ca="1" si="5"/>
        <v/>
      </c>
      <c r="AZ17" s="14" t="str">
        <f t="shared" ca="1" si="5"/>
        <v/>
      </c>
      <c r="BA17" s="14" t="str">
        <f t="shared" ca="1" si="5"/>
        <v/>
      </c>
      <c r="BB17" s="14" t="str">
        <f t="shared" ca="1" si="5"/>
        <v/>
      </c>
      <c r="BC17" s="14" t="str">
        <f t="shared" ca="1" si="5"/>
        <v/>
      </c>
      <c r="BD17" s="14" t="str">
        <f t="shared" ca="1" si="5"/>
        <v/>
      </c>
      <c r="BE17" s="14" t="str">
        <f t="shared" ca="1" si="5"/>
        <v/>
      </c>
      <c r="BF17" s="14" t="str">
        <f t="shared" ca="1" si="5"/>
        <v/>
      </c>
      <c r="BG17" s="14" t="str">
        <f t="shared" ca="1" si="14"/>
        <v/>
      </c>
      <c r="BH17" s="14" t="str">
        <f t="shared" ca="1" si="6"/>
        <v/>
      </c>
      <c r="BI17" s="14" t="str">
        <f t="shared" ca="1" si="6"/>
        <v/>
      </c>
      <c r="BJ17" s="14" t="str">
        <f t="shared" ca="1" si="6"/>
        <v/>
      </c>
      <c r="BK17" s="14" t="str">
        <f t="shared" ca="1" si="6"/>
        <v/>
      </c>
      <c r="BL17" s="14" t="str">
        <f t="shared" ca="1" si="6"/>
        <v/>
      </c>
      <c r="BM17" s="14" t="str">
        <f t="shared" ca="1" si="6"/>
        <v/>
      </c>
      <c r="BN17" s="14" t="str">
        <f t="shared" ca="1" si="6"/>
        <v/>
      </c>
      <c r="BO17" s="14" t="str">
        <f t="shared" ca="1" si="6"/>
        <v/>
      </c>
      <c r="BP17" s="14" t="str">
        <f t="shared" ca="1" si="6"/>
        <v/>
      </c>
      <c r="BQ17" s="14" t="str">
        <f t="shared" ca="1" si="6"/>
        <v/>
      </c>
      <c r="BR17" s="14" t="str">
        <f t="shared" ca="1" si="6"/>
        <v/>
      </c>
      <c r="BS17" s="14" t="str">
        <f t="shared" ca="1" si="6"/>
        <v/>
      </c>
      <c r="BT17" s="14" t="str">
        <f t="shared" ca="1" si="6"/>
        <v/>
      </c>
      <c r="BU17" s="14" t="str">
        <f t="shared" ca="1" si="6"/>
        <v/>
      </c>
      <c r="BV17" s="14" t="str">
        <f t="shared" ca="1" si="6"/>
        <v/>
      </c>
    </row>
    <row r="18" spans="1:74" ht="15" customHeight="1">
      <c r="A18" s="12">
        <f t="shared" si="15"/>
        <v>9</v>
      </c>
      <c r="B18" s="45" t="s">
        <v>3897</v>
      </c>
      <c r="C18" s="46" t="str">
        <f>IF('Player Name'!C14&lt;&gt;"",'Player Name'!C14,"")</f>
        <v>John 9</v>
      </c>
      <c r="D18" s="25">
        <f t="shared" ca="1" si="7"/>
        <v>0</v>
      </c>
      <c r="E18" s="12">
        <f t="shared" ca="1" si="8"/>
        <v>0</v>
      </c>
      <c r="F18" s="25">
        <f t="shared" ca="1" si="9"/>
        <v>0</v>
      </c>
      <c r="G18" s="25">
        <f t="shared" ca="1" si="10"/>
        <v>0</v>
      </c>
      <c r="H18" s="25">
        <f t="shared" ca="1" si="11"/>
        <v>0</v>
      </c>
      <c r="I18" s="25">
        <f t="shared" ca="1" si="12"/>
        <v>0</v>
      </c>
      <c r="J18" s="51" t="str">
        <f>HYPERLINK("["&amp;Setup!$C$5&amp;"]'"&amp;B18&amp;"'!D4","Update score")</f>
        <v>Update score</v>
      </c>
      <c r="K18" s="12" t="str">
        <f t="shared" ca="1" si="13"/>
        <v/>
      </c>
      <c r="L18" s="12" t="str">
        <f t="shared" ca="1" si="3"/>
        <v/>
      </c>
      <c r="M18" s="12" t="str">
        <f t="shared" ca="1" si="3"/>
        <v/>
      </c>
      <c r="N18" s="12" t="str">
        <f t="shared" ca="1" si="3"/>
        <v/>
      </c>
      <c r="O18" s="12" t="str">
        <f t="shared" ca="1" si="3"/>
        <v/>
      </c>
      <c r="P18" s="12" t="str">
        <f t="shared" ca="1" si="3"/>
        <v/>
      </c>
      <c r="Q18" s="12" t="str">
        <f t="shared" ca="1" si="3"/>
        <v/>
      </c>
      <c r="R18" s="12" t="str">
        <f t="shared" ca="1" si="3"/>
        <v/>
      </c>
      <c r="S18" s="12" t="str">
        <f t="shared" ca="1" si="3"/>
        <v/>
      </c>
      <c r="T18" s="12" t="str">
        <f t="shared" ca="1" si="3"/>
        <v/>
      </c>
      <c r="U18" s="12" t="str">
        <f t="shared" ca="1" si="3"/>
        <v/>
      </c>
      <c r="V18" s="12" t="str">
        <f t="shared" ca="1" si="3"/>
        <v/>
      </c>
      <c r="W18" s="12" t="str">
        <f t="shared" ca="1" si="3"/>
        <v/>
      </c>
      <c r="X18" s="12" t="str">
        <f t="shared" ca="1" si="3"/>
        <v/>
      </c>
      <c r="Y18" s="12" t="str">
        <f t="shared" ca="1" si="3"/>
        <v/>
      </c>
      <c r="Z18" s="12" t="str">
        <f t="shared" ca="1" si="3"/>
        <v/>
      </c>
      <c r="AA18" s="12" t="str">
        <f t="shared" ca="1" si="3"/>
        <v/>
      </c>
      <c r="AB18" s="12" t="str">
        <f t="shared" ca="1" si="4"/>
        <v/>
      </c>
      <c r="AC18" s="12" t="str">
        <f t="shared" ca="1" si="4"/>
        <v/>
      </c>
      <c r="AD18" s="12" t="str">
        <f t="shared" ca="1" si="4"/>
        <v/>
      </c>
      <c r="AE18" s="12" t="str">
        <f t="shared" ca="1" si="4"/>
        <v/>
      </c>
      <c r="AF18" s="12" t="str">
        <f t="shared" ca="1" si="4"/>
        <v/>
      </c>
      <c r="AG18" s="12" t="str">
        <f t="shared" ca="1" si="4"/>
        <v/>
      </c>
      <c r="AH18" s="12" t="str">
        <f t="shared" ca="1" si="4"/>
        <v/>
      </c>
      <c r="AI18" s="12" t="str">
        <f t="shared" ca="1" si="4"/>
        <v/>
      </c>
      <c r="AJ18" s="12" t="str">
        <f t="shared" ca="1" si="4"/>
        <v/>
      </c>
      <c r="AK18" s="12" t="str">
        <f t="shared" ca="1" si="4"/>
        <v/>
      </c>
      <c r="AL18" s="12" t="str">
        <f t="shared" ca="1" si="4"/>
        <v/>
      </c>
      <c r="AM18" s="12" t="str">
        <f t="shared" ca="1" si="4"/>
        <v/>
      </c>
      <c r="AN18" s="12" t="str">
        <f t="shared" ca="1" si="4"/>
        <v/>
      </c>
      <c r="AO18" s="12" t="str">
        <f t="shared" ca="1" si="4"/>
        <v/>
      </c>
      <c r="AP18" s="12" t="str">
        <f t="shared" ca="1" si="4"/>
        <v/>
      </c>
      <c r="AQ18" s="12" t="str">
        <f t="shared" ca="1" si="4"/>
        <v/>
      </c>
      <c r="AR18" s="12" t="str">
        <f t="shared" ca="1" si="5"/>
        <v/>
      </c>
      <c r="AS18" s="12" t="str">
        <f t="shared" ca="1" si="5"/>
        <v/>
      </c>
      <c r="AT18" s="12" t="str">
        <f t="shared" ca="1" si="5"/>
        <v/>
      </c>
      <c r="AU18" s="12" t="str">
        <f t="shared" ca="1" si="5"/>
        <v/>
      </c>
      <c r="AV18" s="12" t="str">
        <f t="shared" ca="1" si="5"/>
        <v/>
      </c>
      <c r="AW18" s="12" t="str">
        <f t="shared" ca="1" si="5"/>
        <v/>
      </c>
      <c r="AX18" s="12" t="str">
        <f t="shared" ca="1" si="5"/>
        <v/>
      </c>
      <c r="AY18" s="12" t="str">
        <f t="shared" ca="1" si="5"/>
        <v/>
      </c>
      <c r="AZ18" s="12" t="str">
        <f t="shared" ca="1" si="5"/>
        <v/>
      </c>
      <c r="BA18" s="12" t="str">
        <f t="shared" ca="1" si="5"/>
        <v/>
      </c>
      <c r="BB18" s="12" t="str">
        <f t="shared" ca="1" si="5"/>
        <v/>
      </c>
      <c r="BC18" s="12" t="str">
        <f t="shared" ca="1" si="5"/>
        <v/>
      </c>
      <c r="BD18" s="12" t="str">
        <f t="shared" ca="1" si="5"/>
        <v/>
      </c>
      <c r="BE18" s="12" t="str">
        <f t="shared" ca="1" si="5"/>
        <v/>
      </c>
      <c r="BF18" s="12" t="str">
        <f t="shared" ca="1" si="5"/>
        <v/>
      </c>
      <c r="BG18" s="12" t="str">
        <f t="shared" ca="1" si="14"/>
        <v/>
      </c>
      <c r="BH18" s="12" t="str">
        <f t="shared" ca="1" si="6"/>
        <v/>
      </c>
      <c r="BI18" s="12" t="str">
        <f t="shared" ca="1" si="6"/>
        <v/>
      </c>
      <c r="BJ18" s="12" t="str">
        <f t="shared" ca="1" si="6"/>
        <v/>
      </c>
      <c r="BK18" s="12" t="str">
        <f t="shared" ca="1" si="6"/>
        <v/>
      </c>
      <c r="BL18" s="12" t="str">
        <f t="shared" ca="1" si="6"/>
        <v/>
      </c>
      <c r="BM18" s="12" t="str">
        <f t="shared" ca="1" si="6"/>
        <v/>
      </c>
      <c r="BN18" s="12" t="str">
        <f t="shared" ca="1" si="6"/>
        <v/>
      </c>
      <c r="BO18" s="12" t="str">
        <f t="shared" ca="1" si="6"/>
        <v/>
      </c>
      <c r="BP18" s="12" t="str">
        <f t="shared" ca="1" si="6"/>
        <v/>
      </c>
      <c r="BQ18" s="12" t="str">
        <f t="shared" ca="1" si="6"/>
        <v/>
      </c>
      <c r="BR18" s="12" t="str">
        <f t="shared" ca="1" si="6"/>
        <v/>
      </c>
      <c r="BS18" s="12" t="str">
        <f t="shared" ca="1" si="6"/>
        <v/>
      </c>
      <c r="BT18" s="12" t="str">
        <f t="shared" ca="1" si="6"/>
        <v/>
      </c>
      <c r="BU18" s="12" t="str">
        <f t="shared" ca="1" si="6"/>
        <v/>
      </c>
      <c r="BV18" s="12" t="str">
        <f t="shared" ca="1" si="6"/>
        <v/>
      </c>
    </row>
    <row r="19" spans="1:74" ht="15" customHeight="1">
      <c r="A19" s="14">
        <f t="shared" si="15"/>
        <v>10</v>
      </c>
      <c r="B19" s="45" t="s">
        <v>3898</v>
      </c>
      <c r="C19" s="49" t="str">
        <f>IF('Player Name'!C15&lt;&gt;"",'Player Name'!C15,"")</f>
        <v>John 10</v>
      </c>
      <c r="D19" s="26">
        <f t="shared" ca="1" si="7"/>
        <v>0</v>
      </c>
      <c r="E19" s="14">
        <f t="shared" ca="1" si="8"/>
        <v>0</v>
      </c>
      <c r="F19" s="26">
        <f t="shared" ca="1" si="9"/>
        <v>0</v>
      </c>
      <c r="G19" s="26">
        <f t="shared" ca="1" si="10"/>
        <v>0</v>
      </c>
      <c r="H19" s="26">
        <f t="shared" ca="1" si="11"/>
        <v>0</v>
      </c>
      <c r="I19" s="26">
        <f t="shared" ca="1" si="12"/>
        <v>0</v>
      </c>
      <c r="J19" s="50" t="str">
        <f>HYPERLINK("["&amp;Setup!$C$5&amp;"]'"&amp;B19&amp;"'!D4","Update score")</f>
        <v>Update score</v>
      </c>
      <c r="K19" s="14" t="str">
        <f t="shared" ca="1" si="13"/>
        <v/>
      </c>
      <c r="L19" s="14" t="str">
        <f t="shared" ca="1" si="3"/>
        <v/>
      </c>
      <c r="M19" s="14" t="str">
        <f t="shared" ca="1" si="3"/>
        <v/>
      </c>
      <c r="N19" s="14" t="str">
        <f t="shared" ca="1" si="3"/>
        <v/>
      </c>
      <c r="O19" s="14" t="str">
        <f t="shared" ca="1" si="3"/>
        <v/>
      </c>
      <c r="P19" s="14" t="str">
        <f t="shared" ca="1" si="3"/>
        <v/>
      </c>
      <c r="Q19" s="14" t="str">
        <f t="shared" ca="1" si="3"/>
        <v/>
      </c>
      <c r="R19" s="14" t="str">
        <f t="shared" ca="1" si="3"/>
        <v/>
      </c>
      <c r="S19" s="14" t="str">
        <f t="shared" ca="1" si="3"/>
        <v/>
      </c>
      <c r="T19" s="14" t="str">
        <f t="shared" ca="1" si="3"/>
        <v/>
      </c>
      <c r="U19" s="14" t="str">
        <f t="shared" ca="1" si="3"/>
        <v/>
      </c>
      <c r="V19" s="14" t="str">
        <f t="shared" ca="1" si="3"/>
        <v/>
      </c>
      <c r="W19" s="14" t="str">
        <f t="shared" ca="1" si="3"/>
        <v/>
      </c>
      <c r="X19" s="14" t="str">
        <f t="shared" ca="1" si="3"/>
        <v/>
      </c>
      <c r="Y19" s="14" t="str">
        <f t="shared" ca="1" si="3"/>
        <v/>
      </c>
      <c r="Z19" s="14" t="str">
        <f t="shared" ca="1" si="3"/>
        <v/>
      </c>
      <c r="AA19" s="14" t="str">
        <f t="shared" ca="1" si="3"/>
        <v/>
      </c>
      <c r="AB19" s="14" t="str">
        <f t="shared" ca="1" si="4"/>
        <v/>
      </c>
      <c r="AC19" s="14" t="str">
        <f t="shared" ca="1" si="4"/>
        <v/>
      </c>
      <c r="AD19" s="14" t="str">
        <f t="shared" ca="1" si="4"/>
        <v/>
      </c>
      <c r="AE19" s="14" t="str">
        <f t="shared" ca="1" si="4"/>
        <v/>
      </c>
      <c r="AF19" s="14" t="str">
        <f t="shared" ca="1" si="4"/>
        <v/>
      </c>
      <c r="AG19" s="14" t="str">
        <f t="shared" ca="1" si="4"/>
        <v/>
      </c>
      <c r="AH19" s="14" t="str">
        <f t="shared" ca="1" si="4"/>
        <v/>
      </c>
      <c r="AI19" s="14" t="str">
        <f t="shared" ca="1" si="4"/>
        <v/>
      </c>
      <c r="AJ19" s="14" t="str">
        <f t="shared" ca="1" si="4"/>
        <v/>
      </c>
      <c r="AK19" s="14" t="str">
        <f t="shared" ca="1" si="4"/>
        <v/>
      </c>
      <c r="AL19" s="14" t="str">
        <f t="shared" ca="1" si="4"/>
        <v/>
      </c>
      <c r="AM19" s="14" t="str">
        <f t="shared" ca="1" si="4"/>
        <v/>
      </c>
      <c r="AN19" s="14" t="str">
        <f t="shared" ca="1" si="4"/>
        <v/>
      </c>
      <c r="AO19" s="14" t="str">
        <f t="shared" ca="1" si="4"/>
        <v/>
      </c>
      <c r="AP19" s="14" t="str">
        <f t="shared" ca="1" si="4"/>
        <v/>
      </c>
      <c r="AQ19" s="14" t="str">
        <f t="shared" ca="1" si="4"/>
        <v/>
      </c>
      <c r="AR19" s="14" t="str">
        <f t="shared" ca="1" si="5"/>
        <v/>
      </c>
      <c r="AS19" s="14" t="str">
        <f t="shared" ca="1" si="5"/>
        <v/>
      </c>
      <c r="AT19" s="14" t="str">
        <f t="shared" ca="1" si="5"/>
        <v/>
      </c>
      <c r="AU19" s="14" t="str">
        <f t="shared" ca="1" si="5"/>
        <v/>
      </c>
      <c r="AV19" s="14" t="str">
        <f t="shared" ca="1" si="5"/>
        <v/>
      </c>
      <c r="AW19" s="14" t="str">
        <f t="shared" ca="1" si="5"/>
        <v/>
      </c>
      <c r="AX19" s="14" t="str">
        <f t="shared" ca="1" si="5"/>
        <v/>
      </c>
      <c r="AY19" s="14" t="str">
        <f t="shared" ca="1" si="5"/>
        <v/>
      </c>
      <c r="AZ19" s="14" t="str">
        <f t="shared" ca="1" si="5"/>
        <v/>
      </c>
      <c r="BA19" s="14" t="str">
        <f t="shared" ca="1" si="5"/>
        <v/>
      </c>
      <c r="BB19" s="14" t="str">
        <f t="shared" ca="1" si="5"/>
        <v/>
      </c>
      <c r="BC19" s="14" t="str">
        <f t="shared" ca="1" si="5"/>
        <v/>
      </c>
      <c r="BD19" s="14" t="str">
        <f t="shared" ca="1" si="5"/>
        <v/>
      </c>
      <c r="BE19" s="14" t="str">
        <f t="shared" ca="1" si="5"/>
        <v/>
      </c>
      <c r="BF19" s="14" t="str">
        <f t="shared" ca="1" si="5"/>
        <v/>
      </c>
      <c r="BG19" s="14" t="str">
        <f t="shared" ca="1" si="14"/>
        <v/>
      </c>
      <c r="BH19" s="14" t="str">
        <f t="shared" ca="1" si="6"/>
        <v/>
      </c>
      <c r="BI19" s="14" t="str">
        <f t="shared" ca="1" si="6"/>
        <v/>
      </c>
      <c r="BJ19" s="14" t="str">
        <f t="shared" ca="1" si="6"/>
        <v/>
      </c>
      <c r="BK19" s="14" t="str">
        <f t="shared" ca="1" si="6"/>
        <v/>
      </c>
      <c r="BL19" s="14" t="str">
        <f t="shared" ca="1" si="6"/>
        <v/>
      </c>
      <c r="BM19" s="14" t="str">
        <f t="shared" ca="1" si="6"/>
        <v/>
      </c>
      <c r="BN19" s="14" t="str">
        <f t="shared" ca="1" si="6"/>
        <v/>
      </c>
      <c r="BO19" s="14" t="str">
        <f t="shared" ca="1" si="6"/>
        <v/>
      </c>
      <c r="BP19" s="14" t="str">
        <f t="shared" ca="1" si="6"/>
        <v/>
      </c>
      <c r="BQ19" s="14" t="str">
        <f t="shared" ca="1" si="6"/>
        <v/>
      </c>
      <c r="BR19" s="14" t="str">
        <f t="shared" ca="1" si="6"/>
        <v/>
      </c>
      <c r="BS19" s="14" t="str">
        <f t="shared" ca="1" si="6"/>
        <v/>
      </c>
      <c r="BT19" s="14" t="str">
        <f t="shared" ca="1" si="6"/>
        <v/>
      </c>
      <c r="BU19" s="14" t="str">
        <f t="shared" ca="1" si="6"/>
        <v/>
      </c>
      <c r="BV19" s="14" t="str">
        <f t="shared" ca="1" si="6"/>
        <v/>
      </c>
    </row>
    <row r="20" spans="1:74" ht="15" customHeight="1">
      <c r="A20" s="12">
        <f t="shared" si="15"/>
        <v>11</v>
      </c>
      <c r="B20" s="45" t="s">
        <v>3899</v>
      </c>
      <c r="C20" s="46" t="str">
        <f>IF('Player Name'!C16&lt;&gt;"",'Player Name'!C16,"")</f>
        <v>John 11</v>
      </c>
      <c r="D20" s="25">
        <f t="shared" ca="1" si="7"/>
        <v>0</v>
      </c>
      <c r="E20" s="12">
        <f t="shared" ca="1" si="8"/>
        <v>0</v>
      </c>
      <c r="F20" s="25">
        <f t="shared" ca="1" si="9"/>
        <v>0</v>
      </c>
      <c r="G20" s="25">
        <f t="shared" ca="1" si="10"/>
        <v>0</v>
      </c>
      <c r="H20" s="25">
        <f t="shared" ca="1" si="11"/>
        <v>0</v>
      </c>
      <c r="I20" s="25">
        <f t="shared" ca="1" si="12"/>
        <v>0</v>
      </c>
      <c r="J20" s="51" t="str">
        <f>HYPERLINK("["&amp;Setup!$C$5&amp;"]'"&amp;B20&amp;"'!D4","Update score")</f>
        <v>Update score</v>
      </c>
      <c r="K20" s="12" t="str">
        <f t="shared" ca="1" si="13"/>
        <v/>
      </c>
      <c r="L20" s="12" t="str">
        <f t="shared" ca="1" si="3"/>
        <v/>
      </c>
      <c r="M20" s="12" t="str">
        <f t="shared" ca="1" si="3"/>
        <v/>
      </c>
      <c r="N20" s="12" t="str">
        <f t="shared" ca="1" si="3"/>
        <v/>
      </c>
      <c r="O20" s="12" t="str">
        <f t="shared" ca="1" si="3"/>
        <v/>
      </c>
      <c r="P20" s="12" t="str">
        <f t="shared" ca="1" si="3"/>
        <v/>
      </c>
      <c r="Q20" s="12" t="str">
        <f t="shared" ca="1" si="3"/>
        <v/>
      </c>
      <c r="R20" s="12" t="str">
        <f t="shared" ca="1" si="3"/>
        <v/>
      </c>
      <c r="S20" s="12" t="str">
        <f t="shared" ca="1" si="3"/>
        <v/>
      </c>
      <c r="T20" s="12" t="str">
        <f t="shared" ca="1" si="3"/>
        <v/>
      </c>
      <c r="U20" s="12" t="str">
        <f t="shared" ca="1" si="3"/>
        <v/>
      </c>
      <c r="V20" s="12" t="str">
        <f t="shared" ca="1" si="3"/>
        <v/>
      </c>
      <c r="W20" s="12" t="str">
        <f t="shared" ca="1" si="3"/>
        <v/>
      </c>
      <c r="X20" s="12" t="str">
        <f t="shared" ca="1" si="3"/>
        <v/>
      </c>
      <c r="Y20" s="12" t="str">
        <f t="shared" ca="1" si="3"/>
        <v/>
      </c>
      <c r="Z20" s="12" t="str">
        <f t="shared" ca="1" si="3"/>
        <v/>
      </c>
      <c r="AA20" s="12" t="str">
        <f t="shared" ca="1" si="3"/>
        <v/>
      </c>
      <c r="AB20" s="12" t="str">
        <f t="shared" ca="1" si="4"/>
        <v/>
      </c>
      <c r="AC20" s="12" t="str">
        <f t="shared" ca="1" si="4"/>
        <v/>
      </c>
      <c r="AD20" s="12" t="str">
        <f t="shared" ca="1" si="4"/>
        <v/>
      </c>
      <c r="AE20" s="12" t="str">
        <f t="shared" ca="1" si="4"/>
        <v/>
      </c>
      <c r="AF20" s="12" t="str">
        <f t="shared" ca="1" si="4"/>
        <v/>
      </c>
      <c r="AG20" s="12" t="str">
        <f t="shared" ca="1" si="4"/>
        <v/>
      </c>
      <c r="AH20" s="12" t="str">
        <f t="shared" ca="1" si="4"/>
        <v/>
      </c>
      <c r="AI20" s="12" t="str">
        <f t="shared" ca="1" si="4"/>
        <v/>
      </c>
      <c r="AJ20" s="12" t="str">
        <f t="shared" ca="1" si="4"/>
        <v/>
      </c>
      <c r="AK20" s="12" t="str">
        <f t="shared" ca="1" si="4"/>
        <v/>
      </c>
      <c r="AL20" s="12" t="str">
        <f t="shared" ca="1" si="4"/>
        <v/>
      </c>
      <c r="AM20" s="12" t="str">
        <f t="shared" ca="1" si="4"/>
        <v/>
      </c>
      <c r="AN20" s="12" t="str">
        <f t="shared" ca="1" si="4"/>
        <v/>
      </c>
      <c r="AO20" s="12" t="str">
        <f t="shared" ca="1" si="4"/>
        <v/>
      </c>
      <c r="AP20" s="12" t="str">
        <f t="shared" ca="1" si="4"/>
        <v/>
      </c>
      <c r="AQ20" s="12" t="str">
        <f t="shared" ca="1" si="4"/>
        <v/>
      </c>
      <c r="AR20" s="12" t="str">
        <f t="shared" ca="1" si="5"/>
        <v/>
      </c>
      <c r="AS20" s="12" t="str">
        <f t="shared" ca="1" si="5"/>
        <v/>
      </c>
      <c r="AT20" s="12" t="str">
        <f t="shared" ca="1" si="5"/>
        <v/>
      </c>
      <c r="AU20" s="12" t="str">
        <f t="shared" ca="1" si="5"/>
        <v/>
      </c>
      <c r="AV20" s="12" t="str">
        <f t="shared" ca="1" si="5"/>
        <v/>
      </c>
      <c r="AW20" s="12" t="str">
        <f t="shared" ca="1" si="5"/>
        <v/>
      </c>
      <c r="AX20" s="12" t="str">
        <f t="shared" ca="1" si="5"/>
        <v/>
      </c>
      <c r="AY20" s="12" t="str">
        <f t="shared" ca="1" si="5"/>
        <v/>
      </c>
      <c r="AZ20" s="12" t="str">
        <f t="shared" ca="1" si="5"/>
        <v/>
      </c>
      <c r="BA20" s="12" t="str">
        <f t="shared" ca="1" si="5"/>
        <v/>
      </c>
      <c r="BB20" s="12" t="str">
        <f t="shared" ca="1" si="5"/>
        <v/>
      </c>
      <c r="BC20" s="12" t="str">
        <f t="shared" ca="1" si="5"/>
        <v/>
      </c>
      <c r="BD20" s="12" t="str">
        <f t="shared" ca="1" si="5"/>
        <v/>
      </c>
      <c r="BE20" s="12" t="str">
        <f t="shared" ca="1" si="5"/>
        <v/>
      </c>
      <c r="BF20" s="12" t="str">
        <f t="shared" ca="1" si="5"/>
        <v/>
      </c>
      <c r="BG20" s="12" t="str">
        <f t="shared" ca="1" si="14"/>
        <v/>
      </c>
      <c r="BH20" s="12" t="str">
        <f t="shared" ca="1" si="6"/>
        <v/>
      </c>
      <c r="BI20" s="12" t="str">
        <f t="shared" ca="1" si="6"/>
        <v/>
      </c>
      <c r="BJ20" s="12" t="str">
        <f t="shared" ca="1" si="6"/>
        <v/>
      </c>
      <c r="BK20" s="12" t="str">
        <f t="shared" ca="1" si="6"/>
        <v/>
      </c>
      <c r="BL20" s="12" t="str">
        <f t="shared" ca="1" si="6"/>
        <v/>
      </c>
      <c r="BM20" s="12" t="str">
        <f t="shared" ca="1" si="6"/>
        <v/>
      </c>
      <c r="BN20" s="12" t="str">
        <f t="shared" ca="1" si="6"/>
        <v/>
      </c>
      <c r="BO20" s="12" t="str">
        <f t="shared" ca="1" si="6"/>
        <v/>
      </c>
      <c r="BP20" s="12" t="str">
        <f t="shared" ca="1" si="6"/>
        <v/>
      </c>
      <c r="BQ20" s="12" t="str">
        <f t="shared" ca="1" si="6"/>
        <v/>
      </c>
      <c r="BR20" s="12" t="str">
        <f t="shared" ca="1" si="6"/>
        <v/>
      </c>
      <c r="BS20" s="12" t="str">
        <f t="shared" ca="1" si="6"/>
        <v/>
      </c>
      <c r="BT20" s="12" t="str">
        <f t="shared" ca="1" si="6"/>
        <v/>
      </c>
      <c r="BU20" s="12" t="str">
        <f t="shared" ca="1" si="6"/>
        <v/>
      </c>
      <c r="BV20" s="12" t="str">
        <f t="shared" ca="1" si="6"/>
        <v/>
      </c>
    </row>
    <row r="21" spans="1:74" ht="15" customHeight="1">
      <c r="A21" s="14">
        <f t="shared" si="15"/>
        <v>12</v>
      </c>
      <c r="B21" s="45" t="s">
        <v>3900</v>
      </c>
      <c r="C21" s="49" t="str">
        <f>IF('Player Name'!C17&lt;&gt;"",'Player Name'!C17,"")</f>
        <v>John 12</v>
      </c>
      <c r="D21" s="26">
        <f t="shared" ca="1" si="7"/>
        <v>0</v>
      </c>
      <c r="E21" s="14">
        <f t="shared" ca="1" si="8"/>
        <v>0</v>
      </c>
      <c r="F21" s="26">
        <f t="shared" ca="1" si="9"/>
        <v>0</v>
      </c>
      <c r="G21" s="26">
        <f t="shared" ca="1" si="10"/>
        <v>0</v>
      </c>
      <c r="H21" s="26">
        <f t="shared" ca="1" si="11"/>
        <v>0</v>
      </c>
      <c r="I21" s="26">
        <f t="shared" ca="1" si="12"/>
        <v>0</v>
      </c>
      <c r="J21" s="50" t="str">
        <f>HYPERLINK("["&amp;Setup!$C$5&amp;"]'"&amp;B21&amp;"'!D4","Update score")</f>
        <v>Update score</v>
      </c>
      <c r="K21" s="14" t="str">
        <f t="shared" ca="1" si="13"/>
        <v/>
      </c>
      <c r="L21" s="14" t="str">
        <f t="shared" ca="1" si="3"/>
        <v/>
      </c>
      <c r="M21" s="14" t="str">
        <f t="shared" ca="1" si="3"/>
        <v/>
      </c>
      <c r="N21" s="14" t="str">
        <f t="shared" ca="1" si="3"/>
        <v/>
      </c>
      <c r="O21" s="14" t="str">
        <f t="shared" ca="1" si="3"/>
        <v/>
      </c>
      <c r="P21" s="14" t="str">
        <f t="shared" ca="1" si="3"/>
        <v/>
      </c>
      <c r="Q21" s="14" t="str">
        <f t="shared" ca="1" si="3"/>
        <v/>
      </c>
      <c r="R21" s="14" t="str">
        <f t="shared" ca="1" si="3"/>
        <v/>
      </c>
      <c r="S21" s="14" t="str">
        <f t="shared" ca="1" si="3"/>
        <v/>
      </c>
      <c r="T21" s="14" t="str">
        <f t="shared" ca="1" si="3"/>
        <v/>
      </c>
      <c r="U21" s="14" t="str">
        <f t="shared" ca="1" si="3"/>
        <v/>
      </c>
      <c r="V21" s="14" t="str">
        <f t="shared" ca="1" si="3"/>
        <v/>
      </c>
      <c r="W21" s="14" t="str">
        <f t="shared" ca="1" si="3"/>
        <v/>
      </c>
      <c r="X21" s="14" t="str">
        <f t="shared" ca="1" si="3"/>
        <v/>
      </c>
      <c r="Y21" s="14" t="str">
        <f t="shared" ca="1" si="3"/>
        <v/>
      </c>
      <c r="Z21" s="14" t="str">
        <f t="shared" ca="1" si="3"/>
        <v/>
      </c>
      <c r="AA21" s="14" t="str">
        <f t="shared" ca="1" si="3"/>
        <v/>
      </c>
      <c r="AB21" s="14" t="str">
        <f t="shared" ca="1" si="4"/>
        <v/>
      </c>
      <c r="AC21" s="14" t="str">
        <f t="shared" ca="1" si="4"/>
        <v/>
      </c>
      <c r="AD21" s="14" t="str">
        <f t="shared" ca="1" si="4"/>
        <v/>
      </c>
      <c r="AE21" s="14" t="str">
        <f t="shared" ca="1" si="4"/>
        <v/>
      </c>
      <c r="AF21" s="14" t="str">
        <f t="shared" ca="1" si="4"/>
        <v/>
      </c>
      <c r="AG21" s="14" t="str">
        <f t="shared" ca="1" si="4"/>
        <v/>
      </c>
      <c r="AH21" s="14" t="str">
        <f t="shared" ca="1" si="4"/>
        <v/>
      </c>
      <c r="AI21" s="14" t="str">
        <f t="shared" ca="1" si="4"/>
        <v/>
      </c>
      <c r="AJ21" s="14" t="str">
        <f t="shared" ca="1" si="4"/>
        <v/>
      </c>
      <c r="AK21" s="14" t="str">
        <f t="shared" ca="1" si="4"/>
        <v/>
      </c>
      <c r="AL21" s="14" t="str">
        <f t="shared" ca="1" si="4"/>
        <v/>
      </c>
      <c r="AM21" s="14" t="str">
        <f t="shared" ca="1" si="4"/>
        <v/>
      </c>
      <c r="AN21" s="14" t="str">
        <f t="shared" ca="1" si="4"/>
        <v/>
      </c>
      <c r="AO21" s="14" t="str">
        <f t="shared" ca="1" si="4"/>
        <v/>
      </c>
      <c r="AP21" s="14" t="str">
        <f t="shared" ca="1" si="4"/>
        <v/>
      </c>
      <c r="AQ21" s="14" t="str">
        <f t="shared" ca="1" si="4"/>
        <v/>
      </c>
      <c r="AR21" s="14" t="str">
        <f t="shared" ca="1" si="5"/>
        <v/>
      </c>
      <c r="AS21" s="14" t="str">
        <f t="shared" ca="1" si="5"/>
        <v/>
      </c>
      <c r="AT21" s="14" t="str">
        <f t="shared" ca="1" si="5"/>
        <v/>
      </c>
      <c r="AU21" s="14" t="str">
        <f t="shared" ca="1" si="5"/>
        <v/>
      </c>
      <c r="AV21" s="14" t="str">
        <f t="shared" ca="1" si="5"/>
        <v/>
      </c>
      <c r="AW21" s="14" t="str">
        <f t="shared" ca="1" si="5"/>
        <v/>
      </c>
      <c r="AX21" s="14" t="str">
        <f t="shared" ca="1" si="5"/>
        <v/>
      </c>
      <c r="AY21" s="14" t="str">
        <f t="shared" ca="1" si="5"/>
        <v/>
      </c>
      <c r="AZ21" s="14" t="str">
        <f t="shared" ca="1" si="5"/>
        <v/>
      </c>
      <c r="BA21" s="14" t="str">
        <f t="shared" ca="1" si="5"/>
        <v/>
      </c>
      <c r="BB21" s="14" t="str">
        <f t="shared" ca="1" si="5"/>
        <v/>
      </c>
      <c r="BC21" s="14" t="str">
        <f t="shared" ca="1" si="5"/>
        <v/>
      </c>
      <c r="BD21" s="14" t="str">
        <f t="shared" ca="1" si="5"/>
        <v/>
      </c>
      <c r="BE21" s="14" t="str">
        <f t="shared" ca="1" si="5"/>
        <v/>
      </c>
      <c r="BF21" s="14" t="str">
        <f t="shared" ca="1" si="5"/>
        <v/>
      </c>
      <c r="BG21" s="14" t="str">
        <f t="shared" ca="1" si="14"/>
        <v/>
      </c>
      <c r="BH21" s="14" t="str">
        <f t="shared" ca="1" si="6"/>
        <v/>
      </c>
      <c r="BI21" s="14" t="str">
        <f t="shared" ca="1" si="6"/>
        <v/>
      </c>
      <c r="BJ21" s="14" t="str">
        <f t="shared" ca="1" si="6"/>
        <v/>
      </c>
      <c r="BK21" s="14" t="str">
        <f t="shared" ca="1" si="6"/>
        <v/>
      </c>
      <c r="BL21" s="14" t="str">
        <f t="shared" ca="1" si="6"/>
        <v/>
      </c>
      <c r="BM21" s="14" t="str">
        <f t="shared" ca="1" si="6"/>
        <v/>
      </c>
      <c r="BN21" s="14" t="str">
        <f t="shared" ca="1" si="6"/>
        <v/>
      </c>
      <c r="BO21" s="14" t="str">
        <f t="shared" ca="1" si="6"/>
        <v/>
      </c>
      <c r="BP21" s="14" t="str">
        <f t="shared" ca="1" si="6"/>
        <v/>
      </c>
      <c r="BQ21" s="14" t="str">
        <f t="shared" ca="1" si="6"/>
        <v/>
      </c>
      <c r="BR21" s="14" t="str">
        <f t="shared" ca="1" si="6"/>
        <v/>
      </c>
      <c r="BS21" s="14" t="str">
        <f t="shared" ca="1" si="6"/>
        <v/>
      </c>
      <c r="BT21" s="14" t="str">
        <f t="shared" ca="1" si="6"/>
        <v/>
      </c>
      <c r="BU21" s="14" t="str">
        <f t="shared" ca="1" si="6"/>
        <v/>
      </c>
      <c r="BV21" s="14" t="str">
        <f t="shared" ca="1" si="6"/>
        <v/>
      </c>
    </row>
    <row r="22" spans="1:74" ht="15" customHeight="1">
      <c r="A22" s="12">
        <f t="shared" si="15"/>
        <v>13</v>
      </c>
      <c r="B22" s="45" t="s">
        <v>3901</v>
      </c>
      <c r="C22" s="46" t="str">
        <f>IF('Player Name'!C18&lt;&gt;"",'Player Name'!C18,"")</f>
        <v>John 13</v>
      </c>
      <c r="D22" s="25">
        <f t="shared" ca="1" si="7"/>
        <v>0</v>
      </c>
      <c r="E22" s="12">
        <f t="shared" ca="1" si="8"/>
        <v>0</v>
      </c>
      <c r="F22" s="25">
        <f t="shared" ca="1" si="9"/>
        <v>0</v>
      </c>
      <c r="G22" s="25">
        <f t="shared" ca="1" si="10"/>
        <v>0</v>
      </c>
      <c r="H22" s="25">
        <f t="shared" ca="1" si="11"/>
        <v>0</v>
      </c>
      <c r="I22" s="25">
        <f t="shared" ca="1" si="12"/>
        <v>0</v>
      </c>
      <c r="J22" s="51" t="str">
        <f>HYPERLINK("["&amp;Setup!$C$5&amp;"]'"&amp;B22&amp;"'!D4","Update score")</f>
        <v>Update score</v>
      </c>
      <c r="K22" s="12" t="str">
        <f t="shared" ca="1" si="13"/>
        <v/>
      </c>
      <c r="L22" s="12" t="str">
        <f t="shared" ca="1" si="3"/>
        <v/>
      </c>
      <c r="M22" s="12" t="str">
        <f t="shared" ca="1" si="3"/>
        <v/>
      </c>
      <c r="N22" s="12" t="str">
        <f t="shared" ca="1" si="3"/>
        <v/>
      </c>
      <c r="O22" s="12" t="str">
        <f t="shared" ca="1" si="3"/>
        <v/>
      </c>
      <c r="P22" s="12" t="str">
        <f t="shared" ca="1" si="3"/>
        <v/>
      </c>
      <c r="Q22" s="12" t="str">
        <f t="shared" ca="1" si="3"/>
        <v/>
      </c>
      <c r="R22" s="12" t="str">
        <f t="shared" ca="1" si="3"/>
        <v/>
      </c>
      <c r="S22" s="12" t="str">
        <f t="shared" ca="1" si="3"/>
        <v/>
      </c>
      <c r="T22" s="12" t="str">
        <f t="shared" ca="1" si="3"/>
        <v/>
      </c>
      <c r="U22" s="12" t="str">
        <f t="shared" ca="1" si="3"/>
        <v/>
      </c>
      <c r="V22" s="12" t="str">
        <f t="shared" ca="1" si="3"/>
        <v/>
      </c>
      <c r="W22" s="12" t="str">
        <f t="shared" ca="1" si="3"/>
        <v/>
      </c>
      <c r="X22" s="12" t="str">
        <f t="shared" ca="1" si="3"/>
        <v/>
      </c>
      <c r="Y22" s="12" t="str">
        <f t="shared" ca="1" si="3"/>
        <v/>
      </c>
      <c r="Z22" s="12" t="str">
        <f t="shared" ca="1" si="3"/>
        <v/>
      </c>
      <c r="AA22" s="12" t="str">
        <f t="shared" ca="1" si="3"/>
        <v/>
      </c>
      <c r="AB22" s="12" t="str">
        <f t="shared" ca="1" si="4"/>
        <v/>
      </c>
      <c r="AC22" s="12" t="str">
        <f t="shared" ca="1" si="4"/>
        <v/>
      </c>
      <c r="AD22" s="12" t="str">
        <f t="shared" ca="1" si="4"/>
        <v/>
      </c>
      <c r="AE22" s="12" t="str">
        <f t="shared" ca="1" si="4"/>
        <v/>
      </c>
      <c r="AF22" s="12" t="str">
        <f t="shared" ca="1" si="4"/>
        <v/>
      </c>
      <c r="AG22" s="12" t="str">
        <f t="shared" ca="1" si="4"/>
        <v/>
      </c>
      <c r="AH22" s="12" t="str">
        <f t="shared" ca="1" si="4"/>
        <v/>
      </c>
      <c r="AI22" s="12" t="str">
        <f t="shared" ca="1" si="4"/>
        <v/>
      </c>
      <c r="AJ22" s="12" t="str">
        <f t="shared" ca="1" si="4"/>
        <v/>
      </c>
      <c r="AK22" s="12" t="str">
        <f t="shared" ca="1" si="4"/>
        <v/>
      </c>
      <c r="AL22" s="12" t="str">
        <f t="shared" ca="1" si="4"/>
        <v/>
      </c>
      <c r="AM22" s="12" t="str">
        <f t="shared" ca="1" si="4"/>
        <v/>
      </c>
      <c r="AN22" s="12" t="str">
        <f t="shared" ca="1" si="4"/>
        <v/>
      </c>
      <c r="AO22" s="12" t="str">
        <f t="shared" ca="1" si="4"/>
        <v/>
      </c>
      <c r="AP22" s="12" t="str">
        <f t="shared" ca="1" si="4"/>
        <v/>
      </c>
      <c r="AQ22" s="12" t="str">
        <f t="shared" ca="1" si="4"/>
        <v/>
      </c>
      <c r="AR22" s="12" t="str">
        <f t="shared" ca="1" si="5"/>
        <v/>
      </c>
      <c r="AS22" s="12" t="str">
        <f t="shared" ca="1" si="5"/>
        <v/>
      </c>
      <c r="AT22" s="12" t="str">
        <f t="shared" ca="1" si="5"/>
        <v/>
      </c>
      <c r="AU22" s="12" t="str">
        <f t="shared" ca="1" si="5"/>
        <v/>
      </c>
      <c r="AV22" s="12" t="str">
        <f t="shared" ca="1" si="5"/>
        <v/>
      </c>
      <c r="AW22" s="12" t="str">
        <f t="shared" ca="1" si="5"/>
        <v/>
      </c>
      <c r="AX22" s="12" t="str">
        <f t="shared" ca="1" si="5"/>
        <v/>
      </c>
      <c r="AY22" s="12" t="str">
        <f t="shared" ca="1" si="5"/>
        <v/>
      </c>
      <c r="AZ22" s="12" t="str">
        <f t="shared" ca="1" si="5"/>
        <v/>
      </c>
      <c r="BA22" s="12" t="str">
        <f t="shared" ca="1" si="5"/>
        <v/>
      </c>
      <c r="BB22" s="12" t="str">
        <f t="shared" ca="1" si="5"/>
        <v/>
      </c>
      <c r="BC22" s="12" t="str">
        <f t="shared" ca="1" si="5"/>
        <v/>
      </c>
      <c r="BD22" s="12" t="str">
        <f t="shared" ca="1" si="5"/>
        <v/>
      </c>
      <c r="BE22" s="12" t="str">
        <f t="shared" ca="1" si="5"/>
        <v/>
      </c>
      <c r="BF22" s="12" t="str">
        <f t="shared" ca="1" si="5"/>
        <v/>
      </c>
      <c r="BG22" s="12" t="str">
        <f t="shared" ca="1" si="14"/>
        <v/>
      </c>
      <c r="BH22" s="12" t="str">
        <f t="shared" ca="1" si="6"/>
        <v/>
      </c>
      <c r="BI22" s="12" t="str">
        <f t="shared" ca="1" si="6"/>
        <v/>
      </c>
      <c r="BJ22" s="12" t="str">
        <f t="shared" ca="1" si="6"/>
        <v/>
      </c>
      <c r="BK22" s="12" t="str">
        <f t="shared" ca="1" si="6"/>
        <v/>
      </c>
      <c r="BL22" s="12" t="str">
        <f t="shared" ca="1" si="6"/>
        <v/>
      </c>
      <c r="BM22" s="12" t="str">
        <f t="shared" ca="1" si="6"/>
        <v/>
      </c>
      <c r="BN22" s="12" t="str">
        <f t="shared" ca="1" si="6"/>
        <v/>
      </c>
      <c r="BO22" s="12" t="str">
        <f t="shared" ca="1" si="6"/>
        <v/>
      </c>
      <c r="BP22" s="12" t="str">
        <f t="shared" ca="1" si="6"/>
        <v/>
      </c>
      <c r="BQ22" s="12" t="str">
        <f t="shared" ca="1" si="6"/>
        <v/>
      </c>
      <c r="BR22" s="12" t="str">
        <f t="shared" ca="1" si="6"/>
        <v/>
      </c>
      <c r="BS22" s="12" t="str">
        <f t="shared" ca="1" si="6"/>
        <v/>
      </c>
      <c r="BT22" s="12" t="str">
        <f t="shared" ca="1" si="6"/>
        <v/>
      </c>
      <c r="BU22" s="12" t="str">
        <f t="shared" ca="1" si="6"/>
        <v/>
      </c>
      <c r="BV22" s="12" t="str">
        <f t="shared" ca="1" si="6"/>
        <v/>
      </c>
    </row>
    <row r="23" spans="1:74" ht="15" customHeight="1">
      <c r="A23" s="14">
        <f t="shared" si="15"/>
        <v>14</v>
      </c>
      <c r="B23" s="45" t="s">
        <v>3902</v>
      </c>
      <c r="C23" s="49" t="str">
        <f>IF('Player Name'!C19&lt;&gt;"",'Player Name'!C19,"")</f>
        <v>John 14</v>
      </c>
      <c r="D23" s="26">
        <f t="shared" ca="1" si="7"/>
        <v>0</v>
      </c>
      <c r="E23" s="14">
        <f t="shared" ca="1" si="8"/>
        <v>0</v>
      </c>
      <c r="F23" s="26">
        <f t="shared" ca="1" si="9"/>
        <v>0</v>
      </c>
      <c r="G23" s="26">
        <f t="shared" ca="1" si="10"/>
        <v>0</v>
      </c>
      <c r="H23" s="26">
        <f t="shared" ca="1" si="11"/>
        <v>0</v>
      </c>
      <c r="I23" s="26">
        <f t="shared" ca="1" si="12"/>
        <v>0</v>
      </c>
      <c r="J23" s="50" t="str">
        <f>HYPERLINK("["&amp;Setup!$C$5&amp;"]'"&amp;B23&amp;"'!D4","Update score")</f>
        <v>Update score</v>
      </c>
      <c r="K23" s="14" t="str">
        <f t="shared" ca="1" si="13"/>
        <v/>
      </c>
      <c r="L23" s="14" t="str">
        <f t="shared" ca="1" si="3"/>
        <v/>
      </c>
      <c r="M23" s="14" t="str">
        <f t="shared" ca="1" si="3"/>
        <v/>
      </c>
      <c r="N23" s="14" t="str">
        <f t="shared" ca="1" si="3"/>
        <v/>
      </c>
      <c r="O23" s="14" t="str">
        <f t="shared" ca="1" si="3"/>
        <v/>
      </c>
      <c r="P23" s="14" t="str">
        <f t="shared" ca="1" si="3"/>
        <v/>
      </c>
      <c r="Q23" s="14" t="str">
        <f t="shared" ca="1" si="3"/>
        <v/>
      </c>
      <c r="R23" s="14" t="str">
        <f t="shared" ca="1" si="3"/>
        <v/>
      </c>
      <c r="S23" s="14" t="str">
        <f t="shared" ca="1" si="3"/>
        <v/>
      </c>
      <c r="T23" s="14" t="str">
        <f t="shared" ca="1" si="3"/>
        <v/>
      </c>
      <c r="U23" s="14" t="str">
        <f t="shared" ca="1" si="3"/>
        <v/>
      </c>
      <c r="V23" s="14" t="str">
        <f t="shared" ca="1" si="3"/>
        <v/>
      </c>
      <c r="W23" s="14" t="str">
        <f t="shared" ca="1" si="3"/>
        <v/>
      </c>
      <c r="X23" s="14" t="str">
        <f t="shared" ca="1" si="3"/>
        <v/>
      </c>
      <c r="Y23" s="14" t="str">
        <f t="shared" ca="1" si="3"/>
        <v/>
      </c>
      <c r="Z23" s="14" t="str">
        <f t="shared" ca="1" si="3"/>
        <v/>
      </c>
      <c r="AA23" s="14" t="str">
        <f t="shared" ca="1" si="3"/>
        <v/>
      </c>
      <c r="AB23" s="14" t="str">
        <f t="shared" ca="1" si="4"/>
        <v/>
      </c>
      <c r="AC23" s="14" t="str">
        <f t="shared" ca="1" si="4"/>
        <v/>
      </c>
      <c r="AD23" s="14" t="str">
        <f t="shared" ca="1" si="4"/>
        <v/>
      </c>
      <c r="AE23" s="14" t="str">
        <f t="shared" ca="1" si="4"/>
        <v/>
      </c>
      <c r="AF23" s="14" t="str">
        <f t="shared" ca="1" si="4"/>
        <v/>
      </c>
      <c r="AG23" s="14" t="str">
        <f t="shared" ca="1" si="4"/>
        <v/>
      </c>
      <c r="AH23" s="14" t="str">
        <f t="shared" ca="1" si="4"/>
        <v/>
      </c>
      <c r="AI23" s="14" t="str">
        <f t="shared" ca="1" si="4"/>
        <v/>
      </c>
      <c r="AJ23" s="14" t="str">
        <f t="shared" ca="1" si="4"/>
        <v/>
      </c>
      <c r="AK23" s="14" t="str">
        <f t="shared" ca="1" si="4"/>
        <v/>
      </c>
      <c r="AL23" s="14" t="str">
        <f t="shared" ca="1" si="4"/>
        <v/>
      </c>
      <c r="AM23" s="14" t="str">
        <f t="shared" ca="1" si="4"/>
        <v/>
      </c>
      <c r="AN23" s="14" t="str">
        <f t="shared" ca="1" si="4"/>
        <v/>
      </c>
      <c r="AO23" s="14" t="str">
        <f t="shared" ca="1" si="4"/>
        <v/>
      </c>
      <c r="AP23" s="14" t="str">
        <f t="shared" ca="1" si="4"/>
        <v/>
      </c>
      <c r="AQ23" s="14" t="str">
        <f t="shared" ca="1" si="4"/>
        <v/>
      </c>
      <c r="AR23" s="14" t="str">
        <f t="shared" ca="1" si="5"/>
        <v/>
      </c>
      <c r="AS23" s="14" t="str">
        <f t="shared" ca="1" si="5"/>
        <v/>
      </c>
      <c r="AT23" s="14" t="str">
        <f t="shared" ca="1" si="5"/>
        <v/>
      </c>
      <c r="AU23" s="14" t="str">
        <f t="shared" ca="1" si="5"/>
        <v/>
      </c>
      <c r="AV23" s="14" t="str">
        <f t="shared" ca="1" si="5"/>
        <v/>
      </c>
      <c r="AW23" s="14" t="str">
        <f t="shared" ca="1" si="5"/>
        <v/>
      </c>
      <c r="AX23" s="14" t="str">
        <f t="shared" ca="1" si="5"/>
        <v/>
      </c>
      <c r="AY23" s="14" t="str">
        <f t="shared" ca="1" si="5"/>
        <v/>
      </c>
      <c r="AZ23" s="14" t="str">
        <f t="shared" ca="1" si="5"/>
        <v/>
      </c>
      <c r="BA23" s="14" t="str">
        <f t="shared" ca="1" si="5"/>
        <v/>
      </c>
      <c r="BB23" s="14" t="str">
        <f t="shared" ca="1" si="5"/>
        <v/>
      </c>
      <c r="BC23" s="14" t="str">
        <f t="shared" ca="1" si="5"/>
        <v/>
      </c>
      <c r="BD23" s="14" t="str">
        <f t="shared" ca="1" si="5"/>
        <v/>
      </c>
      <c r="BE23" s="14" t="str">
        <f t="shared" ca="1" si="5"/>
        <v/>
      </c>
      <c r="BF23" s="14" t="str">
        <f t="shared" ca="1" si="5"/>
        <v/>
      </c>
      <c r="BG23" s="14" t="str">
        <f t="shared" ca="1" si="14"/>
        <v/>
      </c>
      <c r="BH23" s="14" t="str">
        <f t="shared" ca="1" si="6"/>
        <v/>
      </c>
      <c r="BI23" s="14" t="str">
        <f t="shared" ca="1" si="6"/>
        <v/>
      </c>
      <c r="BJ23" s="14" t="str">
        <f t="shared" ca="1" si="6"/>
        <v/>
      </c>
      <c r="BK23" s="14" t="str">
        <f t="shared" ca="1" si="6"/>
        <v/>
      </c>
      <c r="BL23" s="14" t="str">
        <f t="shared" ca="1" si="6"/>
        <v/>
      </c>
      <c r="BM23" s="14" t="str">
        <f t="shared" ca="1" si="6"/>
        <v/>
      </c>
      <c r="BN23" s="14" t="str">
        <f t="shared" ca="1" si="6"/>
        <v/>
      </c>
      <c r="BO23" s="14" t="str">
        <f t="shared" ca="1" si="6"/>
        <v/>
      </c>
      <c r="BP23" s="14" t="str">
        <f t="shared" ca="1" si="6"/>
        <v/>
      </c>
      <c r="BQ23" s="14" t="str">
        <f t="shared" ca="1" si="6"/>
        <v/>
      </c>
      <c r="BR23" s="14" t="str">
        <f t="shared" ca="1" si="6"/>
        <v/>
      </c>
      <c r="BS23" s="14" t="str">
        <f t="shared" ca="1" si="6"/>
        <v/>
      </c>
      <c r="BT23" s="14" t="str">
        <f t="shared" ca="1" si="6"/>
        <v/>
      </c>
      <c r="BU23" s="14" t="str">
        <f t="shared" ca="1" si="6"/>
        <v/>
      </c>
      <c r="BV23" s="14" t="str">
        <f t="shared" ca="1" si="6"/>
        <v/>
      </c>
    </row>
    <row r="24" spans="1:74" ht="15" customHeight="1">
      <c r="A24" s="12">
        <f t="shared" si="15"/>
        <v>15</v>
      </c>
      <c r="B24" s="45" t="s">
        <v>3903</v>
      </c>
      <c r="C24" s="46" t="str">
        <f>IF('Player Name'!C20&lt;&gt;"",'Player Name'!C20,"")</f>
        <v>John 15</v>
      </c>
      <c r="D24" s="25">
        <f t="shared" ca="1" si="7"/>
        <v>0</v>
      </c>
      <c r="E24" s="12">
        <f t="shared" ca="1" si="8"/>
        <v>0</v>
      </c>
      <c r="F24" s="25">
        <f t="shared" ca="1" si="9"/>
        <v>0</v>
      </c>
      <c r="G24" s="25">
        <f t="shared" ca="1" si="10"/>
        <v>0</v>
      </c>
      <c r="H24" s="25">
        <f t="shared" ca="1" si="11"/>
        <v>0</v>
      </c>
      <c r="I24" s="25">
        <f t="shared" ca="1" si="12"/>
        <v>0</v>
      </c>
      <c r="J24" s="51" t="str">
        <f>HYPERLINK("["&amp;Setup!$C$5&amp;"]'"&amp;B24&amp;"'!D4","Update score")</f>
        <v>Update score</v>
      </c>
      <c r="K24" s="12" t="str">
        <f t="shared" ca="1" si="13"/>
        <v/>
      </c>
      <c r="L24" s="12" t="str">
        <f t="shared" ca="1" si="3"/>
        <v/>
      </c>
      <c r="M24" s="12" t="str">
        <f t="shared" ca="1" si="3"/>
        <v/>
      </c>
      <c r="N24" s="12" t="str">
        <f t="shared" ca="1" si="3"/>
        <v/>
      </c>
      <c r="O24" s="12" t="str">
        <f t="shared" ca="1" si="3"/>
        <v/>
      </c>
      <c r="P24" s="12" t="str">
        <f t="shared" ca="1" si="3"/>
        <v/>
      </c>
      <c r="Q24" s="12" t="str">
        <f t="shared" ca="1" si="3"/>
        <v/>
      </c>
      <c r="R24" s="12" t="str">
        <f t="shared" ca="1" si="3"/>
        <v/>
      </c>
      <c r="S24" s="12" t="str">
        <f t="shared" ca="1" si="3"/>
        <v/>
      </c>
      <c r="T24" s="12" t="str">
        <f t="shared" ca="1" si="3"/>
        <v/>
      </c>
      <c r="U24" s="12" t="str">
        <f t="shared" ca="1" si="3"/>
        <v/>
      </c>
      <c r="V24" s="12" t="str">
        <f t="shared" ca="1" si="3"/>
        <v/>
      </c>
      <c r="W24" s="12" t="str">
        <f t="shared" ca="1" si="3"/>
        <v/>
      </c>
      <c r="X24" s="12" t="str">
        <f t="shared" ca="1" si="3"/>
        <v/>
      </c>
      <c r="Y24" s="12" t="str">
        <f t="shared" ca="1" si="3"/>
        <v/>
      </c>
      <c r="Z24" s="12" t="str">
        <f t="shared" ca="1" si="3"/>
        <v/>
      </c>
      <c r="AA24" s="12" t="str">
        <f t="shared" ca="1" si="3"/>
        <v/>
      </c>
      <c r="AB24" s="12" t="str">
        <f t="shared" ca="1" si="4"/>
        <v/>
      </c>
      <c r="AC24" s="12" t="str">
        <f t="shared" ca="1" si="4"/>
        <v/>
      </c>
      <c r="AD24" s="12" t="str">
        <f t="shared" ca="1" si="4"/>
        <v/>
      </c>
      <c r="AE24" s="12" t="str">
        <f t="shared" ca="1" si="4"/>
        <v/>
      </c>
      <c r="AF24" s="12" t="str">
        <f t="shared" ca="1" si="4"/>
        <v/>
      </c>
      <c r="AG24" s="12" t="str">
        <f t="shared" ca="1" si="4"/>
        <v/>
      </c>
      <c r="AH24" s="12" t="str">
        <f t="shared" ca="1" si="4"/>
        <v/>
      </c>
      <c r="AI24" s="12" t="str">
        <f t="shared" ca="1" si="4"/>
        <v/>
      </c>
      <c r="AJ24" s="12" t="str">
        <f t="shared" ca="1" si="4"/>
        <v/>
      </c>
      <c r="AK24" s="12" t="str">
        <f t="shared" ca="1" si="4"/>
        <v/>
      </c>
      <c r="AL24" s="12" t="str">
        <f t="shared" ca="1" si="4"/>
        <v/>
      </c>
      <c r="AM24" s="12" t="str">
        <f t="shared" ca="1" si="4"/>
        <v/>
      </c>
      <c r="AN24" s="12" t="str">
        <f t="shared" ca="1" si="4"/>
        <v/>
      </c>
      <c r="AO24" s="12" t="str">
        <f t="shared" ca="1" si="4"/>
        <v/>
      </c>
      <c r="AP24" s="12" t="str">
        <f t="shared" ca="1" si="4"/>
        <v/>
      </c>
      <c r="AQ24" s="12" t="str">
        <f t="shared" ca="1" si="4"/>
        <v/>
      </c>
      <c r="AR24" s="12" t="str">
        <f t="shared" ca="1" si="5"/>
        <v/>
      </c>
      <c r="AS24" s="12" t="str">
        <f t="shared" ca="1" si="5"/>
        <v/>
      </c>
      <c r="AT24" s="12" t="str">
        <f t="shared" ca="1" si="5"/>
        <v/>
      </c>
      <c r="AU24" s="12" t="str">
        <f t="shared" ca="1" si="5"/>
        <v/>
      </c>
      <c r="AV24" s="12" t="str">
        <f t="shared" ca="1" si="5"/>
        <v/>
      </c>
      <c r="AW24" s="12" t="str">
        <f t="shared" ca="1" si="5"/>
        <v/>
      </c>
      <c r="AX24" s="12" t="str">
        <f t="shared" ca="1" si="5"/>
        <v/>
      </c>
      <c r="AY24" s="12" t="str">
        <f t="shared" ca="1" si="5"/>
        <v/>
      </c>
      <c r="AZ24" s="12" t="str">
        <f t="shared" ca="1" si="5"/>
        <v/>
      </c>
      <c r="BA24" s="12" t="str">
        <f t="shared" ca="1" si="5"/>
        <v/>
      </c>
      <c r="BB24" s="12" t="str">
        <f t="shared" ca="1" si="5"/>
        <v/>
      </c>
      <c r="BC24" s="12" t="str">
        <f t="shared" ca="1" si="5"/>
        <v/>
      </c>
      <c r="BD24" s="12" t="str">
        <f t="shared" ca="1" si="5"/>
        <v/>
      </c>
      <c r="BE24" s="12" t="str">
        <f t="shared" ca="1" si="5"/>
        <v/>
      </c>
      <c r="BF24" s="12" t="str">
        <f t="shared" ca="1" si="5"/>
        <v/>
      </c>
      <c r="BG24" s="12" t="str">
        <f t="shared" ca="1" si="14"/>
        <v/>
      </c>
      <c r="BH24" s="12" t="str">
        <f t="shared" ca="1" si="6"/>
        <v/>
      </c>
      <c r="BI24" s="12" t="str">
        <f t="shared" ca="1" si="6"/>
        <v/>
      </c>
      <c r="BJ24" s="12" t="str">
        <f t="shared" ca="1" si="6"/>
        <v/>
      </c>
      <c r="BK24" s="12" t="str">
        <f t="shared" ca="1" si="6"/>
        <v/>
      </c>
      <c r="BL24" s="12" t="str">
        <f t="shared" ca="1" si="6"/>
        <v/>
      </c>
      <c r="BM24" s="12" t="str">
        <f t="shared" ca="1" si="6"/>
        <v/>
      </c>
      <c r="BN24" s="12" t="str">
        <f t="shared" ca="1" si="6"/>
        <v/>
      </c>
      <c r="BO24" s="12" t="str">
        <f t="shared" ca="1" si="6"/>
        <v/>
      </c>
      <c r="BP24" s="12" t="str">
        <f t="shared" ca="1" si="6"/>
        <v/>
      </c>
      <c r="BQ24" s="12" t="str">
        <f t="shared" ca="1" si="6"/>
        <v/>
      </c>
      <c r="BR24" s="12" t="str">
        <f t="shared" ca="1" si="6"/>
        <v/>
      </c>
      <c r="BS24" s="12" t="str">
        <f t="shared" ca="1" si="6"/>
        <v/>
      </c>
      <c r="BT24" s="12" t="str">
        <f t="shared" ca="1" si="6"/>
        <v/>
      </c>
      <c r="BU24" s="12" t="str">
        <f t="shared" ca="1" si="6"/>
        <v/>
      </c>
      <c r="BV24" s="12" t="str">
        <f t="shared" ca="1" si="6"/>
        <v/>
      </c>
    </row>
  </sheetData>
  <sheetProtection password="CE4F" sheet="1" objects="1" scenarios="1"/>
  <mergeCells count="14">
    <mergeCell ref="C7:C9"/>
    <mergeCell ref="A7:A9"/>
    <mergeCell ref="BG5:BN5"/>
    <mergeCell ref="F7:G7"/>
    <mergeCell ref="H7:I7"/>
    <mergeCell ref="F8:F9"/>
    <mergeCell ref="G8:G9"/>
    <mergeCell ref="H8:H9"/>
    <mergeCell ref="I8:I9"/>
    <mergeCell ref="BO5:BR5"/>
    <mergeCell ref="BS5:BT5"/>
    <mergeCell ref="K5:BF5"/>
    <mergeCell ref="E7:E9"/>
    <mergeCell ref="D7:D9"/>
  </mergeCells>
  <phoneticPr fontId="2" type="noConversion"/>
  <conditionalFormatting sqref="J24 J22 J20 J18 J16 J14 J12 J10">
    <cfRule type="expression" dxfId="596" priority="10">
      <formula>$C10=""</formula>
    </cfRule>
  </conditionalFormatting>
  <conditionalFormatting sqref="J23 J21 J19 J17 J15 J13 J11">
    <cfRule type="expression" dxfId="595" priority="9">
      <formula>$C11=""</formula>
    </cfRule>
  </conditionalFormatting>
  <conditionalFormatting sqref="K10:AO24">
    <cfRule type="expression" dxfId="594" priority="3">
      <formula>K10=K$7</formula>
    </cfRule>
  </conditionalFormatting>
  <conditionalFormatting sqref="AP10:BV24">
    <cfRule type="expression" dxfId="593" priority="2">
      <formula>AP10=AP$7</formula>
    </cfRule>
  </conditionalFormatting>
  <conditionalFormatting sqref="A10:BV24">
    <cfRule type="expression" dxfId="592" priority="1">
      <formula>$A10=""</formula>
    </cfRule>
  </conditionalFormatting>
  <pageMargins left="0.75" right="0.75" top="1" bottom="1" header="0.5" footer="0.5"/>
  <pageSetup orientation="landscape" horizontalDpi="300" verticalDpi="30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W24"/>
  <sheetViews>
    <sheetView showGridLines="0" workbookViewId="0">
      <selection activeCell="C7" sqref="C7:C9"/>
    </sheetView>
  </sheetViews>
  <sheetFormatPr defaultColWidth="0" defaultRowHeight="14.4"/>
  <cols>
    <col min="1" max="1" width="4.44140625" style="5" customWidth="1"/>
    <col min="2" max="2" width="14" style="5" hidden="1" customWidth="1"/>
    <col min="3" max="3" width="34" style="5" customWidth="1"/>
    <col min="4" max="5" width="14.109375" style="5" customWidth="1"/>
    <col min="6" max="9" width="11.21875" style="5" customWidth="1"/>
    <col min="10" max="10" width="19.6640625" style="5" bestFit="1" customWidth="1"/>
    <col min="11" max="74" width="10.6640625" style="5" customWidth="1"/>
    <col min="75" max="75" width="2.44140625" style="5" customWidth="1"/>
    <col min="76" max="16384" width="9.109375" style="5" hidden="1"/>
  </cols>
  <sheetData>
    <row r="1" spans="1:74" ht="15" customHeight="1"/>
    <row r="2" spans="1:74" ht="15" customHeight="1"/>
    <row r="3" spans="1:74" ht="15" customHeight="1"/>
    <row r="4" spans="1:74" ht="15" customHeight="1">
      <c r="A4" s="16"/>
      <c r="B4" s="16"/>
      <c r="C4" s="16"/>
      <c r="D4" s="16"/>
      <c r="E4" s="16"/>
      <c r="F4" s="16"/>
      <c r="H4" s="16"/>
      <c r="I4" s="16"/>
    </row>
    <row r="5" spans="1:74" ht="15" customHeight="1">
      <c r="A5" s="21"/>
      <c r="B5" s="21"/>
      <c r="C5" s="21"/>
      <c r="D5" s="21"/>
      <c r="E5" s="21"/>
      <c r="F5" s="20"/>
      <c r="G5" s="20"/>
      <c r="H5" s="20"/>
      <c r="K5" s="268" t="s">
        <v>1830</v>
      </c>
      <c r="L5" s="268"/>
      <c r="M5" s="268"/>
      <c r="N5" s="268"/>
      <c r="O5" s="268"/>
      <c r="P5" s="268"/>
      <c r="Q5" s="268"/>
      <c r="R5" s="268"/>
      <c r="S5" s="268"/>
      <c r="T5" s="268"/>
      <c r="U5" s="268"/>
      <c r="V5" s="268"/>
      <c r="W5" s="268"/>
      <c r="X5" s="268"/>
      <c r="Y5" s="268"/>
      <c r="Z5" s="268"/>
      <c r="AA5" s="268"/>
      <c r="AB5" s="268"/>
      <c r="AC5" s="268"/>
      <c r="AD5" s="268"/>
      <c r="AE5" s="268"/>
      <c r="AF5" s="268"/>
      <c r="AG5" s="268"/>
      <c r="AH5" s="268"/>
      <c r="AI5" s="268"/>
      <c r="AJ5" s="268"/>
      <c r="AK5" s="268"/>
      <c r="AL5" s="268"/>
      <c r="AM5" s="268"/>
      <c r="AN5" s="268"/>
      <c r="AO5" s="268"/>
      <c r="AP5" s="268"/>
      <c r="AQ5" s="268"/>
      <c r="AR5" s="268"/>
      <c r="AS5" s="268"/>
      <c r="AT5" s="268"/>
      <c r="AU5" s="268"/>
      <c r="AV5" s="268"/>
      <c r="AW5" s="268"/>
      <c r="AX5" s="268"/>
      <c r="AY5" s="268"/>
      <c r="AZ5" s="268"/>
      <c r="BA5" s="268"/>
      <c r="BB5" s="268"/>
      <c r="BC5" s="268"/>
      <c r="BD5" s="268"/>
      <c r="BE5" s="268"/>
      <c r="BF5" s="268"/>
      <c r="BG5" s="267" t="s">
        <v>864</v>
      </c>
      <c r="BH5" s="267"/>
      <c r="BI5" s="267"/>
      <c r="BJ5" s="267"/>
      <c r="BK5" s="267"/>
      <c r="BL5" s="267"/>
      <c r="BM5" s="267"/>
      <c r="BN5" s="267"/>
      <c r="BO5" s="267" t="s">
        <v>1831</v>
      </c>
      <c r="BP5" s="267"/>
      <c r="BQ5" s="267"/>
      <c r="BR5" s="267"/>
      <c r="BS5" s="267" t="s">
        <v>1832</v>
      </c>
      <c r="BT5" s="267"/>
      <c r="BU5" s="54" t="s">
        <v>1833</v>
      </c>
      <c r="BV5" s="55" t="s">
        <v>1151</v>
      </c>
    </row>
    <row r="6" spans="1:74" ht="15" customHeight="1">
      <c r="A6" s="21"/>
      <c r="B6" s="21"/>
      <c r="C6" s="21"/>
      <c r="D6" s="21"/>
      <c r="E6" s="21"/>
      <c r="F6" s="20"/>
      <c r="G6" s="20"/>
      <c r="H6" s="20"/>
      <c r="I6" s="20"/>
      <c r="K6" s="55">
        <v>1</v>
      </c>
      <c r="L6" s="55">
        <v>2</v>
      </c>
      <c r="M6" s="55">
        <v>3</v>
      </c>
      <c r="N6" s="55">
        <v>4</v>
      </c>
      <c r="O6" s="55">
        <v>5</v>
      </c>
      <c r="P6" s="55">
        <v>6</v>
      </c>
      <c r="Q6" s="55">
        <v>7</v>
      </c>
      <c r="R6" s="55">
        <v>8</v>
      </c>
      <c r="S6" s="55">
        <v>9</v>
      </c>
      <c r="T6" s="55">
        <v>10</v>
      </c>
      <c r="U6" s="55">
        <v>11</v>
      </c>
      <c r="V6" s="55">
        <v>12</v>
      </c>
      <c r="W6" s="55">
        <v>13</v>
      </c>
      <c r="X6" s="55">
        <v>14</v>
      </c>
      <c r="Y6" s="55">
        <v>15</v>
      </c>
      <c r="Z6" s="55">
        <v>16</v>
      </c>
      <c r="AA6" s="55">
        <v>17</v>
      </c>
      <c r="AB6" s="55">
        <v>18</v>
      </c>
      <c r="AC6" s="55">
        <v>19</v>
      </c>
      <c r="AD6" s="55">
        <v>20</v>
      </c>
      <c r="AE6" s="55">
        <v>21</v>
      </c>
      <c r="AF6" s="55">
        <v>22</v>
      </c>
      <c r="AG6" s="55">
        <v>23</v>
      </c>
      <c r="AH6" s="55">
        <v>24</v>
      </c>
      <c r="AI6" s="55">
        <v>25</v>
      </c>
      <c r="AJ6" s="55">
        <v>26</v>
      </c>
      <c r="AK6" s="55">
        <v>27</v>
      </c>
      <c r="AL6" s="55">
        <v>28</v>
      </c>
      <c r="AM6" s="55">
        <v>29</v>
      </c>
      <c r="AN6" s="55">
        <v>30</v>
      </c>
      <c r="AO6" s="55">
        <v>31</v>
      </c>
      <c r="AP6" s="55">
        <v>32</v>
      </c>
      <c r="AQ6" s="55">
        <v>33</v>
      </c>
      <c r="AR6" s="55">
        <v>34</v>
      </c>
      <c r="AS6" s="55">
        <v>35</v>
      </c>
      <c r="AT6" s="55">
        <v>36</v>
      </c>
      <c r="AU6" s="55">
        <v>37</v>
      </c>
      <c r="AV6" s="55">
        <v>38</v>
      </c>
      <c r="AW6" s="55">
        <v>39</v>
      </c>
      <c r="AX6" s="55">
        <v>40</v>
      </c>
      <c r="AY6" s="55">
        <v>41</v>
      </c>
      <c r="AZ6" s="55">
        <v>42</v>
      </c>
      <c r="BA6" s="55">
        <v>43</v>
      </c>
      <c r="BB6" s="55">
        <v>44</v>
      </c>
      <c r="BC6" s="55">
        <v>45</v>
      </c>
      <c r="BD6" s="55">
        <v>46</v>
      </c>
      <c r="BE6" s="55">
        <v>47</v>
      </c>
      <c r="BF6" s="55">
        <v>48</v>
      </c>
      <c r="BG6" s="55">
        <v>49</v>
      </c>
      <c r="BH6" s="55">
        <v>50</v>
      </c>
      <c r="BI6" s="55">
        <v>51</v>
      </c>
      <c r="BJ6" s="55">
        <v>52</v>
      </c>
      <c r="BK6" s="55">
        <v>53</v>
      </c>
      <c r="BL6" s="55">
        <v>54</v>
      </c>
      <c r="BM6" s="55">
        <v>55</v>
      </c>
      <c r="BN6" s="55">
        <v>56</v>
      </c>
      <c r="BO6" s="55">
        <v>57</v>
      </c>
      <c r="BP6" s="55">
        <v>58</v>
      </c>
      <c r="BQ6" s="55">
        <v>59</v>
      </c>
      <c r="BR6" s="55">
        <v>60</v>
      </c>
      <c r="BS6" s="55">
        <v>61</v>
      </c>
      <c r="BT6" s="55">
        <v>62</v>
      </c>
      <c r="BU6" s="55">
        <v>63</v>
      </c>
      <c r="BV6" s="55">
        <v>64</v>
      </c>
    </row>
    <row r="7" spans="1:74" ht="15" customHeight="1">
      <c r="A7" s="270" t="s">
        <v>490</v>
      </c>
      <c r="B7" s="52" t="s">
        <v>488</v>
      </c>
      <c r="C7" s="270" t="s">
        <v>1149</v>
      </c>
      <c r="D7" s="270" t="s">
        <v>3522</v>
      </c>
      <c r="E7" s="269" t="s">
        <v>3545</v>
      </c>
      <c r="F7" s="269" t="s">
        <v>860</v>
      </c>
      <c r="G7" s="269"/>
      <c r="H7" s="269" t="s">
        <v>3544</v>
      </c>
      <c r="I7" s="269"/>
      <c r="J7" s="8" t="s">
        <v>3520</v>
      </c>
      <c r="K7" s="23">
        <f>Setup!D10</f>
        <v>100</v>
      </c>
      <c r="L7" s="23">
        <f>K7</f>
        <v>100</v>
      </c>
      <c r="M7" s="23">
        <f t="shared" ref="M7:BF7" si="0">L7</f>
        <v>100</v>
      </c>
      <c r="N7" s="23">
        <f t="shared" si="0"/>
        <v>100</v>
      </c>
      <c r="O7" s="23">
        <f t="shared" si="0"/>
        <v>100</v>
      </c>
      <c r="P7" s="23">
        <f t="shared" si="0"/>
        <v>100</v>
      </c>
      <c r="Q7" s="23">
        <f t="shared" si="0"/>
        <v>100</v>
      </c>
      <c r="R7" s="23">
        <f t="shared" si="0"/>
        <v>100</v>
      </c>
      <c r="S7" s="23">
        <f t="shared" si="0"/>
        <v>100</v>
      </c>
      <c r="T7" s="23">
        <f t="shared" si="0"/>
        <v>100</v>
      </c>
      <c r="U7" s="23">
        <f t="shared" si="0"/>
        <v>100</v>
      </c>
      <c r="V7" s="23">
        <f t="shared" si="0"/>
        <v>100</v>
      </c>
      <c r="W7" s="23">
        <f t="shared" si="0"/>
        <v>100</v>
      </c>
      <c r="X7" s="23">
        <f t="shared" si="0"/>
        <v>100</v>
      </c>
      <c r="Y7" s="23">
        <f t="shared" si="0"/>
        <v>100</v>
      </c>
      <c r="Z7" s="23">
        <f t="shared" si="0"/>
        <v>100</v>
      </c>
      <c r="AA7" s="23">
        <f t="shared" si="0"/>
        <v>100</v>
      </c>
      <c r="AB7" s="23">
        <f t="shared" si="0"/>
        <v>100</v>
      </c>
      <c r="AC7" s="23">
        <f t="shared" si="0"/>
        <v>100</v>
      </c>
      <c r="AD7" s="23">
        <f t="shared" si="0"/>
        <v>100</v>
      </c>
      <c r="AE7" s="23">
        <f t="shared" si="0"/>
        <v>100</v>
      </c>
      <c r="AF7" s="23">
        <f t="shared" si="0"/>
        <v>100</v>
      </c>
      <c r="AG7" s="23">
        <f t="shared" si="0"/>
        <v>100</v>
      </c>
      <c r="AH7" s="23">
        <f t="shared" si="0"/>
        <v>100</v>
      </c>
      <c r="AI7" s="23">
        <f t="shared" si="0"/>
        <v>100</v>
      </c>
      <c r="AJ7" s="23">
        <f t="shared" si="0"/>
        <v>100</v>
      </c>
      <c r="AK7" s="23">
        <f t="shared" si="0"/>
        <v>100</v>
      </c>
      <c r="AL7" s="23">
        <f t="shared" si="0"/>
        <v>100</v>
      </c>
      <c r="AM7" s="23">
        <f t="shared" si="0"/>
        <v>100</v>
      </c>
      <c r="AN7" s="23">
        <f t="shared" si="0"/>
        <v>100</v>
      </c>
      <c r="AO7" s="23">
        <f t="shared" si="0"/>
        <v>100</v>
      </c>
      <c r="AP7" s="23">
        <f t="shared" si="0"/>
        <v>100</v>
      </c>
      <c r="AQ7" s="23">
        <f t="shared" si="0"/>
        <v>100</v>
      </c>
      <c r="AR7" s="23">
        <f t="shared" si="0"/>
        <v>100</v>
      </c>
      <c r="AS7" s="23">
        <f t="shared" si="0"/>
        <v>100</v>
      </c>
      <c r="AT7" s="23">
        <f t="shared" si="0"/>
        <v>100</v>
      </c>
      <c r="AU7" s="23">
        <f t="shared" si="0"/>
        <v>100</v>
      </c>
      <c r="AV7" s="23">
        <f t="shared" si="0"/>
        <v>100</v>
      </c>
      <c r="AW7" s="23">
        <f t="shared" si="0"/>
        <v>100</v>
      </c>
      <c r="AX7" s="23">
        <f t="shared" si="0"/>
        <v>100</v>
      </c>
      <c r="AY7" s="23">
        <f t="shared" si="0"/>
        <v>100</v>
      </c>
      <c r="AZ7" s="23">
        <f t="shared" si="0"/>
        <v>100</v>
      </c>
      <c r="BA7" s="23">
        <f t="shared" si="0"/>
        <v>100</v>
      </c>
      <c r="BB7" s="23">
        <f t="shared" si="0"/>
        <v>100</v>
      </c>
      <c r="BC7" s="23">
        <f t="shared" si="0"/>
        <v>100</v>
      </c>
      <c r="BD7" s="23">
        <f t="shared" si="0"/>
        <v>100</v>
      </c>
      <c r="BE7" s="23">
        <f t="shared" si="0"/>
        <v>100</v>
      </c>
      <c r="BF7" s="23">
        <f t="shared" si="0"/>
        <v>100</v>
      </c>
      <c r="BG7" s="22">
        <f>Setup!D20</f>
        <v>200</v>
      </c>
      <c r="BH7" s="22">
        <f>BG7</f>
        <v>200</v>
      </c>
      <c r="BI7" s="22">
        <f t="shared" ref="BI7:BN7" si="1">BH7</f>
        <v>200</v>
      </c>
      <c r="BJ7" s="22">
        <f t="shared" si="1"/>
        <v>200</v>
      </c>
      <c r="BK7" s="22">
        <f t="shared" si="1"/>
        <v>200</v>
      </c>
      <c r="BL7" s="22">
        <f t="shared" si="1"/>
        <v>200</v>
      </c>
      <c r="BM7" s="22">
        <f t="shared" si="1"/>
        <v>200</v>
      </c>
      <c r="BN7" s="22">
        <f t="shared" si="1"/>
        <v>200</v>
      </c>
      <c r="BO7" s="22">
        <f>Setup!E20</f>
        <v>400</v>
      </c>
      <c r="BP7" s="22">
        <f>BO7</f>
        <v>400</v>
      </c>
      <c r="BQ7" s="22">
        <f t="shared" ref="BQ7:BR7" si="2">BP7</f>
        <v>400</v>
      </c>
      <c r="BR7" s="22">
        <f t="shared" si="2"/>
        <v>400</v>
      </c>
      <c r="BS7" s="22">
        <f>Setup!F20</f>
        <v>800</v>
      </c>
      <c r="BT7" s="22">
        <f>BS7</f>
        <v>800</v>
      </c>
      <c r="BU7" s="22">
        <f>Setup!G20</f>
        <v>800</v>
      </c>
      <c r="BV7" s="22">
        <f>Setup!H20</f>
        <v>1600</v>
      </c>
    </row>
    <row r="8" spans="1:74" ht="15" customHeight="1">
      <c r="A8" s="270"/>
      <c r="B8" s="53"/>
      <c r="C8" s="270"/>
      <c r="D8" s="270"/>
      <c r="E8" s="269"/>
      <c r="F8" s="269" t="s">
        <v>3522</v>
      </c>
      <c r="G8" s="269" t="s">
        <v>3523</v>
      </c>
      <c r="H8" s="269" t="s">
        <v>3522</v>
      </c>
      <c r="I8" s="269" t="s">
        <v>3523</v>
      </c>
      <c r="J8" s="8" t="s">
        <v>3521</v>
      </c>
      <c r="K8" s="7" t="str">
        <f ca="1">LEFT(OFFSET(Tournament!$H$15,K$6,0),3)&amp;" vs "&amp;LEFT(OFFSET(Tournament!$N$15,K$6,0),3)</f>
        <v>Bra vs Cro</v>
      </c>
      <c r="L8" s="7" t="str">
        <f ca="1">LEFT(OFFSET(Tournament!$H$15,L$6,0),3)&amp;" vs "&amp;LEFT(OFFSET(Tournament!$N$15,L$6,0),3)</f>
        <v>Mex vs Cam</v>
      </c>
      <c r="M8" s="7" t="str">
        <f ca="1">LEFT(OFFSET(Tournament!$H$15,M$6,0),3)&amp;" vs "&amp;LEFT(OFFSET(Tournament!$N$15,M$6,0),3)</f>
        <v>Spa vs Net</v>
      </c>
      <c r="N8" s="7" t="str">
        <f ca="1">LEFT(OFFSET(Tournament!$H$15,N$6,0),3)&amp;" vs "&amp;LEFT(OFFSET(Tournament!$N$15,N$6,0),3)</f>
        <v>Chi vs Aus</v>
      </c>
      <c r="O8" s="7" t="str">
        <f ca="1">LEFT(OFFSET(Tournament!$H$15,O$6,0),3)&amp;" vs "&amp;LEFT(OFFSET(Tournament!$N$15,O$6,0),3)</f>
        <v>Col vs Gre</v>
      </c>
      <c r="P8" s="7" t="str">
        <f ca="1">LEFT(OFFSET(Tournament!$H$15,P$6,0),3)&amp;" vs "&amp;LEFT(OFFSET(Tournament!$N$15,P$6,0),3)</f>
        <v>Ivo vs Jap</v>
      </c>
      <c r="Q8" s="7" t="str">
        <f ca="1">LEFT(OFFSET(Tournament!$H$15,Q$6,0),3)&amp;" vs "&amp;LEFT(OFFSET(Tournament!$N$15,Q$6,0),3)</f>
        <v>Uru vs Cos</v>
      </c>
      <c r="R8" s="7" t="str">
        <f ca="1">LEFT(OFFSET(Tournament!$H$15,R$6,0),3)&amp;" vs "&amp;LEFT(OFFSET(Tournament!$N$15,R$6,0),3)</f>
        <v>Eng vs Ita</v>
      </c>
      <c r="S8" s="7" t="str">
        <f ca="1">LEFT(OFFSET(Tournament!$H$15,S$6,0),3)&amp;" vs "&amp;LEFT(OFFSET(Tournament!$N$15,S$6,0),3)</f>
        <v>Swi vs Ecu</v>
      </c>
      <c r="T8" s="7" t="str">
        <f ca="1">LEFT(OFFSET(Tournament!$H$15,T$6,0),3)&amp;" vs "&amp;LEFT(OFFSET(Tournament!$N$15,T$6,0),3)</f>
        <v>Fra vs Hon</v>
      </c>
      <c r="U8" s="7" t="str">
        <f ca="1">LEFT(OFFSET(Tournament!$H$15,U$6,0),3)&amp;" vs "&amp;LEFT(OFFSET(Tournament!$N$15,U$6,0),3)</f>
        <v>Arg vs Bos</v>
      </c>
      <c r="V8" s="7" t="str">
        <f ca="1">LEFT(OFFSET(Tournament!$H$15,V$6,0),3)&amp;" vs "&amp;LEFT(OFFSET(Tournament!$N$15,V$6,0),3)</f>
        <v>Ira vs Nig</v>
      </c>
      <c r="W8" s="7" t="str">
        <f ca="1">LEFT(OFFSET(Tournament!$H$15,W$6,0),3)&amp;" vs "&amp;LEFT(OFFSET(Tournament!$N$15,W$6,0),3)</f>
        <v>Ger vs Por</v>
      </c>
      <c r="X8" s="7" t="str">
        <f ca="1">LEFT(OFFSET(Tournament!$H$15,X$6,0),3)&amp;" vs "&amp;LEFT(OFFSET(Tournament!$N$15,X$6,0),3)</f>
        <v>Gha vs USA</v>
      </c>
      <c r="Y8" s="7" t="str">
        <f ca="1">LEFT(OFFSET(Tournament!$H$15,Y$6,0),3)&amp;" vs "&amp;LEFT(OFFSET(Tournament!$N$15,Y$6,0),3)</f>
        <v>Bel vs Alg</v>
      </c>
      <c r="Z8" s="7" t="str">
        <f ca="1">LEFT(OFFSET(Tournament!$H$15,Z$6,0),3)&amp;" vs "&amp;LEFT(OFFSET(Tournament!$N$15,Z$6,0),3)</f>
        <v>Rus vs Sou</v>
      </c>
      <c r="AA8" s="7" t="str">
        <f ca="1">LEFT(OFFSET(Tournament!$H$15,AA$6,0),3)&amp;" vs "&amp;LEFT(OFFSET(Tournament!$N$15,AA$6,0),3)</f>
        <v>Bra vs Mex</v>
      </c>
      <c r="AB8" s="7" t="str">
        <f ca="1">LEFT(OFFSET(Tournament!$H$15,AB$6,0),3)&amp;" vs "&amp;LEFT(OFFSET(Tournament!$N$15,AB$6,0),3)</f>
        <v>Cam vs Cro</v>
      </c>
      <c r="AC8" s="7" t="str">
        <f ca="1">LEFT(OFFSET(Tournament!$H$15,AC$6,0),3)&amp;" vs "&amp;LEFT(OFFSET(Tournament!$N$15,AC$6,0),3)</f>
        <v>Spa vs Chi</v>
      </c>
      <c r="AD8" s="7" t="str">
        <f ca="1">LEFT(OFFSET(Tournament!$H$15,AD$6,0),3)&amp;" vs "&amp;LEFT(OFFSET(Tournament!$N$15,AD$6,0),3)</f>
        <v>Aus vs Net</v>
      </c>
      <c r="AE8" s="7" t="str">
        <f ca="1">LEFT(OFFSET(Tournament!$H$15,AE$6,0),3)&amp;" vs "&amp;LEFT(OFFSET(Tournament!$N$15,AE$6,0),3)</f>
        <v>Col vs Ivo</v>
      </c>
      <c r="AF8" s="7" t="str">
        <f ca="1">LEFT(OFFSET(Tournament!$H$15,AF$6,0),3)&amp;" vs "&amp;LEFT(OFFSET(Tournament!$N$15,AF$6,0),3)</f>
        <v>Jap vs Gre</v>
      </c>
      <c r="AG8" s="7" t="str">
        <f ca="1">LEFT(OFFSET(Tournament!$H$15,AG$6,0),3)&amp;" vs "&amp;LEFT(OFFSET(Tournament!$N$15,AG$6,0),3)</f>
        <v>Uru vs Eng</v>
      </c>
      <c r="AH8" s="7" t="str">
        <f ca="1">LEFT(OFFSET(Tournament!$H$15,AH$6,0),3)&amp;" vs "&amp;LEFT(OFFSET(Tournament!$N$15,AH$6,0),3)</f>
        <v>Ita vs Cos</v>
      </c>
      <c r="AI8" s="7" t="str">
        <f ca="1">LEFT(OFFSET(Tournament!$H$15,AI$6,0),3)&amp;" vs "&amp;LEFT(OFFSET(Tournament!$N$15,AI$6,0),3)</f>
        <v>Swi vs Fra</v>
      </c>
      <c r="AJ8" s="7" t="str">
        <f ca="1">LEFT(OFFSET(Tournament!$H$15,AJ$6,0),3)&amp;" vs "&amp;LEFT(OFFSET(Tournament!$N$15,AJ$6,0),3)</f>
        <v>Hon vs Ecu</v>
      </c>
      <c r="AK8" s="7" t="str">
        <f ca="1">LEFT(OFFSET(Tournament!$H$15,AK$6,0),3)&amp;" vs "&amp;LEFT(OFFSET(Tournament!$N$15,AK$6,0),3)</f>
        <v>Arg vs Ira</v>
      </c>
      <c r="AL8" s="7" t="str">
        <f ca="1">LEFT(OFFSET(Tournament!$H$15,AL$6,0),3)&amp;" vs "&amp;LEFT(OFFSET(Tournament!$N$15,AL$6,0),3)</f>
        <v>Nig vs Bos</v>
      </c>
      <c r="AM8" s="7" t="str">
        <f ca="1">LEFT(OFFSET(Tournament!$H$15,AM$6,0),3)&amp;" vs "&amp;LEFT(OFFSET(Tournament!$N$15,AM$6,0),3)</f>
        <v>Ger vs Gha</v>
      </c>
      <c r="AN8" s="7" t="str">
        <f ca="1">LEFT(OFFSET(Tournament!$H$15,AN$6,0),3)&amp;" vs "&amp;LEFT(OFFSET(Tournament!$N$15,AN$6,0),3)</f>
        <v>USA vs Por</v>
      </c>
      <c r="AO8" s="7" t="str">
        <f ca="1">LEFT(OFFSET(Tournament!$H$15,AO$6,0),3)&amp;" vs "&amp;LEFT(OFFSET(Tournament!$N$15,AO$6,0),3)</f>
        <v>Bel vs Rus</v>
      </c>
      <c r="AP8" s="7" t="str">
        <f ca="1">LEFT(OFFSET(Tournament!$H$15,AP$6,0),3)&amp;" vs "&amp;LEFT(OFFSET(Tournament!$N$15,AP$6,0),3)</f>
        <v>Sou vs Alg</v>
      </c>
      <c r="AQ8" s="7" t="str">
        <f ca="1">LEFT(OFFSET(Tournament!$H$15,AQ$6,0),3)&amp;" vs "&amp;LEFT(OFFSET(Tournament!$N$15,AQ$6,0),3)</f>
        <v>Cam vs Bra</v>
      </c>
      <c r="AR8" s="7" t="str">
        <f ca="1">LEFT(OFFSET(Tournament!$H$15,AR$6,0),3)&amp;" vs "&amp;LEFT(OFFSET(Tournament!$N$15,AR$6,0),3)</f>
        <v>Cro vs Mex</v>
      </c>
      <c r="AS8" s="7" t="str">
        <f ca="1">LEFT(OFFSET(Tournament!$H$15,AS$6,0),3)&amp;" vs "&amp;LEFT(OFFSET(Tournament!$N$15,AS$6,0),3)</f>
        <v>Aus vs Spa</v>
      </c>
      <c r="AT8" s="7" t="str">
        <f ca="1">LEFT(OFFSET(Tournament!$H$15,AT$6,0),3)&amp;" vs "&amp;LEFT(OFFSET(Tournament!$N$15,AT$6,0),3)</f>
        <v>Net vs Chi</v>
      </c>
      <c r="AU8" s="7" t="str">
        <f ca="1">LEFT(OFFSET(Tournament!$H$15,AU$6,0),3)&amp;" vs "&amp;LEFT(OFFSET(Tournament!$N$15,AU$6,0),3)</f>
        <v>Jap vs Col</v>
      </c>
      <c r="AV8" s="7" t="str">
        <f ca="1">LEFT(OFFSET(Tournament!$H$15,AV$6,0),3)&amp;" vs "&amp;LEFT(OFFSET(Tournament!$N$15,AV$6,0),3)</f>
        <v>Gre vs Ivo</v>
      </c>
      <c r="AW8" s="7" t="str">
        <f ca="1">LEFT(OFFSET(Tournament!$H$15,AW$6,0),3)&amp;" vs "&amp;LEFT(OFFSET(Tournament!$N$15,AW$6,0),3)</f>
        <v>Ita vs Uru</v>
      </c>
      <c r="AX8" s="7" t="str">
        <f ca="1">LEFT(OFFSET(Tournament!$H$15,AX$6,0),3)&amp;" vs "&amp;LEFT(OFFSET(Tournament!$N$15,AX$6,0),3)</f>
        <v>Cos vs Eng</v>
      </c>
      <c r="AY8" s="7" t="str">
        <f ca="1">LEFT(OFFSET(Tournament!$H$15,AY$6,0),3)&amp;" vs "&amp;LEFT(OFFSET(Tournament!$N$15,AY$6,0),3)</f>
        <v>Hon vs Swi</v>
      </c>
      <c r="AZ8" s="7" t="str">
        <f ca="1">LEFT(OFFSET(Tournament!$H$15,AZ$6,0),3)&amp;" vs "&amp;LEFT(OFFSET(Tournament!$N$15,AZ$6,0),3)</f>
        <v>Ecu vs Fra</v>
      </c>
      <c r="BA8" s="7" t="str">
        <f ca="1">LEFT(OFFSET(Tournament!$H$15,BA$6,0),3)&amp;" vs "&amp;LEFT(OFFSET(Tournament!$N$15,BA$6,0),3)</f>
        <v>Nig vs Arg</v>
      </c>
      <c r="BB8" s="7" t="str">
        <f ca="1">LEFT(OFFSET(Tournament!$H$15,BB$6,0),3)&amp;" vs "&amp;LEFT(OFFSET(Tournament!$N$15,BB$6,0),3)</f>
        <v>Bos vs Ira</v>
      </c>
      <c r="BC8" s="7" t="str">
        <f ca="1">LEFT(OFFSET(Tournament!$H$15,BC$6,0),3)&amp;" vs "&amp;LEFT(OFFSET(Tournament!$N$15,BC$6,0),3)</f>
        <v>USA vs Ger</v>
      </c>
      <c r="BD8" s="7" t="str">
        <f ca="1">LEFT(OFFSET(Tournament!$H$15,BD$6,0),3)&amp;" vs "&amp;LEFT(OFFSET(Tournament!$N$15,BD$6,0),3)</f>
        <v>Por vs Gha</v>
      </c>
      <c r="BE8" s="7" t="str">
        <f ca="1">LEFT(OFFSET(Tournament!$H$15,BE$6,0),3)&amp;" vs "&amp;LEFT(OFFSET(Tournament!$N$15,BE$6,0),3)</f>
        <v>Sou vs Bel</v>
      </c>
      <c r="BF8" s="7" t="str">
        <f ca="1">LEFT(OFFSET(Tournament!$H$15,BF$6,0),3)&amp;" vs "&amp;LEFT(OFFSET(Tournament!$N$15,BF$6,0),3)</f>
        <v>Alg vs Rus</v>
      </c>
      <c r="BG8" s="18" t="str">
        <f ca="1">LEFT(OFFSET(Tournament!$H$68,1,0),3)&amp;" vs "&amp;LEFT(OFFSET(Tournament!$N$68,1,0),3)</f>
        <v>Gro vs Gro</v>
      </c>
      <c r="BH8" s="18" t="str">
        <f ca="1">LEFT(OFFSET(Tournament!$H$68,7,0),3)&amp;" vs "&amp;LEFT(OFFSET(Tournament!$N$68,7,0),3)</f>
        <v>Gro vs Gro</v>
      </c>
      <c r="BI8" s="18" t="str">
        <f ca="1">LEFT(OFFSET(Tournament!$H$68,13,0),3)&amp;" vs "&amp;LEFT(OFFSET(Tournament!$N$68,13,0),3)</f>
        <v>Gro vs Gro</v>
      </c>
      <c r="BJ8" s="18" t="str">
        <f ca="1">LEFT(OFFSET(Tournament!$H$68,19,0),3)&amp;" vs "&amp;LEFT(OFFSET(Tournament!$N$68,19,0),3)</f>
        <v>Gro vs Gro</v>
      </c>
      <c r="BK8" s="18" t="str">
        <f ca="1">LEFT(OFFSET(Tournament!$H$68,25,0),3)&amp;" vs "&amp;LEFT(OFFSET(Tournament!$N$68,25,0),3)</f>
        <v>Gro vs Gro</v>
      </c>
      <c r="BL8" s="18" t="str">
        <f ca="1">LEFT(OFFSET(Tournament!$H$68,31,0),3)&amp;" vs "&amp;LEFT(OFFSET(Tournament!$N$68,31,0),3)</f>
        <v>Gro vs Gro</v>
      </c>
      <c r="BM8" s="18" t="str">
        <f ca="1">LEFT(OFFSET(Tournament!$H$68,37,0),3)&amp;" vs "&amp;LEFT(OFFSET(Tournament!$N$68,37,0),3)</f>
        <v>Gro vs Gro</v>
      </c>
      <c r="BN8" s="18" t="str">
        <f ca="1">LEFT(OFFSET(Tournament!$H$68,43,0),3)&amp;" vs "&amp;LEFT(OFFSET(Tournament!$N$68,43,0),3)</f>
        <v>Gro vs Gro</v>
      </c>
      <c r="BO8" s="18" t="str">
        <f ca="1">LEFT(OFFSET(Tournament!$Y$68,1,0),3)&amp;" vs "&amp;LEFT(OFFSET(Tournament!$AE$68,1,0),3)</f>
        <v>Mat vs Mat</v>
      </c>
      <c r="BP8" s="18" t="str">
        <f ca="1">LEFT(OFFSET(Tournament!$Y$68,6,0),3)&amp;" vs "&amp;LEFT(OFFSET(Tournament!$AE$68,6,0),3)</f>
        <v>Mat vs Mat</v>
      </c>
      <c r="BQ8" s="18" t="str">
        <f ca="1">LEFT(OFFSET(Tournament!$Y$68,11,0),3)&amp;" vs "&amp;LEFT(OFFSET(Tournament!$AE$68,11,0),3)</f>
        <v>Mat vs Mat</v>
      </c>
      <c r="BR8" s="18" t="str">
        <f ca="1">LEFT(OFFSET(Tournament!$Y$68,16,0),3)&amp;" vs "&amp;LEFT(OFFSET(Tournament!$AE$68,16,0),3)</f>
        <v>Mat vs Mat</v>
      </c>
      <c r="BS8" s="18" t="str">
        <f ca="1">LEFT(OFFSET(Tournament!$Y$91,1,0),3)&amp;" vs "&amp;LEFT(OFFSET(Tournament!$AE$91,1,0),3)</f>
        <v>Mat vs Mat</v>
      </c>
      <c r="BT8" s="18" t="str">
        <f ca="1">LEFT(OFFSET(Tournament!$Y$91,6,0),3)&amp;" vs "&amp;LEFT(OFFSET(Tournament!$AE$91,6,0),3)</f>
        <v>Mat vs Mat</v>
      </c>
      <c r="BU8" s="18" t="str">
        <f ca="1">LEFT(OFFSET(Tournament!$Y$104,1,0),3)&amp;" vs "&amp;LEFT(OFFSET(Tournament!$AE$104,1,0),3)</f>
        <v>Mat vs Mat</v>
      </c>
      <c r="BV8" s="18" t="str">
        <f ca="1">LEFT(OFFSET(Tournament!$Y$112,1,0),3)&amp;" vs "&amp;LEFT(OFFSET(Tournament!$AE$112,1,0),3)</f>
        <v>Mat vs Mat</v>
      </c>
    </row>
    <row r="9" spans="1:74" ht="15" customHeight="1">
      <c r="A9" s="270"/>
      <c r="B9" s="52"/>
      <c r="C9" s="270"/>
      <c r="D9" s="270"/>
      <c r="E9" s="269"/>
      <c r="F9" s="269"/>
      <c r="G9" s="269"/>
      <c r="H9" s="269"/>
      <c r="I9" s="269"/>
      <c r="J9" s="8" t="s">
        <v>3556</v>
      </c>
      <c r="K9" s="7" t="str">
        <f ca="1">LEFT(OFFSET(Tournament!$J$15,K$6,0),3)&amp;" - "&amp;LEFT(OFFSET(Tournament!$L$15,K$6,0),3)</f>
        <v>3 - 1</v>
      </c>
      <c r="L9" s="7" t="str">
        <f ca="1">LEFT(OFFSET(Tournament!$J$15,L$6,0),3)&amp;" - "&amp;LEFT(OFFSET(Tournament!$L$15,L$6,0),3)</f>
        <v>1 - 0</v>
      </c>
      <c r="M9" s="7" t="str">
        <f ca="1">LEFT(OFFSET(Tournament!$J$15,M$6,0),3)&amp;" - "&amp;LEFT(OFFSET(Tournament!$L$15,M$6,0),3)</f>
        <v>1 - 5</v>
      </c>
      <c r="N9" s="7" t="str">
        <f ca="1">LEFT(OFFSET(Tournament!$J$15,N$6,0),3)&amp;" - "&amp;LEFT(OFFSET(Tournament!$L$15,N$6,0),3)</f>
        <v>3 - 1</v>
      </c>
      <c r="O9" s="7" t="str">
        <f ca="1">LEFT(OFFSET(Tournament!$J$15,O$6,0),3)&amp;" - "&amp;LEFT(OFFSET(Tournament!$L$15,O$6,0),3)</f>
        <v xml:space="preserve"> - </v>
      </c>
      <c r="P9" s="7" t="str">
        <f ca="1">LEFT(OFFSET(Tournament!$J$15,P$6,0),3)&amp;" - "&amp;LEFT(OFFSET(Tournament!$L$15,P$6,0),3)</f>
        <v xml:space="preserve"> - </v>
      </c>
      <c r="Q9" s="7" t="str">
        <f ca="1">LEFT(OFFSET(Tournament!$J$15,Q$6,0),3)&amp;" - "&amp;LEFT(OFFSET(Tournament!$L$15,Q$6,0),3)</f>
        <v xml:space="preserve"> - </v>
      </c>
      <c r="R9" s="7" t="str">
        <f ca="1">LEFT(OFFSET(Tournament!$J$15,R$6,0),3)&amp;" - "&amp;LEFT(OFFSET(Tournament!$L$15,R$6,0),3)</f>
        <v xml:space="preserve"> - </v>
      </c>
      <c r="S9" s="7" t="str">
        <f ca="1">LEFT(OFFSET(Tournament!$J$15,S$6,0),3)&amp;" - "&amp;LEFT(OFFSET(Tournament!$L$15,S$6,0),3)</f>
        <v xml:space="preserve"> - </v>
      </c>
      <c r="T9" s="7" t="str">
        <f ca="1">LEFT(OFFSET(Tournament!$J$15,T$6,0),3)&amp;" - "&amp;LEFT(OFFSET(Tournament!$L$15,T$6,0),3)</f>
        <v xml:space="preserve"> - </v>
      </c>
      <c r="U9" s="7" t="str">
        <f ca="1">LEFT(OFFSET(Tournament!$J$15,U$6,0),3)&amp;" - "&amp;LEFT(OFFSET(Tournament!$L$15,U$6,0),3)</f>
        <v xml:space="preserve"> - </v>
      </c>
      <c r="V9" s="7" t="str">
        <f ca="1">LEFT(OFFSET(Tournament!$J$15,V$6,0),3)&amp;" - "&amp;LEFT(OFFSET(Tournament!$L$15,V$6,0),3)</f>
        <v xml:space="preserve"> - </v>
      </c>
      <c r="W9" s="7" t="str">
        <f ca="1">LEFT(OFFSET(Tournament!$J$15,W$6,0),3)&amp;" - "&amp;LEFT(OFFSET(Tournament!$L$15,W$6,0),3)</f>
        <v xml:space="preserve"> - </v>
      </c>
      <c r="X9" s="7" t="str">
        <f ca="1">LEFT(OFFSET(Tournament!$J$15,X$6,0),3)&amp;" - "&amp;LEFT(OFFSET(Tournament!$L$15,X$6,0),3)</f>
        <v xml:space="preserve"> - </v>
      </c>
      <c r="Y9" s="7" t="str">
        <f ca="1">LEFT(OFFSET(Tournament!$J$15,Y$6,0),3)&amp;" - "&amp;LEFT(OFFSET(Tournament!$L$15,Y$6,0),3)</f>
        <v xml:space="preserve"> - </v>
      </c>
      <c r="Z9" s="7" t="str">
        <f ca="1">LEFT(OFFSET(Tournament!$J$15,Z$6,0),3)&amp;" - "&amp;LEFT(OFFSET(Tournament!$L$15,Z$6,0),3)</f>
        <v xml:space="preserve"> - </v>
      </c>
      <c r="AA9" s="7" t="str">
        <f ca="1">LEFT(OFFSET(Tournament!$J$15,AA$6,0),3)&amp;" - "&amp;LEFT(OFFSET(Tournament!$L$15,AA$6,0),3)</f>
        <v xml:space="preserve"> - </v>
      </c>
      <c r="AB9" s="7" t="str">
        <f ca="1">LEFT(OFFSET(Tournament!$J$15,AB$6,0),3)&amp;" - "&amp;LEFT(OFFSET(Tournament!$L$15,AB$6,0),3)</f>
        <v xml:space="preserve"> - </v>
      </c>
      <c r="AC9" s="7" t="str">
        <f ca="1">LEFT(OFFSET(Tournament!$J$15,AC$6,0),3)&amp;" - "&amp;LEFT(OFFSET(Tournament!$L$15,AC$6,0),3)</f>
        <v xml:space="preserve"> - </v>
      </c>
      <c r="AD9" s="7" t="str">
        <f ca="1">LEFT(OFFSET(Tournament!$J$15,AD$6,0),3)&amp;" - "&amp;LEFT(OFFSET(Tournament!$L$15,AD$6,0),3)</f>
        <v xml:space="preserve"> - </v>
      </c>
      <c r="AE9" s="7" t="str">
        <f ca="1">LEFT(OFFSET(Tournament!$J$15,AE$6,0),3)&amp;" - "&amp;LEFT(OFFSET(Tournament!$L$15,AE$6,0),3)</f>
        <v xml:space="preserve"> - </v>
      </c>
      <c r="AF9" s="7" t="str">
        <f ca="1">LEFT(OFFSET(Tournament!$J$15,AF$6,0),3)&amp;" - "&amp;LEFT(OFFSET(Tournament!$L$15,AF$6,0),3)</f>
        <v xml:space="preserve"> - </v>
      </c>
      <c r="AG9" s="7" t="str">
        <f ca="1">LEFT(OFFSET(Tournament!$J$15,AG$6,0),3)&amp;" - "&amp;LEFT(OFFSET(Tournament!$L$15,AG$6,0),3)</f>
        <v xml:space="preserve"> - </v>
      </c>
      <c r="AH9" s="7" t="str">
        <f ca="1">LEFT(OFFSET(Tournament!$J$15,AH$6,0),3)&amp;" - "&amp;LEFT(OFFSET(Tournament!$L$15,AH$6,0),3)</f>
        <v xml:space="preserve"> - </v>
      </c>
      <c r="AI9" s="7" t="str">
        <f ca="1">LEFT(OFFSET(Tournament!$J$15,AI$6,0),3)&amp;" - "&amp;LEFT(OFFSET(Tournament!$L$15,AI$6,0),3)</f>
        <v xml:space="preserve"> - </v>
      </c>
      <c r="AJ9" s="7" t="str">
        <f ca="1">LEFT(OFFSET(Tournament!$J$15,AJ$6,0),3)&amp;" - "&amp;LEFT(OFFSET(Tournament!$L$15,AJ$6,0),3)</f>
        <v xml:space="preserve"> - </v>
      </c>
      <c r="AK9" s="7" t="str">
        <f ca="1">LEFT(OFFSET(Tournament!$J$15,AK$6,0),3)&amp;" - "&amp;LEFT(OFFSET(Tournament!$L$15,AK$6,0),3)</f>
        <v xml:space="preserve"> - </v>
      </c>
      <c r="AL9" s="7" t="str">
        <f ca="1">LEFT(OFFSET(Tournament!$J$15,AL$6,0),3)&amp;" - "&amp;LEFT(OFFSET(Tournament!$L$15,AL$6,0),3)</f>
        <v xml:space="preserve"> - </v>
      </c>
      <c r="AM9" s="7" t="str">
        <f ca="1">LEFT(OFFSET(Tournament!$J$15,AM$6,0),3)&amp;" - "&amp;LEFT(OFFSET(Tournament!$L$15,AM$6,0),3)</f>
        <v xml:space="preserve"> - </v>
      </c>
      <c r="AN9" s="7" t="str">
        <f ca="1">LEFT(OFFSET(Tournament!$J$15,AN$6,0),3)&amp;" - "&amp;LEFT(OFFSET(Tournament!$L$15,AN$6,0),3)</f>
        <v xml:space="preserve"> - </v>
      </c>
      <c r="AO9" s="7" t="str">
        <f ca="1">LEFT(OFFSET(Tournament!$J$15,AO$6,0),3)&amp;" - "&amp;LEFT(OFFSET(Tournament!$L$15,AO$6,0),3)</f>
        <v xml:space="preserve"> - </v>
      </c>
      <c r="AP9" s="7" t="str">
        <f ca="1">LEFT(OFFSET(Tournament!$J$15,AP$6,0),3)&amp;" - "&amp;LEFT(OFFSET(Tournament!$L$15,AP$6,0),3)</f>
        <v xml:space="preserve"> - </v>
      </c>
      <c r="AQ9" s="7" t="str">
        <f ca="1">LEFT(OFFSET(Tournament!$J$15,AQ$6,0),3)&amp;" - "&amp;LEFT(OFFSET(Tournament!$L$15,AQ$6,0),3)</f>
        <v xml:space="preserve"> - </v>
      </c>
      <c r="AR9" s="7" t="str">
        <f ca="1">LEFT(OFFSET(Tournament!$J$15,AR$6,0),3)&amp;" - "&amp;LEFT(OFFSET(Tournament!$L$15,AR$6,0),3)</f>
        <v xml:space="preserve"> - </v>
      </c>
      <c r="AS9" s="7" t="str">
        <f ca="1">LEFT(OFFSET(Tournament!$J$15,AS$6,0),3)&amp;" - "&amp;LEFT(OFFSET(Tournament!$L$15,AS$6,0),3)</f>
        <v xml:space="preserve"> - </v>
      </c>
      <c r="AT9" s="7" t="str">
        <f ca="1">LEFT(OFFSET(Tournament!$J$15,AT$6,0),3)&amp;" - "&amp;LEFT(OFFSET(Tournament!$L$15,AT$6,0),3)</f>
        <v xml:space="preserve"> - </v>
      </c>
      <c r="AU9" s="7" t="str">
        <f ca="1">LEFT(OFFSET(Tournament!$J$15,AU$6,0),3)&amp;" - "&amp;LEFT(OFFSET(Tournament!$L$15,AU$6,0),3)</f>
        <v xml:space="preserve"> - </v>
      </c>
      <c r="AV9" s="7" t="str">
        <f ca="1">LEFT(OFFSET(Tournament!$J$15,AV$6,0),3)&amp;" - "&amp;LEFT(OFFSET(Tournament!$L$15,AV$6,0),3)</f>
        <v xml:space="preserve"> - </v>
      </c>
      <c r="AW9" s="7" t="str">
        <f ca="1">LEFT(OFFSET(Tournament!$J$15,AW$6,0),3)&amp;" - "&amp;LEFT(OFFSET(Tournament!$L$15,AW$6,0),3)</f>
        <v xml:space="preserve"> - </v>
      </c>
      <c r="AX9" s="7" t="str">
        <f ca="1">LEFT(OFFSET(Tournament!$J$15,AX$6,0),3)&amp;" - "&amp;LEFT(OFFSET(Tournament!$L$15,AX$6,0),3)</f>
        <v xml:space="preserve"> - </v>
      </c>
      <c r="AY9" s="7" t="str">
        <f ca="1">LEFT(OFFSET(Tournament!$J$15,AY$6,0),3)&amp;" - "&amp;LEFT(OFFSET(Tournament!$L$15,AY$6,0),3)</f>
        <v xml:space="preserve"> - </v>
      </c>
      <c r="AZ9" s="7" t="str">
        <f ca="1">LEFT(OFFSET(Tournament!$J$15,AZ$6,0),3)&amp;" - "&amp;LEFT(OFFSET(Tournament!$L$15,AZ$6,0),3)</f>
        <v xml:space="preserve"> - </v>
      </c>
      <c r="BA9" s="7" t="str">
        <f ca="1">LEFT(OFFSET(Tournament!$J$15,BA$6,0),3)&amp;" - "&amp;LEFT(OFFSET(Tournament!$L$15,BA$6,0),3)</f>
        <v xml:space="preserve"> - </v>
      </c>
      <c r="BB9" s="7" t="str">
        <f ca="1">LEFT(OFFSET(Tournament!$J$15,BB$6,0),3)&amp;" - "&amp;LEFT(OFFSET(Tournament!$L$15,BB$6,0),3)</f>
        <v xml:space="preserve"> - </v>
      </c>
      <c r="BC9" s="7" t="str">
        <f ca="1">LEFT(OFFSET(Tournament!$J$15,BC$6,0),3)&amp;" - "&amp;LEFT(OFFSET(Tournament!$L$15,BC$6,0),3)</f>
        <v xml:space="preserve"> - </v>
      </c>
      <c r="BD9" s="7" t="str">
        <f ca="1">LEFT(OFFSET(Tournament!$J$15,BD$6,0),3)&amp;" - "&amp;LEFT(OFFSET(Tournament!$L$15,BD$6,0),3)</f>
        <v xml:space="preserve"> - </v>
      </c>
      <c r="BE9" s="7" t="str">
        <f ca="1">LEFT(OFFSET(Tournament!$J$15,BE$6,0),3)&amp;" - "&amp;LEFT(OFFSET(Tournament!$L$15,BE$6,0),3)</f>
        <v xml:space="preserve"> - </v>
      </c>
      <c r="BF9" s="7" t="str">
        <f ca="1">LEFT(OFFSET(Tournament!$J$15,BF$6,0),3)&amp;" - "&amp;LEFT(OFFSET(Tournament!$L$15,BF$6,0),3)</f>
        <v xml:space="preserve"> - </v>
      </c>
      <c r="BG9" s="18" t="str">
        <f ca="1">LEFT(OFFSET(Player!$R$65,BG$6-48,0),3)&amp;" - "&amp;LEFT(OFFSET(Player!$T$65,BG$6-48,0),3)</f>
        <v xml:space="preserve"> - </v>
      </c>
      <c r="BH9" s="18" t="str">
        <f ca="1">LEFT(OFFSET(Player!$R$65,BH$6-48,0),3)&amp;" - "&amp;LEFT(OFFSET(Player!$T$65,BH$6-48,0),3)</f>
        <v xml:space="preserve"> - </v>
      </c>
      <c r="BI9" s="18" t="str">
        <f ca="1">LEFT(OFFSET(Player!$R$65,BI$6-48,0),3)&amp;" - "&amp;LEFT(OFFSET(Player!$T$65,BI$6-48,0),3)</f>
        <v xml:space="preserve"> - </v>
      </c>
      <c r="BJ9" s="18" t="str">
        <f ca="1">LEFT(OFFSET(Player!$R$65,BJ$6-48,0),3)&amp;" - "&amp;LEFT(OFFSET(Player!$T$65,BJ$6-48,0),3)</f>
        <v xml:space="preserve"> - </v>
      </c>
      <c r="BK9" s="18" t="str">
        <f ca="1">LEFT(OFFSET(Player!$R$65,BK$6-48,0),3)&amp;" - "&amp;LEFT(OFFSET(Player!$T$65,BK$6-48,0),3)</f>
        <v xml:space="preserve"> - </v>
      </c>
      <c r="BL9" s="18" t="str">
        <f ca="1">LEFT(OFFSET(Player!$R$65,BL$6-48,0),3)&amp;" - "&amp;LEFT(OFFSET(Player!$T$65,BL$6-48,0),3)</f>
        <v xml:space="preserve"> - </v>
      </c>
      <c r="BM9" s="18" t="str">
        <f ca="1">LEFT(OFFSET(Player!$R$65,BM$6-48,0),3)&amp;" - "&amp;LEFT(OFFSET(Player!$T$65,BM$6-48,0),3)</f>
        <v xml:space="preserve"> - </v>
      </c>
      <c r="BN9" s="18" t="str">
        <f ca="1">LEFT(OFFSET(Player!$R$65,BN$6-48,0),3)&amp;" - "&amp;LEFT(OFFSET(Player!$T$65,BN$6-48,0),3)</f>
        <v xml:space="preserve"> - </v>
      </c>
      <c r="BO9" s="18" t="str">
        <f ca="1">LEFT(OFFSET(Player!$R$65,BO$6-48,0),3)&amp;" - "&amp;LEFT(OFFSET(Player!$T$65,BO$6-48,0),3)</f>
        <v xml:space="preserve"> - </v>
      </c>
      <c r="BP9" s="18" t="str">
        <f ca="1">LEFT(OFFSET(Player!$R$65,BP$6-48,0),3)&amp;" - "&amp;LEFT(OFFSET(Player!$T$65,BP$6-48,0),3)</f>
        <v xml:space="preserve"> - </v>
      </c>
      <c r="BQ9" s="18" t="str">
        <f ca="1">LEFT(OFFSET(Player!$R$65,BQ$6-48,0),3)&amp;" - "&amp;LEFT(OFFSET(Player!$T$65,BQ$6-48,0),3)</f>
        <v xml:space="preserve"> - </v>
      </c>
      <c r="BR9" s="18" t="str">
        <f ca="1">LEFT(OFFSET(Player!$R$65,BR$6-48,0),3)&amp;" - "&amp;LEFT(OFFSET(Player!$T$65,BR$6-48,0),3)</f>
        <v xml:space="preserve"> - </v>
      </c>
      <c r="BS9" s="18" t="str">
        <f ca="1">LEFT(OFFSET(Player!$R$65,BS$6-48,0),3)&amp;" - "&amp;LEFT(OFFSET(Player!$T$65,BS$6-48,0),3)</f>
        <v xml:space="preserve"> - </v>
      </c>
      <c r="BT9" s="18" t="str">
        <f ca="1">LEFT(OFFSET(Player!$R$65,BT$6-48,0),3)&amp;" - "&amp;LEFT(OFFSET(Player!$T$65,BT$6-48,0),3)</f>
        <v xml:space="preserve"> - </v>
      </c>
      <c r="BU9" s="18" t="str">
        <f ca="1">LEFT(OFFSET(Player!$R$65,BU$6-48,0),3)&amp;" - "&amp;LEFT(OFFSET(Player!$T$65,BU$6-48,0),3)</f>
        <v xml:space="preserve"> - </v>
      </c>
      <c r="BV9" s="18" t="str">
        <f ca="1">LEFT(OFFSET(Player!$R$65,BV$6-48,0),3)&amp;" - "&amp;LEFT(OFFSET(Player!$T$65,BV$6-48,0),3)</f>
        <v xml:space="preserve"> - </v>
      </c>
    </row>
    <row r="10" spans="1:74" ht="15" customHeight="1">
      <c r="A10" s="12">
        <f>IF('Player Scoreboard'!A10&lt;&gt;"",'Player Scoreboard'!A10,"")</f>
        <v>1</v>
      </c>
      <c r="B10" s="45" t="s">
        <v>3524</v>
      </c>
      <c r="C10" s="46" t="str">
        <f>IF('Player Name'!C6&lt;&gt;"",'Player Name'!C6,"")</f>
        <v>John 1</v>
      </c>
      <c r="D10" s="25">
        <f ca="1">IF($C10&lt;&gt;"",'Player Scoreboard'!D10,"")</f>
        <v>0</v>
      </c>
      <c r="E10" s="25">
        <f ca="1">IF($C10&lt;&gt;"",'Player Scoreboard'!E10,"")</f>
        <v>0</v>
      </c>
      <c r="F10" s="25">
        <f ca="1">IF($C10&lt;&gt;"",'Player Scoreboard'!F10,"")</f>
        <v>0</v>
      </c>
      <c r="G10" s="25">
        <f ca="1">IF($C10&lt;&gt;"",'Player Scoreboard'!G10,"")</f>
        <v>0</v>
      </c>
      <c r="H10" s="25">
        <f ca="1">IF($C10&lt;&gt;"",'Player Scoreboard'!H10,"")</f>
        <v>0</v>
      </c>
      <c r="I10" s="25">
        <f ca="1">IF($C10&lt;&gt;"",'Player Scoreboard'!I10,"")</f>
        <v>0</v>
      </c>
      <c r="J10" s="47" t="str">
        <f>HYPERLINK("["&amp;Setup!$C$5&amp;"]'"&amp;B10&amp;"'!D4","Update score")</f>
        <v>Update score</v>
      </c>
      <c r="K10" s="48" t="str">
        <f ca="1">IF($C10&lt;&gt;"",INDIRECT("'"&amp;$B10&amp;"'!"&amp;"$i"&amp;K$6+14)&amp;" - "&amp;INDIRECT("'"&amp;$B10&amp;"'!"&amp;"$k"&amp;K$6+14),"")</f>
        <v xml:space="preserve"> - </v>
      </c>
      <c r="L10" s="48" t="str">
        <f t="shared" ref="L10:AA24" ca="1" si="3">IF($C10&lt;&gt;"",INDIRECT("'"&amp;$B10&amp;"'!"&amp;"$i"&amp;L$6+14)&amp;" - "&amp;INDIRECT("'"&amp;$B10&amp;"'!"&amp;"$k"&amp;L$6+14),"")</f>
        <v xml:space="preserve"> - </v>
      </c>
      <c r="M10" s="48" t="str">
        <f t="shared" ca="1" si="3"/>
        <v xml:space="preserve"> - </v>
      </c>
      <c r="N10" s="48" t="str">
        <f t="shared" ca="1" si="3"/>
        <v xml:space="preserve"> - </v>
      </c>
      <c r="O10" s="48" t="str">
        <f t="shared" ca="1" si="3"/>
        <v xml:space="preserve"> - </v>
      </c>
      <c r="P10" s="48" t="str">
        <f t="shared" ca="1" si="3"/>
        <v xml:space="preserve"> - </v>
      </c>
      <c r="Q10" s="48" t="str">
        <f t="shared" ca="1" si="3"/>
        <v xml:space="preserve"> - </v>
      </c>
      <c r="R10" s="48" t="str">
        <f t="shared" ca="1" si="3"/>
        <v xml:space="preserve"> - </v>
      </c>
      <c r="S10" s="48" t="str">
        <f t="shared" ca="1" si="3"/>
        <v xml:space="preserve"> - </v>
      </c>
      <c r="T10" s="48" t="str">
        <f t="shared" ca="1" si="3"/>
        <v xml:space="preserve"> - </v>
      </c>
      <c r="U10" s="48" t="str">
        <f t="shared" ca="1" si="3"/>
        <v xml:space="preserve"> - </v>
      </c>
      <c r="V10" s="48" t="str">
        <f t="shared" ca="1" si="3"/>
        <v xml:space="preserve"> - </v>
      </c>
      <c r="W10" s="48" t="str">
        <f t="shared" ca="1" si="3"/>
        <v xml:space="preserve"> - </v>
      </c>
      <c r="X10" s="48" t="str">
        <f t="shared" ca="1" si="3"/>
        <v xml:space="preserve"> - </v>
      </c>
      <c r="Y10" s="48" t="str">
        <f t="shared" ca="1" si="3"/>
        <v xml:space="preserve"> - </v>
      </c>
      <c r="Z10" s="48" t="str">
        <f t="shared" ca="1" si="3"/>
        <v xml:space="preserve"> - </v>
      </c>
      <c r="AA10" s="48" t="str">
        <f t="shared" ca="1" si="3"/>
        <v xml:space="preserve"> - </v>
      </c>
      <c r="AB10" s="48" t="str">
        <f t="shared" ref="AB10:AQ24" ca="1" si="4">IF($C10&lt;&gt;"",INDIRECT("'"&amp;$B10&amp;"'!"&amp;"$i"&amp;AB$6+14)&amp;" - "&amp;INDIRECT("'"&amp;$B10&amp;"'!"&amp;"$k"&amp;AB$6+14),"")</f>
        <v xml:space="preserve"> - </v>
      </c>
      <c r="AC10" s="48" t="str">
        <f t="shared" ca="1" si="4"/>
        <v xml:space="preserve"> - </v>
      </c>
      <c r="AD10" s="48" t="str">
        <f t="shared" ca="1" si="4"/>
        <v xml:space="preserve"> - </v>
      </c>
      <c r="AE10" s="48" t="str">
        <f t="shared" ca="1" si="4"/>
        <v xml:space="preserve"> - </v>
      </c>
      <c r="AF10" s="48" t="str">
        <f t="shared" ca="1" si="4"/>
        <v xml:space="preserve"> - </v>
      </c>
      <c r="AG10" s="48" t="str">
        <f t="shared" ca="1" si="4"/>
        <v xml:space="preserve"> - </v>
      </c>
      <c r="AH10" s="48" t="str">
        <f t="shared" ca="1" si="4"/>
        <v xml:space="preserve"> - </v>
      </c>
      <c r="AI10" s="48" t="str">
        <f t="shared" ca="1" si="4"/>
        <v xml:space="preserve"> - </v>
      </c>
      <c r="AJ10" s="48" t="str">
        <f t="shared" ca="1" si="4"/>
        <v xml:space="preserve"> - </v>
      </c>
      <c r="AK10" s="48" t="str">
        <f t="shared" ca="1" si="4"/>
        <v xml:space="preserve"> - </v>
      </c>
      <c r="AL10" s="48" t="str">
        <f t="shared" ca="1" si="4"/>
        <v xml:space="preserve"> - </v>
      </c>
      <c r="AM10" s="48" t="str">
        <f t="shared" ca="1" si="4"/>
        <v xml:space="preserve"> - </v>
      </c>
      <c r="AN10" s="48" t="str">
        <f t="shared" ca="1" si="4"/>
        <v xml:space="preserve"> - </v>
      </c>
      <c r="AO10" s="48" t="str">
        <f t="shared" ca="1" si="4"/>
        <v xml:space="preserve"> - </v>
      </c>
      <c r="AP10" s="48" t="str">
        <f t="shared" ca="1" si="4"/>
        <v xml:space="preserve"> - </v>
      </c>
      <c r="AQ10" s="48" t="str">
        <f t="shared" ca="1" si="4"/>
        <v xml:space="preserve"> - </v>
      </c>
      <c r="AR10" s="48" t="str">
        <f t="shared" ref="AR10:BF24" ca="1" si="5">IF($C10&lt;&gt;"",INDIRECT("'"&amp;$B10&amp;"'!"&amp;"$i"&amp;AR$6+14)&amp;" - "&amp;INDIRECT("'"&amp;$B10&amp;"'!"&amp;"$k"&amp;AR$6+14),"")</f>
        <v xml:space="preserve"> - </v>
      </c>
      <c r="AS10" s="48" t="str">
        <f t="shared" ca="1" si="5"/>
        <v xml:space="preserve"> - </v>
      </c>
      <c r="AT10" s="48" t="str">
        <f t="shared" ca="1" si="5"/>
        <v xml:space="preserve"> - </v>
      </c>
      <c r="AU10" s="48" t="str">
        <f t="shared" ca="1" si="5"/>
        <v xml:space="preserve"> - </v>
      </c>
      <c r="AV10" s="48" t="str">
        <f t="shared" ca="1" si="5"/>
        <v xml:space="preserve"> - </v>
      </c>
      <c r="AW10" s="48" t="str">
        <f t="shared" ca="1" si="5"/>
        <v xml:space="preserve"> - </v>
      </c>
      <c r="AX10" s="48" t="str">
        <f t="shared" ca="1" si="5"/>
        <v xml:space="preserve"> - </v>
      </c>
      <c r="AY10" s="48" t="str">
        <f t="shared" ca="1" si="5"/>
        <v xml:space="preserve"> - </v>
      </c>
      <c r="AZ10" s="48" t="str">
        <f t="shared" ca="1" si="5"/>
        <v xml:space="preserve"> - </v>
      </c>
      <c r="BA10" s="48" t="str">
        <f t="shared" ca="1" si="5"/>
        <v xml:space="preserve"> - </v>
      </c>
      <c r="BB10" s="48" t="str">
        <f t="shared" ca="1" si="5"/>
        <v xml:space="preserve"> - </v>
      </c>
      <c r="BC10" s="48" t="str">
        <f t="shared" ca="1" si="5"/>
        <v xml:space="preserve"> - </v>
      </c>
      <c r="BD10" s="48" t="str">
        <f t="shared" ca="1" si="5"/>
        <v xml:space="preserve"> - </v>
      </c>
      <c r="BE10" s="48" t="str">
        <f t="shared" ca="1" si="5"/>
        <v xml:space="preserve"> - </v>
      </c>
      <c r="BF10" s="48" t="str">
        <f t="shared" ca="1" si="5"/>
        <v xml:space="preserve"> - </v>
      </c>
      <c r="BG10" s="48" t="str">
        <f ca="1">IF($C10&lt;&gt;"",INDIRECT("'"&amp;$B10&amp;"'!"&amp;"$i"&amp;BG$6+17)&amp;" - "&amp;INDIRECT("'"&amp;$B10&amp;"'!"&amp;"$k"&amp;BG$6+17),"")</f>
        <v xml:space="preserve"> - </v>
      </c>
      <c r="BH10" s="48" t="str">
        <f t="shared" ref="BH10:BV24" ca="1" si="6">IF($C10&lt;&gt;"",INDIRECT("'"&amp;$B10&amp;"'!"&amp;"$i"&amp;BH$6+17)&amp;" - "&amp;INDIRECT("'"&amp;$B10&amp;"'!"&amp;"$k"&amp;BH$6+17),"")</f>
        <v xml:space="preserve"> - </v>
      </c>
      <c r="BI10" s="48" t="str">
        <f t="shared" ca="1" si="6"/>
        <v xml:space="preserve"> - </v>
      </c>
      <c r="BJ10" s="48" t="str">
        <f t="shared" ca="1" si="6"/>
        <v xml:space="preserve"> - </v>
      </c>
      <c r="BK10" s="48" t="str">
        <f t="shared" ca="1" si="6"/>
        <v xml:space="preserve"> - </v>
      </c>
      <c r="BL10" s="48" t="str">
        <f t="shared" ca="1" si="6"/>
        <v xml:space="preserve"> - </v>
      </c>
      <c r="BM10" s="48" t="str">
        <f t="shared" ca="1" si="6"/>
        <v xml:space="preserve"> - </v>
      </c>
      <c r="BN10" s="48" t="str">
        <f t="shared" ca="1" si="6"/>
        <v xml:space="preserve"> - </v>
      </c>
      <c r="BO10" s="48" t="str">
        <f t="shared" ca="1" si="6"/>
        <v xml:space="preserve"> - </v>
      </c>
      <c r="BP10" s="48" t="str">
        <f t="shared" ca="1" si="6"/>
        <v xml:space="preserve"> - </v>
      </c>
      <c r="BQ10" s="48" t="str">
        <f t="shared" ca="1" si="6"/>
        <v xml:space="preserve"> - </v>
      </c>
      <c r="BR10" s="48" t="str">
        <f t="shared" ca="1" si="6"/>
        <v xml:space="preserve"> - </v>
      </c>
      <c r="BS10" s="48" t="str">
        <f t="shared" ca="1" si="6"/>
        <v xml:space="preserve"> - </v>
      </c>
      <c r="BT10" s="48" t="str">
        <f t="shared" ca="1" si="6"/>
        <v xml:space="preserve"> - </v>
      </c>
      <c r="BU10" s="48" t="str">
        <f t="shared" ca="1" si="6"/>
        <v xml:space="preserve"> - </v>
      </c>
      <c r="BV10" s="48" t="str">
        <f t="shared" ca="1" si="6"/>
        <v xml:space="preserve"> - </v>
      </c>
    </row>
    <row r="11" spans="1:74" ht="15" customHeight="1">
      <c r="A11" s="14">
        <f>IF('Player Scoreboard'!A11&lt;&gt;"",'Player Scoreboard'!A11,"")</f>
        <v>2</v>
      </c>
      <c r="B11" s="45" t="s">
        <v>3890</v>
      </c>
      <c r="C11" s="49" t="str">
        <f>IF('Player Name'!C7&lt;&gt;"",'Player Name'!C7,"")</f>
        <v>John 2</v>
      </c>
      <c r="D11" s="26">
        <f ca="1">IF($C11&lt;&gt;"",'Player Scoreboard'!D11,"")</f>
        <v>0</v>
      </c>
      <c r="E11" s="14">
        <f ca="1">IF($C11&lt;&gt;"",'Player Scoreboard'!E11,"")</f>
        <v>0</v>
      </c>
      <c r="F11" s="26">
        <f ca="1">IF($C11&lt;&gt;"",'Player Scoreboard'!F11,"")</f>
        <v>0</v>
      </c>
      <c r="G11" s="26">
        <f ca="1">IF($C11&lt;&gt;"",'Player Scoreboard'!G11,"")</f>
        <v>0</v>
      </c>
      <c r="H11" s="26">
        <f ca="1">IF($C11&lt;&gt;"",'Player Scoreboard'!H11,"")</f>
        <v>0</v>
      </c>
      <c r="I11" s="26">
        <f ca="1">IF($C11&lt;&gt;"",'Player Scoreboard'!I11,"")</f>
        <v>0</v>
      </c>
      <c r="J11" s="50" t="str">
        <f>HYPERLINK("["&amp;Setup!$C$5&amp;"]'"&amp;B11&amp;"'!D4","Update score")</f>
        <v>Update score</v>
      </c>
      <c r="K11" s="14" t="str">
        <f t="shared" ref="K11:K24" ca="1" si="7">IF($C11&lt;&gt;"",INDIRECT("'"&amp;$B11&amp;"'!"&amp;"$i"&amp;K$6+14)&amp;" - "&amp;INDIRECT("'"&amp;$B11&amp;"'!"&amp;"$k"&amp;K$6+14),"")</f>
        <v xml:space="preserve"> - </v>
      </c>
      <c r="L11" s="14" t="str">
        <f t="shared" ca="1" si="3"/>
        <v xml:space="preserve"> - </v>
      </c>
      <c r="M11" s="14" t="str">
        <f t="shared" ca="1" si="3"/>
        <v xml:space="preserve"> - </v>
      </c>
      <c r="N11" s="14" t="str">
        <f t="shared" ca="1" si="3"/>
        <v xml:space="preserve"> - </v>
      </c>
      <c r="O11" s="14" t="str">
        <f t="shared" ca="1" si="3"/>
        <v xml:space="preserve"> - </v>
      </c>
      <c r="P11" s="14" t="str">
        <f t="shared" ca="1" si="3"/>
        <v xml:space="preserve"> - </v>
      </c>
      <c r="Q11" s="14" t="str">
        <f t="shared" ca="1" si="3"/>
        <v xml:space="preserve"> - </v>
      </c>
      <c r="R11" s="14" t="str">
        <f t="shared" ca="1" si="3"/>
        <v xml:space="preserve"> - </v>
      </c>
      <c r="S11" s="14" t="str">
        <f t="shared" ca="1" si="3"/>
        <v xml:space="preserve"> - </v>
      </c>
      <c r="T11" s="14" t="str">
        <f t="shared" ca="1" si="3"/>
        <v xml:space="preserve"> - </v>
      </c>
      <c r="U11" s="14" t="str">
        <f t="shared" ca="1" si="3"/>
        <v xml:space="preserve"> - </v>
      </c>
      <c r="V11" s="14" t="str">
        <f t="shared" ca="1" si="3"/>
        <v xml:space="preserve"> - </v>
      </c>
      <c r="W11" s="14" t="str">
        <f t="shared" ca="1" si="3"/>
        <v xml:space="preserve"> - </v>
      </c>
      <c r="X11" s="14" t="str">
        <f t="shared" ca="1" si="3"/>
        <v xml:space="preserve"> - </v>
      </c>
      <c r="Y11" s="14" t="str">
        <f t="shared" ca="1" si="3"/>
        <v xml:space="preserve"> - </v>
      </c>
      <c r="Z11" s="14" t="str">
        <f t="shared" ca="1" si="3"/>
        <v xml:space="preserve"> - </v>
      </c>
      <c r="AA11" s="14" t="str">
        <f t="shared" ca="1" si="3"/>
        <v xml:space="preserve"> - </v>
      </c>
      <c r="AB11" s="14" t="str">
        <f t="shared" ca="1" si="4"/>
        <v xml:space="preserve"> - </v>
      </c>
      <c r="AC11" s="14" t="str">
        <f t="shared" ca="1" si="4"/>
        <v xml:space="preserve"> - </v>
      </c>
      <c r="AD11" s="14" t="str">
        <f t="shared" ca="1" si="4"/>
        <v xml:space="preserve"> - </v>
      </c>
      <c r="AE11" s="14" t="str">
        <f t="shared" ca="1" si="4"/>
        <v xml:space="preserve"> - </v>
      </c>
      <c r="AF11" s="14" t="str">
        <f t="shared" ca="1" si="4"/>
        <v xml:space="preserve"> - </v>
      </c>
      <c r="AG11" s="14" t="str">
        <f t="shared" ca="1" si="4"/>
        <v xml:space="preserve"> - </v>
      </c>
      <c r="AH11" s="14" t="str">
        <f t="shared" ca="1" si="4"/>
        <v xml:space="preserve"> - </v>
      </c>
      <c r="AI11" s="14" t="str">
        <f t="shared" ca="1" si="4"/>
        <v xml:space="preserve"> - </v>
      </c>
      <c r="AJ11" s="14" t="str">
        <f t="shared" ca="1" si="4"/>
        <v xml:space="preserve"> - </v>
      </c>
      <c r="AK11" s="14" t="str">
        <f t="shared" ca="1" si="4"/>
        <v xml:space="preserve"> - </v>
      </c>
      <c r="AL11" s="14" t="str">
        <f t="shared" ca="1" si="4"/>
        <v xml:space="preserve"> - </v>
      </c>
      <c r="AM11" s="14" t="str">
        <f t="shared" ca="1" si="4"/>
        <v xml:space="preserve"> - </v>
      </c>
      <c r="AN11" s="14" t="str">
        <f t="shared" ca="1" si="4"/>
        <v xml:space="preserve"> - </v>
      </c>
      <c r="AO11" s="14" t="str">
        <f t="shared" ca="1" si="4"/>
        <v xml:space="preserve"> - </v>
      </c>
      <c r="AP11" s="14" t="str">
        <f t="shared" ca="1" si="4"/>
        <v xml:space="preserve"> - </v>
      </c>
      <c r="AQ11" s="14" t="str">
        <f t="shared" ca="1" si="4"/>
        <v xml:space="preserve"> - </v>
      </c>
      <c r="AR11" s="14" t="str">
        <f t="shared" ca="1" si="5"/>
        <v xml:space="preserve"> - </v>
      </c>
      <c r="AS11" s="14" t="str">
        <f t="shared" ca="1" si="5"/>
        <v xml:space="preserve"> - </v>
      </c>
      <c r="AT11" s="14" t="str">
        <f t="shared" ca="1" si="5"/>
        <v xml:space="preserve"> - </v>
      </c>
      <c r="AU11" s="14" t="str">
        <f t="shared" ca="1" si="5"/>
        <v xml:space="preserve"> - </v>
      </c>
      <c r="AV11" s="14" t="str">
        <f t="shared" ca="1" si="5"/>
        <v xml:space="preserve"> - </v>
      </c>
      <c r="AW11" s="14" t="str">
        <f t="shared" ca="1" si="5"/>
        <v xml:space="preserve"> - </v>
      </c>
      <c r="AX11" s="14" t="str">
        <f t="shared" ca="1" si="5"/>
        <v xml:space="preserve"> - </v>
      </c>
      <c r="AY11" s="14" t="str">
        <f t="shared" ca="1" si="5"/>
        <v xml:space="preserve"> - </v>
      </c>
      <c r="AZ11" s="14" t="str">
        <f t="shared" ca="1" si="5"/>
        <v xml:space="preserve"> - </v>
      </c>
      <c r="BA11" s="14" t="str">
        <f t="shared" ca="1" si="5"/>
        <v xml:space="preserve"> - </v>
      </c>
      <c r="BB11" s="14" t="str">
        <f t="shared" ca="1" si="5"/>
        <v xml:space="preserve"> - </v>
      </c>
      <c r="BC11" s="14" t="str">
        <f t="shared" ca="1" si="5"/>
        <v xml:space="preserve"> - </v>
      </c>
      <c r="BD11" s="14" t="str">
        <f t="shared" ca="1" si="5"/>
        <v xml:space="preserve"> - </v>
      </c>
      <c r="BE11" s="14" t="str">
        <f t="shared" ca="1" si="5"/>
        <v xml:space="preserve"> - </v>
      </c>
      <c r="BF11" s="14" t="str">
        <f t="shared" ca="1" si="5"/>
        <v xml:space="preserve"> - </v>
      </c>
      <c r="BG11" s="14" t="str">
        <f t="shared" ref="BG11:BG24" ca="1" si="8">IF($C11&lt;&gt;"",INDIRECT("'"&amp;$B11&amp;"'!"&amp;"$i"&amp;BG$6+17)&amp;" - "&amp;INDIRECT("'"&amp;$B11&amp;"'!"&amp;"$k"&amp;BG$6+17),"")</f>
        <v xml:space="preserve"> - </v>
      </c>
      <c r="BH11" s="14" t="str">
        <f t="shared" ca="1" si="6"/>
        <v xml:space="preserve"> - </v>
      </c>
      <c r="BI11" s="14" t="str">
        <f t="shared" ca="1" si="6"/>
        <v xml:space="preserve"> - </v>
      </c>
      <c r="BJ11" s="14" t="str">
        <f t="shared" ca="1" si="6"/>
        <v xml:space="preserve"> - </v>
      </c>
      <c r="BK11" s="14" t="str">
        <f t="shared" ca="1" si="6"/>
        <v xml:space="preserve"> - </v>
      </c>
      <c r="BL11" s="14" t="str">
        <f t="shared" ca="1" si="6"/>
        <v xml:space="preserve"> - </v>
      </c>
      <c r="BM11" s="14" t="str">
        <f t="shared" ca="1" si="6"/>
        <v xml:space="preserve"> - </v>
      </c>
      <c r="BN11" s="14" t="str">
        <f t="shared" ca="1" si="6"/>
        <v xml:space="preserve"> - </v>
      </c>
      <c r="BO11" s="14" t="str">
        <f t="shared" ca="1" si="6"/>
        <v xml:space="preserve"> - </v>
      </c>
      <c r="BP11" s="14" t="str">
        <f t="shared" ca="1" si="6"/>
        <v xml:space="preserve"> - </v>
      </c>
      <c r="BQ11" s="14" t="str">
        <f t="shared" ca="1" si="6"/>
        <v xml:space="preserve"> - </v>
      </c>
      <c r="BR11" s="14" t="str">
        <f t="shared" ca="1" si="6"/>
        <v xml:space="preserve"> - </v>
      </c>
      <c r="BS11" s="14" t="str">
        <f t="shared" ca="1" si="6"/>
        <v xml:space="preserve"> - </v>
      </c>
      <c r="BT11" s="14" t="str">
        <f t="shared" ca="1" si="6"/>
        <v xml:space="preserve"> - </v>
      </c>
      <c r="BU11" s="14" t="str">
        <f t="shared" ca="1" si="6"/>
        <v xml:space="preserve"> - </v>
      </c>
      <c r="BV11" s="14" t="str">
        <f t="shared" ca="1" si="6"/>
        <v xml:space="preserve"> - </v>
      </c>
    </row>
    <row r="12" spans="1:74" ht="15" customHeight="1">
      <c r="A12" s="12">
        <f>IF('Player Scoreboard'!A12&lt;&gt;"",'Player Scoreboard'!A12,"")</f>
        <v>3</v>
      </c>
      <c r="B12" s="45" t="s">
        <v>3891</v>
      </c>
      <c r="C12" s="46" t="str">
        <f>IF('Player Name'!C8&lt;&gt;"",'Player Name'!C8,"")</f>
        <v>John 3</v>
      </c>
      <c r="D12" s="25">
        <f ca="1">IF($C12&lt;&gt;"",'Player Scoreboard'!D12,"")</f>
        <v>0</v>
      </c>
      <c r="E12" s="12">
        <f ca="1">IF($C12&lt;&gt;"",'Player Scoreboard'!E12,"")</f>
        <v>0</v>
      </c>
      <c r="F12" s="25">
        <f ca="1">IF($C12&lt;&gt;"",'Player Scoreboard'!F12,"")</f>
        <v>0</v>
      </c>
      <c r="G12" s="25">
        <f ca="1">IF($C12&lt;&gt;"",'Player Scoreboard'!G12,"")</f>
        <v>0</v>
      </c>
      <c r="H12" s="25">
        <f ca="1">IF($C12&lt;&gt;"",'Player Scoreboard'!H12,"")</f>
        <v>0</v>
      </c>
      <c r="I12" s="25">
        <f ca="1">IF($C12&lt;&gt;"",'Player Scoreboard'!I12,"")</f>
        <v>0</v>
      </c>
      <c r="J12" s="51" t="str">
        <f>HYPERLINK("["&amp;Setup!$C$5&amp;"]'"&amp;B12&amp;"'!D4","Update score")</f>
        <v>Update score</v>
      </c>
      <c r="K12" s="12" t="str">
        <f t="shared" ca="1" si="7"/>
        <v xml:space="preserve"> - </v>
      </c>
      <c r="L12" s="12" t="str">
        <f t="shared" ca="1" si="3"/>
        <v xml:space="preserve"> - </v>
      </c>
      <c r="M12" s="12" t="str">
        <f t="shared" ca="1" si="3"/>
        <v xml:space="preserve"> - </v>
      </c>
      <c r="N12" s="12" t="str">
        <f t="shared" ca="1" si="3"/>
        <v xml:space="preserve"> - </v>
      </c>
      <c r="O12" s="12" t="str">
        <f t="shared" ca="1" si="3"/>
        <v xml:space="preserve"> - </v>
      </c>
      <c r="P12" s="12" t="str">
        <f t="shared" ca="1" si="3"/>
        <v xml:space="preserve"> - </v>
      </c>
      <c r="Q12" s="12" t="str">
        <f t="shared" ca="1" si="3"/>
        <v xml:space="preserve"> - </v>
      </c>
      <c r="R12" s="12" t="str">
        <f t="shared" ca="1" si="3"/>
        <v xml:space="preserve"> - </v>
      </c>
      <c r="S12" s="12" t="str">
        <f t="shared" ca="1" si="3"/>
        <v xml:space="preserve"> - </v>
      </c>
      <c r="T12" s="12" t="str">
        <f t="shared" ca="1" si="3"/>
        <v xml:space="preserve"> - </v>
      </c>
      <c r="U12" s="12" t="str">
        <f t="shared" ca="1" si="3"/>
        <v xml:space="preserve"> - </v>
      </c>
      <c r="V12" s="12" t="str">
        <f t="shared" ca="1" si="3"/>
        <v xml:space="preserve"> - </v>
      </c>
      <c r="W12" s="12" t="str">
        <f t="shared" ca="1" si="3"/>
        <v xml:space="preserve"> - </v>
      </c>
      <c r="X12" s="12" t="str">
        <f t="shared" ca="1" si="3"/>
        <v xml:space="preserve"> - </v>
      </c>
      <c r="Y12" s="12" t="str">
        <f t="shared" ca="1" si="3"/>
        <v xml:space="preserve"> - </v>
      </c>
      <c r="Z12" s="12" t="str">
        <f t="shared" ca="1" si="3"/>
        <v xml:space="preserve"> - </v>
      </c>
      <c r="AA12" s="12" t="str">
        <f t="shared" ca="1" si="3"/>
        <v xml:space="preserve"> - </v>
      </c>
      <c r="AB12" s="12" t="str">
        <f t="shared" ca="1" si="4"/>
        <v xml:space="preserve"> - </v>
      </c>
      <c r="AC12" s="12" t="str">
        <f t="shared" ca="1" si="4"/>
        <v xml:space="preserve"> - </v>
      </c>
      <c r="AD12" s="12" t="str">
        <f t="shared" ca="1" si="4"/>
        <v xml:space="preserve"> - </v>
      </c>
      <c r="AE12" s="12" t="str">
        <f t="shared" ca="1" si="4"/>
        <v xml:space="preserve"> - </v>
      </c>
      <c r="AF12" s="12" t="str">
        <f t="shared" ca="1" si="4"/>
        <v xml:space="preserve"> - </v>
      </c>
      <c r="AG12" s="12" t="str">
        <f t="shared" ca="1" si="4"/>
        <v xml:space="preserve"> - </v>
      </c>
      <c r="AH12" s="12" t="str">
        <f t="shared" ca="1" si="4"/>
        <v xml:space="preserve"> - </v>
      </c>
      <c r="AI12" s="12" t="str">
        <f t="shared" ca="1" si="4"/>
        <v xml:space="preserve"> - </v>
      </c>
      <c r="AJ12" s="12" t="str">
        <f t="shared" ca="1" si="4"/>
        <v xml:space="preserve"> - </v>
      </c>
      <c r="AK12" s="12" t="str">
        <f t="shared" ca="1" si="4"/>
        <v xml:space="preserve"> - </v>
      </c>
      <c r="AL12" s="12" t="str">
        <f t="shared" ca="1" si="4"/>
        <v xml:space="preserve"> - </v>
      </c>
      <c r="AM12" s="12" t="str">
        <f t="shared" ca="1" si="4"/>
        <v xml:space="preserve"> - </v>
      </c>
      <c r="AN12" s="12" t="str">
        <f t="shared" ca="1" si="4"/>
        <v xml:space="preserve"> - </v>
      </c>
      <c r="AO12" s="12" t="str">
        <f t="shared" ca="1" si="4"/>
        <v xml:space="preserve"> - </v>
      </c>
      <c r="AP12" s="12" t="str">
        <f t="shared" ca="1" si="4"/>
        <v xml:space="preserve"> - </v>
      </c>
      <c r="AQ12" s="12" t="str">
        <f t="shared" ca="1" si="4"/>
        <v xml:space="preserve"> - </v>
      </c>
      <c r="AR12" s="12" t="str">
        <f t="shared" ca="1" si="5"/>
        <v xml:space="preserve"> - </v>
      </c>
      <c r="AS12" s="12" t="str">
        <f t="shared" ca="1" si="5"/>
        <v xml:space="preserve"> - </v>
      </c>
      <c r="AT12" s="12" t="str">
        <f t="shared" ca="1" si="5"/>
        <v xml:space="preserve"> - </v>
      </c>
      <c r="AU12" s="12" t="str">
        <f t="shared" ca="1" si="5"/>
        <v xml:space="preserve"> - </v>
      </c>
      <c r="AV12" s="12" t="str">
        <f t="shared" ca="1" si="5"/>
        <v xml:space="preserve"> - </v>
      </c>
      <c r="AW12" s="12" t="str">
        <f t="shared" ca="1" si="5"/>
        <v xml:space="preserve"> - </v>
      </c>
      <c r="AX12" s="12" t="str">
        <f t="shared" ca="1" si="5"/>
        <v xml:space="preserve"> - </v>
      </c>
      <c r="AY12" s="12" t="str">
        <f t="shared" ca="1" si="5"/>
        <v xml:space="preserve"> - </v>
      </c>
      <c r="AZ12" s="12" t="str">
        <f t="shared" ca="1" si="5"/>
        <v xml:space="preserve"> - </v>
      </c>
      <c r="BA12" s="12" t="str">
        <f t="shared" ca="1" si="5"/>
        <v xml:space="preserve"> - </v>
      </c>
      <c r="BB12" s="12" t="str">
        <f t="shared" ca="1" si="5"/>
        <v xml:space="preserve"> - </v>
      </c>
      <c r="BC12" s="12" t="str">
        <f t="shared" ca="1" si="5"/>
        <v xml:space="preserve"> - </v>
      </c>
      <c r="BD12" s="12" t="str">
        <f t="shared" ca="1" si="5"/>
        <v xml:space="preserve"> - </v>
      </c>
      <c r="BE12" s="12" t="str">
        <f t="shared" ca="1" si="5"/>
        <v xml:space="preserve"> - </v>
      </c>
      <c r="BF12" s="12" t="str">
        <f t="shared" ca="1" si="5"/>
        <v xml:space="preserve"> - </v>
      </c>
      <c r="BG12" s="12" t="str">
        <f t="shared" ca="1" si="8"/>
        <v xml:space="preserve"> - </v>
      </c>
      <c r="BH12" s="12" t="str">
        <f t="shared" ca="1" si="6"/>
        <v xml:space="preserve"> - </v>
      </c>
      <c r="BI12" s="12" t="str">
        <f t="shared" ca="1" si="6"/>
        <v xml:space="preserve"> - </v>
      </c>
      <c r="BJ12" s="12" t="str">
        <f t="shared" ca="1" si="6"/>
        <v xml:space="preserve"> - </v>
      </c>
      <c r="BK12" s="12" t="str">
        <f t="shared" ca="1" si="6"/>
        <v xml:space="preserve"> - </v>
      </c>
      <c r="BL12" s="12" t="str">
        <f t="shared" ca="1" si="6"/>
        <v xml:space="preserve"> - </v>
      </c>
      <c r="BM12" s="12" t="str">
        <f t="shared" ca="1" si="6"/>
        <v xml:space="preserve"> - </v>
      </c>
      <c r="BN12" s="12" t="str">
        <f t="shared" ca="1" si="6"/>
        <v xml:space="preserve"> - </v>
      </c>
      <c r="BO12" s="12" t="str">
        <f t="shared" ca="1" si="6"/>
        <v xml:space="preserve"> - </v>
      </c>
      <c r="BP12" s="12" t="str">
        <f t="shared" ca="1" si="6"/>
        <v xml:space="preserve"> - </v>
      </c>
      <c r="BQ12" s="12" t="str">
        <f t="shared" ca="1" si="6"/>
        <v xml:space="preserve"> - </v>
      </c>
      <c r="BR12" s="12" t="str">
        <f t="shared" ca="1" si="6"/>
        <v xml:space="preserve"> - </v>
      </c>
      <c r="BS12" s="12" t="str">
        <f t="shared" ca="1" si="6"/>
        <v xml:space="preserve"> - </v>
      </c>
      <c r="BT12" s="12" t="str">
        <f t="shared" ca="1" si="6"/>
        <v xml:space="preserve"> - </v>
      </c>
      <c r="BU12" s="12" t="str">
        <f t="shared" ca="1" si="6"/>
        <v xml:space="preserve"> - </v>
      </c>
      <c r="BV12" s="12" t="str">
        <f t="shared" ca="1" si="6"/>
        <v xml:space="preserve"> - </v>
      </c>
    </row>
    <row r="13" spans="1:74" ht="15" customHeight="1">
      <c r="A13" s="14">
        <f>IF('Player Scoreboard'!A13&lt;&gt;"",'Player Scoreboard'!A13,"")</f>
        <v>4</v>
      </c>
      <c r="B13" s="45" t="s">
        <v>3892</v>
      </c>
      <c r="C13" s="49" t="str">
        <f>IF('Player Name'!C9&lt;&gt;"",'Player Name'!C9,"")</f>
        <v>John 4</v>
      </c>
      <c r="D13" s="26">
        <f ca="1">IF($C13&lt;&gt;"",'Player Scoreboard'!D13,"")</f>
        <v>0</v>
      </c>
      <c r="E13" s="14">
        <f ca="1">IF($C13&lt;&gt;"",'Player Scoreboard'!E13,"")</f>
        <v>0</v>
      </c>
      <c r="F13" s="26">
        <f ca="1">IF($C13&lt;&gt;"",'Player Scoreboard'!F13,"")</f>
        <v>0</v>
      </c>
      <c r="G13" s="26">
        <f ca="1">IF($C13&lt;&gt;"",'Player Scoreboard'!G13,"")</f>
        <v>0</v>
      </c>
      <c r="H13" s="26">
        <f ca="1">IF($C13&lt;&gt;"",'Player Scoreboard'!H13,"")</f>
        <v>0</v>
      </c>
      <c r="I13" s="26">
        <f ca="1">IF($C13&lt;&gt;"",'Player Scoreboard'!I13,"")</f>
        <v>0</v>
      </c>
      <c r="J13" s="50" t="str">
        <f>HYPERLINK("["&amp;Setup!$C$5&amp;"]'"&amp;B13&amp;"'!D4","Update score")</f>
        <v>Update score</v>
      </c>
      <c r="K13" s="14" t="str">
        <f t="shared" ca="1" si="7"/>
        <v xml:space="preserve"> - </v>
      </c>
      <c r="L13" s="14" t="str">
        <f t="shared" ca="1" si="3"/>
        <v xml:space="preserve"> - </v>
      </c>
      <c r="M13" s="14" t="str">
        <f t="shared" ca="1" si="3"/>
        <v xml:space="preserve"> - </v>
      </c>
      <c r="N13" s="14" t="str">
        <f t="shared" ca="1" si="3"/>
        <v xml:space="preserve"> - </v>
      </c>
      <c r="O13" s="14" t="str">
        <f t="shared" ca="1" si="3"/>
        <v xml:space="preserve"> - </v>
      </c>
      <c r="P13" s="14" t="str">
        <f t="shared" ca="1" si="3"/>
        <v xml:space="preserve"> - </v>
      </c>
      <c r="Q13" s="14" t="str">
        <f t="shared" ca="1" si="3"/>
        <v xml:space="preserve"> - </v>
      </c>
      <c r="R13" s="14" t="str">
        <f t="shared" ca="1" si="3"/>
        <v xml:space="preserve"> - </v>
      </c>
      <c r="S13" s="14" t="str">
        <f t="shared" ca="1" si="3"/>
        <v xml:space="preserve"> - </v>
      </c>
      <c r="T13" s="14" t="str">
        <f t="shared" ca="1" si="3"/>
        <v xml:space="preserve"> - </v>
      </c>
      <c r="U13" s="14" t="str">
        <f t="shared" ca="1" si="3"/>
        <v xml:space="preserve"> - </v>
      </c>
      <c r="V13" s="14" t="str">
        <f t="shared" ca="1" si="3"/>
        <v xml:space="preserve"> - </v>
      </c>
      <c r="W13" s="14" t="str">
        <f t="shared" ca="1" si="3"/>
        <v xml:space="preserve"> - </v>
      </c>
      <c r="X13" s="14" t="str">
        <f t="shared" ca="1" si="3"/>
        <v xml:space="preserve"> - </v>
      </c>
      <c r="Y13" s="14" t="str">
        <f t="shared" ca="1" si="3"/>
        <v xml:space="preserve"> - </v>
      </c>
      <c r="Z13" s="14" t="str">
        <f t="shared" ca="1" si="3"/>
        <v xml:space="preserve"> - </v>
      </c>
      <c r="AA13" s="14" t="str">
        <f t="shared" ca="1" si="3"/>
        <v xml:space="preserve"> - </v>
      </c>
      <c r="AB13" s="14" t="str">
        <f t="shared" ca="1" si="4"/>
        <v xml:space="preserve"> - </v>
      </c>
      <c r="AC13" s="14" t="str">
        <f t="shared" ca="1" si="4"/>
        <v xml:space="preserve"> - </v>
      </c>
      <c r="AD13" s="14" t="str">
        <f t="shared" ca="1" si="4"/>
        <v xml:space="preserve"> - </v>
      </c>
      <c r="AE13" s="14" t="str">
        <f t="shared" ca="1" si="4"/>
        <v xml:space="preserve"> - </v>
      </c>
      <c r="AF13" s="14" t="str">
        <f t="shared" ca="1" si="4"/>
        <v xml:space="preserve"> - </v>
      </c>
      <c r="AG13" s="14" t="str">
        <f t="shared" ca="1" si="4"/>
        <v xml:space="preserve"> - </v>
      </c>
      <c r="AH13" s="14" t="str">
        <f t="shared" ca="1" si="4"/>
        <v xml:space="preserve"> - </v>
      </c>
      <c r="AI13" s="14" t="str">
        <f t="shared" ca="1" si="4"/>
        <v xml:space="preserve"> - </v>
      </c>
      <c r="AJ13" s="14" t="str">
        <f t="shared" ca="1" si="4"/>
        <v xml:space="preserve"> - </v>
      </c>
      <c r="AK13" s="14" t="str">
        <f t="shared" ca="1" si="4"/>
        <v xml:space="preserve"> - </v>
      </c>
      <c r="AL13" s="14" t="str">
        <f t="shared" ca="1" si="4"/>
        <v xml:space="preserve"> - </v>
      </c>
      <c r="AM13" s="14" t="str">
        <f t="shared" ca="1" si="4"/>
        <v xml:space="preserve"> - </v>
      </c>
      <c r="AN13" s="14" t="str">
        <f t="shared" ca="1" si="4"/>
        <v xml:space="preserve"> - </v>
      </c>
      <c r="AO13" s="14" t="str">
        <f t="shared" ca="1" si="4"/>
        <v xml:space="preserve"> - </v>
      </c>
      <c r="AP13" s="14" t="str">
        <f t="shared" ca="1" si="4"/>
        <v xml:space="preserve"> - </v>
      </c>
      <c r="AQ13" s="14" t="str">
        <f t="shared" ca="1" si="4"/>
        <v xml:space="preserve"> - </v>
      </c>
      <c r="AR13" s="14" t="str">
        <f t="shared" ca="1" si="5"/>
        <v xml:space="preserve"> - </v>
      </c>
      <c r="AS13" s="14" t="str">
        <f t="shared" ca="1" si="5"/>
        <v xml:space="preserve"> - </v>
      </c>
      <c r="AT13" s="14" t="str">
        <f t="shared" ca="1" si="5"/>
        <v xml:space="preserve"> - </v>
      </c>
      <c r="AU13" s="14" t="str">
        <f t="shared" ca="1" si="5"/>
        <v xml:space="preserve"> - </v>
      </c>
      <c r="AV13" s="14" t="str">
        <f t="shared" ca="1" si="5"/>
        <v xml:space="preserve"> - </v>
      </c>
      <c r="AW13" s="14" t="str">
        <f t="shared" ca="1" si="5"/>
        <v xml:space="preserve"> - </v>
      </c>
      <c r="AX13" s="14" t="str">
        <f t="shared" ca="1" si="5"/>
        <v xml:space="preserve"> - </v>
      </c>
      <c r="AY13" s="14" t="str">
        <f t="shared" ca="1" si="5"/>
        <v xml:space="preserve"> - </v>
      </c>
      <c r="AZ13" s="14" t="str">
        <f t="shared" ca="1" si="5"/>
        <v xml:space="preserve"> - </v>
      </c>
      <c r="BA13" s="14" t="str">
        <f t="shared" ca="1" si="5"/>
        <v xml:space="preserve"> - </v>
      </c>
      <c r="BB13" s="14" t="str">
        <f t="shared" ca="1" si="5"/>
        <v xml:space="preserve"> - </v>
      </c>
      <c r="BC13" s="14" t="str">
        <f t="shared" ca="1" si="5"/>
        <v xml:space="preserve"> - </v>
      </c>
      <c r="BD13" s="14" t="str">
        <f t="shared" ca="1" si="5"/>
        <v xml:space="preserve"> - </v>
      </c>
      <c r="BE13" s="14" t="str">
        <f t="shared" ca="1" si="5"/>
        <v xml:space="preserve"> - </v>
      </c>
      <c r="BF13" s="14" t="str">
        <f t="shared" ca="1" si="5"/>
        <v xml:space="preserve"> - </v>
      </c>
      <c r="BG13" s="14" t="str">
        <f t="shared" ca="1" si="8"/>
        <v xml:space="preserve"> - </v>
      </c>
      <c r="BH13" s="14" t="str">
        <f t="shared" ca="1" si="6"/>
        <v xml:space="preserve"> - </v>
      </c>
      <c r="BI13" s="14" t="str">
        <f t="shared" ca="1" si="6"/>
        <v xml:space="preserve"> - </v>
      </c>
      <c r="BJ13" s="14" t="str">
        <f t="shared" ca="1" si="6"/>
        <v xml:space="preserve"> - </v>
      </c>
      <c r="BK13" s="14" t="str">
        <f t="shared" ca="1" si="6"/>
        <v xml:space="preserve"> - </v>
      </c>
      <c r="BL13" s="14" t="str">
        <f t="shared" ca="1" si="6"/>
        <v xml:space="preserve"> - </v>
      </c>
      <c r="BM13" s="14" t="str">
        <f t="shared" ca="1" si="6"/>
        <v xml:space="preserve"> - </v>
      </c>
      <c r="BN13" s="14" t="str">
        <f t="shared" ca="1" si="6"/>
        <v xml:space="preserve"> - </v>
      </c>
      <c r="BO13" s="14" t="str">
        <f t="shared" ca="1" si="6"/>
        <v xml:space="preserve"> - </v>
      </c>
      <c r="BP13" s="14" t="str">
        <f t="shared" ca="1" si="6"/>
        <v xml:space="preserve"> - </v>
      </c>
      <c r="BQ13" s="14" t="str">
        <f t="shared" ca="1" si="6"/>
        <v xml:space="preserve"> - </v>
      </c>
      <c r="BR13" s="14" t="str">
        <f t="shared" ca="1" si="6"/>
        <v xml:space="preserve"> - </v>
      </c>
      <c r="BS13" s="14" t="str">
        <f t="shared" ca="1" si="6"/>
        <v xml:space="preserve"> - </v>
      </c>
      <c r="BT13" s="14" t="str">
        <f t="shared" ca="1" si="6"/>
        <v xml:space="preserve"> - </v>
      </c>
      <c r="BU13" s="14" t="str">
        <f t="shared" ca="1" si="6"/>
        <v xml:space="preserve"> - </v>
      </c>
      <c r="BV13" s="14" t="str">
        <f t="shared" ca="1" si="6"/>
        <v xml:space="preserve"> - </v>
      </c>
    </row>
    <row r="14" spans="1:74" ht="15" customHeight="1">
      <c r="A14" s="12">
        <f>IF('Player Scoreboard'!A14&lt;&gt;"",'Player Scoreboard'!A14,"")</f>
        <v>5</v>
      </c>
      <c r="B14" s="45" t="s">
        <v>3893</v>
      </c>
      <c r="C14" s="46" t="str">
        <f>IF('Player Name'!C10&lt;&gt;"",'Player Name'!C10,"")</f>
        <v>John 5</v>
      </c>
      <c r="D14" s="25">
        <f ca="1">IF($C14&lt;&gt;"",'Player Scoreboard'!D14,"")</f>
        <v>0</v>
      </c>
      <c r="E14" s="12">
        <f ca="1">IF($C14&lt;&gt;"",'Player Scoreboard'!E14,"")</f>
        <v>0</v>
      </c>
      <c r="F14" s="25">
        <f ca="1">IF($C14&lt;&gt;"",'Player Scoreboard'!F14,"")</f>
        <v>0</v>
      </c>
      <c r="G14" s="25">
        <f ca="1">IF($C14&lt;&gt;"",'Player Scoreboard'!G14,"")</f>
        <v>0</v>
      </c>
      <c r="H14" s="25">
        <f ca="1">IF($C14&lt;&gt;"",'Player Scoreboard'!H14,"")</f>
        <v>0</v>
      </c>
      <c r="I14" s="25">
        <f ca="1">IF($C14&lt;&gt;"",'Player Scoreboard'!I14,"")</f>
        <v>0</v>
      </c>
      <c r="J14" s="51" t="str">
        <f>HYPERLINK("["&amp;Setup!$C$5&amp;"]'"&amp;B14&amp;"'!D4","Update score")</f>
        <v>Update score</v>
      </c>
      <c r="K14" s="12" t="str">
        <f t="shared" ca="1" si="7"/>
        <v xml:space="preserve"> - </v>
      </c>
      <c r="L14" s="12" t="str">
        <f t="shared" ca="1" si="3"/>
        <v xml:space="preserve"> - </v>
      </c>
      <c r="M14" s="12" t="str">
        <f t="shared" ca="1" si="3"/>
        <v xml:space="preserve"> - </v>
      </c>
      <c r="N14" s="12" t="str">
        <f t="shared" ca="1" si="3"/>
        <v xml:space="preserve"> - </v>
      </c>
      <c r="O14" s="12" t="str">
        <f t="shared" ca="1" si="3"/>
        <v xml:space="preserve"> - </v>
      </c>
      <c r="P14" s="12" t="str">
        <f t="shared" ca="1" si="3"/>
        <v xml:space="preserve"> - </v>
      </c>
      <c r="Q14" s="12" t="str">
        <f t="shared" ca="1" si="3"/>
        <v xml:space="preserve"> - </v>
      </c>
      <c r="R14" s="12" t="str">
        <f t="shared" ca="1" si="3"/>
        <v xml:space="preserve"> - </v>
      </c>
      <c r="S14" s="12" t="str">
        <f t="shared" ca="1" si="3"/>
        <v xml:space="preserve"> - </v>
      </c>
      <c r="T14" s="12" t="str">
        <f t="shared" ca="1" si="3"/>
        <v xml:space="preserve"> - </v>
      </c>
      <c r="U14" s="12" t="str">
        <f t="shared" ca="1" si="3"/>
        <v xml:space="preserve"> - </v>
      </c>
      <c r="V14" s="12" t="str">
        <f t="shared" ca="1" si="3"/>
        <v xml:space="preserve"> - </v>
      </c>
      <c r="W14" s="12" t="str">
        <f t="shared" ca="1" si="3"/>
        <v xml:space="preserve"> - </v>
      </c>
      <c r="X14" s="12" t="str">
        <f t="shared" ca="1" si="3"/>
        <v xml:space="preserve"> - </v>
      </c>
      <c r="Y14" s="12" t="str">
        <f t="shared" ca="1" si="3"/>
        <v xml:space="preserve"> - </v>
      </c>
      <c r="Z14" s="12" t="str">
        <f t="shared" ca="1" si="3"/>
        <v xml:space="preserve"> - </v>
      </c>
      <c r="AA14" s="12" t="str">
        <f t="shared" ca="1" si="3"/>
        <v xml:space="preserve"> - </v>
      </c>
      <c r="AB14" s="12" t="str">
        <f t="shared" ca="1" si="4"/>
        <v xml:space="preserve"> - </v>
      </c>
      <c r="AC14" s="12" t="str">
        <f t="shared" ca="1" si="4"/>
        <v xml:space="preserve"> - </v>
      </c>
      <c r="AD14" s="12" t="str">
        <f t="shared" ca="1" si="4"/>
        <v xml:space="preserve"> - </v>
      </c>
      <c r="AE14" s="12" t="str">
        <f t="shared" ca="1" si="4"/>
        <v xml:space="preserve"> - </v>
      </c>
      <c r="AF14" s="12" t="str">
        <f t="shared" ca="1" si="4"/>
        <v xml:space="preserve"> - </v>
      </c>
      <c r="AG14" s="12" t="str">
        <f t="shared" ca="1" si="4"/>
        <v xml:space="preserve"> - </v>
      </c>
      <c r="AH14" s="12" t="str">
        <f t="shared" ca="1" si="4"/>
        <v xml:space="preserve"> - </v>
      </c>
      <c r="AI14" s="12" t="str">
        <f t="shared" ca="1" si="4"/>
        <v xml:space="preserve"> - </v>
      </c>
      <c r="AJ14" s="12" t="str">
        <f t="shared" ca="1" si="4"/>
        <v xml:space="preserve"> - </v>
      </c>
      <c r="AK14" s="12" t="str">
        <f t="shared" ca="1" si="4"/>
        <v xml:space="preserve"> - </v>
      </c>
      <c r="AL14" s="12" t="str">
        <f t="shared" ca="1" si="4"/>
        <v xml:space="preserve"> - </v>
      </c>
      <c r="AM14" s="12" t="str">
        <f t="shared" ca="1" si="4"/>
        <v xml:space="preserve"> - </v>
      </c>
      <c r="AN14" s="12" t="str">
        <f t="shared" ca="1" si="4"/>
        <v xml:space="preserve"> - </v>
      </c>
      <c r="AO14" s="12" t="str">
        <f t="shared" ca="1" si="4"/>
        <v xml:space="preserve"> - </v>
      </c>
      <c r="AP14" s="12" t="str">
        <f t="shared" ca="1" si="4"/>
        <v xml:space="preserve"> - </v>
      </c>
      <c r="AQ14" s="12" t="str">
        <f t="shared" ca="1" si="4"/>
        <v xml:space="preserve"> - </v>
      </c>
      <c r="AR14" s="12" t="str">
        <f t="shared" ca="1" si="5"/>
        <v xml:space="preserve"> - </v>
      </c>
      <c r="AS14" s="12" t="str">
        <f t="shared" ca="1" si="5"/>
        <v xml:space="preserve"> - </v>
      </c>
      <c r="AT14" s="12" t="str">
        <f t="shared" ca="1" si="5"/>
        <v xml:space="preserve"> - </v>
      </c>
      <c r="AU14" s="12" t="str">
        <f t="shared" ca="1" si="5"/>
        <v xml:space="preserve"> - </v>
      </c>
      <c r="AV14" s="12" t="str">
        <f t="shared" ca="1" si="5"/>
        <v xml:space="preserve"> - </v>
      </c>
      <c r="AW14" s="12" t="str">
        <f t="shared" ca="1" si="5"/>
        <v xml:space="preserve"> - </v>
      </c>
      <c r="AX14" s="12" t="str">
        <f t="shared" ca="1" si="5"/>
        <v xml:space="preserve"> - </v>
      </c>
      <c r="AY14" s="12" t="str">
        <f t="shared" ca="1" si="5"/>
        <v xml:space="preserve"> - </v>
      </c>
      <c r="AZ14" s="12" t="str">
        <f t="shared" ca="1" si="5"/>
        <v xml:space="preserve"> - </v>
      </c>
      <c r="BA14" s="12" t="str">
        <f t="shared" ca="1" si="5"/>
        <v xml:space="preserve"> - </v>
      </c>
      <c r="BB14" s="12" t="str">
        <f t="shared" ca="1" si="5"/>
        <v xml:space="preserve"> - </v>
      </c>
      <c r="BC14" s="12" t="str">
        <f t="shared" ca="1" si="5"/>
        <v xml:space="preserve"> - </v>
      </c>
      <c r="BD14" s="12" t="str">
        <f t="shared" ca="1" si="5"/>
        <v xml:space="preserve"> - </v>
      </c>
      <c r="BE14" s="12" t="str">
        <f t="shared" ca="1" si="5"/>
        <v xml:space="preserve"> - </v>
      </c>
      <c r="BF14" s="12" t="str">
        <f t="shared" ca="1" si="5"/>
        <v xml:space="preserve"> - </v>
      </c>
      <c r="BG14" s="12" t="str">
        <f t="shared" ca="1" si="8"/>
        <v xml:space="preserve"> - </v>
      </c>
      <c r="BH14" s="12" t="str">
        <f t="shared" ca="1" si="6"/>
        <v xml:space="preserve"> - </v>
      </c>
      <c r="BI14" s="12" t="str">
        <f t="shared" ca="1" si="6"/>
        <v xml:space="preserve"> - </v>
      </c>
      <c r="BJ14" s="12" t="str">
        <f t="shared" ca="1" si="6"/>
        <v xml:space="preserve"> - </v>
      </c>
      <c r="BK14" s="12" t="str">
        <f t="shared" ca="1" si="6"/>
        <v xml:space="preserve"> - </v>
      </c>
      <c r="BL14" s="12" t="str">
        <f t="shared" ca="1" si="6"/>
        <v xml:space="preserve"> - </v>
      </c>
      <c r="BM14" s="12" t="str">
        <f t="shared" ca="1" si="6"/>
        <v xml:space="preserve"> - </v>
      </c>
      <c r="BN14" s="12" t="str">
        <f t="shared" ca="1" si="6"/>
        <v xml:space="preserve"> - </v>
      </c>
      <c r="BO14" s="12" t="str">
        <f t="shared" ca="1" si="6"/>
        <v xml:space="preserve"> - </v>
      </c>
      <c r="BP14" s="12" t="str">
        <f t="shared" ca="1" si="6"/>
        <v xml:space="preserve"> - </v>
      </c>
      <c r="BQ14" s="12" t="str">
        <f t="shared" ca="1" si="6"/>
        <v xml:space="preserve"> - </v>
      </c>
      <c r="BR14" s="12" t="str">
        <f t="shared" ca="1" si="6"/>
        <v xml:space="preserve"> - </v>
      </c>
      <c r="BS14" s="12" t="str">
        <f t="shared" ca="1" si="6"/>
        <v xml:space="preserve"> - </v>
      </c>
      <c r="BT14" s="12" t="str">
        <f t="shared" ca="1" si="6"/>
        <v xml:space="preserve"> - </v>
      </c>
      <c r="BU14" s="12" t="str">
        <f t="shared" ca="1" si="6"/>
        <v xml:space="preserve"> - </v>
      </c>
      <c r="BV14" s="12" t="str">
        <f t="shared" ca="1" si="6"/>
        <v xml:space="preserve"> - </v>
      </c>
    </row>
    <row r="15" spans="1:74" ht="15" customHeight="1">
      <c r="A15" s="14">
        <f>IF('Player Scoreboard'!A15&lt;&gt;"",'Player Scoreboard'!A15,"")</f>
        <v>6</v>
      </c>
      <c r="B15" s="45" t="s">
        <v>3894</v>
      </c>
      <c r="C15" s="49" t="str">
        <f>IF('Player Name'!C11&lt;&gt;"",'Player Name'!C11,"")</f>
        <v>John 6</v>
      </c>
      <c r="D15" s="26">
        <f ca="1">IF($C15&lt;&gt;"",'Player Scoreboard'!D15,"")</f>
        <v>0</v>
      </c>
      <c r="E15" s="14">
        <f ca="1">IF($C15&lt;&gt;"",'Player Scoreboard'!E15,"")</f>
        <v>0</v>
      </c>
      <c r="F15" s="26">
        <f ca="1">IF($C15&lt;&gt;"",'Player Scoreboard'!F15,"")</f>
        <v>0</v>
      </c>
      <c r="G15" s="26">
        <f ca="1">IF($C15&lt;&gt;"",'Player Scoreboard'!G15,"")</f>
        <v>0</v>
      </c>
      <c r="H15" s="26">
        <f ca="1">IF($C15&lt;&gt;"",'Player Scoreboard'!H15,"")</f>
        <v>0</v>
      </c>
      <c r="I15" s="26">
        <f ca="1">IF($C15&lt;&gt;"",'Player Scoreboard'!I15,"")</f>
        <v>0</v>
      </c>
      <c r="J15" s="50" t="str">
        <f>HYPERLINK("["&amp;Setup!$C$5&amp;"]'"&amp;B15&amp;"'!D4","Update score")</f>
        <v>Update score</v>
      </c>
      <c r="K15" s="14" t="str">
        <f t="shared" ca="1" si="7"/>
        <v xml:space="preserve"> - </v>
      </c>
      <c r="L15" s="14" t="str">
        <f t="shared" ca="1" si="3"/>
        <v xml:space="preserve"> - </v>
      </c>
      <c r="M15" s="14" t="str">
        <f t="shared" ca="1" si="3"/>
        <v xml:space="preserve"> - </v>
      </c>
      <c r="N15" s="14" t="str">
        <f t="shared" ca="1" si="3"/>
        <v xml:space="preserve"> - </v>
      </c>
      <c r="O15" s="14" t="str">
        <f t="shared" ca="1" si="3"/>
        <v xml:space="preserve"> - </v>
      </c>
      <c r="P15" s="14" t="str">
        <f t="shared" ca="1" si="3"/>
        <v xml:space="preserve"> - </v>
      </c>
      <c r="Q15" s="14" t="str">
        <f t="shared" ca="1" si="3"/>
        <v xml:space="preserve"> - </v>
      </c>
      <c r="R15" s="14" t="str">
        <f t="shared" ca="1" si="3"/>
        <v xml:space="preserve"> - </v>
      </c>
      <c r="S15" s="14" t="str">
        <f t="shared" ca="1" si="3"/>
        <v xml:space="preserve"> - </v>
      </c>
      <c r="T15" s="14" t="str">
        <f t="shared" ca="1" si="3"/>
        <v xml:space="preserve"> - </v>
      </c>
      <c r="U15" s="14" t="str">
        <f t="shared" ca="1" si="3"/>
        <v xml:space="preserve"> - </v>
      </c>
      <c r="V15" s="14" t="str">
        <f t="shared" ca="1" si="3"/>
        <v xml:space="preserve"> - </v>
      </c>
      <c r="W15" s="14" t="str">
        <f t="shared" ca="1" si="3"/>
        <v xml:space="preserve"> - </v>
      </c>
      <c r="X15" s="14" t="str">
        <f t="shared" ca="1" si="3"/>
        <v xml:space="preserve"> - </v>
      </c>
      <c r="Y15" s="14" t="str">
        <f t="shared" ca="1" si="3"/>
        <v xml:space="preserve"> - </v>
      </c>
      <c r="Z15" s="14" t="str">
        <f t="shared" ca="1" si="3"/>
        <v xml:space="preserve"> - </v>
      </c>
      <c r="AA15" s="14" t="str">
        <f t="shared" ca="1" si="3"/>
        <v xml:space="preserve"> - </v>
      </c>
      <c r="AB15" s="14" t="str">
        <f t="shared" ca="1" si="4"/>
        <v xml:space="preserve"> - </v>
      </c>
      <c r="AC15" s="14" t="str">
        <f t="shared" ca="1" si="4"/>
        <v xml:space="preserve"> - </v>
      </c>
      <c r="AD15" s="14" t="str">
        <f t="shared" ca="1" si="4"/>
        <v xml:space="preserve"> - </v>
      </c>
      <c r="AE15" s="14" t="str">
        <f t="shared" ca="1" si="4"/>
        <v xml:space="preserve"> - </v>
      </c>
      <c r="AF15" s="14" t="str">
        <f t="shared" ca="1" si="4"/>
        <v xml:space="preserve"> - </v>
      </c>
      <c r="AG15" s="14" t="str">
        <f t="shared" ca="1" si="4"/>
        <v xml:space="preserve"> - </v>
      </c>
      <c r="AH15" s="14" t="str">
        <f t="shared" ca="1" si="4"/>
        <v xml:space="preserve"> - </v>
      </c>
      <c r="AI15" s="14" t="str">
        <f t="shared" ca="1" si="4"/>
        <v xml:space="preserve"> - </v>
      </c>
      <c r="AJ15" s="14" t="str">
        <f t="shared" ca="1" si="4"/>
        <v xml:space="preserve"> - </v>
      </c>
      <c r="AK15" s="14" t="str">
        <f t="shared" ca="1" si="4"/>
        <v xml:space="preserve"> - </v>
      </c>
      <c r="AL15" s="14" t="str">
        <f t="shared" ca="1" si="4"/>
        <v xml:space="preserve"> - </v>
      </c>
      <c r="AM15" s="14" t="str">
        <f t="shared" ca="1" si="4"/>
        <v xml:space="preserve"> - </v>
      </c>
      <c r="AN15" s="14" t="str">
        <f t="shared" ca="1" si="4"/>
        <v xml:space="preserve"> - </v>
      </c>
      <c r="AO15" s="14" t="str">
        <f t="shared" ca="1" si="4"/>
        <v xml:space="preserve"> - </v>
      </c>
      <c r="AP15" s="14" t="str">
        <f t="shared" ca="1" si="4"/>
        <v xml:space="preserve"> - </v>
      </c>
      <c r="AQ15" s="14" t="str">
        <f t="shared" ca="1" si="4"/>
        <v xml:space="preserve"> - </v>
      </c>
      <c r="AR15" s="14" t="str">
        <f t="shared" ca="1" si="5"/>
        <v xml:space="preserve"> - </v>
      </c>
      <c r="AS15" s="14" t="str">
        <f t="shared" ca="1" si="5"/>
        <v xml:space="preserve"> - </v>
      </c>
      <c r="AT15" s="14" t="str">
        <f t="shared" ca="1" si="5"/>
        <v xml:space="preserve"> - </v>
      </c>
      <c r="AU15" s="14" t="str">
        <f t="shared" ca="1" si="5"/>
        <v xml:space="preserve"> - </v>
      </c>
      <c r="AV15" s="14" t="str">
        <f t="shared" ca="1" si="5"/>
        <v xml:space="preserve"> - </v>
      </c>
      <c r="AW15" s="14" t="str">
        <f t="shared" ca="1" si="5"/>
        <v xml:space="preserve"> - </v>
      </c>
      <c r="AX15" s="14" t="str">
        <f t="shared" ca="1" si="5"/>
        <v xml:space="preserve"> - </v>
      </c>
      <c r="AY15" s="14" t="str">
        <f t="shared" ca="1" si="5"/>
        <v xml:space="preserve"> - </v>
      </c>
      <c r="AZ15" s="14" t="str">
        <f t="shared" ca="1" si="5"/>
        <v xml:space="preserve"> - </v>
      </c>
      <c r="BA15" s="14" t="str">
        <f t="shared" ca="1" si="5"/>
        <v xml:space="preserve"> - </v>
      </c>
      <c r="BB15" s="14" t="str">
        <f t="shared" ca="1" si="5"/>
        <v xml:space="preserve"> - </v>
      </c>
      <c r="BC15" s="14" t="str">
        <f t="shared" ca="1" si="5"/>
        <v xml:space="preserve"> - </v>
      </c>
      <c r="BD15" s="14" t="str">
        <f t="shared" ca="1" si="5"/>
        <v xml:space="preserve"> - </v>
      </c>
      <c r="BE15" s="14" t="str">
        <f t="shared" ca="1" si="5"/>
        <v xml:space="preserve"> - </v>
      </c>
      <c r="BF15" s="14" t="str">
        <f t="shared" ca="1" si="5"/>
        <v xml:space="preserve"> - </v>
      </c>
      <c r="BG15" s="14" t="str">
        <f t="shared" ca="1" si="8"/>
        <v xml:space="preserve"> - </v>
      </c>
      <c r="BH15" s="14" t="str">
        <f t="shared" ca="1" si="6"/>
        <v xml:space="preserve"> - </v>
      </c>
      <c r="BI15" s="14" t="str">
        <f t="shared" ca="1" si="6"/>
        <v xml:space="preserve"> - </v>
      </c>
      <c r="BJ15" s="14" t="str">
        <f t="shared" ca="1" si="6"/>
        <v xml:space="preserve"> - </v>
      </c>
      <c r="BK15" s="14" t="str">
        <f t="shared" ca="1" si="6"/>
        <v xml:space="preserve"> - </v>
      </c>
      <c r="BL15" s="14" t="str">
        <f t="shared" ca="1" si="6"/>
        <v xml:space="preserve"> - </v>
      </c>
      <c r="BM15" s="14" t="str">
        <f t="shared" ca="1" si="6"/>
        <v xml:space="preserve"> - </v>
      </c>
      <c r="BN15" s="14" t="str">
        <f t="shared" ca="1" si="6"/>
        <v xml:space="preserve"> - </v>
      </c>
      <c r="BO15" s="14" t="str">
        <f t="shared" ca="1" si="6"/>
        <v xml:space="preserve"> - </v>
      </c>
      <c r="BP15" s="14" t="str">
        <f t="shared" ca="1" si="6"/>
        <v xml:space="preserve"> - </v>
      </c>
      <c r="BQ15" s="14" t="str">
        <f t="shared" ca="1" si="6"/>
        <v xml:space="preserve"> - </v>
      </c>
      <c r="BR15" s="14" t="str">
        <f t="shared" ca="1" si="6"/>
        <v xml:space="preserve"> - </v>
      </c>
      <c r="BS15" s="14" t="str">
        <f t="shared" ca="1" si="6"/>
        <v xml:space="preserve"> - </v>
      </c>
      <c r="BT15" s="14" t="str">
        <f t="shared" ca="1" si="6"/>
        <v xml:space="preserve"> - </v>
      </c>
      <c r="BU15" s="14" t="str">
        <f t="shared" ca="1" si="6"/>
        <v xml:space="preserve"> - </v>
      </c>
      <c r="BV15" s="14" t="str">
        <f t="shared" ca="1" si="6"/>
        <v xml:space="preserve"> - </v>
      </c>
    </row>
    <row r="16" spans="1:74" ht="15" customHeight="1">
      <c r="A16" s="12">
        <f>IF('Player Scoreboard'!A16&lt;&gt;"",'Player Scoreboard'!A16,"")</f>
        <v>7</v>
      </c>
      <c r="B16" s="45" t="s">
        <v>3895</v>
      </c>
      <c r="C16" s="46" t="str">
        <f>IF('Player Name'!C12&lt;&gt;"",'Player Name'!C12,"")</f>
        <v>John 7</v>
      </c>
      <c r="D16" s="25">
        <f ca="1">IF($C16&lt;&gt;"",'Player Scoreboard'!D16,"")</f>
        <v>0</v>
      </c>
      <c r="E16" s="12">
        <f ca="1">IF($C16&lt;&gt;"",'Player Scoreboard'!E16,"")</f>
        <v>0</v>
      </c>
      <c r="F16" s="25">
        <f ca="1">IF($C16&lt;&gt;"",'Player Scoreboard'!F16,"")</f>
        <v>0</v>
      </c>
      <c r="G16" s="25">
        <f ca="1">IF($C16&lt;&gt;"",'Player Scoreboard'!G16,"")</f>
        <v>0</v>
      </c>
      <c r="H16" s="25">
        <f ca="1">IF($C16&lt;&gt;"",'Player Scoreboard'!H16,"")</f>
        <v>0</v>
      </c>
      <c r="I16" s="25">
        <f ca="1">IF($C16&lt;&gt;"",'Player Scoreboard'!I16,"")</f>
        <v>0</v>
      </c>
      <c r="J16" s="51" t="str">
        <f>HYPERLINK("["&amp;Setup!$C$5&amp;"]'"&amp;B16&amp;"'!D4","Update score")</f>
        <v>Update score</v>
      </c>
      <c r="K16" s="12" t="str">
        <f t="shared" ca="1" si="7"/>
        <v xml:space="preserve"> - </v>
      </c>
      <c r="L16" s="12" t="str">
        <f t="shared" ca="1" si="3"/>
        <v xml:space="preserve"> - </v>
      </c>
      <c r="M16" s="12" t="str">
        <f t="shared" ca="1" si="3"/>
        <v xml:space="preserve"> - </v>
      </c>
      <c r="N16" s="12" t="str">
        <f t="shared" ca="1" si="3"/>
        <v xml:space="preserve"> - </v>
      </c>
      <c r="O16" s="12" t="str">
        <f t="shared" ca="1" si="3"/>
        <v xml:space="preserve"> - </v>
      </c>
      <c r="P16" s="12" t="str">
        <f t="shared" ca="1" si="3"/>
        <v xml:space="preserve"> - </v>
      </c>
      <c r="Q16" s="12" t="str">
        <f t="shared" ca="1" si="3"/>
        <v xml:space="preserve"> - </v>
      </c>
      <c r="R16" s="12" t="str">
        <f t="shared" ca="1" si="3"/>
        <v xml:space="preserve"> - </v>
      </c>
      <c r="S16" s="12" t="str">
        <f t="shared" ca="1" si="3"/>
        <v xml:space="preserve"> - </v>
      </c>
      <c r="T16" s="12" t="str">
        <f t="shared" ca="1" si="3"/>
        <v xml:space="preserve"> - </v>
      </c>
      <c r="U16" s="12" t="str">
        <f t="shared" ca="1" si="3"/>
        <v xml:space="preserve"> - </v>
      </c>
      <c r="V16" s="12" t="str">
        <f t="shared" ca="1" si="3"/>
        <v xml:space="preserve"> - </v>
      </c>
      <c r="W16" s="12" t="str">
        <f t="shared" ca="1" si="3"/>
        <v xml:space="preserve"> - </v>
      </c>
      <c r="X16" s="12" t="str">
        <f t="shared" ca="1" si="3"/>
        <v xml:space="preserve"> - </v>
      </c>
      <c r="Y16" s="12" t="str">
        <f t="shared" ca="1" si="3"/>
        <v xml:space="preserve"> - </v>
      </c>
      <c r="Z16" s="12" t="str">
        <f t="shared" ca="1" si="3"/>
        <v xml:space="preserve"> - </v>
      </c>
      <c r="AA16" s="12" t="str">
        <f t="shared" ca="1" si="3"/>
        <v xml:space="preserve"> - </v>
      </c>
      <c r="AB16" s="12" t="str">
        <f t="shared" ca="1" si="4"/>
        <v xml:space="preserve"> - </v>
      </c>
      <c r="AC16" s="12" t="str">
        <f t="shared" ca="1" si="4"/>
        <v xml:space="preserve"> - </v>
      </c>
      <c r="AD16" s="12" t="str">
        <f t="shared" ca="1" si="4"/>
        <v xml:space="preserve"> - </v>
      </c>
      <c r="AE16" s="12" t="str">
        <f t="shared" ca="1" si="4"/>
        <v xml:space="preserve"> - </v>
      </c>
      <c r="AF16" s="12" t="str">
        <f t="shared" ca="1" si="4"/>
        <v xml:space="preserve"> - </v>
      </c>
      <c r="AG16" s="12" t="str">
        <f t="shared" ca="1" si="4"/>
        <v xml:space="preserve"> - </v>
      </c>
      <c r="AH16" s="12" t="str">
        <f t="shared" ca="1" si="4"/>
        <v xml:space="preserve"> - </v>
      </c>
      <c r="AI16" s="12" t="str">
        <f t="shared" ca="1" si="4"/>
        <v xml:space="preserve"> - </v>
      </c>
      <c r="AJ16" s="12" t="str">
        <f t="shared" ca="1" si="4"/>
        <v xml:space="preserve"> - </v>
      </c>
      <c r="AK16" s="12" t="str">
        <f t="shared" ca="1" si="4"/>
        <v xml:space="preserve"> - </v>
      </c>
      <c r="AL16" s="12" t="str">
        <f t="shared" ca="1" si="4"/>
        <v xml:space="preserve"> - </v>
      </c>
      <c r="AM16" s="12" t="str">
        <f t="shared" ca="1" si="4"/>
        <v xml:space="preserve"> - </v>
      </c>
      <c r="AN16" s="12" t="str">
        <f t="shared" ca="1" si="4"/>
        <v xml:space="preserve"> - </v>
      </c>
      <c r="AO16" s="12" t="str">
        <f t="shared" ca="1" si="4"/>
        <v xml:space="preserve"> - </v>
      </c>
      <c r="AP16" s="12" t="str">
        <f t="shared" ca="1" si="4"/>
        <v xml:space="preserve"> - </v>
      </c>
      <c r="AQ16" s="12" t="str">
        <f t="shared" ca="1" si="4"/>
        <v xml:space="preserve"> - </v>
      </c>
      <c r="AR16" s="12" t="str">
        <f t="shared" ca="1" si="5"/>
        <v xml:space="preserve"> - </v>
      </c>
      <c r="AS16" s="12" t="str">
        <f t="shared" ca="1" si="5"/>
        <v xml:space="preserve"> - </v>
      </c>
      <c r="AT16" s="12" t="str">
        <f t="shared" ca="1" si="5"/>
        <v xml:space="preserve"> - </v>
      </c>
      <c r="AU16" s="12" t="str">
        <f t="shared" ca="1" si="5"/>
        <v xml:space="preserve"> - </v>
      </c>
      <c r="AV16" s="12" t="str">
        <f t="shared" ca="1" si="5"/>
        <v xml:space="preserve"> - </v>
      </c>
      <c r="AW16" s="12" t="str">
        <f t="shared" ca="1" si="5"/>
        <v xml:space="preserve"> - </v>
      </c>
      <c r="AX16" s="12" t="str">
        <f t="shared" ca="1" si="5"/>
        <v xml:space="preserve"> - </v>
      </c>
      <c r="AY16" s="12" t="str">
        <f t="shared" ca="1" si="5"/>
        <v xml:space="preserve"> - </v>
      </c>
      <c r="AZ16" s="12" t="str">
        <f t="shared" ca="1" si="5"/>
        <v xml:space="preserve"> - </v>
      </c>
      <c r="BA16" s="12" t="str">
        <f t="shared" ca="1" si="5"/>
        <v xml:space="preserve"> - </v>
      </c>
      <c r="BB16" s="12" t="str">
        <f t="shared" ca="1" si="5"/>
        <v xml:space="preserve"> - </v>
      </c>
      <c r="BC16" s="12" t="str">
        <f t="shared" ca="1" si="5"/>
        <v xml:space="preserve"> - </v>
      </c>
      <c r="BD16" s="12" t="str">
        <f t="shared" ca="1" si="5"/>
        <v xml:space="preserve"> - </v>
      </c>
      <c r="BE16" s="12" t="str">
        <f t="shared" ca="1" si="5"/>
        <v xml:space="preserve"> - </v>
      </c>
      <c r="BF16" s="12" t="str">
        <f t="shared" ca="1" si="5"/>
        <v xml:space="preserve"> - </v>
      </c>
      <c r="BG16" s="12" t="str">
        <f t="shared" ca="1" si="8"/>
        <v xml:space="preserve"> - </v>
      </c>
      <c r="BH16" s="12" t="str">
        <f t="shared" ca="1" si="6"/>
        <v xml:space="preserve"> - </v>
      </c>
      <c r="BI16" s="12" t="str">
        <f t="shared" ca="1" si="6"/>
        <v xml:space="preserve"> - </v>
      </c>
      <c r="BJ16" s="12" t="str">
        <f t="shared" ca="1" si="6"/>
        <v xml:space="preserve"> - </v>
      </c>
      <c r="BK16" s="12" t="str">
        <f t="shared" ca="1" si="6"/>
        <v xml:space="preserve"> - </v>
      </c>
      <c r="BL16" s="12" t="str">
        <f t="shared" ca="1" si="6"/>
        <v xml:space="preserve"> - </v>
      </c>
      <c r="BM16" s="12" t="str">
        <f t="shared" ca="1" si="6"/>
        <v xml:space="preserve"> - </v>
      </c>
      <c r="BN16" s="12" t="str">
        <f t="shared" ca="1" si="6"/>
        <v xml:space="preserve"> - </v>
      </c>
      <c r="BO16" s="12" t="str">
        <f t="shared" ca="1" si="6"/>
        <v xml:space="preserve"> - </v>
      </c>
      <c r="BP16" s="12" t="str">
        <f t="shared" ca="1" si="6"/>
        <v xml:space="preserve"> - </v>
      </c>
      <c r="BQ16" s="12" t="str">
        <f t="shared" ca="1" si="6"/>
        <v xml:space="preserve"> - </v>
      </c>
      <c r="BR16" s="12" t="str">
        <f t="shared" ca="1" si="6"/>
        <v xml:space="preserve"> - </v>
      </c>
      <c r="BS16" s="12" t="str">
        <f t="shared" ca="1" si="6"/>
        <v xml:space="preserve"> - </v>
      </c>
      <c r="BT16" s="12" t="str">
        <f t="shared" ca="1" si="6"/>
        <v xml:space="preserve"> - </v>
      </c>
      <c r="BU16" s="12" t="str">
        <f t="shared" ca="1" si="6"/>
        <v xml:space="preserve"> - </v>
      </c>
      <c r="BV16" s="12" t="str">
        <f t="shared" ca="1" si="6"/>
        <v xml:space="preserve"> - </v>
      </c>
    </row>
    <row r="17" spans="1:74" ht="15" customHeight="1">
      <c r="A17" s="14">
        <f>IF('Player Scoreboard'!A17&lt;&gt;"",'Player Scoreboard'!A17,"")</f>
        <v>8</v>
      </c>
      <c r="B17" s="45" t="s">
        <v>3896</v>
      </c>
      <c r="C17" s="49" t="str">
        <f>IF('Player Name'!C13&lt;&gt;"",'Player Name'!C13,"")</f>
        <v>John 8</v>
      </c>
      <c r="D17" s="26">
        <f ca="1">IF($C17&lt;&gt;"",'Player Scoreboard'!D17,"")</f>
        <v>0</v>
      </c>
      <c r="E17" s="14">
        <f ca="1">IF($C17&lt;&gt;"",'Player Scoreboard'!E17,"")</f>
        <v>0</v>
      </c>
      <c r="F17" s="26">
        <f ca="1">IF($C17&lt;&gt;"",'Player Scoreboard'!F17,"")</f>
        <v>0</v>
      </c>
      <c r="G17" s="26">
        <f ca="1">IF($C17&lt;&gt;"",'Player Scoreboard'!G17,"")</f>
        <v>0</v>
      </c>
      <c r="H17" s="26">
        <f ca="1">IF($C17&lt;&gt;"",'Player Scoreboard'!H17,"")</f>
        <v>0</v>
      </c>
      <c r="I17" s="26">
        <f ca="1">IF($C17&lt;&gt;"",'Player Scoreboard'!I17,"")</f>
        <v>0</v>
      </c>
      <c r="J17" s="50" t="str">
        <f>HYPERLINK("["&amp;Setup!$C$5&amp;"]'"&amp;B17&amp;"'!D4","Update score")</f>
        <v>Update score</v>
      </c>
      <c r="K17" s="14" t="str">
        <f t="shared" ca="1" si="7"/>
        <v xml:space="preserve"> - </v>
      </c>
      <c r="L17" s="14" t="str">
        <f t="shared" ca="1" si="3"/>
        <v xml:space="preserve"> - </v>
      </c>
      <c r="M17" s="14" t="str">
        <f t="shared" ca="1" si="3"/>
        <v xml:space="preserve"> - </v>
      </c>
      <c r="N17" s="14" t="str">
        <f t="shared" ca="1" si="3"/>
        <v xml:space="preserve"> - </v>
      </c>
      <c r="O17" s="14" t="str">
        <f t="shared" ca="1" si="3"/>
        <v xml:space="preserve"> - </v>
      </c>
      <c r="P17" s="14" t="str">
        <f t="shared" ca="1" si="3"/>
        <v xml:space="preserve"> - </v>
      </c>
      <c r="Q17" s="14" t="str">
        <f t="shared" ca="1" si="3"/>
        <v xml:space="preserve"> - </v>
      </c>
      <c r="R17" s="14" t="str">
        <f t="shared" ca="1" si="3"/>
        <v xml:space="preserve"> - </v>
      </c>
      <c r="S17" s="14" t="str">
        <f t="shared" ca="1" si="3"/>
        <v xml:space="preserve"> - </v>
      </c>
      <c r="T17" s="14" t="str">
        <f t="shared" ca="1" si="3"/>
        <v xml:space="preserve"> - </v>
      </c>
      <c r="U17" s="14" t="str">
        <f t="shared" ca="1" si="3"/>
        <v xml:space="preserve"> - </v>
      </c>
      <c r="V17" s="14" t="str">
        <f t="shared" ca="1" si="3"/>
        <v xml:space="preserve"> - </v>
      </c>
      <c r="W17" s="14" t="str">
        <f t="shared" ca="1" si="3"/>
        <v xml:space="preserve"> - </v>
      </c>
      <c r="X17" s="14" t="str">
        <f t="shared" ca="1" si="3"/>
        <v xml:space="preserve"> - </v>
      </c>
      <c r="Y17" s="14" t="str">
        <f t="shared" ca="1" si="3"/>
        <v xml:space="preserve"> - </v>
      </c>
      <c r="Z17" s="14" t="str">
        <f t="shared" ca="1" si="3"/>
        <v xml:space="preserve"> - </v>
      </c>
      <c r="AA17" s="14" t="str">
        <f t="shared" ca="1" si="3"/>
        <v xml:space="preserve"> - </v>
      </c>
      <c r="AB17" s="14" t="str">
        <f t="shared" ca="1" si="4"/>
        <v xml:space="preserve"> - </v>
      </c>
      <c r="AC17" s="14" t="str">
        <f t="shared" ca="1" si="4"/>
        <v xml:space="preserve"> - </v>
      </c>
      <c r="AD17" s="14" t="str">
        <f t="shared" ca="1" si="4"/>
        <v xml:space="preserve"> - </v>
      </c>
      <c r="AE17" s="14" t="str">
        <f t="shared" ca="1" si="4"/>
        <v xml:space="preserve"> - </v>
      </c>
      <c r="AF17" s="14" t="str">
        <f t="shared" ca="1" si="4"/>
        <v xml:space="preserve"> - </v>
      </c>
      <c r="AG17" s="14" t="str">
        <f t="shared" ca="1" si="4"/>
        <v xml:space="preserve"> - </v>
      </c>
      <c r="AH17" s="14" t="str">
        <f t="shared" ca="1" si="4"/>
        <v xml:space="preserve"> - </v>
      </c>
      <c r="AI17" s="14" t="str">
        <f t="shared" ca="1" si="4"/>
        <v xml:space="preserve"> - </v>
      </c>
      <c r="AJ17" s="14" t="str">
        <f t="shared" ca="1" si="4"/>
        <v xml:space="preserve"> - </v>
      </c>
      <c r="AK17" s="14" t="str">
        <f t="shared" ca="1" si="4"/>
        <v xml:space="preserve"> - </v>
      </c>
      <c r="AL17" s="14" t="str">
        <f t="shared" ca="1" si="4"/>
        <v xml:space="preserve"> - </v>
      </c>
      <c r="AM17" s="14" t="str">
        <f t="shared" ca="1" si="4"/>
        <v xml:space="preserve"> - </v>
      </c>
      <c r="AN17" s="14" t="str">
        <f t="shared" ca="1" si="4"/>
        <v xml:space="preserve"> - </v>
      </c>
      <c r="AO17" s="14" t="str">
        <f t="shared" ca="1" si="4"/>
        <v xml:space="preserve"> - </v>
      </c>
      <c r="AP17" s="14" t="str">
        <f t="shared" ca="1" si="4"/>
        <v xml:space="preserve"> - </v>
      </c>
      <c r="AQ17" s="14" t="str">
        <f t="shared" ca="1" si="4"/>
        <v xml:space="preserve"> - </v>
      </c>
      <c r="AR17" s="14" t="str">
        <f t="shared" ca="1" si="5"/>
        <v xml:space="preserve"> - </v>
      </c>
      <c r="AS17" s="14" t="str">
        <f t="shared" ca="1" si="5"/>
        <v xml:space="preserve"> - </v>
      </c>
      <c r="AT17" s="14" t="str">
        <f t="shared" ca="1" si="5"/>
        <v xml:space="preserve"> - </v>
      </c>
      <c r="AU17" s="14" t="str">
        <f t="shared" ca="1" si="5"/>
        <v xml:space="preserve"> - </v>
      </c>
      <c r="AV17" s="14" t="str">
        <f t="shared" ca="1" si="5"/>
        <v xml:space="preserve"> - </v>
      </c>
      <c r="AW17" s="14" t="str">
        <f t="shared" ca="1" si="5"/>
        <v xml:space="preserve"> - </v>
      </c>
      <c r="AX17" s="14" t="str">
        <f t="shared" ca="1" si="5"/>
        <v xml:space="preserve"> - </v>
      </c>
      <c r="AY17" s="14" t="str">
        <f t="shared" ca="1" si="5"/>
        <v xml:space="preserve"> - </v>
      </c>
      <c r="AZ17" s="14" t="str">
        <f t="shared" ca="1" si="5"/>
        <v xml:space="preserve"> - </v>
      </c>
      <c r="BA17" s="14" t="str">
        <f t="shared" ca="1" si="5"/>
        <v xml:space="preserve"> - </v>
      </c>
      <c r="BB17" s="14" t="str">
        <f t="shared" ca="1" si="5"/>
        <v xml:space="preserve"> - </v>
      </c>
      <c r="BC17" s="14" t="str">
        <f t="shared" ca="1" si="5"/>
        <v xml:space="preserve"> - </v>
      </c>
      <c r="BD17" s="14" t="str">
        <f t="shared" ca="1" si="5"/>
        <v xml:space="preserve"> - </v>
      </c>
      <c r="BE17" s="14" t="str">
        <f t="shared" ca="1" si="5"/>
        <v xml:space="preserve"> - </v>
      </c>
      <c r="BF17" s="14" t="str">
        <f t="shared" ca="1" si="5"/>
        <v xml:space="preserve"> - </v>
      </c>
      <c r="BG17" s="14" t="str">
        <f t="shared" ca="1" si="8"/>
        <v xml:space="preserve"> - </v>
      </c>
      <c r="BH17" s="14" t="str">
        <f t="shared" ca="1" si="6"/>
        <v xml:space="preserve"> - </v>
      </c>
      <c r="BI17" s="14" t="str">
        <f t="shared" ca="1" si="6"/>
        <v xml:space="preserve"> - </v>
      </c>
      <c r="BJ17" s="14" t="str">
        <f t="shared" ca="1" si="6"/>
        <v xml:space="preserve"> - </v>
      </c>
      <c r="BK17" s="14" t="str">
        <f t="shared" ca="1" si="6"/>
        <v xml:space="preserve"> - </v>
      </c>
      <c r="BL17" s="14" t="str">
        <f t="shared" ca="1" si="6"/>
        <v xml:space="preserve"> - </v>
      </c>
      <c r="BM17" s="14" t="str">
        <f t="shared" ca="1" si="6"/>
        <v xml:space="preserve"> - </v>
      </c>
      <c r="BN17" s="14" t="str">
        <f t="shared" ca="1" si="6"/>
        <v xml:space="preserve"> - </v>
      </c>
      <c r="BO17" s="14" t="str">
        <f t="shared" ca="1" si="6"/>
        <v xml:space="preserve"> - </v>
      </c>
      <c r="BP17" s="14" t="str">
        <f t="shared" ca="1" si="6"/>
        <v xml:space="preserve"> - </v>
      </c>
      <c r="BQ17" s="14" t="str">
        <f t="shared" ca="1" si="6"/>
        <v xml:space="preserve"> - </v>
      </c>
      <c r="BR17" s="14" t="str">
        <f t="shared" ca="1" si="6"/>
        <v xml:space="preserve"> - </v>
      </c>
      <c r="BS17" s="14" t="str">
        <f t="shared" ca="1" si="6"/>
        <v xml:space="preserve"> - </v>
      </c>
      <c r="BT17" s="14" t="str">
        <f t="shared" ca="1" si="6"/>
        <v xml:space="preserve"> - </v>
      </c>
      <c r="BU17" s="14" t="str">
        <f t="shared" ca="1" si="6"/>
        <v xml:space="preserve"> - </v>
      </c>
      <c r="BV17" s="14" t="str">
        <f t="shared" ca="1" si="6"/>
        <v xml:space="preserve"> - </v>
      </c>
    </row>
    <row r="18" spans="1:74" ht="15" customHeight="1">
      <c r="A18" s="12">
        <f>IF('Player Scoreboard'!A18&lt;&gt;"",'Player Scoreboard'!A18,"")</f>
        <v>9</v>
      </c>
      <c r="B18" s="45" t="s">
        <v>3897</v>
      </c>
      <c r="C18" s="46" t="str">
        <f>IF('Player Name'!C14&lt;&gt;"",'Player Name'!C14,"")</f>
        <v>John 9</v>
      </c>
      <c r="D18" s="25">
        <f ca="1">IF($C18&lt;&gt;"",'Player Scoreboard'!D18,"")</f>
        <v>0</v>
      </c>
      <c r="E18" s="12">
        <f ca="1">IF($C18&lt;&gt;"",'Player Scoreboard'!E18,"")</f>
        <v>0</v>
      </c>
      <c r="F18" s="25">
        <f ca="1">IF($C18&lt;&gt;"",'Player Scoreboard'!F18,"")</f>
        <v>0</v>
      </c>
      <c r="G18" s="25">
        <f ca="1">IF($C18&lt;&gt;"",'Player Scoreboard'!G18,"")</f>
        <v>0</v>
      </c>
      <c r="H18" s="25">
        <f ca="1">IF($C18&lt;&gt;"",'Player Scoreboard'!H18,"")</f>
        <v>0</v>
      </c>
      <c r="I18" s="25">
        <f ca="1">IF($C18&lt;&gt;"",'Player Scoreboard'!I18,"")</f>
        <v>0</v>
      </c>
      <c r="J18" s="51" t="str">
        <f>HYPERLINK("["&amp;Setup!$C$5&amp;"]'"&amp;B18&amp;"'!D4","Update score")</f>
        <v>Update score</v>
      </c>
      <c r="K18" s="12" t="str">
        <f t="shared" ca="1" si="7"/>
        <v xml:space="preserve"> - </v>
      </c>
      <c r="L18" s="12" t="str">
        <f t="shared" ca="1" si="3"/>
        <v xml:space="preserve"> - </v>
      </c>
      <c r="M18" s="12" t="str">
        <f t="shared" ca="1" si="3"/>
        <v xml:space="preserve"> - </v>
      </c>
      <c r="N18" s="12" t="str">
        <f t="shared" ca="1" si="3"/>
        <v xml:space="preserve"> - </v>
      </c>
      <c r="O18" s="12" t="str">
        <f t="shared" ca="1" si="3"/>
        <v xml:space="preserve"> - </v>
      </c>
      <c r="P18" s="12" t="str">
        <f t="shared" ca="1" si="3"/>
        <v xml:space="preserve"> - </v>
      </c>
      <c r="Q18" s="12" t="str">
        <f t="shared" ca="1" si="3"/>
        <v xml:space="preserve"> - </v>
      </c>
      <c r="R18" s="12" t="str">
        <f t="shared" ca="1" si="3"/>
        <v xml:space="preserve"> - </v>
      </c>
      <c r="S18" s="12" t="str">
        <f t="shared" ca="1" si="3"/>
        <v xml:space="preserve"> - </v>
      </c>
      <c r="T18" s="12" t="str">
        <f t="shared" ca="1" si="3"/>
        <v xml:space="preserve"> - </v>
      </c>
      <c r="U18" s="12" t="str">
        <f t="shared" ca="1" si="3"/>
        <v xml:space="preserve"> - </v>
      </c>
      <c r="V18" s="12" t="str">
        <f t="shared" ca="1" si="3"/>
        <v xml:space="preserve"> - </v>
      </c>
      <c r="W18" s="12" t="str">
        <f t="shared" ca="1" si="3"/>
        <v xml:space="preserve"> - </v>
      </c>
      <c r="X18" s="12" t="str">
        <f t="shared" ca="1" si="3"/>
        <v xml:space="preserve"> - </v>
      </c>
      <c r="Y18" s="12" t="str">
        <f t="shared" ca="1" si="3"/>
        <v xml:space="preserve"> - </v>
      </c>
      <c r="Z18" s="12" t="str">
        <f t="shared" ca="1" si="3"/>
        <v xml:space="preserve"> - </v>
      </c>
      <c r="AA18" s="12" t="str">
        <f t="shared" ca="1" si="3"/>
        <v xml:space="preserve"> - </v>
      </c>
      <c r="AB18" s="12" t="str">
        <f t="shared" ca="1" si="4"/>
        <v xml:space="preserve"> - </v>
      </c>
      <c r="AC18" s="12" t="str">
        <f t="shared" ca="1" si="4"/>
        <v xml:space="preserve"> - </v>
      </c>
      <c r="AD18" s="12" t="str">
        <f t="shared" ca="1" si="4"/>
        <v xml:space="preserve"> - </v>
      </c>
      <c r="AE18" s="12" t="str">
        <f t="shared" ca="1" si="4"/>
        <v xml:space="preserve"> - </v>
      </c>
      <c r="AF18" s="12" t="str">
        <f t="shared" ca="1" si="4"/>
        <v xml:space="preserve"> - </v>
      </c>
      <c r="AG18" s="12" t="str">
        <f t="shared" ca="1" si="4"/>
        <v xml:space="preserve"> - </v>
      </c>
      <c r="AH18" s="12" t="str">
        <f t="shared" ca="1" si="4"/>
        <v xml:space="preserve"> - </v>
      </c>
      <c r="AI18" s="12" t="str">
        <f t="shared" ca="1" si="4"/>
        <v xml:space="preserve"> - </v>
      </c>
      <c r="AJ18" s="12" t="str">
        <f t="shared" ca="1" si="4"/>
        <v xml:space="preserve"> - </v>
      </c>
      <c r="AK18" s="12" t="str">
        <f t="shared" ca="1" si="4"/>
        <v xml:space="preserve"> - </v>
      </c>
      <c r="AL18" s="12" t="str">
        <f t="shared" ca="1" si="4"/>
        <v xml:space="preserve"> - </v>
      </c>
      <c r="AM18" s="12" t="str">
        <f t="shared" ca="1" si="4"/>
        <v xml:space="preserve"> - </v>
      </c>
      <c r="AN18" s="12" t="str">
        <f t="shared" ca="1" si="4"/>
        <v xml:space="preserve"> - </v>
      </c>
      <c r="AO18" s="12" t="str">
        <f t="shared" ca="1" si="4"/>
        <v xml:space="preserve"> - </v>
      </c>
      <c r="AP18" s="12" t="str">
        <f t="shared" ca="1" si="4"/>
        <v xml:space="preserve"> - </v>
      </c>
      <c r="AQ18" s="12" t="str">
        <f t="shared" ca="1" si="4"/>
        <v xml:space="preserve"> - </v>
      </c>
      <c r="AR18" s="12" t="str">
        <f t="shared" ca="1" si="5"/>
        <v xml:space="preserve"> - </v>
      </c>
      <c r="AS18" s="12" t="str">
        <f t="shared" ca="1" si="5"/>
        <v xml:space="preserve"> - </v>
      </c>
      <c r="AT18" s="12" t="str">
        <f t="shared" ca="1" si="5"/>
        <v xml:space="preserve"> - </v>
      </c>
      <c r="AU18" s="12" t="str">
        <f t="shared" ca="1" si="5"/>
        <v xml:space="preserve"> - </v>
      </c>
      <c r="AV18" s="12" t="str">
        <f t="shared" ca="1" si="5"/>
        <v xml:space="preserve"> - </v>
      </c>
      <c r="AW18" s="12" t="str">
        <f t="shared" ca="1" si="5"/>
        <v xml:space="preserve"> - </v>
      </c>
      <c r="AX18" s="12" t="str">
        <f t="shared" ca="1" si="5"/>
        <v xml:space="preserve"> - </v>
      </c>
      <c r="AY18" s="12" t="str">
        <f t="shared" ca="1" si="5"/>
        <v xml:space="preserve"> - </v>
      </c>
      <c r="AZ18" s="12" t="str">
        <f t="shared" ca="1" si="5"/>
        <v xml:space="preserve"> - </v>
      </c>
      <c r="BA18" s="12" t="str">
        <f t="shared" ca="1" si="5"/>
        <v xml:space="preserve"> - </v>
      </c>
      <c r="BB18" s="12" t="str">
        <f t="shared" ca="1" si="5"/>
        <v xml:space="preserve"> - </v>
      </c>
      <c r="BC18" s="12" t="str">
        <f t="shared" ca="1" si="5"/>
        <v xml:space="preserve"> - </v>
      </c>
      <c r="BD18" s="12" t="str">
        <f t="shared" ca="1" si="5"/>
        <v xml:space="preserve"> - </v>
      </c>
      <c r="BE18" s="12" t="str">
        <f t="shared" ca="1" si="5"/>
        <v xml:space="preserve"> - </v>
      </c>
      <c r="BF18" s="12" t="str">
        <f t="shared" ca="1" si="5"/>
        <v xml:space="preserve"> - </v>
      </c>
      <c r="BG18" s="12" t="str">
        <f t="shared" ca="1" si="8"/>
        <v xml:space="preserve"> - </v>
      </c>
      <c r="BH18" s="12" t="str">
        <f t="shared" ca="1" si="6"/>
        <v xml:space="preserve"> - </v>
      </c>
      <c r="BI18" s="12" t="str">
        <f t="shared" ca="1" si="6"/>
        <v xml:space="preserve"> - </v>
      </c>
      <c r="BJ18" s="12" t="str">
        <f t="shared" ca="1" si="6"/>
        <v xml:space="preserve"> - </v>
      </c>
      <c r="BK18" s="12" t="str">
        <f t="shared" ca="1" si="6"/>
        <v xml:space="preserve"> - </v>
      </c>
      <c r="BL18" s="12" t="str">
        <f t="shared" ca="1" si="6"/>
        <v xml:space="preserve"> - </v>
      </c>
      <c r="BM18" s="12" t="str">
        <f t="shared" ca="1" si="6"/>
        <v xml:space="preserve"> - </v>
      </c>
      <c r="BN18" s="12" t="str">
        <f t="shared" ca="1" si="6"/>
        <v xml:space="preserve"> - </v>
      </c>
      <c r="BO18" s="12" t="str">
        <f t="shared" ca="1" si="6"/>
        <v xml:space="preserve"> - </v>
      </c>
      <c r="BP18" s="12" t="str">
        <f t="shared" ca="1" si="6"/>
        <v xml:space="preserve"> - </v>
      </c>
      <c r="BQ18" s="12" t="str">
        <f t="shared" ca="1" si="6"/>
        <v xml:space="preserve"> - </v>
      </c>
      <c r="BR18" s="12" t="str">
        <f t="shared" ca="1" si="6"/>
        <v xml:space="preserve"> - </v>
      </c>
      <c r="BS18" s="12" t="str">
        <f t="shared" ca="1" si="6"/>
        <v xml:space="preserve"> - </v>
      </c>
      <c r="BT18" s="12" t="str">
        <f t="shared" ca="1" si="6"/>
        <v xml:space="preserve"> - </v>
      </c>
      <c r="BU18" s="12" t="str">
        <f t="shared" ca="1" si="6"/>
        <v xml:space="preserve"> - </v>
      </c>
      <c r="BV18" s="12" t="str">
        <f t="shared" ca="1" si="6"/>
        <v xml:space="preserve"> - </v>
      </c>
    </row>
    <row r="19" spans="1:74" ht="15" customHeight="1">
      <c r="A19" s="14">
        <f>IF('Player Scoreboard'!A19&lt;&gt;"",'Player Scoreboard'!A19,"")</f>
        <v>10</v>
      </c>
      <c r="B19" s="45" t="s">
        <v>3898</v>
      </c>
      <c r="C19" s="49" t="str">
        <f>IF('Player Name'!C15&lt;&gt;"",'Player Name'!C15,"")</f>
        <v>John 10</v>
      </c>
      <c r="D19" s="26">
        <f ca="1">IF($C19&lt;&gt;"",'Player Scoreboard'!D19,"")</f>
        <v>0</v>
      </c>
      <c r="E19" s="14">
        <f ca="1">IF($C19&lt;&gt;"",'Player Scoreboard'!E19,"")</f>
        <v>0</v>
      </c>
      <c r="F19" s="26">
        <f ca="1">IF($C19&lt;&gt;"",'Player Scoreboard'!F19,"")</f>
        <v>0</v>
      </c>
      <c r="G19" s="26">
        <f ca="1">IF($C19&lt;&gt;"",'Player Scoreboard'!G19,"")</f>
        <v>0</v>
      </c>
      <c r="H19" s="26">
        <f ca="1">IF($C19&lt;&gt;"",'Player Scoreboard'!H19,"")</f>
        <v>0</v>
      </c>
      <c r="I19" s="26">
        <f ca="1">IF($C19&lt;&gt;"",'Player Scoreboard'!I19,"")</f>
        <v>0</v>
      </c>
      <c r="J19" s="50" t="str">
        <f>HYPERLINK("["&amp;Setup!$C$5&amp;"]'"&amp;B19&amp;"'!D4","Update score")</f>
        <v>Update score</v>
      </c>
      <c r="K19" s="14" t="str">
        <f t="shared" ca="1" si="7"/>
        <v xml:space="preserve"> - </v>
      </c>
      <c r="L19" s="14" t="str">
        <f t="shared" ca="1" si="3"/>
        <v xml:space="preserve"> - </v>
      </c>
      <c r="M19" s="14" t="str">
        <f t="shared" ca="1" si="3"/>
        <v xml:space="preserve"> - </v>
      </c>
      <c r="N19" s="14" t="str">
        <f t="shared" ca="1" si="3"/>
        <v xml:space="preserve"> - </v>
      </c>
      <c r="O19" s="14" t="str">
        <f t="shared" ca="1" si="3"/>
        <v xml:space="preserve"> - </v>
      </c>
      <c r="P19" s="14" t="str">
        <f t="shared" ca="1" si="3"/>
        <v xml:space="preserve"> - </v>
      </c>
      <c r="Q19" s="14" t="str">
        <f t="shared" ca="1" si="3"/>
        <v xml:space="preserve"> - </v>
      </c>
      <c r="R19" s="14" t="str">
        <f t="shared" ca="1" si="3"/>
        <v xml:space="preserve"> - </v>
      </c>
      <c r="S19" s="14" t="str">
        <f t="shared" ca="1" si="3"/>
        <v xml:space="preserve"> - </v>
      </c>
      <c r="T19" s="14" t="str">
        <f t="shared" ca="1" si="3"/>
        <v xml:space="preserve"> - </v>
      </c>
      <c r="U19" s="14" t="str">
        <f t="shared" ca="1" si="3"/>
        <v xml:space="preserve"> - </v>
      </c>
      <c r="V19" s="14" t="str">
        <f t="shared" ca="1" si="3"/>
        <v xml:space="preserve"> - </v>
      </c>
      <c r="W19" s="14" t="str">
        <f t="shared" ca="1" si="3"/>
        <v xml:space="preserve"> - </v>
      </c>
      <c r="X19" s="14" t="str">
        <f t="shared" ca="1" si="3"/>
        <v xml:space="preserve"> - </v>
      </c>
      <c r="Y19" s="14" t="str">
        <f t="shared" ca="1" si="3"/>
        <v xml:space="preserve"> - </v>
      </c>
      <c r="Z19" s="14" t="str">
        <f t="shared" ca="1" si="3"/>
        <v xml:space="preserve"> - </v>
      </c>
      <c r="AA19" s="14" t="str">
        <f t="shared" ca="1" si="3"/>
        <v xml:space="preserve"> - </v>
      </c>
      <c r="AB19" s="14" t="str">
        <f t="shared" ca="1" si="4"/>
        <v xml:space="preserve"> - </v>
      </c>
      <c r="AC19" s="14" t="str">
        <f t="shared" ca="1" si="4"/>
        <v xml:space="preserve"> - </v>
      </c>
      <c r="AD19" s="14" t="str">
        <f t="shared" ca="1" si="4"/>
        <v xml:space="preserve"> - </v>
      </c>
      <c r="AE19" s="14" t="str">
        <f t="shared" ca="1" si="4"/>
        <v xml:space="preserve"> - </v>
      </c>
      <c r="AF19" s="14" t="str">
        <f t="shared" ca="1" si="4"/>
        <v xml:space="preserve"> - </v>
      </c>
      <c r="AG19" s="14" t="str">
        <f t="shared" ca="1" si="4"/>
        <v xml:space="preserve"> - </v>
      </c>
      <c r="AH19" s="14" t="str">
        <f t="shared" ca="1" si="4"/>
        <v xml:space="preserve"> - </v>
      </c>
      <c r="AI19" s="14" t="str">
        <f t="shared" ca="1" si="4"/>
        <v xml:space="preserve"> - </v>
      </c>
      <c r="AJ19" s="14" t="str">
        <f t="shared" ca="1" si="4"/>
        <v xml:space="preserve"> - </v>
      </c>
      <c r="AK19" s="14" t="str">
        <f t="shared" ca="1" si="4"/>
        <v xml:space="preserve"> - </v>
      </c>
      <c r="AL19" s="14" t="str">
        <f t="shared" ca="1" si="4"/>
        <v xml:space="preserve"> - </v>
      </c>
      <c r="AM19" s="14" t="str">
        <f t="shared" ca="1" si="4"/>
        <v xml:space="preserve"> - </v>
      </c>
      <c r="AN19" s="14" t="str">
        <f t="shared" ca="1" si="4"/>
        <v xml:space="preserve"> - </v>
      </c>
      <c r="AO19" s="14" t="str">
        <f t="shared" ca="1" si="4"/>
        <v xml:space="preserve"> - </v>
      </c>
      <c r="AP19" s="14" t="str">
        <f t="shared" ca="1" si="4"/>
        <v xml:space="preserve"> - </v>
      </c>
      <c r="AQ19" s="14" t="str">
        <f t="shared" ca="1" si="4"/>
        <v xml:space="preserve"> - </v>
      </c>
      <c r="AR19" s="14" t="str">
        <f t="shared" ca="1" si="5"/>
        <v xml:space="preserve"> - </v>
      </c>
      <c r="AS19" s="14" t="str">
        <f t="shared" ca="1" si="5"/>
        <v xml:space="preserve"> - </v>
      </c>
      <c r="AT19" s="14" t="str">
        <f t="shared" ca="1" si="5"/>
        <v xml:space="preserve"> - </v>
      </c>
      <c r="AU19" s="14" t="str">
        <f t="shared" ca="1" si="5"/>
        <v xml:space="preserve"> - </v>
      </c>
      <c r="AV19" s="14" t="str">
        <f t="shared" ca="1" si="5"/>
        <v xml:space="preserve"> - </v>
      </c>
      <c r="AW19" s="14" t="str">
        <f t="shared" ca="1" si="5"/>
        <v xml:space="preserve"> - </v>
      </c>
      <c r="AX19" s="14" t="str">
        <f t="shared" ca="1" si="5"/>
        <v xml:space="preserve"> - </v>
      </c>
      <c r="AY19" s="14" t="str">
        <f t="shared" ca="1" si="5"/>
        <v xml:space="preserve"> - </v>
      </c>
      <c r="AZ19" s="14" t="str">
        <f t="shared" ca="1" si="5"/>
        <v xml:space="preserve"> - </v>
      </c>
      <c r="BA19" s="14" t="str">
        <f t="shared" ca="1" si="5"/>
        <v xml:space="preserve"> - </v>
      </c>
      <c r="BB19" s="14" t="str">
        <f t="shared" ca="1" si="5"/>
        <v xml:space="preserve"> - </v>
      </c>
      <c r="BC19" s="14" t="str">
        <f t="shared" ca="1" si="5"/>
        <v xml:space="preserve"> - </v>
      </c>
      <c r="BD19" s="14" t="str">
        <f t="shared" ca="1" si="5"/>
        <v xml:space="preserve"> - </v>
      </c>
      <c r="BE19" s="14" t="str">
        <f t="shared" ca="1" si="5"/>
        <v xml:space="preserve"> - </v>
      </c>
      <c r="BF19" s="14" t="str">
        <f t="shared" ca="1" si="5"/>
        <v xml:space="preserve"> - </v>
      </c>
      <c r="BG19" s="14" t="str">
        <f t="shared" ca="1" si="8"/>
        <v xml:space="preserve"> - </v>
      </c>
      <c r="BH19" s="14" t="str">
        <f t="shared" ca="1" si="6"/>
        <v xml:space="preserve"> - </v>
      </c>
      <c r="BI19" s="14" t="str">
        <f t="shared" ca="1" si="6"/>
        <v xml:space="preserve"> - </v>
      </c>
      <c r="BJ19" s="14" t="str">
        <f t="shared" ca="1" si="6"/>
        <v xml:space="preserve"> - </v>
      </c>
      <c r="BK19" s="14" t="str">
        <f t="shared" ca="1" si="6"/>
        <v xml:space="preserve"> - </v>
      </c>
      <c r="BL19" s="14" t="str">
        <f t="shared" ca="1" si="6"/>
        <v xml:space="preserve"> - </v>
      </c>
      <c r="BM19" s="14" t="str">
        <f t="shared" ca="1" si="6"/>
        <v xml:space="preserve"> - </v>
      </c>
      <c r="BN19" s="14" t="str">
        <f t="shared" ca="1" si="6"/>
        <v xml:space="preserve"> - </v>
      </c>
      <c r="BO19" s="14" t="str">
        <f t="shared" ca="1" si="6"/>
        <v xml:space="preserve"> - </v>
      </c>
      <c r="BP19" s="14" t="str">
        <f t="shared" ca="1" si="6"/>
        <v xml:space="preserve"> - </v>
      </c>
      <c r="BQ19" s="14" t="str">
        <f t="shared" ca="1" si="6"/>
        <v xml:space="preserve"> - </v>
      </c>
      <c r="BR19" s="14" t="str">
        <f t="shared" ca="1" si="6"/>
        <v xml:space="preserve"> - </v>
      </c>
      <c r="BS19" s="14" t="str">
        <f t="shared" ca="1" si="6"/>
        <v xml:space="preserve"> - </v>
      </c>
      <c r="BT19" s="14" t="str">
        <f t="shared" ca="1" si="6"/>
        <v xml:space="preserve"> - </v>
      </c>
      <c r="BU19" s="14" t="str">
        <f t="shared" ca="1" si="6"/>
        <v xml:space="preserve"> - </v>
      </c>
      <c r="BV19" s="14" t="str">
        <f t="shared" ca="1" si="6"/>
        <v xml:space="preserve"> - </v>
      </c>
    </row>
    <row r="20" spans="1:74" ht="15" customHeight="1">
      <c r="A20" s="12">
        <f>IF('Player Scoreboard'!A20&lt;&gt;"",'Player Scoreboard'!A20,"")</f>
        <v>11</v>
      </c>
      <c r="B20" s="45" t="s">
        <v>3899</v>
      </c>
      <c r="C20" s="46" t="str">
        <f>IF('Player Name'!C16&lt;&gt;"",'Player Name'!C16,"")</f>
        <v>John 11</v>
      </c>
      <c r="D20" s="25">
        <f ca="1">IF($C20&lt;&gt;"",'Player Scoreboard'!D20,"")</f>
        <v>0</v>
      </c>
      <c r="E20" s="12">
        <f ca="1">IF($C20&lt;&gt;"",'Player Scoreboard'!E20,"")</f>
        <v>0</v>
      </c>
      <c r="F20" s="25">
        <f ca="1">IF($C20&lt;&gt;"",'Player Scoreboard'!F20,"")</f>
        <v>0</v>
      </c>
      <c r="G20" s="25">
        <f ca="1">IF($C20&lt;&gt;"",'Player Scoreboard'!G20,"")</f>
        <v>0</v>
      </c>
      <c r="H20" s="25">
        <f ca="1">IF($C20&lt;&gt;"",'Player Scoreboard'!H20,"")</f>
        <v>0</v>
      </c>
      <c r="I20" s="25">
        <f ca="1">IF($C20&lt;&gt;"",'Player Scoreboard'!I20,"")</f>
        <v>0</v>
      </c>
      <c r="J20" s="51" t="str">
        <f>HYPERLINK("["&amp;Setup!$C$5&amp;"]'"&amp;B20&amp;"'!D4","Update score")</f>
        <v>Update score</v>
      </c>
      <c r="K20" s="12" t="str">
        <f t="shared" ca="1" si="7"/>
        <v xml:space="preserve"> - </v>
      </c>
      <c r="L20" s="12" t="str">
        <f t="shared" ca="1" si="3"/>
        <v xml:space="preserve"> - </v>
      </c>
      <c r="M20" s="12" t="str">
        <f t="shared" ca="1" si="3"/>
        <v xml:space="preserve"> - </v>
      </c>
      <c r="N20" s="12" t="str">
        <f t="shared" ca="1" si="3"/>
        <v xml:space="preserve"> - </v>
      </c>
      <c r="O20" s="12" t="str">
        <f t="shared" ca="1" si="3"/>
        <v xml:space="preserve"> - </v>
      </c>
      <c r="P20" s="12" t="str">
        <f t="shared" ca="1" si="3"/>
        <v xml:space="preserve"> - </v>
      </c>
      <c r="Q20" s="12" t="str">
        <f t="shared" ca="1" si="3"/>
        <v xml:space="preserve"> - </v>
      </c>
      <c r="R20" s="12" t="str">
        <f t="shared" ca="1" si="3"/>
        <v xml:space="preserve"> - </v>
      </c>
      <c r="S20" s="12" t="str">
        <f t="shared" ca="1" si="3"/>
        <v xml:space="preserve"> - </v>
      </c>
      <c r="T20" s="12" t="str">
        <f t="shared" ca="1" si="3"/>
        <v xml:space="preserve"> - </v>
      </c>
      <c r="U20" s="12" t="str">
        <f t="shared" ca="1" si="3"/>
        <v xml:space="preserve"> - </v>
      </c>
      <c r="V20" s="12" t="str">
        <f t="shared" ca="1" si="3"/>
        <v xml:space="preserve"> - </v>
      </c>
      <c r="W20" s="12" t="str">
        <f t="shared" ca="1" si="3"/>
        <v xml:space="preserve"> - </v>
      </c>
      <c r="X20" s="12" t="str">
        <f t="shared" ca="1" si="3"/>
        <v xml:space="preserve"> - </v>
      </c>
      <c r="Y20" s="12" t="str">
        <f t="shared" ca="1" si="3"/>
        <v xml:space="preserve"> - </v>
      </c>
      <c r="Z20" s="12" t="str">
        <f t="shared" ca="1" si="3"/>
        <v xml:space="preserve"> - </v>
      </c>
      <c r="AA20" s="12" t="str">
        <f t="shared" ca="1" si="3"/>
        <v xml:space="preserve"> - </v>
      </c>
      <c r="AB20" s="12" t="str">
        <f t="shared" ca="1" si="4"/>
        <v xml:space="preserve"> - </v>
      </c>
      <c r="AC20" s="12" t="str">
        <f t="shared" ca="1" si="4"/>
        <v xml:space="preserve"> - </v>
      </c>
      <c r="AD20" s="12" t="str">
        <f t="shared" ca="1" si="4"/>
        <v xml:space="preserve"> - </v>
      </c>
      <c r="AE20" s="12" t="str">
        <f t="shared" ca="1" si="4"/>
        <v xml:space="preserve"> - </v>
      </c>
      <c r="AF20" s="12" t="str">
        <f t="shared" ca="1" si="4"/>
        <v xml:space="preserve"> - </v>
      </c>
      <c r="AG20" s="12" t="str">
        <f t="shared" ca="1" si="4"/>
        <v xml:space="preserve"> - </v>
      </c>
      <c r="AH20" s="12" t="str">
        <f t="shared" ca="1" si="4"/>
        <v xml:space="preserve"> - </v>
      </c>
      <c r="AI20" s="12" t="str">
        <f t="shared" ca="1" si="4"/>
        <v xml:space="preserve"> - </v>
      </c>
      <c r="AJ20" s="12" t="str">
        <f t="shared" ca="1" si="4"/>
        <v xml:space="preserve"> - </v>
      </c>
      <c r="AK20" s="12" t="str">
        <f t="shared" ca="1" si="4"/>
        <v xml:space="preserve"> - </v>
      </c>
      <c r="AL20" s="12" t="str">
        <f t="shared" ca="1" si="4"/>
        <v xml:space="preserve"> - </v>
      </c>
      <c r="AM20" s="12" t="str">
        <f t="shared" ca="1" si="4"/>
        <v xml:space="preserve"> - </v>
      </c>
      <c r="AN20" s="12" t="str">
        <f t="shared" ca="1" si="4"/>
        <v xml:space="preserve"> - </v>
      </c>
      <c r="AO20" s="12" t="str">
        <f t="shared" ca="1" si="4"/>
        <v xml:space="preserve"> - </v>
      </c>
      <c r="AP20" s="12" t="str">
        <f t="shared" ca="1" si="4"/>
        <v xml:space="preserve"> - </v>
      </c>
      <c r="AQ20" s="12" t="str">
        <f t="shared" ca="1" si="4"/>
        <v xml:space="preserve"> - </v>
      </c>
      <c r="AR20" s="12" t="str">
        <f t="shared" ca="1" si="5"/>
        <v xml:space="preserve"> - </v>
      </c>
      <c r="AS20" s="12" t="str">
        <f t="shared" ca="1" si="5"/>
        <v xml:space="preserve"> - </v>
      </c>
      <c r="AT20" s="12" t="str">
        <f t="shared" ca="1" si="5"/>
        <v xml:space="preserve"> - </v>
      </c>
      <c r="AU20" s="12" t="str">
        <f t="shared" ca="1" si="5"/>
        <v xml:space="preserve"> - </v>
      </c>
      <c r="AV20" s="12" t="str">
        <f t="shared" ca="1" si="5"/>
        <v xml:space="preserve"> - </v>
      </c>
      <c r="AW20" s="12" t="str">
        <f t="shared" ca="1" si="5"/>
        <v xml:space="preserve"> - </v>
      </c>
      <c r="AX20" s="12" t="str">
        <f t="shared" ca="1" si="5"/>
        <v xml:space="preserve"> - </v>
      </c>
      <c r="AY20" s="12" t="str">
        <f t="shared" ca="1" si="5"/>
        <v xml:space="preserve"> - </v>
      </c>
      <c r="AZ20" s="12" t="str">
        <f t="shared" ca="1" si="5"/>
        <v xml:space="preserve"> - </v>
      </c>
      <c r="BA20" s="12" t="str">
        <f t="shared" ca="1" si="5"/>
        <v xml:space="preserve"> - </v>
      </c>
      <c r="BB20" s="12" t="str">
        <f t="shared" ca="1" si="5"/>
        <v xml:space="preserve"> - </v>
      </c>
      <c r="BC20" s="12" t="str">
        <f t="shared" ca="1" si="5"/>
        <v xml:space="preserve"> - </v>
      </c>
      <c r="BD20" s="12" t="str">
        <f t="shared" ca="1" si="5"/>
        <v xml:space="preserve"> - </v>
      </c>
      <c r="BE20" s="12" t="str">
        <f t="shared" ca="1" si="5"/>
        <v xml:space="preserve"> - </v>
      </c>
      <c r="BF20" s="12" t="str">
        <f t="shared" ca="1" si="5"/>
        <v xml:space="preserve"> - </v>
      </c>
      <c r="BG20" s="12" t="str">
        <f t="shared" ca="1" si="8"/>
        <v xml:space="preserve"> - </v>
      </c>
      <c r="BH20" s="12" t="str">
        <f t="shared" ca="1" si="6"/>
        <v xml:space="preserve"> - </v>
      </c>
      <c r="BI20" s="12" t="str">
        <f t="shared" ca="1" si="6"/>
        <v xml:space="preserve"> - </v>
      </c>
      <c r="BJ20" s="12" t="str">
        <f t="shared" ca="1" si="6"/>
        <v xml:space="preserve"> - </v>
      </c>
      <c r="BK20" s="12" t="str">
        <f t="shared" ca="1" si="6"/>
        <v xml:space="preserve"> - </v>
      </c>
      <c r="BL20" s="12" t="str">
        <f t="shared" ca="1" si="6"/>
        <v xml:space="preserve"> - </v>
      </c>
      <c r="BM20" s="12" t="str">
        <f t="shared" ca="1" si="6"/>
        <v xml:space="preserve"> - </v>
      </c>
      <c r="BN20" s="12" t="str">
        <f t="shared" ca="1" si="6"/>
        <v xml:space="preserve"> - </v>
      </c>
      <c r="BO20" s="12" t="str">
        <f t="shared" ca="1" si="6"/>
        <v xml:space="preserve"> - </v>
      </c>
      <c r="BP20" s="12" t="str">
        <f t="shared" ca="1" si="6"/>
        <v xml:space="preserve"> - </v>
      </c>
      <c r="BQ20" s="12" t="str">
        <f t="shared" ca="1" si="6"/>
        <v xml:space="preserve"> - </v>
      </c>
      <c r="BR20" s="12" t="str">
        <f t="shared" ca="1" si="6"/>
        <v xml:space="preserve"> - </v>
      </c>
      <c r="BS20" s="12" t="str">
        <f t="shared" ca="1" si="6"/>
        <v xml:space="preserve"> - </v>
      </c>
      <c r="BT20" s="12" t="str">
        <f t="shared" ca="1" si="6"/>
        <v xml:space="preserve"> - </v>
      </c>
      <c r="BU20" s="12" t="str">
        <f t="shared" ca="1" si="6"/>
        <v xml:space="preserve"> - </v>
      </c>
      <c r="BV20" s="12" t="str">
        <f t="shared" ca="1" si="6"/>
        <v xml:space="preserve"> - </v>
      </c>
    </row>
    <row r="21" spans="1:74" ht="15" customHeight="1">
      <c r="A21" s="14">
        <f>IF('Player Scoreboard'!A21&lt;&gt;"",'Player Scoreboard'!A21,"")</f>
        <v>12</v>
      </c>
      <c r="B21" s="45" t="s">
        <v>3900</v>
      </c>
      <c r="C21" s="49" t="str">
        <f>IF('Player Name'!C17&lt;&gt;"",'Player Name'!C17,"")</f>
        <v>John 12</v>
      </c>
      <c r="D21" s="26">
        <f ca="1">IF($C21&lt;&gt;"",'Player Scoreboard'!D21,"")</f>
        <v>0</v>
      </c>
      <c r="E21" s="14">
        <f ca="1">IF($C21&lt;&gt;"",'Player Scoreboard'!E21,"")</f>
        <v>0</v>
      </c>
      <c r="F21" s="26">
        <f ca="1">IF($C21&lt;&gt;"",'Player Scoreboard'!F21,"")</f>
        <v>0</v>
      </c>
      <c r="G21" s="26">
        <f ca="1">IF($C21&lt;&gt;"",'Player Scoreboard'!G21,"")</f>
        <v>0</v>
      </c>
      <c r="H21" s="26">
        <f ca="1">IF($C21&lt;&gt;"",'Player Scoreboard'!H21,"")</f>
        <v>0</v>
      </c>
      <c r="I21" s="26">
        <f ca="1">IF($C21&lt;&gt;"",'Player Scoreboard'!I21,"")</f>
        <v>0</v>
      </c>
      <c r="J21" s="50" t="str">
        <f>HYPERLINK("["&amp;Setup!$C$5&amp;"]'"&amp;B21&amp;"'!D4","Update score")</f>
        <v>Update score</v>
      </c>
      <c r="K21" s="14" t="str">
        <f t="shared" ca="1" si="7"/>
        <v xml:space="preserve"> - </v>
      </c>
      <c r="L21" s="14" t="str">
        <f t="shared" ca="1" si="3"/>
        <v xml:space="preserve"> - </v>
      </c>
      <c r="M21" s="14" t="str">
        <f t="shared" ca="1" si="3"/>
        <v xml:space="preserve"> - </v>
      </c>
      <c r="N21" s="14" t="str">
        <f t="shared" ca="1" si="3"/>
        <v xml:space="preserve"> - </v>
      </c>
      <c r="O21" s="14" t="str">
        <f t="shared" ca="1" si="3"/>
        <v xml:space="preserve"> - </v>
      </c>
      <c r="P21" s="14" t="str">
        <f t="shared" ca="1" si="3"/>
        <v xml:space="preserve"> - </v>
      </c>
      <c r="Q21" s="14" t="str">
        <f t="shared" ca="1" si="3"/>
        <v xml:space="preserve"> - </v>
      </c>
      <c r="R21" s="14" t="str">
        <f t="shared" ca="1" si="3"/>
        <v xml:space="preserve"> - </v>
      </c>
      <c r="S21" s="14" t="str">
        <f t="shared" ca="1" si="3"/>
        <v xml:space="preserve"> - </v>
      </c>
      <c r="T21" s="14" t="str">
        <f t="shared" ca="1" si="3"/>
        <v xml:space="preserve"> - </v>
      </c>
      <c r="U21" s="14" t="str">
        <f t="shared" ca="1" si="3"/>
        <v xml:space="preserve"> - </v>
      </c>
      <c r="V21" s="14" t="str">
        <f t="shared" ca="1" si="3"/>
        <v xml:space="preserve"> - </v>
      </c>
      <c r="W21" s="14" t="str">
        <f t="shared" ca="1" si="3"/>
        <v xml:space="preserve"> - </v>
      </c>
      <c r="X21" s="14" t="str">
        <f t="shared" ca="1" si="3"/>
        <v xml:space="preserve"> - </v>
      </c>
      <c r="Y21" s="14" t="str">
        <f t="shared" ca="1" si="3"/>
        <v xml:space="preserve"> - </v>
      </c>
      <c r="Z21" s="14" t="str">
        <f t="shared" ca="1" si="3"/>
        <v xml:space="preserve"> - </v>
      </c>
      <c r="AA21" s="14" t="str">
        <f t="shared" ca="1" si="3"/>
        <v xml:space="preserve"> - </v>
      </c>
      <c r="AB21" s="14" t="str">
        <f t="shared" ca="1" si="4"/>
        <v xml:space="preserve"> - </v>
      </c>
      <c r="AC21" s="14" t="str">
        <f t="shared" ca="1" si="4"/>
        <v xml:space="preserve"> - </v>
      </c>
      <c r="AD21" s="14" t="str">
        <f t="shared" ca="1" si="4"/>
        <v xml:space="preserve"> - </v>
      </c>
      <c r="AE21" s="14" t="str">
        <f t="shared" ca="1" si="4"/>
        <v xml:space="preserve"> - </v>
      </c>
      <c r="AF21" s="14" t="str">
        <f t="shared" ca="1" si="4"/>
        <v xml:space="preserve"> - </v>
      </c>
      <c r="AG21" s="14" t="str">
        <f t="shared" ca="1" si="4"/>
        <v xml:space="preserve"> - </v>
      </c>
      <c r="AH21" s="14" t="str">
        <f t="shared" ca="1" si="4"/>
        <v xml:space="preserve"> - </v>
      </c>
      <c r="AI21" s="14" t="str">
        <f t="shared" ca="1" si="4"/>
        <v xml:space="preserve"> - </v>
      </c>
      <c r="AJ21" s="14" t="str">
        <f t="shared" ca="1" si="4"/>
        <v xml:space="preserve"> - </v>
      </c>
      <c r="AK21" s="14" t="str">
        <f t="shared" ca="1" si="4"/>
        <v xml:space="preserve"> - </v>
      </c>
      <c r="AL21" s="14" t="str">
        <f t="shared" ca="1" si="4"/>
        <v xml:space="preserve"> - </v>
      </c>
      <c r="AM21" s="14" t="str">
        <f t="shared" ca="1" si="4"/>
        <v xml:space="preserve"> - </v>
      </c>
      <c r="AN21" s="14" t="str">
        <f t="shared" ca="1" si="4"/>
        <v xml:space="preserve"> - </v>
      </c>
      <c r="AO21" s="14" t="str">
        <f t="shared" ca="1" si="4"/>
        <v xml:space="preserve"> - </v>
      </c>
      <c r="AP21" s="14" t="str">
        <f t="shared" ca="1" si="4"/>
        <v xml:space="preserve"> - </v>
      </c>
      <c r="AQ21" s="14" t="str">
        <f t="shared" ca="1" si="4"/>
        <v xml:space="preserve"> - </v>
      </c>
      <c r="AR21" s="14" t="str">
        <f t="shared" ca="1" si="5"/>
        <v xml:space="preserve"> - </v>
      </c>
      <c r="AS21" s="14" t="str">
        <f t="shared" ca="1" si="5"/>
        <v xml:space="preserve"> - </v>
      </c>
      <c r="AT21" s="14" t="str">
        <f t="shared" ca="1" si="5"/>
        <v xml:space="preserve"> - </v>
      </c>
      <c r="AU21" s="14" t="str">
        <f t="shared" ca="1" si="5"/>
        <v xml:space="preserve"> - </v>
      </c>
      <c r="AV21" s="14" t="str">
        <f t="shared" ca="1" si="5"/>
        <v xml:space="preserve"> - </v>
      </c>
      <c r="AW21" s="14" t="str">
        <f t="shared" ca="1" si="5"/>
        <v xml:space="preserve"> - </v>
      </c>
      <c r="AX21" s="14" t="str">
        <f t="shared" ca="1" si="5"/>
        <v xml:space="preserve"> - </v>
      </c>
      <c r="AY21" s="14" t="str">
        <f t="shared" ca="1" si="5"/>
        <v xml:space="preserve"> - </v>
      </c>
      <c r="AZ21" s="14" t="str">
        <f t="shared" ca="1" si="5"/>
        <v xml:space="preserve"> - </v>
      </c>
      <c r="BA21" s="14" t="str">
        <f t="shared" ca="1" si="5"/>
        <v xml:space="preserve"> - </v>
      </c>
      <c r="BB21" s="14" t="str">
        <f t="shared" ca="1" si="5"/>
        <v xml:space="preserve"> - </v>
      </c>
      <c r="BC21" s="14" t="str">
        <f t="shared" ca="1" si="5"/>
        <v xml:space="preserve"> - </v>
      </c>
      <c r="BD21" s="14" t="str">
        <f t="shared" ca="1" si="5"/>
        <v xml:space="preserve"> - </v>
      </c>
      <c r="BE21" s="14" t="str">
        <f t="shared" ca="1" si="5"/>
        <v xml:space="preserve"> - </v>
      </c>
      <c r="BF21" s="14" t="str">
        <f t="shared" ca="1" si="5"/>
        <v xml:space="preserve"> - </v>
      </c>
      <c r="BG21" s="14" t="str">
        <f t="shared" ca="1" si="8"/>
        <v xml:space="preserve"> - </v>
      </c>
      <c r="BH21" s="14" t="str">
        <f t="shared" ca="1" si="6"/>
        <v xml:space="preserve"> - </v>
      </c>
      <c r="BI21" s="14" t="str">
        <f t="shared" ca="1" si="6"/>
        <v xml:space="preserve"> - </v>
      </c>
      <c r="BJ21" s="14" t="str">
        <f t="shared" ca="1" si="6"/>
        <v xml:space="preserve"> - </v>
      </c>
      <c r="BK21" s="14" t="str">
        <f t="shared" ca="1" si="6"/>
        <v xml:space="preserve"> - </v>
      </c>
      <c r="BL21" s="14" t="str">
        <f t="shared" ca="1" si="6"/>
        <v xml:space="preserve"> - </v>
      </c>
      <c r="BM21" s="14" t="str">
        <f t="shared" ca="1" si="6"/>
        <v xml:space="preserve"> - </v>
      </c>
      <c r="BN21" s="14" t="str">
        <f t="shared" ca="1" si="6"/>
        <v xml:space="preserve"> - </v>
      </c>
      <c r="BO21" s="14" t="str">
        <f t="shared" ca="1" si="6"/>
        <v xml:space="preserve"> - </v>
      </c>
      <c r="BP21" s="14" t="str">
        <f t="shared" ca="1" si="6"/>
        <v xml:space="preserve"> - </v>
      </c>
      <c r="BQ21" s="14" t="str">
        <f t="shared" ca="1" si="6"/>
        <v xml:space="preserve"> - </v>
      </c>
      <c r="BR21" s="14" t="str">
        <f t="shared" ca="1" si="6"/>
        <v xml:space="preserve"> - </v>
      </c>
      <c r="BS21" s="14" t="str">
        <f t="shared" ca="1" si="6"/>
        <v xml:space="preserve"> - </v>
      </c>
      <c r="BT21" s="14" t="str">
        <f t="shared" ca="1" si="6"/>
        <v xml:space="preserve"> - </v>
      </c>
      <c r="BU21" s="14" t="str">
        <f t="shared" ca="1" si="6"/>
        <v xml:space="preserve"> - </v>
      </c>
      <c r="BV21" s="14" t="str">
        <f t="shared" ca="1" si="6"/>
        <v xml:space="preserve"> - </v>
      </c>
    </row>
    <row r="22" spans="1:74" ht="15" customHeight="1">
      <c r="A22" s="12">
        <f>IF('Player Scoreboard'!A22&lt;&gt;"",'Player Scoreboard'!A22,"")</f>
        <v>13</v>
      </c>
      <c r="B22" s="45" t="s">
        <v>3901</v>
      </c>
      <c r="C22" s="46" t="str">
        <f>IF('Player Name'!C18&lt;&gt;"",'Player Name'!C18,"")</f>
        <v>John 13</v>
      </c>
      <c r="D22" s="25">
        <f ca="1">IF($C22&lt;&gt;"",'Player Scoreboard'!D22,"")</f>
        <v>0</v>
      </c>
      <c r="E22" s="12">
        <f ca="1">IF($C22&lt;&gt;"",'Player Scoreboard'!E22,"")</f>
        <v>0</v>
      </c>
      <c r="F22" s="25">
        <f ca="1">IF($C22&lt;&gt;"",'Player Scoreboard'!F22,"")</f>
        <v>0</v>
      </c>
      <c r="G22" s="25">
        <f ca="1">IF($C22&lt;&gt;"",'Player Scoreboard'!G22,"")</f>
        <v>0</v>
      </c>
      <c r="H22" s="25">
        <f ca="1">IF($C22&lt;&gt;"",'Player Scoreboard'!H22,"")</f>
        <v>0</v>
      </c>
      <c r="I22" s="25">
        <f ca="1">IF($C22&lt;&gt;"",'Player Scoreboard'!I22,"")</f>
        <v>0</v>
      </c>
      <c r="J22" s="51" t="str">
        <f>HYPERLINK("["&amp;Setup!$C$5&amp;"]'"&amp;B22&amp;"'!D4","Update score")</f>
        <v>Update score</v>
      </c>
      <c r="K22" s="12" t="str">
        <f t="shared" ca="1" si="7"/>
        <v xml:space="preserve"> - </v>
      </c>
      <c r="L22" s="12" t="str">
        <f t="shared" ca="1" si="3"/>
        <v xml:space="preserve"> - </v>
      </c>
      <c r="M22" s="12" t="str">
        <f t="shared" ca="1" si="3"/>
        <v xml:space="preserve"> - </v>
      </c>
      <c r="N22" s="12" t="str">
        <f t="shared" ca="1" si="3"/>
        <v xml:space="preserve"> - </v>
      </c>
      <c r="O22" s="12" t="str">
        <f t="shared" ca="1" si="3"/>
        <v xml:space="preserve"> - </v>
      </c>
      <c r="P22" s="12" t="str">
        <f t="shared" ca="1" si="3"/>
        <v xml:space="preserve"> - </v>
      </c>
      <c r="Q22" s="12" t="str">
        <f t="shared" ca="1" si="3"/>
        <v xml:space="preserve"> - </v>
      </c>
      <c r="R22" s="12" t="str">
        <f t="shared" ca="1" si="3"/>
        <v xml:space="preserve"> - </v>
      </c>
      <c r="S22" s="12" t="str">
        <f t="shared" ca="1" si="3"/>
        <v xml:space="preserve"> - </v>
      </c>
      <c r="T22" s="12" t="str">
        <f t="shared" ca="1" si="3"/>
        <v xml:space="preserve"> - </v>
      </c>
      <c r="U22" s="12" t="str">
        <f t="shared" ca="1" si="3"/>
        <v xml:space="preserve"> - </v>
      </c>
      <c r="V22" s="12" t="str">
        <f t="shared" ca="1" si="3"/>
        <v xml:space="preserve"> - </v>
      </c>
      <c r="W22" s="12" t="str">
        <f t="shared" ca="1" si="3"/>
        <v xml:space="preserve"> - </v>
      </c>
      <c r="X22" s="12" t="str">
        <f t="shared" ca="1" si="3"/>
        <v xml:space="preserve"> - </v>
      </c>
      <c r="Y22" s="12" t="str">
        <f t="shared" ca="1" si="3"/>
        <v xml:space="preserve"> - </v>
      </c>
      <c r="Z22" s="12" t="str">
        <f t="shared" ca="1" si="3"/>
        <v xml:space="preserve"> - </v>
      </c>
      <c r="AA22" s="12" t="str">
        <f t="shared" ca="1" si="3"/>
        <v xml:space="preserve"> - </v>
      </c>
      <c r="AB22" s="12" t="str">
        <f t="shared" ca="1" si="4"/>
        <v xml:space="preserve"> - </v>
      </c>
      <c r="AC22" s="12" t="str">
        <f t="shared" ca="1" si="4"/>
        <v xml:space="preserve"> - </v>
      </c>
      <c r="AD22" s="12" t="str">
        <f t="shared" ca="1" si="4"/>
        <v xml:space="preserve"> - </v>
      </c>
      <c r="AE22" s="12" t="str">
        <f t="shared" ca="1" si="4"/>
        <v xml:space="preserve"> - </v>
      </c>
      <c r="AF22" s="12" t="str">
        <f t="shared" ca="1" si="4"/>
        <v xml:space="preserve"> - </v>
      </c>
      <c r="AG22" s="12" t="str">
        <f t="shared" ca="1" si="4"/>
        <v xml:space="preserve"> - </v>
      </c>
      <c r="AH22" s="12" t="str">
        <f t="shared" ca="1" si="4"/>
        <v xml:space="preserve"> - </v>
      </c>
      <c r="AI22" s="12" t="str">
        <f t="shared" ca="1" si="4"/>
        <v xml:space="preserve"> - </v>
      </c>
      <c r="AJ22" s="12" t="str">
        <f t="shared" ca="1" si="4"/>
        <v xml:space="preserve"> - </v>
      </c>
      <c r="AK22" s="12" t="str">
        <f t="shared" ca="1" si="4"/>
        <v xml:space="preserve"> - </v>
      </c>
      <c r="AL22" s="12" t="str">
        <f t="shared" ca="1" si="4"/>
        <v xml:space="preserve"> - </v>
      </c>
      <c r="AM22" s="12" t="str">
        <f t="shared" ca="1" si="4"/>
        <v xml:space="preserve"> - </v>
      </c>
      <c r="AN22" s="12" t="str">
        <f t="shared" ca="1" si="4"/>
        <v xml:space="preserve"> - </v>
      </c>
      <c r="AO22" s="12" t="str">
        <f t="shared" ca="1" si="4"/>
        <v xml:space="preserve"> - </v>
      </c>
      <c r="AP22" s="12" t="str">
        <f t="shared" ca="1" si="4"/>
        <v xml:space="preserve"> - </v>
      </c>
      <c r="AQ22" s="12" t="str">
        <f t="shared" ca="1" si="4"/>
        <v xml:space="preserve"> - </v>
      </c>
      <c r="AR22" s="12" t="str">
        <f t="shared" ca="1" si="5"/>
        <v xml:space="preserve"> - </v>
      </c>
      <c r="AS22" s="12" t="str">
        <f t="shared" ca="1" si="5"/>
        <v xml:space="preserve"> - </v>
      </c>
      <c r="AT22" s="12" t="str">
        <f t="shared" ca="1" si="5"/>
        <v xml:space="preserve"> - </v>
      </c>
      <c r="AU22" s="12" t="str">
        <f t="shared" ca="1" si="5"/>
        <v xml:space="preserve"> - </v>
      </c>
      <c r="AV22" s="12" t="str">
        <f t="shared" ca="1" si="5"/>
        <v xml:space="preserve"> - </v>
      </c>
      <c r="AW22" s="12" t="str">
        <f t="shared" ca="1" si="5"/>
        <v xml:space="preserve"> - </v>
      </c>
      <c r="AX22" s="12" t="str">
        <f t="shared" ca="1" si="5"/>
        <v xml:space="preserve"> - </v>
      </c>
      <c r="AY22" s="12" t="str">
        <f t="shared" ca="1" si="5"/>
        <v xml:space="preserve"> - </v>
      </c>
      <c r="AZ22" s="12" t="str">
        <f t="shared" ca="1" si="5"/>
        <v xml:space="preserve"> - </v>
      </c>
      <c r="BA22" s="12" t="str">
        <f t="shared" ca="1" si="5"/>
        <v xml:space="preserve"> - </v>
      </c>
      <c r="BB22" s="12" t="str">
        <f t="shared" ca="1" si="5"/>
        <v xml:space="preserve"> - </v>
      </c>
      <c r="BC22" s="12" t="str">
        <f t="shared" ca="1" si="5"/>
        <v xml:space="preserve"> - </v>
      </c>
      <c r="BD22" s="12" t="str">
        <f t="shared" ca="1" si="5"/>
        <v xml:space="preserve"> - </v>
      </c>
      <c r="BE22" s="12" t="str">
        <f t="shared" ca="1" si="5"/>
        <v xml:space="preserve"> - </v>
      </c>
      <c r="BF22" s="12" t="str">
        <f t="shared" ca="1" si="5"/>
        <v xml:space="preserve"> - </v>
      </c>
      <c r="BG22" s="12" t="str">
        <f t="shared" ca="1" si="8"/>
        <v xml:space="preserve"> - </v>
      </c>
      <c r="BH22" s="12" t="str">
        <f t="shared" ca="1" si="6"/>
        <v xml:space="preserve"> - </v>
      </c>
      <c r="BI22" s="12" t="str">
        <f t="shared" ca="1" si="6"/>
        <v xml:space="preserve"> - </v>
      </c>
      <c r="BJ22" s="12" t="str">
        <f t="shared" ca="1" si="6"/>
        <v xml:space="preserve"> - </v>
      </c>
      <c r="BK22" s="12" t="str">
        <f t="shared" ca="1" si="6"/>
        <v xml:space="preserve"> - </v>
      </c>
      <c r="BL22" s="12" t="str">
        <f t="shared" ca="1" si="6"/>
        <v xml:space="preserve"> - </v>
      </c>
      <c r="BM22" s="12" t="str">
        <f t="shared" ca="1" si="6"/>
        <v xml:space="preserve"> - </v>
      </c>
      <c r="BN22" s="12" t="str">
        <f t="shared" ca="1" si="6"/>
        <v xml:space="preserve"> - </v>
      </c>
      <c r="BO22" s="12" t="str">
        <f t="shared" ca="1" si="6"/>
        <v xml:space="preserve"> - </v>
      </c>
      <c r="BP22" s="12" t="str">
        <f t="shared" ca="1" si="6"/>
        <v xml:space="preserve"> - </v>
      </c>
      <c r="BQ22" s="12" t="str">
        <f t="shared" ca="1" si="6"/>
        <v xml:space="preserve"> - </v>
      </c>
      <c r="BR22" s="12" t="str">
        <f t="shared" ca="1" si="6"/>
        <v xml:space="preserve"> - </v>
      </c>
      <c r="BS22" s="12" t="str">
        <f t="shared" ca="1" si="6"/>
        <v xml:space="preserve"> - </v>
      </c>
      <c r="BT22" s="12" t="str">
        <f t="shared" ca="1" si="6"/>
        <v xml:space="preserve"> - </v>
      </c>
      <c r="BU22" s="12" t="str">
        <f t="shared" ca="1" si="6"/>
        <v xml:space="preserve"> - </v>
      </c>
      <c r="BV22" s="12" t="str">
        <f t="shared" ca="1" si="6"/>
        <v xml:space="preserve"> - </v>
      </c>
    </row>
    <row r="23" spans="1:74" ht="15" customHeight="1">
      <c r="A23" s="14">
        <f>IF('Player Scoreboard'!A23&lt;&gt;"",'Player Scoreboard'!A23,"")</f>
        <v>14</v>
      </c>
      <c r="B23" s="45" t="s">
        <v>3902</v>
      </c>
      <c r="C23" s="49" t="str">
        <f>IF('Player Name'!C19&lt;&gt;"",'Player Name'!C19,"")</f>
        <v>John 14</v>
      </c>
      <c r="D23" s="26">
        <f ca="1">IF($C23&lt;&gt;"",'Player Scoreboard'!D23,"")</f>
        <v>0</v>
      </c>
      <c r="E23" s="14">
        <f ca="1">IF($C23&lt;&gt;"",'Player Scoreboard'!E23,"")</f>
        <v>0</v>
      </c>
      <c r="F23" s="26">
        <f ca="1">IF($C23&lt;&gt;"",'Player Scoreboard'!F23,"")</f>
        <v>0</v>
      </c>
      <c r="G23" s="26">
        <f ca="1">IF($C23&lt;&gt;"",'Player Scoreboard'!G23,"")</f>
        <v>0</v>
      </c>
      <c r="H23" s="26">
        <f ca="1">IF($C23&lt;&gt;"",'Player Scoreboard'!H23,"")</f>
        <v>0</v>
      </c>
      <c r="I23" s="26">
        <f ca="1">IF($C23&lt;&gt;"",'Player Scoreboard'!I23,"")</f>
        <v>0</v>
      </c>
      <c r="J23" s="50" t="str">
        <f>HYPERLINK("["&amp;Setup!$C$5&amp;"]'"&amp;B23&amp;"'!D4","Update score")</f>
        <v>Update score</v>
      </c>
      <c r="K23" s="14" t="str">
        <f t="shared" ca="1" si="7"/>
        <v xml:space="preserve"> - </v>
      </c>
      <c r="L23" s="14" t="str">
        <f t="shared" ca="1" si="3"/>
        <v xml:space="preserve"> - </v>
      </c>
      <c r="M23" s="14" t="str">
        <f t="shared" ca="1" si="3"/>
        <v xml:space="preserve"> - </v>
      </c>
      <c r="N23" s="14" t="str">
        <f t="shared" ca="1" si="3"/>
        <v xml:space="preserve"> - </v>
      </c>
      <c r="O23" s="14" t="str">
        <f t="shared" ca="1" si="3"/>
        <v xml:space="preserve"> - </v>
      </c>
      <c r="P23" s="14" t="str">
        <f t="shared" ca="1" si="3"/>
        <v xml:space="preserve"> - </v>
      </c>
      <c r="Q23" s="14" t="str">
        <f t="shared" ca="1" si="3"/>
        <v xml:space="preserve"> - </v>
      </c>
      <c r="R23" s="14" t="str">
        <f t="shared" ca="1" si="3"/>
        <v xml:space="preserve"> - </v>
      </c>
      <c r="S23" s="14" t="str">
        <f t="shared" ca="1" si="3"/>
        <v xml:space="preserve"> - </v>
      </c>
      <c r="T23" s="14" t="str">
        <f t="shared" ca="1" si="3"/>
        <v xml:space="preserve"> - </v>
      </c>
      <c r="U23" s="14" t="str">
        <f t="shared" ca="1" si="3"/>
        <v xml:space="preserve"> - </v>
      </c>
      <c r="V23" s="14" t="str">
        <f t="shared" ca="1" si="3"/>
        <v xml:space="preserve"> - </v>
      </c>
      <c r="W23" s="14" t="str">
        <f t="shared" ca="1" si="3"/>
        <v xml:space="preserve"> - </v>
      </c>
      <c r="X23" s="14" t="str">
        <f t="shared" ca="1" si="3"/>
        <v xml:space="preserve"> - </v>
      </c>
      <c r="Y23" s="14" t="str">
        <f t="shared" ca="1" si="3"/>
        <v xml:space="preserve"> - </v>
      </c>
      <c r="Z23" s="14" t="str">
        <f t="shared" ca="1" si="3"/>
        <v xml:space="preserve"> - </v>
      </c>
      <c r="AA23" s="14" t="str">
        <f t="shared" ca="1" si="3"/>
        <v xml:space="preserve"> - </v>
      </c>
      <c r="AB23" s="14" t="str">
        <f t="shared" ca="1" si="4"/>
        <v xml:space="preserve"> - </v>
      </c>
      <c r="AC23" s="14" t="str">
        <f t="shared" ca="1" si="4"/>
        <v xml:space="preserve"> - </v>
      </c>
      <c r="AD23" s="14" t="str">
        <f t="shared" ca="1" si="4"/>
        <v xml:space="preserve"> - </v>
      </c>
      <c r="AE23" s="14" t="str">
        <f t="shared" ca="1" si="4"/>
        <v xml:space="preserve"> - </v>
      </c>
      <c r="AF23" s="14" t="str">
        <f t="shared" ca="1" si="4"/>
        <v xml:space="preserve"> - </v>
      </c>
      <c r="AG23" s="14" t="str">
        <f t="shared" ca="1" si="4"/>
        <v xml:space="preserve"> - </v>
      </c>
      <c r="AH23" s="14" t="str">
        <f t="shared" ca="1" si="4"/>
        <v xml:space="preserve"> - </v>
      </c>
      <c r="AI23" s="14" t="str">
        <f t="shared" ca="1" si="4"/>
        <v xml:space="preserve"> - </v>
      </c>
      <c r="AJ23" s="14" t="str">
        <f t="shared" ca="1" si="4"/>
        <v xml:space="preserve"> - </v>
      </c>
      <c r="AK23" s="14" t="str">
        <f t="shared" ca="1" si="4"/>
        <v xml:space="preserve"> - </v>
      </c>
      <c r="AL23" s="14" t="str">
        <f t="shared" ca="1" si="4"/>
        <v xml:space="preserve"> - </v>
      </c>
      <c r="AM23" s="14" t="str">
        <f t="shared" ca="1" si="4"/>
        <v xml:space="preserve"> - </v>
      </c>
      <c r="AN23" s="14" t="str">
        <f t="shared" ca="1" si="4"/>
        <v xml:space="preserve"> - </v>
      </c>
      <c r="AO23" s="14" t="str">
        <f t="shared" ca="1" si="4"/>
        <v xml:space="preserve"> - </v>
      </c>
      <c r="AP23" s="14" t="str">
        <f t="shared" ca="1" si="4"/>
        <v xml:space="preserve"> - </v>
      </c>
      <c r="AQ23" s="14" t="str">
        <f t="shared" ca="1" si="4"/>
        <v xml:space="preserve"> - </v>
      </c>
      <c r="AR23" s="14" t="str">
        <f t="shared" ca="1" si="5"/>
        <v xml:space="preserve"> - </v>
      </c>
      <c r="AS23" s="14" t="str">
        <f t="shared" ca="1" si="5"/>
        <v xml:space="preserve"> - </v>
      </c>
      <c r="AT23" s="14" t="str">
        <f t="shared" ca="1" si="5"/>
        <v xml:space="preserve"> - </v>
      </c>
      <c r="AU23" s="14" t="str">
        <f t="shared" ca="1" si="5"/>
        <v xml:space="preserve"> - </v>
      </c>
      <c r="AV23" s="14" t="str">
        <f t="shared" ca="1" si="5"/>
        <v xml:space="preserve"> - </v>
      </c>
      <c r="AW23" s="14" t="str">
        <f t="shared" ca="1" si="5"/>
        <v xml:space="preserve"> - </v>
      </c>
      <c r="AX23" s="14" t="str">
        <f t="shared" ca="1" si="5"/>
        <v xml:space="preserve"> - </v>
      </c>
      <c r="AY23" s="14" t="str">
        <f t="shared" ca="1" si="5"/>
        <v xml:space="preserve"> - </v>
      </c>
      <c r="AZ23" s="14" t="str">
        <f t="shared" ca="1" si="5"/>
        <v xml:space="preserve"> - </v>
      </c>
      <c r="BA23" s="14" t="str">
        <f t="shared" ca="1" si="5"/>
        <v xml:space="preserve"> - </v>
      </c>
      <c r="BB23" s="14" t="str">
        <f t="shared" ca="1" si="5"/>
        <v xml:space="preserve"> - </v>
      </c>
      <c r="BC23" s="14" t="str">
        <f t="shared" ca="1" si="5"/>
        <v xml:space="preserve"> - </v>
      </c>
      <c r="BD23" s="14" t="str">
        <f t="shared" ca="1" si="5"/>
        <v xml:space="preserve"> - </v>
      </c>
      <c r="BE23" s="14" t="str">
        <f t="shared" ca="1" si="5"/>
        <v xml:space="preserve"> - </v>
      </c>
      <c r="BF23" s="14" t="str">
        <f t="shared" ca="1" si="5"/>
        <v xml:space="preserve"> - </v>
      </c>
      <c r="BG23" s="14" t="str">
        <f t="shared" ca="1" si="8"/>
        <v xml:space="preserve"> - </v>
      </c>
      <c r="BH23" s="14" t="str">
        <f t="shared" ca="1" si="6"/>
        <v xml:space="preserve"> - </v>
      </c>
      <c r="BI23" s="14" t="str">
        <f t="shared" ca="1" si="6"/>
        <v xml:space="preserve"> - </v>
      </c>
      <c r="BJ23" s="14" t="str">
        <f t="shared" ca="1" si="6"/>
        <v xml:space="preserve"> - </v>
      </c>
      <c r="BK23" s="14" t="str">
        <f t="shared" ca="1" si="6"/>
        <v xml:space="preserve"> - </v>
      </c>
      <c r="BL23" s="14" t="str">
        <f t="shared" ca="1" si="6"/>
        <v xml:space="preserve"> - </v>
      </c>
      <c r="BM23" s="14" t="str">
        <f t="shared" ca="1" si="6"/>
        <v xml:space="preserve"> - </v>
      </c>
      <c r="BN23" s="14" t="str">
        <f t="shared" ca="1" si="6"/>
        <v xml:space="preserve"> - </v>
      </c>
      <c r="BO23" s="14" t="str">
        <f t="shared" ca="1" si="6"/>
        <v xml:space="preserve"> - </v>
      </c>
      <c r="BP23" s="14" t="str">
        <f t="shared" ca="1" si="6"/>
        <v xml:space="preserve"> - </v>
      </c>
      <c r="BQ23" s="14" t="str">
        <f t="shared" ca="1" si="6"/>
        <v xml:space="preserve"> - </v>
      </c>
      <c r="BR23" s="14" t="str">
        <f t="shared" ca="1" si="6"/>
        <v xml:space="preserve"> - </v>
      </c>
      <c r="BS23" s="14" t="str">
        <f t="shared" ca="1" si="6"/>
        <v xml:space="preserve"> - </v>
      </c>
      <c r="BT23" s="14" t="str">
        <f t="shared" ca="1" si="6"/>
        <v xml:space="preserve"> - </v>
      </c>
      <c r="BU23" s="14" t="str">
        <f t="shared" ca="1" si="6"/>
        <v xml:space="preserve"> - </v>
      </c>
      <c r="BV23" s="14" t="str">
        <f t="shared" ca="1" si="6"/>
        <v xml:space="preserve"> - </v>
      </c>
    </row>
    <row r="24" spans="1:74" ht="15" customHeight="1">
      <c r="A24" s="12">
        <f>IF('Player Scoreboard'!A24&lt;&gt;"",'Player Scoreboard'!A24,"")</f>
        <v>15</v>
      </c>
      <c r="B24" s="45" t="s">
        <v>3903</v>
      </c>
      <c r="C24" s="46" t="str">
        <f>IF('Player Name'!C20&lt;&gt;"",'Player Name'!C20,"")</f>
        <v>John 15</v>
      </c>
      <c r="D24" s="25">
        <f ca="1">IF($C24&lt;&gt;"",'Player Scoreboard'!D24,"")</f>
        <v>0</v>
      </c>
      <c r="E24" s="12">
        <f ca="1">IF($C24&lt;&gt;"",'Player Scoreboard'!E24,"")</f>
        <v>0</v>
      </c>
      <c r="F24" s="25">
        <f ca="1">IF($C24&lt;&gt;"",'Player Scoreboard'!F24,"")</f>
        <v>0</v>
      </c>
      <c r="G24" s="25">
        <f ca="1">IF($C24&lt;&gt;"",'Player Scoreboard'!G24,"")</f>
        <v>0</v>
      </c>
      <c r="H24" s="25">
        <f ca="1">IF($C24&lt;&gt;"",'Player Scoreboard'!H24,"")</f>
        <v>0</v>
      </c>
      <c r="I24" s="25">
        <f ca="1">IF($C24&lt;&gt;"",'Player Scoreboard'!I24,"")</f>
        <v>0</v>
      </c>
      <c r="J24" s="51" t="str">
        <f>HYPERLINK("["&amp;Setup!$C$5&amp;"]'"&amp;B24&amp;"'!D4","Update score")</f>
        <v>Update score</v>
      </c>
      <c r="K24" s="12" t="str">
        <f t="shared" ca="1" si="7"/>
        <v xml:space="preserve"> - </v>
      </c>
      <c r="L24" s="12" t="str">
        <f t="shared" ca="1" si="3"/>
        <v xml:space="preserve"> - </v>
      </c>
      <c r="M24" s="12" t="str">
        <f t="shared" ca="1" si="3"/>
        <v xml:space="preserve"> - </v>
      </c>
      <c r="N24" s="12" t="str">
        <f t="shared" ca="1" si="3"/>
        <v xml:space="preserve"> - </v>
      </c>
      <c r="O24" s="12" t="str">
        <f t="shared" ca="1" si="3"/>
        <v xml:space="preserve"> - </v>
      </c>
      <c r="P24" s="12" t="str">
        <f t="shared" ca="1" si="3"/>
        <v xml:space="preserve"> - </v>
      </c>
      <c r="Q24" s="12" t="str">
        <f t="shared" ca="1" si="3"/>
        <v xml:space="preserve"> - </v>
      </c>
      <c r="R24" s="12" t="str">
        <f t="shared" ca="1" si="3"/>
        <v xml:space="preserve"> - </v>
      </c>
      <c r="S24" s="12" t="str">
        <f t="shared" ca="1" si="3"/>
        <v xml:space="preserve"> - </v>
      </c>
      <c r="T24" s="12" t="str">
        <f t="shared" ca="1" si="3"/>
        <v xml:space="preserve"> - </v>
      </c>
      <c r="U24" s="12" t="str">
        <f t="shared" ca="1" si="3"/>
        <v xml:space="preserve"> - </v>
      </c>
      <c r="V24" s="12" t="str">
        <f t="shared" ca="1" si="3"/>
        <v xml:space="preserve"> - </v>
      </c>
      <c r="W24" s="12" t="str">
        <f t="shared" ca="1" si="3"/>
        <v xml:space="preserve"> - </v>
      </c>
      <c r="X24" s="12" t="str">
        <f t="shared" ca="1" si="3"/>
        <v xml:space="preserve"> - </v>
      </c>
      <c r="Y24" s="12" t="str">
        <f t="shared" ca="1" si="3"/>
        <v xml:space="preserve"> - </v>
      </c>
      <c r="Z24" s="12" t="str">
        <f t="shared" ca="1" si="3"/>
        <v xml:space="preserve"> - </v>
      </c>
      <c r="AA24" s="12" t="str">
        <f t="shared" ca="1" si="3"/>
        <v xml:space="preserve"> - </v>
      </c>
      <c r="AB24" s="12" t="str">
        <f t="shared" ca="1" si="4"/>
        <v xml:space="preserve"> - </v>
      </c>
      <c r="AC24" s="12" t="str">
        <f t="shared" ca="1" si="4"/>
        <v xml:space="preserve"> - </v>
      </c>
      <c r="AD24" s="12" t="str">
        <f t="shared" ca="1" si="4"/>
        <v xml:space="preserve"> - </v>
      </c>
      <c r="AE24" s="12" t="str">
        <f t="shared" ca="1" si="4"/>
        <v xml:space="preserve"> - </v>
      </c>
      <c r="AF24" s="12" t="str">
        <f t="shared" ca="1" si="4"/>
        <v xml:space="preserve"> - </v>
      </c>
      <c r="AG24" s="12" t="str">
        <f t="shared" ca="1" si="4"/>
        <v xml:space="preserve"> - </v>
      </c>
      <c r="AH24" s="12" t="str">
        <f t="shared" ca="1" si="4"/>
        <v xml:space="preserve"> - </v>
      </c>
      <c r="AI24" s="12" t="str">
        <f t="shared" ca="1" si="4"/>
        <v xml:space="preserve"> - </v>
      </c>
      <c r="AJ24" s="12" t="str">
        <f t="shared" ca="1" si="4"/>
        <v xml:space="preserve"> - </v>
      </c>
      <c r="AK24" s="12" t="str">
        <f t="shared" ca="1" si="4"/>
        <v xml:space="preserve"> - </v>
      </c>
      <c r="AL24" s="12" t="str">
        <f t="shared" ca="1" si="4"/>
        <v xml:space="preserve"> - </v>
      </c>
      <c r="AM24" s="12" t="str">
        <f t="shared" ca="1" si="4"/>
        <v xml:space="preserve"> - </v>
      </c>
      <c r="AN24" s="12" t="str">
        <f t="shared" ca="1" si="4"/>
        <v xml:space="preserve"> - </v>
      </c>
      <c r="AO24" s="12" t="str">
        <f t="shared" ca="1" si="4"/>
        <v xml:space="preserve"> - </v>
      </c>
      <c r="AP24" s="12" t="str">
        <f t="shared" ca="1" si="4"/>
        <v xml:space="preserve"> - </v>
      </c>
      <c r="AQ24" s="12" t="str">
        <f t="shared" ca="1" si="4"/>
        <v xml:space="preserve"> - </v>
      </c>
      <c r="AR24" s="12" t="str">
        <f t="shared" ca="1" si="5"/>
        <v xml:space="preserve"> - </v>
      </c>
      <c r="AS24" s="12" t="str">
        <f t="shared" ca="1" si="5"/>
        <v xml:space="preserve"> - </v>
      </c>
      <c r="AT24" s="12" t="str">
        <f t="shared" ca="1" si="5"/>
        <v xml:space="preserve"> - </v>
      </c>
      <c r="AU24" s="12" t="str">
        <f t="shared" ca="1" si="5"/>
        <v xml:space="preserve"> - </v>
      </c>
      <c r="AV24" s="12" t="str">
        <f t="shared" ca="1" si="5"/>
        <v xml:space="preserve"> - </v>
      </c>
      <c r="AW24" s="12" t="str">
        <f t="shared" ca="1" si="5"/>
        <v xml:space="preserve"> - </v>
      </c>
      <c r="AX24" s="12" t="str">
        <f t="shared" ca="1" si="5"/>
        <v xml:space="preserve"> - </v>
      </c>
      <c r="AY24" s="12" t="str">
        <f t="shared" ca="1" si="5"/>
        <v xml:space="preserve"> - </v>
      </c>
      <c r="AZ24" s="12" t="str">
        <f t="shared" ca="1" si="5"/>
        <v xml:space="preserve"> - </v>
      </c>
      <c r="BA24" s="12" t="str">
        <f t="shared" ca="1" si="5"/>
        <v xml:space="preserve"> - </v>
      </c>
      <c r="BB24" s="12" t="str">
        <f t="shared" ca="1" si="5"/>
        <v xml:space="preserve"> - </v>
      </c>
      <c r="BC24" s="12" t="str">
        <f t="shared" ca="1" si="5"/>
        <v xml:space="preserve"> - </v>
      </c>
      <c r="BD24" s="12" t="str">
        <f t="shared" ca="1" si="5"/>
        <v xml:space="preserve"> - </v>
      </c>
      <c r="BE24" s="12" t="str">
        <f t="shared" ca="1" si="5"/>
        <v xml:space="preserve"> - </v>
      </c>
      <c r="BF24" s="12" t="str">
        <f t="shared" ca="1" si="5"/>
        <v xml:space="preserve"> - </v>
      </c>
      <c r="BG24" s="12" t="str">
        <f t="shared" ca="1" si="8"/>
        <v xml:space="preserve"> - </v>
      </c>
      <c r="BH24" s="12" t="str">
        <f t="shared" ca="1" si="6"/>
        <v xml:space="preserve"> - </v>
      </c>
      <c r="BI24" s="12" t="str">
        <f t="shared" ca="1" si="6"/>
        <v xml:space="preserve"> - </v>
      </c>
      <c r="BJ24" s="12" t="str">
        <f t="shared" ca="1" si="6"/>
        <v xml:space="preserve"> - </v>
      </c>
      <c r="BK24" s="12" t="str">
        <f t="shared" ca="1" si="6"/>
        <v xml:space="preserve"> - </v>
      </c>
      <c r="BL24" s="12" t="str">
        <f t="shared" ca="1" si="6"/>
        <v xml:space="preserve"> - </v>
      </c>
      <c r="BM24" s="12" t="str">
        <f t="shared" ca="1" si="6"/>
        <v xml:space="preserve"> - </v>
      </c>
      <c r="BN24" s="12" t="str">
        <f t="shared" ca="1" si="6"/>
        <v xml:space="preserve"> - </v>
      </c>
      <c r="BO24" s="12" t="str">
        <f t="shared" ca="1" si="6"/>
        <v xml:space="preserve"> - </v>
      </c>
      <c r="BP24" s="12" t="str">
        <f t="shared" ca="1" si="6"/>
        <v xml:space="preserve"> - </v>
      </c>
      <c r="BQ24" s="12" t="str">
        <f t="shared" ca="1" si="6"/>
        <v xml:space="preserve"> - </v>
      </c>
      <c r="BR24" s="12" t="str">
        <f t="shared" ca="1" si="6"/>
        <v xml:space="preserve"> - </v>
      </c>
      <c r="BS24" s="12" t="str">
        <f t="shared" ca="1" si="6"/>
        <v xml:space="preserve"> - </v>
      </c>
      <c r="BT24" s="12" t="str">
        <f t="shared" ca="1" si="6"/>
        <v xml:space="preserve"> - </v>
      </c>
      <c r="BU24" s="12" t="str">
        <f t="shared" ca="1" si="6"/>
        <v xml:space="preserve"> - </v>
      </c>
      <c r="BV24" s="12" t="str">
        <f t="shared" ca="1" si="6"/>
        <v xml:space="preserve"> - </v>
      </c>
    </row>
  </sheetData>
  <sheetProtection password="CE4F" sheet="1" objects="1" scenarios="1"/>
  <mergeCells count="14">
    <mergeCell ref="BG5:BN5"/>
    <mergeCell ref="BO5:BR5"/>
    <mergeCell ref="BS5:BT5"/>
    <mergeCell ref="A7:A9"/>
    <mergeCell ref="C7:C9"/>
    <mergeCell ref="D7:D9"/>
    <mergeCell ref="E7:E9"/>
    <mergeCell ref="F7:G7"/>
    <mergeCell ref="H7:I7"/>
    <mergeCell ref="F8:F9"/>
    <mergeCell ref="G8:G9"/>
    <mergeCell ref="H8:H9"/>
    <mergeCell ref="I8:I9"/>
    <mergeCell ref="K5:BF5"/>
  </mergeCells>
  <conditionalFormatting sqref="J24 J22 J20 J18 J16 J14 J12 J10">
    <cfRule type="expression" dxfId="591" priority="10">
      <formula>$C10=""</formula>
    </cfRule>
  </conditionalFormatting>
  <conditionalFormatting sqref="J23 J21 J19 J17 J15 J13 J11">
    <cfRule type="expression" dxfId="590" priority="9">
      <formula>$C11=""</formula>
    </cfRule>
  </conditionalFormatting>
  <conditionalFormatting sqref="K10:AO24">
    <cfRule type="expression" dxfId="589" priority="3">
      <formula>K10=K$9</formula>
    </cfRule>
  </conditionalFormatting>
  <conditionalFormatting sqref="AP10:BV24">
    <cfRule type="expression" dxfId="588" priority="2">
      <formula>AP10=AP$9</formula>
    </cfRule>
  </conditionalFormatting>
  <conditionalFormatting sqref="A10:BV24">
    <cfRule type="expression" dxfId="587" priority="1">
      <formula>$A10=""</formula>
    </cfRule>
  </conditionalFormatting>
  <pageMargins left="0.75" right="0.75" top="1" bottom="1" header="0.5" footer="0.5"/>
  <pageSetup orientation="landscape" horizontalDpi="300" verticalDpi="3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N106"/>
  <sheetViews>
    <sheetView workbookViewId="0">
      <selection activeCell="G24" sqref="G24"/>
    </sheetView>
  </sheetViews>
  <sheetFormatPr defaultRowHeight="13.2"/>
  <cols>
    <col min="1" max="1" width="4" style="250" bestFit="1" customWidth="1"/>
    <col min="2" max="2" width="5.44140625" style="250" customWidth="1"/>
    <col min="3" max="3" width="5.5546875" style="250" customWidth="1"/>
    <col min="4" max="4" width="6.21875" style="250" customWidth="1"/>
    <col min="5" max="5" width="6.44140625" style="250" customWidth="1"/>
    <col min="6" max="6" width="6.77734375" style="250" customWidth="1"/>
    <col min="7" max="7" width="6" style="250" customWidth="1"/>
    <col min="8" max="8" width="6.109375" style="250" customWidth="1"/>
    <col min="9" max="13" width="6.44140625" style="250" customWidth="1"/>
    <col min="14" max="16384" width="8.88671875" style="250"/>
  </cols>
  <sheetData>
    <row r="5" spans="1:14">
      <c r="B5" s="250" t="s">
        <v>3873</v>
      </c>
      <c r="F5" s="250" t="s">
        <v>3878</v>
      </c>
      <c r="J5" s="250" t="s">
        <v>3884</v>
      </c>
    </row>
    <row r="6" spans="1:14">
      <c r="B6" s="250" t="s">
        <v>3874</v>
      </c>
      <c r="C6" s="250" t="s">
        <v>3875</v>
      </c>
      <c r="D6" s="250" t="s">
        <v>3876</v>
      </c>
      <c r="E6" s="250" t="s">
        <v>3877</v>
      </c>
      <c r="F6" s="250" t="s">
        <v>3874</v>
      </c>
      <c r="G6" s="250" t="s">
        <v>3875</v>
      </c>
      <c r="H6" s="250" t="s">
        <v>3876</v>
      </c>
      <c r="I6" s="250" t="s">
        <v>3877</v>
      </c>
      <c r="J6" s="250" t="s">
        <v>3874</v>
      </c>
      <c r="K6" s="250" t="s">
        <v>3875</v>
      </c>
      <c r="L6" s="250" t="s">
        <v>3876</v>
      </c>
      <c r="M6" s="250" t="s">
        <v>3877</v>
      </c>
    </row>
    <row r="7" spans="1:14" ht="14.4">
      <c r="A7" s="255">
        <f>IF('Player Scoreboard'!C10&lt;&gt;"",'Player Scoreboard'!A10,"")</f>
        <v>1</v>
      </c>
      <c r="B7" s="255">
        <f ca="1">IF('Player Scoreboard'!$C10&lt;&gt;"",RANK('Player Scoreboard'!$D10,'Player Scoreboard'!$D$10:$D$24),"")</f>
        <v>1</v>
      </c>
      <c r="C7" s="255">
        <f ca="1">SUMPRODUCT(($B$7:$B$21=$B7)*('Player Scoreboard'!$E$10:$E$24&gt;'Player Scoreboard'!$E10))</f>
        <v>0</v>
      </c>
      <c r="D7" s="255">
        <f ca="1">SUMPRODUCT(($B$7:$B$21=$B7)*($C$7:$C$21=$C7)*($A$7:$A$21&lt;$A7))</f>
        <v>0</v>
      </c>
      <c r="E7" s="255">
        <f ca="1">B7+C7+D7</f>
        <v>1</v>
      </c>
      <c r="F7" s="255">
        <f ca="1">IF('Player Scoreboard'!$C10&lt;&gt;"",RANK('Player Scoreboard'!$F10,'Player Scoreboard'!$F$10:$F$24),"")</f>
        <v>1</v>
      </c>
      <c r="G7" s="255">
        <f ca="1">SUMPRODUCT(($F$7:$F$21=$F7)*('Player Scoreboard'!$G$10:$G$24&gt;'Player Scoreboard'!$G10))</f>
        <v>0</v>
      </c>
      <c r="H7" s="255">
        <f ca="1">SUMPRODUCT(($F$7:$F$21=$F7)*($G$7:$G$21=$G7)*($A$7:$A$21&lt;$A7))</f>
        <v>0</v>
      </c>
      <c r="I7" s="255">
        <f ca="1">F7+G7+H7</f>
        <v>1</v>
      </c>
      <c r="J7" s="255">
        <f ca="1">IF('Player Scoreboard'!$C10&lt;&gt;"",RANK('Player Scoreboard'!$H10,'Player Scoreboard'!$H$10:$H$24),"")</f>
        <v>1</v>
      </c>
      <c r="K7" s="255">
        <f ca="1">SUMPRODUCT(($J$7:$J$21=$J7)*('Player Scoreboard'!$I$10:$I$24&gt;'Player Scoreboard'!$I10))</f>
        <v>0</v>
      </c>
      <c r="L7" s="255">
        <f ca="1">SUMPRODUCT(($J$7:$J$21=$J7)*($K$7:$K$21=$K7)*($A$7:$A$21&lt;$A7))</f>
        <v>0</v>
      </c>
      <c r="M7" s="255">
        <f ca="1">J7+K7+L7</f>
        <v>1</v>
      </c>
      <c r="N7" s="255" t="str">
        <f>'Player Scoreboard'!C10</f>
        <v>John 1</v>
      </c>
    </row>
    <row r="8" spans="1:14" ht="14.4">
      <c r="A8" s="255">
        <f>IF('Player Scoreboard'!C11&lt;&gt;"",'Player Scoreboard'!A11,"")</f>
        <v>2</v>
      </c>
      <c r="B8" s="255">
        <f ca="1">IF('Player Scoreboard'!C11&lt;&gt;"",RANK('Player Scoreboard'!D11,'Player Scoreboard'!$D$10:$D$24),"")</f>
        <v>1</v>
      </c>
      <c r="C8" s="255">
        <f ca="1">SUMPRODUCT(($B$7:$B$21=$B8)*('Player Scoreboard'!$E$10:$E$24&gt;'Player Scoreboard'!$E11))</f>
        <v>0</v>
      </c>
      <c r="D8" s="255">
        <f t="shared" ref="D8:D21" ca="1" si="0">SUMPRODUCT(($B$7:$B$21=$B8)*($C$7:$C$21=$C8)*($A$7:$A$21&lt;$A8))</f>
        <v>1</v>
      </c>
      <c r="E8" s="255">
        <f t="shared" ref="E8:E21" ca="1" si="1">B8+C8+D8</f>
        <v>2</v>
      </c>
      <c r="F8" s="255">
        <f ca="1">IF('Player Scoreboard'!$C11&lt;&gt;"",RANK('Player Scoreboard'!$F11,'Player Scoreboard'!$F$10:$F$24),"")</f>
        <v>1</v>
      </c>
      <c r="G8" s="255">
        <f ca="1">SUMPRODUCT(($F$7:$F$21=$F8)*('Player Scoreboard'!$G$10:$G$24&gt;'Player Scoreboard'!$G11))</f>
        <v>0</v>
      </c>
      <c r="H8" s="255">
        <f t="shared" ref="H8:H21" ca="1" si="2">SUMPRODUCT(($F$7:$F$21=$F8)*($G$7:$G$21=$G8)*($A$7:$A$21&lt;$A8))</f>
        <v>1</v>
      </c>
      <c r="I8" s="255">
        <f t="shared" ref="I8:I21" ca="1" si="3">F8+G8+H8</f>
        <v>2</v>
      </c>
      <c r="J8" s="255">
        <f ca="1">IF('Player Scoreboard'!$C11&lt;&gt;"",RANK('Player Scoreboard'!$H11,'Player Scoreboard'!$H$10:$H$24),"")</f>
        <v>1</v>
      </c>
      <c r="K8" s="255">
        <f ca="1">SUMPRODUCT(($J$7:$J$21=$J8)*('Player Scoreboard'!$I$10:$I$24&gt;'Player Scoreboard'!$I11))</f>
        <v>0</v>
      </c>
      <c r="L8" s="255">
        <f t="shared" ref="L8:L21" ca="1" si="4">SUMPRODUCT(($J$7:$J$21=$J8)*($K$7:$K$21=$K8)*($A$7:$A$21&lt;$A8))</f>
        <v>1</v>
      </c>
      <c r="M8" s="255">
        <f t="shared" ref="M8:M21" ca="1" si="5">J8+K8+L8</f>
        <v>2</v>
      </c>
      <c r="N8" s="255" t="str">
        <f>'Player Scoreboard'!C11</f>
        <v>John 2</v>
      </c>
    </row>
    <row r="9" spans="1:14" ht="14.4">
      <c r="A9" s="255">
        <f>IF('Player Scoreboard'!C12&lt;&gt;"",'Player Scoreboard'!A12,"")</f>
        <v>3</v>
      </c>
      <c r="B9" s="255">
        <f ca="1">IF('Player Scoreboard'!C12&lt;&gt;"",RANK('Player Scoreboard'!D12,'Player Scoreboard'!$D$10:$D$24),"")</f>
        <v>1</v>
      </c>
      <c r="C9" s="255">
        <f ca="1">SUMPRODUCT(($B$7:$B$21=$B9)*('Player Scoreboard'!$E$10:$E$24&gt;'Player Scoreboard'!$E12))</f>
        <v>0</v>
      </c>
      <c r="D9" s="255">
        <f t="shared" ca="1" si="0"/>
        <v>2</v>
      </c>
      <c r="E9" s="255">
        <f t="shared" ca="1" si="1"/>
        <v>3</v>
      </c>
      <c r="F9" s="255">
        <f ca="1">IF('Player Scoreboard'!$C12&lt;&gt;"",RANK('Player Scoreboard'!$F12,'Player Scoreboard'!$F$10:$F$24),"")</f>
        <v>1</v>
      </c>
      <c r="G9" s="255">
        <f ca="1">SUMPRODUCT(($F$7:$F$21=$F9)*('Player Scoreboard'!$G$10:$G$24&gt;'Player Scoreboard'!$G12))</f>
        <v>0</v>
      </c>
      <c r="H9" s="255">
        <f t="shared" ca="1" si="2"/>
        <v>2</v>
      </c>
      <c r="I9" s="255">
        <f t="shared" ca="1" si="3"/>
        <v>3</v>
      </c>
      <c r="J9" s="255">
        <f ca="1">IF('Player Scoreboard'!$C12&lt;&gt;"",RANK('Player Scoreboard'!$H12,'Player Scoreboard'!$H$10:$H$24),"")</f>
        <v>1</v>
      </c>
      <c r="K9" s="255">
        <f ca="1">SUMPRODUCT(($J$7:$J$21=$J9)*('Player Scoreboard'!$I$10:$I$24&gt;'Player Scoreboard'!$I12))</f>
        <v>0</v>
      </c>
      <c r="L9" s="255">
        <f t="shared" ca="1" si="4"/>
        <v>2</v>
      </c>
      <c r="M9" s="255">
        <f t="shared" ca="1" si="5"/>
        <v>3</v>
      </c>
      <c r="N9" s="255" t="str">
        <f>'Player Scoreboard'!C12</f>
        <v>John 3</v>
      </c>
    </row>
    <row r="10" spans="1:14" ht="14.4">
      <c r="A10" s="255">
        <f>IF('Player Scoreboard'!C13&lt;&gt;"",'Player Scoreboard'!A13,"")</f>
        <v>4</v>
      </c>
      <c r="B10" s="255">
        <f ca="1">IF('Player Scoreboard'!C13&lt;&gt;"",RANK('Player Scoreboard'!D13,'Player Scoreboard'!$D$10:$D$24),"")</f>
        <v>1</v>
      </c>
      <c r="C10" s="255">
        <f ca="1">SUMPRODUCT(($B$7:$B$21=$B10)*('Player Scoreboard'!$E$10:$E$24&gt;'Player Scoreboard'!$E13))</f>
        <v>0</v>
      </c>
      <c r="D10" s="255">
        <f t="shared" ca="1" si="0"/>
        <v>3</v>
      </c>
      <c r="E10" s="255">
        <f t="shared" ca="1" si="1"/>
        <v>4</v>
      </c>
      <c r="F10" s="255">
        <f ca="1">IF('Player Scoreboard'!$C13&lt;&gt;"",RANK('Player Scoreboard'!$F13,'Player Scoreboard'!$F$10:$F$24),"")</f>
        <v>1</v>
      </c>
      <c r="G10" s="255">
        <f ca="1">SUMPRODUCT(($F$7:$F$21=$F10)*('Player Scoreboard'!$G$10:$G$24&gt;'Player Scoreboard'!$G13))</f>
        <v>0</v>
      </c>
      <c r="H10" s="255">
        <f t="shared" ca="1" si="2"/>
        <v>3</v>
      </c>
      <c r="I10" s="255">
        <f t="shared" ca="1" si="3"/>
        <v>4</v>
      </c>
      <c r="J10" s="255">
        <f ca="1">IF('Player Scoreboard'!$C13&lt;&gt;"",RANK('Player Scoreboard'!$H13,'Player Scoreboard'!$H$10:$H$24),"")</f>
        <v>1</v>
      </c>
      <c r="K10" s="255">
        <f ca="1">SUMPRODUCT(($J$7:$J$21=$J10)*('Player Scoreboard'!$I$10:$I$24&gt;'Player Scoreboard'!$I13))</f>
        <v>0</v>
      </c>
      <c r="L10" s="255">
        <f t="shared" ca="1" si="4"/>
        <v>3</v>
      </c>
      <c r="M10" s="255">
        <f t="shared" ca="1" si="5"/>
        <v>4</v>
      </c>
      <c r="N10" s="255" t="str">
        <f>'Player Scoreboard'!C13</f>
        <v>John 4</v>
      </c>
    </row>
    <row r="11" spans="1:14" ht="14.4">
      <c r="A11" s="255">
        <f>IF('Player Scoreboard'!C14&lt;&gt;"",'Player Scoreboard'!A14,"")</f>
        <v>5</v>
      </c>
      <c r="B11" s="255">
        <f ca="1">IF('Player Scoreboard'!C14&lt;&gt;"",RANK('Player Scoreboard'!D14,'Player Scoreboard'!$D$10:$D$24),"")</f>
        <v>1</v>
      </c>
      <c r="C11" s="255">
        <f ca="1">SUMPRODUCT(($B$7:$B$21=$B11)*('Player Scoreboard'!$E$10:$E$24&gt;'Player Scoreboard'!$E14))</f>
        <v>0</v>
      </c>
      <c r="D11" s="255">
        <f t="shared" ca="1" si="0"/>
        <v>4</v>
      </c>
      <c r="E11" s="255">
        <f t="shared" ca="1" si="1"/>
        <v>5</v>
      </c>
      <c r="F11" s="255">
        <f ca="1">IF('Player Scoreboard'!$C14&lt;&gt;"",RANK('Player Scoreboard'!$F14,'Player Scoreboard'!$F$10:$F$24),"")</f>
        <v>1</v>
      </c>
      <c r="G11" s="255">
        <f ca="1">SUMPRODUCT(($F$7:$F$21=$F11)*('Player Scoreboard'!$G$10:$G$24&gt;'Player Scoreboard'!$G14))</f>
        <v>0</v>
      </c>
      <c r="H11" s="255">
        <f t="shared" ca="1" si="2"/>
        <v>4</v>
      </c>
      <c r="I11" s="255">
        <f t="shared" ca="1" si="3"/>
        <v>5</v>
      </c>
      <c r="J11" s="255">
        <f ca="1">IF('Player Scoreboard'!$C14&lt;&gt;"",RANK('Player Scoreboard'!$H14,'Player Scoreboard'!$H$10:$H$24),"")</f>
        <v>1</v>
      </c>
      <c r="K11" s="255">
        <f ca="1">SUMPRODUCT(($J$7:$J$21=$J11)*('Player Scoreboard'!$I$10:$I$24&gt;'Player Scoreboard'!$I14))</f>
        <v>0</v>
      </c>
      <c r="L11" s="255">
        <f t="shared" ca="1" si="4"/>
        <v>4</v>
      </c>
      <c r="M11" s="255">
        <f t="shared" ca="1" si="5"/>
        <v>5</v>
      </c>
      <c r="N11" s="255" t="str">
        <f>'Player Scoreboard'!C14</f>
        <v>John 5</v>
      </c>
    </row>
    <row r="12" spans="1:14" ht="14.4">
      <c r="A12" s="255">
        <f>IF('Player Scoreboard'!C15&lt;&gt;"",'Player Scoreboard'!A15,"")</f>
        <v>6</v>
      </c>
      <c r="B12" s="255">
        <f ca="1">IF('Player Scoreboard'!C15&lt;&gt;"",RANK('Player Scoreboard'!D15,'Player Scoreboard'!$D$10:$D$24),"")</f>
        <v>1</v>
      </c>
      <c r="C12" s="255">
        <f ca="1">SUMPRODUCT(($B$7:$B$21=$B12)*('Player Scoreboard'!$E$10:$E$24&gt;'Player Scoreboard'!$E15))</f>
        <v>0</v>
      </c>
      <c r="D12" s="255">
        <f t="shared" ca="1" si="0"/>
        <v>5</v>
      </c>
      <c r="E12" s="255">
        <f t="shared" ca="1" si="1"/>
        <v>6</v>
      </c>
      <c r="F12" s="255">
        <f ca="1">IF('Player Scoreboard'!$C15&lt;&gt;"",RANK('Player Scoreboard'!$F15,'Player Scoreboard'!$F$10:$F$24),"")</f>
        <v>1</v>
      </c>
      <c r="G12" s="255">
        <f ca="1">SUMPRODUCT(($F$7:$F$21=$F12)*('Player Scoreboard'!$G$10:$G$24&gt;'Player Scoreboard'!$G15))</f>
        <v>0</v>
      </c>
      <c r="H12" s="255">
        <f t="shared" ca="1" si="2"/>
        <v>5</v>
      </c>
      <c r="I12" s="255">
        <f t="shared" ca="1" si="3"/>
        <v>6</v>
      </c>
      <c r="J12" s="255">
        <f ca="1">IF('Player Scoreboard'!$C15&lt;&gt;"",RANK('Player Scoreboard'!$H15,'Player Scoreboard'!$H$10:$H$24),"")</f>
        <v>1</v>
      </c>
      <c r="K12" s="255">
        <f ca="1">SUMPRODUCT(($J$7:$J$21=$J12)*('Player Scoreboard'!$I$10:$I$24&gt;'Player Scoreboard'!$I15))</f>
        <v>0</v>
      </c>
      <c r="L12" s="255">
        <f t="shared" ca="1" si="4"/>
        <v>5</v>
      </c>
      <c r="M12" s="255">
        <f t="shared" ca="1" si="5"/>
        <v>6</v>
      </c>
      <c r="N12" s="255" t="str">
        <f>'Player Scoreboard'!C15</f>
        <v>John 6</v>
      </c>
    </row>
    <row r="13" spans="1:14" ht="14.4">
      <c r="A13" s="255">
        <f>IF('Player Scoreboard'!C16&lt;&gt;"",'Player Scoreboard'!A16,"")</f>
        <v>7</v>
      </c>
      <c r="B13" s="255">
        <f ca="1">IF('Player Scoreboard'!C16&lt;&gt;"",RANK('Player Scoreboard'!D16,'Player Scoreboard'!$D$10:$D$24),"")</f>
        <v>1</v>
      </c>
      <c r="C13" s="255">
        <f ca="1">SUMPRODUCT(($B$7:$B$21=$B13)*('Player Scoreboard'!$E$10:$E$24&gt;'Player Scoreboard'!$E16))</f>
        <v>0</v>
      </c>
      <c r="D13" s="255">
        <f t="shared" ca="1" si="0"/>
        <v>6</v>
      </c>
      <c r="E13" s="255">
        <f t="shared" ca="1" si="1"/>
        <v>7</v>
      </c>
      <c r="F13" s="255">
        <f ca="1">IF('Player Scoreboard'!$C16&lt;&gt;"",RANK('Player Scoreboard'!$F16,'Player Scoreboard'!$F$10:$F$24),"")</f>
        <v>1</v>
      </c>
      <c r="G13" s="255">
        <f ca="1">SUMPRODUCT(($F$7:$F$21=$F13)*('Player Scoreboard'!$G$10:$G$24&gt;'Player Scoreboard'!$G16))</f>
        <v>0</v>
      </c>
      <c r="H13" s="255">
        <f t="shared" ca="1" si="2"/>
        <v>6</v>
      </c>
      <c r="I13" s="255">
        <f t="shared" ca="1" si="3"/>
        <v>7</v>
      </c>
      <c r="J13" s="255">
        <f ca="1">IF('Player Scoreboard'!$C16&lt;&gt;"",RANK('Player Scoreboard'!$H16,'Player Scoreboard'!$H$10:$H$24),"")</f>
        <v>1</v>
      </c>
      <c r="K13" s="255">
        <f ca="1">SUMPRODUCT(($J$7:$J$21=$J13)*('Player Scoreboard'!$I$10:$I$24&gt;'Player Scoreboard'!$I16))</f>
        <v>0</v>
      </c>
      <c r="L13" s="255">
        <f t="shared" ca="1" si="4"/>
        <v>6</v>
      </c>
      <c r="M13" s="255">
        <f t="shared" ca="1" si="5"/>
        <v>7</v>
      </c>
      <c r="N13" s="255" t="str">
        <f>'Player Scoreboard'!C16</f>
        <v>John 7</v>
      </c>
    </row>
    <row r="14" spans="1:14" ht="14.4">
      <c r="A14" s="255">
        <f>IF('Player Scoreboard'!C17&lt;&gt;"",'Player Scoreboard'!A17,"")</f>
        <v>8</v>
      </c>
      <c r="B14" s="255">
        <f ca="1">IF('Player Scoreboard'!C17&lt;&gt;"",RANK('Player Scoreboard'!D17,'Player Scoreboard'!$D$10:$D$24),"")</f>
        <v>1</v>
      </c>
      <c r="C14" s="255">
        <f ca="1">SUMPRODUCT(($B$7:$B$21=$B14)*('Player Scoreboard'!$E$10:$E$24&gt;'Player Scoreboard'!$E17))</f>
        <v>0</v>
      </c>
      <c r="D14" s="255">
        <f t="shared" ca="1" si="0"/>
        <v>7</v>
      </c>
      <c r="E14" s="255">
        <f t="shared" ca="1" si="1"/>
        <v>8</v>
      </c>
      <c r="F14" s="255">
        <f ca="1">IF('Player Scoreboard'!$C17&lt;&gt;"",RANK('Player Scoreboard'!$F17,'Player Scoreboard'!$F$10:$F$24),"")</f>
        <v>1</v>
      </c>
      <c r="G14" s="255">
        <f ca="1">SUMPRODUCT(($F$7:$F$21=$F14)*('Player Scoreboard'!$G$10:$G$24&gt;'Player Scoreboard'!$G17))</f>
        <v>0</v>
      </c>
      <c r="H14" s="255">
        <f t="shared" ca="1" si="2"/>
        <v>7</v>
      </c>
      <c r="I14" s="255">
        <f t="shared" ca="1" si="3"/>
        <v>8</v>
      </c>
      <c r="J14" s="255">
        <f ca="1">IF('Player Scoreboard'!$C17&lt;&gt;"",RANK('Player Scoreboard'!$H17,'Player Scoreboard'!$H$10:$H$24),"")</f>
        <v>1</v>
      </c>
      <c r="K14" s="255">
        <f ca="1">SUMPRODUCT(($J$7:$J$21=$J14)*('Player Scoreboard'!$I$10:$I$24&gt;'Player Scoreboard'!$I17))</f>
        <v>0</v>
      </c>
      <c r="L14" s="255">
        <f t="shared" ca="1" si="4"/>
        <v>7</v>
      </c>
      <c r="M14" s="255">
        <f t="shared" ca="1" si="5"/>
        <v>8</v>
      </c>
      <c r="N14" s="255" t="str">
        <f>'Player Scoreboard'!C17</f>
        <v>John 8</v>
      </c>
    </row>
    <row r="15" spans="1:14" ht="14.4">
      <c r="A15" s="255">
        <f>IF('Player Scoreboard'!C18&lt;&gt;"",'Player Scoreboard'!A18,"")</f>
        <v>9</v>
      </c>
      <c r="B15" s="255">
        <f ca="1">IF('Player Scoreboard'!C18&lt;&gt;"",RANK('Player Scoreboard'!D18,'Player Scoreboard'!$D$10:$D$24),"")</f>
        <v>1</v>
      </c>
      <c r="C15" s="255">
        <f ca="1">SUMPRODUCT(($B$7:$B$21=$B15)*('Player Scoreboard'!$E$10:$E$24&gt;'Player Scoreboard'!$E18))</f>
        <v>0</v>
      </c>
      <c r="D15" s="255">
        <f t="shared" ca="1" si="0"/>
        <v>8</v>
      </c>
      <c r="E15" s="255">
        <f t="shared" ca="1" si="1"/>
        <v>9</v>
      </c>
      <c r="F15" s="255">
        <f ca="1">IF('Player Scoreboard'!$C18&lt;&gt;"",RANK('Player Scoreboard'!$F18,'Player Scoreboard'!$F$10:$F$24),"")</f>
        <v>1</v>
      </c>
      <c r="G15" s="255">
        <f ca="1">SUMPRODUCT(($F$7:$F$21=$F15)*('Player Scoreboard'!$G$10:$G$24&gt;'Player Scoreboard'!$G18))</f>
        <v>0</v>
      </c>
      <c r="H15" s="255">
        <f t="shared" ca="1" si="2"/>
        <v>8</v>
      </c>
      <c r="I15" s="255">
        <f t="shared" ca="1" si="3"/>
        <v>9</v>
      </c>
      <c r="J15" s="255">
        <f ca="1">IF('Player Scoreboard'!$C18&lt;&gt;"",RANK('Player Scoreboard'!$H18,'Player Scoreboard'!$H$10:$H$24),"")</f>
        <v>1</v>
      </c>
      <c r="K15" s="255">
        <f ca="1">SUMPRODUCT(($J$7:$J$21=$J15)*('Player Scoreboard'!$I$10:$I$24&gt;'Player Scoreboard'!$I18))</f>
        <v>0</v>
      </c>
      <c r="L15" s="255">
        <f t="shared" ca="1" si="4"/>
        <v>8</v>
      </c>
      <c r="M15" s="255">
        <f t="shared" ca="1" si="5"/>
        <v>9</v>
      </c>
      <c r="N15" s="255" t="str">
        <f>'Player Scoreboard'!C18</f>
        <v>John 9</v>
      </c>
    </row>
    <row r="16" spans="1:14" ht="14.4">
      <c r="A16" s="255">
        <f>IF('Player Scoreboard'!C19&lt;&gt;"",'Player Scoreboard'!A19,"")</f>
        <v>10</v>
      </c>
      <c r="B16" s="255">
        <f ca="1">IF('Player Scoreboard'!C19&lt;&gt;"",RANK('Player Scoreboard'!D19,'Player Scoreboard'!$D$10:$D$24),"")</f>
        <v>1</v>
      </c>
      <c r="C16" s="255">
        <f ca="1">SUMPRODUCT(($B$7:$B$21=$B16)*('Player Scoreboard'!$E$10:$E$24&gt;'Player Scoreboard'!$E19))</f>
        <v>0</v>
      </c>
      <c r="D16" s="255">
        <f t="shared" ca="1" si="0"/>
        <v>9</v>
      </c>
      <c r="E16" s="255">
        <f t="shared" ca="1" si="1"/>
        <v>10</v>
      </c>
      <c r="F16" s="255">
        <f ca="1">IF('Player Scoreboard'!$C19&lt;&gt;"",RANK('Player Scoreboard'!$F19,'Player Scoreboard'!$F$10:$F$24),"")</f>
        <v>1</v>
      </c>
      <c r="G16" s="255">
        <f ca="1">SUMPRODUCT(($F$7:$F$21=$F16)*('Player Scoreboard'!$G$10:$G$24&gt;'Player Scoreboard'!$G19))</f>
        <v>0</v>
      </c>
      <c r="H16" s="255">
        <f t="shared" ca="1" si="2"/>
        <v>9</v>
      </c>
      <c r="I16" s="255">
        <f t="shared" ca="1" si="3"/>
        <v>10</v>
      </c>
      <c r="J16" s="255">
        <f ca="1">IF('Player Scoreboard'!$C19&lt;&gt;"",RANK('Player Scoreboard'!$H19,'Player Scoreboard'!$H$10:$H$24),"")</f>
        <v>1</v>
      </c>
      <c r="K16" s="255">
        <f ca="1">SUMPRODUCT(($J$7:$J$21=$J16)*('Player Scoreboard'!$I$10:$I$24&gt;'Player Scoreboard'!$I19))</f>
        <v>0</v>
      </c>
      <c r="L16" s="255">
        <f t="shared" ca="1" si="4"/>
        <v>9</v>
      </c>
      <c r="M16" s="255">
        <f t="shared" ca="1" si="5"/>
        <v>10</v>
      </c>
      <c r="N16" s="255" t="str">
        <f>'Player Scoreboard'!C19</f>
        <v>John 10</v>
      </c>
    </row>
    <row r="17" spans="1:14" ht="14.4">
      <c r="A17" s="255">
        <f>IF('Player Scoreboard'!C20&lt;&gt;"",'Player Scoreboard'!A20,"")</f>
        <v>11</v>
      </c>
      <c r="B17" s="255">
        <f ca="1">IF('Player Scoreboard'!C20&lt;&gt;"",RANK('Player Scoreboard'!D20,'Player Scoreboard'!$D$10:$D$24),"")</f>
        <v>1</v>
      </c>
      <c r="C17" s="255">
        <f ca="1">SUMPRODUCT(($B$7:$B$21=$B17)*('Player Scoreboard'!$E$10:$E$24&gt;'Player Scoreboard'!$E20))</f>
        <v>0</v>
      </c>
      <c r="D17" s="255">
        <f t="shared" ca="1" si="0"/>
        <v>10</v>
      </c>
      <c r="E17" s="255">
        <f t="shared" ca="1" si="1"/>
        <v>11</v>
      </c>
      <c r="F17" s="255">
        <f ca="1">IF('Player Scoreboard'!$C20&lt;&gt;"",RANK('Player Scoreboard'!$F20,'Player Scoreboard'!$F$10:$F$24),"")</f>
        <v>1</v>
      </c>
      <c r="G17" s="255">
        <f ca="1">SUMPRODUCT(($F$7:$F$21=$F17)*('Player Scoreboard'!$G$10:$G$24&gt;'Player Scoreboard'!$G20))</f>
        <v>0</v>
      </c>
      <c r="H17" s="255">
        <f t="shared" ca="1" si="2"/>
        <v>10</v>
      </c>
      <c r="I17" s="255">
        <f t="shared" ca="1" si="3"/>
        <v>11</v>
      </c>
      <c r="J17" s="255">
        <f ca="1">IF('Player Scoreboard'!$C20&lt;&gt;"",RANK('Player Scoreboard'!$H20,'Player Scoreboard'!$H$10:$H$24),"")</f>
        <v>1</v>
      </c>
      <c r="K17" s="255">
        <f ca="1">SUMPRODUCT(($J$7:$J$21=$J17)*('Player Scoreboard'!$I$10:$I$24&gt;'Player Scoreboard'!$I20))</f>
        <v>0</v>
      </c>
      <c r="L17" s="255">
        <f t="shared" ca="1" si="4"/>
        <v>10</v>
      </c>
      <c r="M17" s="255">
        <f t="shared" ca="1" si="5"/>
        <v>11</v>
      </c>
      <c r="N17" s="255" t="str">
        <f>'Player Scoreboard'!C20</f>
        <v>John 11</v>
      </c>
    </row>
    <row r="18" spans="1:14" ht="14.4">
      <c r="A18" s="255">
        <f>IF('Player Scoreboard'!C21&lt;&gt;"",'Player Scoreboard'!A21,"")</f>
        <v>12</v>
      </c>
      <c r="B18" s="255">
        <f ca="1">IF('Player Scoreboard'!C21&lt;&gt;"",RANK('Player Scoreboard'!D21,'Player Scoreboard'!$D$10:$D$24),"")</f>
        <v>1</v>
      </c>
      <c r="C18" s="255">
        <f ca="1">SUMPRODUCT(($B$7:$B$21=$B18)*('Player Scoreboard'!$E$10:$E$24&gt;'Player Scoreboard'!$E21))</f>
        <v>0</v>
      </c>
      <c r="D18" s="255">
        <f t="shared" ca="1" si="0"/>
        <v>11</v>
      </c>
      <c r="E18" s="255">
        <f t="shared" ca="1" si="1"/>
        <v>12</v>
      </c>
      <c r="F18" s="255">
        <f ca="1">IF('Player Scoreboard'!$C21&lt;&gt;"",RANK('Player Scoreboard'!$F21,'Player Scoreboard'!$F$10:$F$24),"")</f>
        <v>1</v>
      </c>
      <c r="G18" s="255">
        <f ca="1">SUMPRODUCT(($F$7:$F$21=$F18)*('Player Scoreboard'!$G$10:$G$24&gt;'Player Scoreboard'!$G21))</f>
        <v>0</v>
      </c>
      <c r="H18" s="255">
        <f t="shared" ca="1" si="2"/>
        <v>11</v>
      </c>
      <c r="I18" s="255">
        <f t="shared" ca="1" si="3"/>
        <v>12</v>
      </c>
      <c r="J18" s="255">
        <f ca="1">IF('Player Scoreboard'!$C21&lt;&gt;"",RANK('Player Scoreboard'!$H21,'Player Scoreboard'!$H$10:$H$24),"")</f>
        <v>1</v>
      </c>
      <c r="K18" s="255">
        <f ca="1">SUMPRODUCT(($J$7:$J$21=$J18)*('Player Scoreboard'!$I$10:$I$24&gt;'Player Scoreboard'!$I21))</f>
        <v>0</v>
      </c>
      <c r="L18" s="255">
        <f t="shared" ca="1" si="4"/>
        <v>11</v>
      </c>
      <c r="M18" s="255">
        <f t="shared" ca="1" si="5"/>
        <v>12</v>
      </c>
      <c r="N18" s="255" t="str">
        <f>'Player Scoreboard'!C21</f>
        <v>John 12</v>
      </c>
    </row>
    <row r="19" spans="1:14" ht="14.4">
      <c r="A19" s="255">
        <f>IF('Player Scoreboard'!C22&lt;&gt;"",'Player Scoreboard'!A22,"")</f>
        <v>13</v>
      </c>
      <c r="B19" s="255">
        <f ca="1">IF('Player Scoreboard'!C22&lt;&gt;"",RANK('Player Scoreboard'!D22,'Player Scoreboard'!$D$10:$D$24),"")</f>
        <v>1</v>
      </c>
      <c r="C19" s="255">
        <f ca="1">SUMPRODUCT(($B$7:$B$21=$B19)*('Player Scoreboard'!$E$10:$E$24&gt;'Player Scoreboard'!$E22))</f>
        <v>0</v>
      </c>
      <c r="D19" s="255">
        <f t="shared" ca="1" si="0"/>
        <v>12</v>
      </c>
      <c r="E19" s="255">
        <f t="shared" ca="1" si="1"/>
        <v>13</v>
      </c>
      <c r="F19" s="255">
        <f ca="1">IF('Player Scoreboard'!$C22&lt;&gt;"",RANK('Player Scoreboard'!$F22,'Player Scoreboard'!$F$10:$F$24),"")</f>
        <v>1</v>
      </c>
      <c r="G19" s="255">
        <f ca="1">SUMPRODUCT(($F$7:$F$21=$F19)*('Player Scoreboard'!$G$10:$G$24&gt;'Player Scoreboard'!$G22))</f>
        <v>0</v>
      </c>
      <c r="H19" s="255">
        <f t="shared" ca="1" si="2"/>
        <v>12</v>
      </c>
      <c r="I19" s="255">
        <f t="shared" ca="1" si="3"/>
        <v>13</v>
      </c>
      <c r="J19" s="255">
        <f ca="1">IF('Player Scoreboard'!$C22&lt;&gt;"",RANK('Player Scoreboard'!$H22,'Player Scoreboard'!$H$10:$H$24),"")</f>
        <v>1</v>
      </c>
      <c r="K19" s="255">
        <f ca="1">SUMPRODUCT(($J$7:$J$21=$J19)*('Player Scoreboard'!$I$10:$I$24&gt;'Player Scoreboard'!$I22))</f>
        <v>0</v>
      </c>
      <c r="L19" s="255">
        <f t="shared" ca="1" si="4"/>
        <v>12</v>
      </c>
      <c r="M19" s="255">
        <f t="shared" ca="1" si="5"/>
        <v>13</v>
      </c>
      <c r="N19" s="255" t="str">
        <f>'Player Scoreboard'!C22</f>
        <v>John 13</v>
      </c>
    </row>
    <row r="20" spans="1:14" ht="14.4">
      <c r="A20" s="255">
        <f>IF('Player Scoreboard'!C23&lt;&gt;"",'Player Scoreboard'!A23,"")</f>
        <v>14</v>
      </c>
      <c r="B20" s="255">
        <f ca="1">IF('Player Scoreboard'!C23&lt;&gt;"",RANK('Player Scoreboard'!D23,'Player Scoreboard'!$D$10:$D$24),"")</f>
        <v>1</v>
      </c>
      <c r="C20" s="255">
        <f ca="1">SUMPRODUCT(($B$7:$B$21=$B20)*('Player Scoreboard'!$E$10:$E$24&gt;'Player Scoreboard'!$E23))</f>
        <v>0</v>
      </c>
      <c r="D20" s="255">
        <f t="shared" ca="1" si="0"/>
        <v>13</v>
      </c>
      <c r="E20" s="255">
        <f t="shared" ca="1" si="1"/>
        <v>14</v>
      </c>
      <c r="F20" s="255">
        <f ca="1">IF('Player Scoreboard'!$C23&lt;&gt;"",RANK('Player Scoreboard'!$F23,'Player Scoreboard'!$F$10:$F$24),"")</f>
        <v>1</v>
      </c>
      <c r="G20" s="255">
        <f ca="1">SUMPRODUCT(($F$7:$F$21=$F20)*('Player Scoreboard'!$G$10:$G$24&gt;'Player Scoreboard'!$G23))</f>
        <v>0</v>
      </c>
      <c r="H20" s="255">
        <f t="shared" ca="1" si="2"/>
        <v>13</v>
      </c>
      <c r="I20" s="255">
        <f t="shared" ca="1" si="3"/>
        <v>14</v>
      </c>
      <c r="J20" s="255">
        <f ca="1">IF('Player Scoreboard'!$C23&lt;&gt;"",RANK('Player Scoreboard'!$H23,'Player Scoreboard'!$H$10:$H$24),"")</f>
        <v>1</v>
      </c>
      <c r="K20" s="255">
        <f ca="1">SUMPRODUCT(($J$7:$J$21=$J20)*('Player Scoreboard'!$I$10:$I$24&gt;'Player Scoreboard'!$I23))</f>
        <v>0</v>
      </c>
      <c r="L20" s="255">
        <f t="shared" ca="1" si="4"/>
        <v>13</v>
      </c>
      <c r="M20" s="255">
        <f t="shared" ca="1" si="5"/>
        <v>14</v>
      </c>
      <c r="N20" s="255" t="str">
        <f>'Player Scoreboard'!C23</f>
        <v>John 14</v>
      </c>
    </row>
    <row r="21" spans="1:14" ht="14.4">
      <c r="A21" s="255">
        <f>IF('Player Scoreboard'!C24&lt;&gt;"",'Player Scoreboard'!A24,"")</f>
        <v>15</v>
      </c>
      <c r="B21" s="255">
        <f ca="1">IF('Player Scoreboard'!C24&lt;&gt;"",RANK('Player Scoreboard'!D24,'Player Scoreboard'!$D$10:$D$24),"")</f>
        <v>1</v>
      </c>
      <c r="C21" s="255">
        <f ca="1">SUMPRODUCT(($B$7:$B$21=$B21)*('Player Scoreboard'!$E$10:$E$24&gt;'Player Scoreboard'!$E24))</f>
        <v>0</v>
      </c>
      <c r="D21" s="255">
        <f t="shared" ca="1" si="0"/>
        <v>14</v>
      </c>
      <c r="E21" s="255">
        <f t="shared" ca="1" si="1"/>
        <v>15</v>
      </c>
      <c r="F21" s="255">
        <f ca="1">IF('Player Scoreboard'!$C24&lt;&gt;"",RANK('Player Scoreboard'!$F24,'Player Scoreboard'!$F$10:$F$24),"")</f>
        <v>1</v>
      </c>
      <c r="G21" s="255">
        <f ca="1">SUMPRODUCT(($F$7:$F$21=$F21)*('Player Scoreboard'!$G$10:$G$24&gt;'Player Scoreboard'!$G24))</f>
        <v>0</v>
      </c>
      <c r="H21" s="255">
        <f t="shared" ca="1" si="2"/>
        <v>14</v>
      </c>
      <c r="I21" s="255">
        <f t="shared" ca="1" si="3"/>
        <v>15</v>
      </c>
      <c r="J21" s="255">
        <f ca="1">IF('Player Scoreboard'!$C24&lt;&gt;"",RANK('Player Scoreboard'!$H24,'Player Scoreboard'!$H$10:$H$24),"")</f>
        <v>1</v>
      </c>
      <c r="K21" s="255">
        <f ca="1">SUMPRODUCT(($J$7:$J$21=$J21)*('Player Scoreboard'!$I$10:$I$24&gt;'Player Scoreboard'!$I24))</f>
        <v>0</v>
      </c>
      <c r="L21" s="255">
        <f t="shared" ca="1" si="4"/>
        <v>14</v>
      </c>
      <c r="M21" s="255">
        <f t="shared" ca="1" si="5"/>
        <v>15</v>
      </c>
      <c r="N21" s="255" t="str">
        <f>'Player Scoreboard'!C24</f>
        <v>John 15</v>
      </c>
    </row>
    <row r="22" spans="1:14" ht="14.4">
      <c r="A22" s="255"/>
      <c r="B22" s="255"/>
      <c r="C22" s="255"/>
      <c r="D22" s="255"/>
      <c r="E22" s="255"/>
      <c r="F22" s="255"/>
      <c r="G22" s="255"/>
      <c r="H22" s="255"/>
      <c r="I22" s="255"/>
      <c r="J22" s="255"/>
      <c r="K22" s="255"/>
      <c r="L22" s="255"/>
      <c r="M22" s="255"/>
      <c r="N22" s="255"/>
    </row>
    <row r="23" spans="1:14" ht="14.4">
      <c r="A23" s="255"/>
      <c r="B23" s="255"/>
      <c r="C23" s="255"/>
      <c r="D23" s="255"/>
      <c r="E23" s="255"/>
      <c r="F23" s="255"/>
      <c r="G23" s="255"/>
      <c r="H23" s="255"/>
      <c r="I23" s="255"/>
      <c r="J23" s="255"/>
      <c r="K23" s="255"/>
      <c r="L23" s="255"/>
      <c r="M23" s="255"/>
      <c r="N23" s="255"/>
    </row>
    <row r="24" spans="1:14" ht="14.4">
      <c r="A24" s="255"/>
      <c r="B24" s="255"/>
      <c r="C24" s="255"/>
      <c r="D24" s="255"/>
      <c r="E24" s="255"/>
      <c r="F24" s="255"/>
      <c r="G24" s="255"/>
      <c r="H24" s="255"/>
      <c r="I24" s="255"/>
      <c r="J24" s="255"/>
      <c r="K24" s="255"/>
      <c r="L24" s="255"/>
      <c r="M24" s="255"/>
      <c r="N24" s="255"/>
    </row>
    <row r="25" spans="1:14" ht="14.4">
      <c r="A25" s="255"/>
      <c r="B25" s="255"/>
      <c r="C25" s="255"/>
      <c r="D25" s="255"/>
      <c r="E25" s="255"/>
      <c r="F25" s="255"/>
      <c r="G25" s="255"/>
      <c r="H25" s="255"/>
      <c r="I25" s="255"/>
      <c r="J25" s="255"/>
      <c r="K25" s="255"/>
      <c r="L25" s="255"/>
      <c r="M25" s="255"/>
      <c r="N25" s="255"/>
    </row>
    <row r="26" spans="1:14" ht="14.4">
      <c r="A26" s="255"/>
      <c r="B26" s="255"/>
      <c r="C26" s="255"/>
      <c r="D26" s="255"/>
      <c r="E26" s="255"/>
      <c r="F26" s="255"/>
      <c r="G26" s="255"/>
      <c r="H26" s="255"/>
      <c r="I26" s="255"/>
      <c r="J26" s="255"/>
      <c r="K26" s="255"/>
      <c r="L26" s="255"/>
      <c r="M26" s="255"/>
      <c r="N26" s="255"/>
    </row>
    <row r="27" spans="1:14" ht="14.4">
      <c r="A27" s="255"/>
      <c r="B27" s="255"/>
      <c r="C27" s="255"/>
      <c r="D27" s="255"/>
      <c r="E27" s="255"/>
      <c r="F27" s="255"/>
      <c r="G27" s="255"/>
      <c r="H27" s="255"/>
      <c r="I27" s="255"/>
      <c r="J27" s="255"/>
      <c r="K27" s="255"/>
      <c r="L27" s="255"/>
      <c r="M27" s="255"/>
      <c r="N27" s="255"/>
    </row>
    <row r="28" spans="1:14" ht="14.4">
      <c r="A28" s="255"/>
      <c r="B28" s="255"/>
      <c r="C28" s="255"/>
      <c r="D28" s="255"/>
      <c r="E28" s="255"/>
      <c r="F28" s="255"/>
      <c r="G28" s="255"/>
      <c r="H28" s="255"/>
      <c r="I28" s="255"/>
      <c r="J28" s="255"/>
      <c r="K28" s="255"/>
      <c r="L28" s="255"/>
      <c r="M28" s="255"/>
      <c r="N28" s="255"/>
    </row>
    <row r="29" spans="1:14" ht="14.4">
      <c r="A29" s="255"/>
      <c r="B29" s="255"/>
      <c r="C29" s="255"/>
      <c r="D29" s="255"/>
      <c r="E29" s="255"/>
      <c r="F29" s="255"/>
      <c r="G29" s="255"/>
      <c r="H29" s="255"/>
      <c r="I29" s="255"/>
      <c r="J29" s="255"/>
      <c r="K29" s="255"/>
      <c r="L29" s="255"/>
      <c r="M29" s="255"/>
      <c r="N29" s="255"/>
    </row>
    <row r="30" spans="1:14" ht="14.4">
      <c r="A30" s="255"/>
      <c r="B30" s="255"/>
      <c r="C30" s="255"/>
      <c r="D30" s="255"/>
      <c r="E30" s="255"/>
      <c r="F30" s="255"/>
      <c r="G30" s="255"/>
      <c r="H30" s="255"/>
      <c r="I30" s="255"/>
      <c r="J30" s="255"/>
      <c r="K30" s="255"/>
      <c r="L30" s="255"/>
      <c r="M30" s="255"/>
      <c r="N30" s="255"/>
    </row>
    <row r="31" spans="1:14" ht="14.4">
      <c r="A31" s="255"/>
      <c r="B31" s="255"/>
      <c r="C31" s="255"/>
      <c r="D31" s="255"/>
      <c r="E31" s="255"/>
      <c r="F31" s="255"/>
      <c r="G31" s="255"/>
      <c r="H31" s="255"/>
      <c r="I31" s="255"/>
      <c r="J31" s="255"/>
      <c r="K31" s="255"/>
      <c r="L31" s="255"/>
      <c r="M31" s="255"/>
      <c r="N31" s="255"/>
    </row>
    <row r="32" spans="1:14" ht="14.4">
      <c r="A32" s="255"/>
      <c r="B32" s="255"/>
      <c r="C32" s="255"/>
      <c r="D32" s="255"/>
      <c r="E32" s="255"/>
      <c r="F32" s="255"/>
      <c r="G32" s="255"/>
      <c r="H32" s="255"/>
      <c r="I32" s="255"/>
      <c r="J32" s="255"/>
      <c r="K32" s="255"/>
      <c r="L32" s="255"/>
      <c r="M32" s="255"/>
      <c r="N32" s="255"/>
    </row>
    <row r="33" spans="1:14" ht="14.4">
      <c r="A33" s="255"/>
      <c r="B33" s="255"/>
      <c r="C33" s="255"/>
      <c r="D33" s="255"/>
      <c r="E33" s="255"/>
      <c r="F33" s="255"/>
      <c r="G33" s="255"/>
      <c r="H33" s="255"/>
      <c r="I33" s="255"/>
      <c r="J33" s="255"/>
      <c r="K33" s="255"/>
      <c r="L33" s="255"/>
      <c r="M33" s="255"/>
      <c r="N33" s="255"/>
    </row>
    <row r="34" spans="1:14" ht="14.4">
      <c r="A34" s="255"/>
      <c r="B34" s="255"/>
      <c r="C34" s="255"/>
      <c r="D34" s="255"/>
      <c r="E34" s="255"/>
      <c r="F34" s="255"/>
      <c r="G34" s="255"/>
      <c r="H34" s="255"/>
      <c r="I34" s="255"/>
      <c r="J34" s="255"/>
      <c r="K34" s="255"/>
      <c r="L34" s="255"/>
      <c r="M34" s="255"/>
      <c r="N34" s="255"/>
    </row>
    <row r="35" spans="1:14" ht="14.4">
      <c r="A35" s="255"/>
      <c r="B35" s="255"/>
      <c r="C35" s="255"/>
      <c r="D35" s="255"/>
      <c r="E35" s="255"/>
      <c r="F35" s="255"/>
      <c r="G35" s="255"/>
      <c r="H35" s="255"/>
      <c r="I35" s="255"/>
      <c r="J35" s="255"/>
      <c r="K35" s="255"/>
      <c r="L35" s="255"/>
      <c r="M35" s="255"/>
      <c r="N35" s="255"/>
    </row>
    <row r="36" spans="1:14" ht="14.4">
      <c r="A36" s="255"/>
      <c r="B36" s="255"/>
      <c r="C36" s="255"/>
      <c r="D36" s="255"/>
      <c r="E36" s="255"/>
      <c r="F36" s="255"/>
      <c r="G36" s="255"/>
      <c r="H36" s="255"/>
      <c r="I36" s="255"/>
      <c r="J36" s="255"/>
      <c r="K36" s="255"/>
      <c r="L36" s="255"/>
      <c r="M36" s="255"/>
      <c r="N36" s="255"/>
    </row>
    <row r="37" spans="1:14" ht="14.4">
      <c r="A37" s="255"/>
      <c r="B37" s="255"/>
      <c r="C37" s="255"/>
      <c r="D37" s="255"/>
      <c r="E37" s="255"/>
      <c r="F37" s="255"/>
      <c r="G37" s="255"/>
      <c r="H37" s="255"/>
      <c r="I37" s="255"/>
      <c r="J37" s="255"/>
      <c r="K37" s="255"/>
      <c r="L37" s="255"/>
      <c r="M37" s="255"/>
      <c r="N37" s="255"/>
    </row>
    <row r="38" spans="1:14" ht="14.4">
      <c r="A38" s="255"/>
      <c r="B38" s="255"/>
      <c r="C38" s="255"/>
      <c r="D38" s="255"/>
      <c r="E38" s="255"/>
      <c r="F38" s="255"/>
      <c r="G38" s="255"/>
      <c r="H38" s="255"/>
      <c r="I38" s="255"/>
      <c r="J38" s="255"/>
      <c r="K38" s="255"/>
      <c r="L38" s="255"/>
      <c r="M38" s="255"/>
      <c r="N38" s="255"/>
    </row>
    <row r="39" spans="1:14" ht="14.4">
      <c r="A39" s="255"/>
      <c r="B39" s="255"/>
      <c r="C39" s="255"/>
      <c r="D39" s="255"/>
      <c r="E39" s="255"/>
      <c r="F39" s="255"/>
      <c r="G39" s="255"/>
      <c r="H39" s="255"/>
      <c r="I39" s="255"/>
      <c r="J39" s="255"/>
      <c r="K39" s="255"/>
      <c r="L39" s="255"/>
      <c r="M39" s="255"/>
      <c r="N39" s="255"/>
    </row>
    <row r="40" spans="1:14" ht="14.4">
      <c r="A40" s="255"/>
      <c r="B40" s="255"/>
      <c r="C40" s="255"/>
      <c r="D40" s="255"/>
      <c r="E40" s="255"/>
      <c r="F40" s="255"/>
      <c r="G40" s="255"/>
      <c r="H40" s="255"/>
      <c r="I40" s="255"/>
      <c r="J40" s="255"/>
      <c r="K40" s="255"/>
      <c r="L40" s="255"/>
      <c r="M40" s="255"/>
      <c r="N40" s="255"/>
    </row>
    <row r="41" spans="1:14" ht="14.4">
      <c r="A41" s="255"/>
      <c r="B41" s="255"/>
      <c r="C41" s="255"/>
      <c r="D41" s="255"/>
      <c r="E41" s="255"/>
      <c r="F41" s="255"/>
      <c r="G41" s="255"/>
      <c r="H41" s="255"/>
      <c r="I41" s="255"/>
      <c r="J41" s="255"/>
      <c r="K41" s="255"/>
      <c r="L41" s="255"/>
      <c r="M41" s="255"/>
      <c r="N41" s="255"/>
    </row>
    <row r="42" spans="1:14" ht="14.4">
      <c r="A42" s="255"/>
      <c r="B42" s="255"/>
      <c r="C42" s="255"/>
      <c r="D42" s="255"/>
      <c r="E42" s="255"/>
      <c r="F42" s="255"/>
      <c r="G42" s="255"/>
      <c r="H42" s="255"/>
      <c r="I42" s="255"/>
      <c r="J42" s="255"/>
      <c r="K42" s="255"/>
      <c r="L42" s="255"/>
      <c r="M42" s="255"/>
      <c r="N42" s="255"/>
    </row>
    <row r="43" spans="1:14" ht="14.4">
      <c r="A43" s="255"/>
      <c r="B43" s="255"/>
      <c r="C43" s="255"/>
      <c r="D43" s="255"/>
      <c r="E43" s="255"/>
      <c r="F43" s="255"/>
      <c r="G43" s="255"/>
      <c r="H43" s="255"/>
      <c r="I43" s="255"/>
      <c r="J43" s="255"/>
      <c r="K43" s="255"/>
      <c r="L43" s="255"/>
      <c r="M43" s="255"/>
      <c r="N43" s="255"/>
    </row>
    <row r="44" spans="1:14" ht="14.4">
      <c r="A44" s="255"/>
      <c r="B44" s="255"/>
      <c r="C44" s="255"/>
      <c r="D44" s="255"/>
      <c r="E44" s="255"/>
      <c r="F44" s="255"/>
      <c r="G44" s="255"/>
      <c r="H44" s="255"/>
      <c r="I44" s="255"/>
      <c r="J44" s="255"/>
      <c r="K44" s="255"/>
      <c r="L44" s="255"/>
      <c r="M44" s="255"/>
      <c r="N44" s="255"/>
    </row>
    <row r="45" spans="1:14" ht="14.4">
      <c r="A45" s="255"/>
      <c r="B45" s="255"/>
      <c r="C45" s="255"/>
      <c r="D45" s="255"/>
      <c r="E45" s="255"/>
      <c r="F45" s="255"/>
      <c r="G45" s="255"/>
      <c r="H45" s="255"/>
      <c r="I45" s="255"/>
      <c r="J45" s="255"/>
      <c r="K45" s="255"/>
      <c r="L45" s="255"/>
      <c r="M45" s="255"/>
      <c r="N45" s="255"/>
    </row>
    <row r="46" spans="1:14" ht="14.4">
      <c r="A46" s="255"/>
      <c r="B46" s="255"/>
      <c r="C46" s="255"/>
      <c r="D46" s="255"/>
      <c r="E46" s="255"/>
      <c r="F46" s="255"/>
      <c r="G46" s="255"/>
      <c r="H46" s="255"/>
      <c r="I46" s="255"/>
      <c r="J46" s="255"/>
      <c r="K46" s="255"/>
      <c r="L46" s="255"/>
      <c r="M46" s="255"/>
      <c r="N46" s="255"/>
    </row>
    <row r="47" spans="1:14" ht="14.4">
      <c r="A47" s="255"/>
      <c r="B47" s="255"/>
      <c r="C47" s="255"/>
      <c r="D47" s="255"/>
      <c r="E47" s="255"/>
      <c r="F47" s="255"/>
      <c r="G47" s="255"/>
      <c r="H47" s="255"/>
      <c r="I47" s="255"/>
      <c r="J47" s="255"/>
      <c r="K47" s="255"/>
      <c r="L47" s="255"/>
      <c r="M47" s="255"/>
      <c r="N47" s="255"/>
    </row>
    <row r="48" spans="1:14" ht="14.4">
      <c r="A48" s="255"/>
      <c r="B48" s="255"/>
      <c r="C48" s="255"/>
      <c r="D48" s="255"/>
      <c r="E48" s="255"/>
      <c r="F48" s="255"/>
      <c r="G48" s="255"/>
      <c r="H48" s="255"/>
      <c r="I48" s="255"/>
      <c r="J48" s="255"/>
      <c r="K48" s="255"/>
      <c r="L48" s="255"/>
      <c r="M48" s="255"/>
      <c r="N48" s="255"/>
    </row>
    <row r="49" spans="1:14" ht="14.4">
      <c r="A49" s="255"/>
      <c r="B49" s="255"/>
      <c r="C49" s="255"/>
      <c r="D49" s="255"/>
      <c r="E49" s="255"/>
      <c r="F49" s="255"/>
      <c r="G49" s="255"/>
      <c r="H49" s="255"/>
      <c r="I49" s="255"/>
      <c r="J49" s="255"/>
      <c r="K49" s="255"/>
      <c r="L49" s="255"/>
      <c r="M49" s="255"/>
      <c r="N49" s="255"/>
    </row>
    <row r="50" spans="1:14" ht="14.4">
      <c r="A50" s="255"/>
      <c r="B50" s="255"/>
      <c r="C50" s="255"/>
      <c r="D50" s="255"/>
      <c r="E50" s="255"/>
      <c r="F50" s="255"/>
      <c r="G50" s="255"/>
      <c r="H50" s="255"/>
      <c r="I50" s="255"/>
      <c r="J50" s="255"/>
      <c r="K50" s="255"/>
      <c r="L50" s="255"/>
      <c r="M50" s="255"/>
      <c r="N50" s="255"/>
    </row>
    <row r="51" spans="1:14" ht="14.4">
      <c r="A51" s="255"/>
      <c r="B51" s="255"/>
      <c r="C51" s="255"/>
      <c r="D51" s="255"/>
      <c r="E51" s="255"/>
      <c r="F51" s="255"/>
      <c r="G51" s="255"/>
      <c r="H51" s="255"/>
      <c r="I51" s="255"/>
      <c r="J51" s="255"/>
      <c r="K51" s="255"/>
      <c r="L51" s="255"/>
      <c r="M51" s="255"/>
      <c r="N51" s="255"/>
    </row>
    <row r="52" spans="1:14" ht="14.4">
      <c r="A52" s="255"/>
      <c r="B52" s="255"/>
      <c r="C52" s="255"/>
      <c r="D52" s="255"/>
      <c r="E52" s="255"/>
      <c r="F52" s="255"/>
      <c r="G52" s="255"/>
      <c r="H52" s="255"/>
      <c r="I52" s="255"/>
      <c r="J52" s="255"/>
      <c r="K52" s="255"/>
      <c r="L52" s="255"/>
      <c r="M52" s="255"/>
      <c r="N52" s="255"/>
    </row>
    <row r="53" spans="1:14" ht="14.4">
      <c r="A53" s="255"/>
      <c r="B53" s="255"/>
      <c r="C53" s="255"/>
      <c r="D53" s="255"/>
      <c r="E53" s="255"/>
      <c r="F53" s="255"/>
      <c r="G53" s="255"/>
      <c r="H53" s="255"/>
      <c r="I53" s="255"/>
      <c r="J53" s="255"/>
      <c r="K53" s="255"/>
      <c r="L53" s="255"/>
      <c r="M53" s="255"/>
      <c r="N53" s="255"/>
    </row>
    <row r="54" spans="1:14" ht="14.4">
      <c r="A54" s="255"/>
      <c r="B54" s="255"/>
      <c r="C54" s="255"/>
      <c r="D54" s="255"/>
      <c r="E54" s="255"/>
      <c r="F54" s="255"/>
      <c r="G54" s="255"/>
      <c r="H54" s="255"/>
      <c r="I54" s="255"/>
      <c r="J54" s="255"/>
      <c r="K54" s="255"/>
      <c r="L54" s="255"/>
      <c r="M54" s="255"/>
      <c r="N54" s="255"/>
    </row>
    <row r="55" spans="1:14" ht="14.4">
      <c r="A55" s="255"/>
      <c r="B55" s="255"/>
      <c r="C55" s="255"/>
      <c r="D55" s="255"/>
      <c r="E55" s="255"/>
      <c r="F55" s="255"/>
      <c r="G55" s="255"/>
      <c r="H55" s="255"/>
      <c r="I55" s="255"/>
      <c r="J55" s="255"/>
      <c r="K55" s="255"/>
      <c r="L55" s="255"/>
      <c r="M55" s="255"/>
      <c r="N55" s="255"/>
    </row>
    <row r="56" spans="1:14" ht="14.4">
      <c r="A56" s="255"/>
      <c r="B56" s="255"/>
      <c r="C56" s="255"/>
      <c r="D56" s="255"/>
      <c r="E56" s="255"/>
      <c r="F56" s="255"/>
      <c r="G56" s="255"/>
      <c r="H56" s="255"/>
      <c r="I56" s="255"/>
      <c r="J56" s="255"/>
      <c r="K56" s="255"/>
      <c r="L56" s="255"/>
      <c r="M56" s="255"/>
      <c r="N56" s="255"/>
    </row>
    <row r="57" spans="1:14" ht="14.4">
      <c r="A57" s="255"/>
      <c r="B57" s="255"/>
      <c r="C57" s="255"/>
      <c r="D57" s="255"/>
      <c r="E57" s="255"/>
      <c r="F57" s="255"/>
      <c r="G57" s="255"/>
      <c r="H57" s="255"/>
      <c r="I57" s="255"/>
      <c r="J57" s="255"/>
      <c r="K57" s="255"/>
      <c r="L57" s="255"/>
      <c r="M57" s="255"/>
      <c r="N57" s="255"/>
    </row>
    <row r="58" spans="1:14" ht="14.4">
      <c r="A58" s="255"/>
      <c r="B58" s="255"/>
      <c r="C58" s="255"/>
      <c r="D58" s="255"/>
      <c r="E58" s="255"/>
      <c r="F58" s="255"/>
      <c r="G58" s="255"/>
      <c r="H58" s="255"/>
      <c r="I58" s="255"/>
      <c r="J58" s="255"/>
      <c r="K58" s="255"/>
      <c r="L58" s="255"/>
      <c r="M58" s="255"/>
      <c r="N58" s="255"/>
    </row>
    <row r="59" spans="1:14" ht="14.4">
      <c r="A59" s="255"/>
      <c r="B59" s="255"/>
      <c r="C59" s="255"/>
      <c r="D59" s="255"/>
      <c r="E59" s="255"/>
      <c r="F59" s="255"/>
      <c r="G59" s="255"/>
      <c r="H59" s="255"/>
      <c r="I59" s="255"/>
      <c r="J59" s="255"/>
      <c r="K59" s="255"/>
      <c r="L59" s="255"/>
      <c r="M59" s="255"/>
      <c r="N59" s="255"/>
    </row>
    <row r="60" spans="1:14" ht="14.4">
      <c r="A60" s="255"/>
      <c r="B60" s="255"/>
      <c r="C60" s="255"/>
      <c r="D60" s="255"/>
      <c r="E60" s="255"/>
      <c r="F60" s="255"/>
      <c r="G60" s="255"/>
      <c r="H60" s="255"/>
      <c r="I60" s="255"/>
      <c r="J60" s="255"/>
      <c r="K60" s="255"/>
      <c r="L60" s="255"/>
      <c r="M60" s="255"/>
      <c r="N60" s="255"/>
    </row>
    <row r="61" spans="1:14" ht="14.4">
      <c r="A61" s="255"/>
      <c r="B61" s="255"/>
      <c r="C61" s="255"/>
      <c r="D61" s="255"/>
      <c r="E61" s="255"/>
      <c r="F61" s="255"/>
      <c r="G61" s="255"/>
      <c r="H61" s="255"/>
      <c r="I61" s="255"/>
      <c r="J61" s="255"/>
      <c r="K61" s="255"/>
      <c r="L61" s="255"/>
      <c r="M61" s="255"/>
      <c r="N61" s="255"/>
    </row>
    <row r="62" spans="1:14" ht="14.4">
      <c r="A62" s="255"/>
      <c r="B62" s="255"/>
      <c r="C62" s="255"/>
      <c r="D62" s="255"/>
      <c r="E62" s="255"/>
      <c r="F62" s="255"/>
      <c r="G62" s="255"/>
      <c r="H62" s="255"/>
      <c r="I62" s="255"/>
      <c r="J62" s="255"/>
      <c r="K62" s="255"/>
      <c r="L62" s="255"/>
      <c r="M62" s="255"/>
      <c r="N62" s="255"/>
    </row>
    <row r="63" spans="1:14" ht="14.4">
      <c r="A63" s="255"/>
      <c r="B63" s="255"/>
      <c r="C63" s="255"/>
      <c r="D63" s="255"/>
      <c r="E63" s="255"/>
      <c r="F63" s="255"/>
      <c r="G63" s="255"/>
      <c r="H63" s="255"/>
      <c r="I63" s="255"/>
      <c r="J63" s="255"/>
      <c r="K63" s="255"/>
      <c r="L63" s="255"/>
      <c r="M63" s="255"/>
      <c r="N63" s="255"/>
    </row>
    <row r="64" spans="1:14" ht="14.4">
      <c r="A64" s="255"/>
      <c r="B64" s="255"/>
      <c r="C64" s="255"/>
      <c r="D64" s="255"/>
      <c r="E64" s="255"/>
      <c r="F64" s="255"/>
      <c r="G64" s="255"/>
      <c r="H64" s="255"/>
      <c r="I64" s="255"/>
      <c r="J64" s="255"/>
      <c r="K64" s="255"/>
      <c r="L64" s="255"/>
      <c r="M64" s="255"/>
      <c r="N64" s="255"/>
    </row>
    <row r="65" spans="1:14" ht="14.4">
      <c r="A65" s="255"/>
      <c r="B65" s="255"/>
      <c r="C65" s="255"/>
      <c r="D65" s="255"/>
      <c r="E65" s="255"/>
      <c r="F65" s="255"/>
      <c r="G65" s="255"/>
      <c r="H65" s="255"/>
      <c r="I65" s="255"/>
      <c r="J65" s="255"/>
      <c r="K65" s="255"/>
      <c r="L65" s="255"/>
      <c r="M65" s="255"/>
      <c r="N65" s="255"/>
    </row>
    <row r="66" spans="1:14" ht="14.4">
      <c r="A66" s="255"/>
      <c r="B66" s="255"/>
      <c r="C66" s="255"/>
      <c r="D66" s="255"/>
      <c r="E66" s="255"/>
      <c r="F66" s="255"/>
      <c r="G66" s="255"/>
      <c r="H66" s="255"/>
      <c r="I66" s="255"/>
      <c r="J66" s="255"/>
      <c r="K66" s="255"/>
      <c r="L66" s="255"/>
      <c r="M66" s="255"/>
      <c r="N66" s="255"/>
    </row>
    <row r="67" spans="1:14" ht="14.4">
      <c r="A67" s="255"/>
      <c r="B67" s="255"/>
      <c r="C67" s="255"/>
      <c r="D67" s="255"/>
      <c r="E67" s="255"/>
      <c r="F67" s="255"/>
      <c r="G67" s="255"/>
      <c r="H67" s="255"/>
      <c r="I67" s="255"/>
      <c r="J67" s="255"/>
      <c r="K67" s="255"/>
      <c r="L67" s="255"/>
      <c r="M67" s="255"/>
      <c r="N67" s="255"/>
    </row>
    <row r="68" spans="1:14" ht="14.4">
      <c r="A68" s="255"/>
      <c r="B68" s="255"/>
      <c r="C68" s="255"/>
      <c r="D68" s="255"/>
      <c r="E68" s="255"/>
      <c r="F68" s="255"/>
      <c r="G68" s="255"/>
      <c r="H68" s="255"/>
      <c r="I68" s="255"/>
      <c r="J68" s="255"/>
      <c r="K68" s="255"/>
      <c r="L68" s="255"/>
      <c r="M68" s="255"/>
      <c r="N68" s="255"/>
    </row>
    <row r="69" spans="1:14" ht="14.4">
      <c r="A69" s="255"/>
      <c r="B69" s="255"/>
      <c r="C69" s="255"/>
      <c r="D69" s="255"/>
      <c r="E69" s="255"/>
      <c r="F69" s="255"/>
      <c r="G69" s="255"/>
      <c r="H69" s="255"/>
      <c r="I69" s="255"/>
      <c r="J69" s="255"/>
      <c r="K69" s="255"/>
      <c r="L69" s="255"/>
      <c r="M69" s="255"/>
      <c r="N69" s="255"/>
    </row>
    <row r="70" spans="1:14" ht="14.4">
      <c r="A70" s="255"/>
      <c r="B70" s="255"/>
      <c r="C70" s="255"/>
      <c r="D70" s="255"/>
      <c r="E70" s="255"/>
      <c r="F70" s="255"/>
      <c r="G70" s="255"/>
      <c r="H70" s="255"/>
      <c r="I70" s="255"/>
      <c r="J70" s="255"/>
      <c r="K70" s="255"/>
      <c r="L70" s="255"/>
      <c r="M70" s="255"/>
      <c r="N70" s="255"/>
    </row>
    <row r="71" spans="1:14" ht="14.4">
      <c r="A71" s="255"/>
      <c r="B71" s="255"/>
      <c r="C71" s="255"/>
      <c r="D71" s="255"/>
      <c r="E71" s="255"/>
      <c r="F71" s="255"/>
      <c r="G71" s="255"/>
      <c r="H71" s="255"/>
      <c r="I71" s="255"/>
      <c r="J71" s="255"/>
      <c r="K71" s="255"/>
      <c r="L71" s="255"/>
      <c r="M71" s="255"/>
      <c r="N71" s="255"/>
    </row>
    <row r="72" spans="1:14" ht="14.4">
      <c r="A72" s="255"/>
      <c r="B72" s="255"/>
      <c r="C72" s="255"/>
      <c r="D72" s="255"/>
      <c r="E72" s="255"/>
      <c r="F72" s="255"/>
      <c r="G72" s="255"/>
      <c r="H72" s="255"/>
      <c r="I72" s="255"/>
      <c r="J72" s="255"/>
      <c r="K72" s="255"/>
      <c r="L72" s="255"/>
      <c r="M72" s="255"/>
      <c r="N72" s="255"/>
    </row>
    <row r="73" spans="1:14" ht="14.4">
      <c r="A73" s="255"/>
      <c r="B73" s="255"/>
      <c r="C73" s="255"/>
      <c r="D73" s="255"/>
      <c r="E73" s="255"/>
      <c r="F73" s="255"/>
      <c r="G73" s="255"/>
      <c r="H73" s="255"/>
      <c r="I73" s="255"/>
      <c r="J73" s="255"/>
      <c r="K73" s="255"/>
      <c r="L73" s="255"/>
      <c r="M73" s="255"/>
      <c r="N73" s="255"/>
    </row>
    <row r="74" spans="1:14" ht="14.4">
      <c r="A74" s="255"/>
      <c r="B74" s="255"/>
      <c r="C74" s="255"/>
      <c r="D74" s="255"/>
      <c r="E74" s="255"/>
      <c r="F74" s="255"/>
      <c r="G74" s="255"/>
      <c r="H74" s="255"/>
      <c r="I74" s="255"/>
      <c r="J74" s="255"/>
      <c r="K74" s="255"/>
      <c r="L74" s="255"/>
      <c r="M74" s="255"/>
      <c r="N74" s="255"/>
    </row>
    <row r="75" spans="1:14" ht="14.4">
      <c r="A75" s="255"/>
      <c r="B75" s="255"/>
      <c r="C75" s="255"/>
      <c r="D75" s="255"/>
      <c r="E75" s="255"/>
      <c r="F75" s="255"/>
      <c r="G75" s="255"/>
      <c r="H75" s="255"/>
      <c r="I75" s="255"/>
      <c r="J75" s="255"/>
      <c r="K75" s="255"/>
      <c r="L75" s="255"/>
      <c r="M75" s="255"/>
      <c r="N75" s="255"/>
    </row>
    <row r="76" spans="1:14" ht="14.4">
      <c r="A76" s="255"/>
      <c r="B76" s="255"/>
      <c r="C76" s="255"/>
      <c r="D76" s="255"/>
      <c r="E76" s="255"/>
      <c r="F76" s="255"/>
      <c r="G76" s="255"/>
      <c r="H76" s="255"/>
      <c r="I76" s="255"/>
      <c r="J76" s="255"/>
      <c r="K76" s="255"/>
      <c r="L76" s="255"/>
      <c r="M76" s="255"/>
      <c r="N76" s="255"/>
    </row>
    <row r="77" spans="1:14" ht="14.4">
      <c r="A77" s="255"/>
      <c r="B77" s="255"/>
      <c r="C77" s="255"/>
      <c r="D77" s="255"/>
      <c r="E77" s="255"/>
      <c r="F77" s="255"/>
      <c r="G77" s="255"/>
      <c r="H77" s="255"/>
      <c r="I77" s="255"/>
      <c r="J77" s="255"/>
      <c r="K77" s="255"/>
      <c r="L77" s="255"/>
      <c r="M77" s="255"/>
      <c r="N77" s="255"/>
    </row>
    <row r="78" spans="1:14" ht="14.4">
      <c r="A78" s="255"/>
      <c r="B78" s="255"/>
      <c r="C78" s="255"/>
      <c r="D78" s="255"/>
      <c r="E78" s="255"/>
      <c r="F78" s="255"/>
      <c r="G78" s="255"/>
      <c r="H78" s="255"/>
      <c r="I78" s="255"/>
      <c r="J78" s="255"/>
      <c r="K78" s="255"/>
      <c r="L78" s="255"/>
      <c r="M78" s="255"/>
      <c r="N78" s="255"/>
    </row>
    <row r="79" spans="1:14" ht="14.4">
      <c r="A79" s="255"/>
      <c r="B79" s="255"/>
      <c r="C79" s="255"/>
      <c r="D79" s="255"/>
      <c r="E79" s="255"/>
      <c r="F79" s="255"/>
      <c r="G79" s="255"/>
      <c r="H79" s="255"/>
      <c r="I79" s="255"/>
      <c r="J79" s="255"/>
      <c r="K79" s="255"/>
      <c r="L79" s="255"/>
      <c r="M79" s="255"/>
      <c r="N79" s="255"/>
    </row>
    <row r="80" spans="1:14" ht="14.4">
      <c r="A80" s="255"/>
      <c r="B80" s="255"/>
      <c r="C80" s="255"/>
      <c r="D80" s="255"/>
      <c r="E80" s="255"/>
      <c r="F80" s="255"/>
      <c r="G80" s="255"/>
      <c r="H80" s="255"/>
      <c r="I80" s="255"/>
      <c r="J80" s="255"/>
      <c r="K80" s="255"/>
      <c r="L80" s="255"/>
      <c r="M80" s="255"/>
      <c r="N80" s="255"/>
    </row>
    <row r="81" spans="1:14" ht="14.4">
      <c r="A81" s="255"/>
      <c r="B81" s="255"/>
      <c r="C81" s="255"/>
      <c r="D81" s="255"/>
      <c r="E81" s="255"/>
      <c r="F81" s="255"/>
      <c r="G81" s="255"/>
      <c r="H81" s="255"/>
      <c r="I81" s="255"/>
      <c r="J81" s="255"/>
      <c r="K81" s="255"/>
      <c r="L81" s="255"/>
      <c r="M81" s="255"/>
      <c r="N81" s="255"/>
    </row>
    <row r="82" spans="1:14" ht="14.4">
      <c r="A82" s="255"/>
      <c r="B82" s="255"/>
      <c r="C82" s="255"/>
      <c r="D82" s="255"/>
      <c r="E82" s="255"/>
      <c r="F82" s="255"/>
      <c r="G82" s="255"/>
      <c r="H82" s="255"/>
      <c r="I82" s="255"/>
      <c r="J82" s="255"/>
      <c r="K82" s="255"/>
      <c r="L82" s="255"/>
      <c r="M82" s="255"/>
      <c r="N82" s="255"/>
    </row>
    <row r="83" spans="1:14" ht="14.4">
      <c r="A83" s="255"/>
      <c r="B83" s="255"/>
      <c r="C83" s="255"/>
      <c r="D83" s="255"/>
      <c r="E83" s="255"/>
      <c r="F83" s="255"/>
      <c r="G83" s="255"/>
      <c r="H83" s="255"/>
      <c r="I83" s="255"/>
      <c r="J83" s="255"/>
      <c r="K83" s="255"/>
      <c r="L83" s="255"/>
      <c r="M83" s="255"/>
      <c r="N83" s="255"/>
    </row>
    <row r="84" spans="1:14" ht="14.4">
      <c r="A84" s="255"/>
      <c r="B84" s="255"/>
      <c r="C84" s="255"/>
      <c r="D84" s="255"/>
      <c r="E84" s="255"/>
      <c r="F84" s="255"/>
      <c r="G84" s="255"/>
      <c r="H84" s="255"/>
      <c r="I84" s="255"/>
      <c r="J84" s="255"/>
      <c r="K84" s="255"/>
      <c r="L84" s="255"/>
      <c r="M84" s="255"/>
      <c r="N84" s="255"/>
    </row>
    <row r="85" spans="1:14" ht="14.4">
      <c r="A85" s="255"/>
      <c r="B85" s="255"/>
      <c r="C85" s="255"/>
      <c r="D85" s="255"/>
      <c r="E85" s="255"/>
      <c r="F85" s="255"/>
      <c r="G85" s="255"/>
      <c r="H85" s="255"/>
      <c r="I85" s="255"/>
      <c r="J85" s="255"/>
      <c r="K85" s="255"/>
      <c r="L85" s="255"/>
      <c r="M85" s="255"/>
      <c r="N85" s="255"/>
    </row>
    <row r="86" spans="1:14" ht="14.4">
      <c r="A86" s="255"/>
      <c r="B86" s="255"/>
      <c r="C86" s="255"/>
      <c r="D86" s="255"/>
      <c r="E86" s="255"/>
      <c r="F86" s="255"/>
      <c r="G86" s="255"/>
      <c r="H86" s="255"/>
      <c r="I86" s="255"/>
      <c r="J86" s="255"/>
      <c r="K86" s="255"/>
      <c r="L86" s="255"/>
      <c r="M86" s="255"/>
      <c r="N86" s="255"/>
    </row>
    <row r="87" spans="1:14" ht="14.4">
      <c r="A87" s="255"/>
      <c r="B87" s="255"/>
      <c r="C87" s="255"/>
      <c r="D87" s="255"/>
      <c r="E87" s="255"/>
      <c r="F87" s="255"/>
      <c r="G87" s="255"/>
      <c r="H87" s="255"/>
      <c r="I87" s="255"/>
      <c r="J87" s="255"/>
      <c r="K87" s="255"/>
      <c r="L87" s="255"/>
      <c r="M87" s="255"/>
      <c r="N87" s="255"/>
    </row>
    <row r="88" spans="1:14" ht="14.4">
      <c r="A88" s="255"/>
      <c r="B88" s="255"/>
      <c r="C88" s="255"/>
      <c r="D88" s="255"/>
      <c r="E88" s="255"/>
      <c r="F88" s="255"/>
      <c r="G88" s="255"/>
      <c r="H88" s="255"/>
      <c r="I88" s="255"/>
      <c r="J88" s="255"/>
      <c r="K88" s="255"/>
      <c r="L88" s="255"/>
      <c r="M88" s="255"/>
      <c r="N88" s="255"/>
    </row>
    <row r="89" spans="1:14" ht="14.4">
      <c r="A89" s="255"/>
      <c r="B89" s="255"/>
      <c r="C89" s="255"/>
      <c r="D89" s="255"/>
      <c r="E89" s="255"/>
      <c r="F89" s="255"/>
      <c r="G89" s="255"/>
      <c r="H89" s="255"/>
      <c r="I89" s="255"/>
      <c r="J89" s="255"/>
      <c r="K89" s="255"/>
      <c r="L89" s="255"/>
      <c r="M89" s="255"/>
      <c r="N89" s="255"/>
    </row>
    <row r="90" spans="1:14" ht="14.4">
      <c r="A90" s="255"/>
      <c r="B90" s="255"/>
      <c r="C90" s="255"/>
      <c r="D90" s="255"/>
      <c r="E90" s="255"/>
      <c r="F90" s="255"/>
      <c r="G90" s="255"/>
      <c r="H90" s="255"/>
      <c r="I90" s="255"/>
      <c r="J90" s="255"/>
      <c r="K90" s="255"/>
      <c r="L90" s="255"/>
      <c r="M90" s="255"/>
      <c r="N90" s="255"/>
    </row>
    <row r="91" spans="1:14" ht="14.4">
      <c r="A91" s="255"/>
      <c r="B91" s="255"/>
      <c r="C91" s="255"/>
      <c r="D91" s="255"/>
      <c r="E91" s="255"/>
      <c r="F91" s="255"/>
      <c r="G91" s="255"/>
      <c r="H91" s="255"/>
      <c r="I91" s="255"/>
      <c r="J91" s="255"/>
      <c r="K91" s="255"/>
      <c r="L91" s="255"/>
      <c r="M91" s="255"/>
      <c r="N91" s="255"/>
    </row>
    <row r="92" spans="1:14" ht="14.4">
      <c r="A92" s="255"/>
      <c r="B92" s="255"/>
      <c r="C92" s="255"/>
      <c r="D92" s="255"/>
      <c r="E92" s="255"/>
      <c r="F92" s="255"/>
      <c r="G92" s="255"/>
      <c r="H92" s="255"/>
      <c r="I92" s="255"/>
      <c r="J92" s="255"/>
      <c r="K92" s="255"/>
      <c r="L92" s="255"/>
      <c r="M92" s="255"/>
      <c r="N92" s="255"/>
    </row>
    <row r="93" spans="1:14" ht="14.4">
      <c r="A93" s="255"/>
      <c r="B93" s="255"/>
      <c r="C93" s="255"/>
      <c r="D93" s="255"/>
      <c r="E93" s="255"/>
      <c r="F93" s="255"/>
      <c r="G93" s="255"/>
      <c r="H93" s="255"/>
      <c r="I93" s="255"/>
      <c r="J93" s="255"/>
      <c r="K93" s="255"/>
      <c r="L93" s="255"/>
      <c r="M93" s="255"/>
      <c r="N93" s="255"/>
    </row>
    <row r="94" spans="1:14" ht="14.4">
      <c r="A94" s="255"/>
      <c r="B94" s="255"/>
      <c r="C94" s="255"/>
      <c r="D94" s="255"/>
      <c r="E94" s="255"/>
      <c r="F94" s="255"/>
      <c r="G94" s="255"/>
      <c r="H94" s="255"/>
      <c r="I94" s="255"/>
      <c r="J94" s="255"/>
      <c r="K94" s="255"/>
      <c r="L94" s="255"/>
      <c r="M94" s="255"/>
      <c r="N94" s="255"/>
    </row>
    <row r="95" spans="1:14" ht="14.4">
      <c r="A95" s="255"/>
      <c r="B95" s="255"/>
      <c r="C95" s="255"/>
      <c r="D95" s="255"/>
      <c r="E95" s="255"/>
      <c r="F95" s="255"/>
      <c r="G95" s="255"/>
      <c r="H95" s="255"/>
      <c r="I95" s="255"/>
      <c r="J95" s="255"/>
      <c r="K95" s="255"/>
      <c r="L95" s="255"/>
      <c r="M95" s="255"/>
      <c r="N95" s="255"/>
    </row>
    <row r="96" spans="1:14" ht="14.4">
      <c r="A96" s="255"/>
      <c r="B96" s="255"/>
      <c r="C96" s="255"/>
      <c r="D96" s="255"/>
      <c r="E96" s="255"/>
      <c r="F96" s="255"/>
      <c r="G96" s="255"/>
      <c r="H96" s="255"/>
      <c r="I96" s="255"/>
      <c r="J96" s="255"/>
      <c r="K96" s="255"/>
      <c r="L96" s="255"/>
      <c r="M96" s="255"/>
      <c r="N96" s="255"/>
    </row>
    <row r="97" spans="1:14" ht="14.4">
      <c r="A97" s="255"/>
      <c r="B97" s="255"/>
      <c r="C97" s="255"/>
      <c r="D97" s="255"/>
      <c r="E97" s="255"/>
      <c r="F97" s="255"/>
      <c r="G97" s="255"/>
      <c r="H97" s="255"/>
      <c r="I97" s="255"/>
      <c r="J97" s="255"/>
      <c r="K97" s="255"/>
      <c r="L97" s="255"/>
      <c r="M97" s="255"/>
      <c r="N97" s="255"/>
    </row>
    <row r="98" spans="1:14" ht="14.4">
      <c r="A98" s="255"/>
      <c r="B98" s="255"/>
      <c r="C98" s="255"/>
      <c r="D98" s="255"/>
      <c r="E98" s="255"/>
      <c r="F98" s="255"/>
      <c r="G98" s="255"/>
      <c r="H98" s="255"/>
      <c r="I98" s="255"/>
      <c r="J98" s="255"/>
      <c r="K98" s="255"/>
      <c r="L98" s="255"/>
      <c r="M98" s="255"/>
      <c r="N98" s="255"/>
    </row>
    <row r="99" spans="1:14" ht="14.4">
      <c r="A99" s="255"/>
      <c r="B99" s="255"/>
      <c r="C99" s="255"/>
      <c r="D99" s="255"/>
      <c r="E99" s="255"/>
      <c r="F99" s="255"/>
      <c r="G99" s="255"/>
      <c r="H99" s="255"/>
      <c r="I99" s="255"/>
      <c r="J99" s="255"/>
      <c r="K99" s="255"/>
      <c r="L99" s="255"/>
      <c r="M99" s="255"/>
      <c r="N99" s="255"/>
    </row>
    <row r="100" spans="1:14" ht="14.4">
      <c r="A100" s="255"/>
      <c r="B100" s="255"/>
      <c r="C100" s="255"/>
      <c r="D100" s="255"/>
      <c r="E100" s="255"/>
      <c r="F100" s="255"/>
      <c r="G100" s="255"/>
      <c r="H100" s="255"/>
      <c r="I100" s="255"/>
      <c r="J100" s="255"/>
      <c r="K100" s="255"/>
      <c r="L100" s="255"/>
      <c r="M100" s="255"/>
      <c r="N100" s="255"/>
    </row>
    <row r="101" spans="1:14" ht="14.4">
      <c r="A101" s="255"/>
      <c r="B101" s="255"/>
      <c r="C101" s="255"/>
      <c r="D101" s="255"/>
      <c r="E101" s="255"/>
      <c r="F101" s="255"/>
      <c r="G101" s="255"/>
      <c r="H101" s="255"/>
      <c r="I101" s="255"/>
      <c r="J101" s="255"/>
      <c r="K101" s="255"/>
      <c r="L101" s="255"/>
      <c r="M101" s="255"/>
      <c r="N101" s="255"/>
    </row>
    <row r="102" spans="1:14" ht="14.4">
      <c r="A102" s="255"/>
      <c r="B102" s="255"/>
      <c r="C102" s="255"/>
      <c r="D102" s="255"/>
      <c r="E102" s="255"/>
      <c r="F102" s="255"/>
      <c r="G102" s="255"/>
      <c r="H102" s="255"/>
      <c r="I102" s="255"/>
      <c r="J102" s="255"/>
      <c r="K102" s="255"/>
      <c r="L102" s="255"/>
      <c r="M102" s="255"/>
      <c r="N102" s="255"/>
    </row>
    <row r="103" spans="1:14" ht="14.4">
      <c r="A103" s="255"/>
      <c r="B103" s="255"/>
      <c r="C103" s="255"/>
      <c r="D103" s="255"/>
      <c r="E103" s="255"/>
      <c r="F103" s="255"/>
      <c r="G103" s="255"/>
      <c r="H103" s="255"/>
      <c r="I103" s="255"/>
      <c r="J103" s="255"/>
      <c r="K103" s="255"/>
      <c r="L103" s="255"/>
      <c r="M103" s="255"/>
      <c r="N103" s="255"/>
    </row>
    <row r="104" spans="1:14" ht="14.4">
      <c r="A104" s="255"/>
      <c r="B104" s="255"/>
      <c r="C104" s="255"/>
      <c r="D104" s="255"/>
      <c r="E104" s="255"/>
      <c r="F104" s="255"/>
      <c r="G104" s="255"/>
      <c r="H104" s="255"/>
      <c r="I104" s="255"/>
      <c r="J104" s="255"/>
      <c r="K104" s="255"/>
      <c r="L104" s="255"/>
      <c r="M104" s="255"/>
      <c r="N104" s="255"/>
    </row>
    <row r="105" spans="1:14" ht="14.4">
      <c r="A105" s="255"/>
      <c r="B105" s="255"/>
      <c r="C105" s="255"/>
      <c r="D105" s="255"/>
      <c r="E105" s="255"/>
      <c r="F105" s="255"/>
      <c r="G105" s="255"/>
      <c r="H105" s="255"/>
      <c r="I105" s="255"/>
      <c r="J105" s="255"/>
      <c r="K105" s="255"/>
      <c r="L105" s="255"/>
      <c r="M105" s="255"/>
      <c r="N105" s="255"/>
    </row>
    <row r="106" spans="1:14" ht="14.4">
      <c r="A106" s="255"/>
      <c r="B106" s="255"/>
      <c r="C106" s="255"/>
      <c r="D106" s="255"/>
      <c r="E106" s="255"/>
      <c r="F106" s="255"/>
      <c r="G106" s="255"/>
      <c r="H106" s="255"/>
      <c r="I106" s="255"/>
      <c r="J106" s="255"/>
      <c r="K106" s="255"/>
      <c r="L106" s="255"/>
      <c r="M106" s="255"/>
      <c r="N106" s="255"/>
    </row>
  </sheetData>
  <sheetProtection password="CEE2" sheet="1" objects="1" scenarios="1" selectLockedCells="1" selectUnlockedCells="1"/>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U23"/>
  <sheetViews>
    <sheetView showGridLines="0" workbookViewId="0">
      <selection activeCell="B5" sqref="B5:B8"/>
    </sheetView>
  </sheetViews>
  <sheetFormatPr defaultColWidth="0" defaultRowHeight="12.6"/>
  <cols>
    <col min="1" max="1" width="10.33203125" style="2" customWidth="1"/>
    <col min="2" max="2" width="23.33203125" style="2" customWidth="1"/>
    <col min="3" max="8" width="10.77734375" style="2" customWidth="1"/>
    <col min="9" max="17" width="9.109375" style="2" customWidth="1"/>
    <col min="18" max="25" width="8.88671875" style="2" customWidth="1"/>
    <col min="26" max="72" width="9.109375" style="2" customWidth="1"/>
    <col min="73" max="73" width="3.109375" style="2" customWidth="1"/>
    <col min="74" max="16384" width="9.109375" style="2" hidden="1"/>
  </cols>
  <sheetData>
    <row r="1" spans="1:72" ht="15" customHeight="1">
      <c r="I1" s="3"/>
      <c r="J1" s="3"/>
    </row>
    <row r="2" spans="1:72" ht="15" customHeight="1"/>
    <row r="3" spans="1:72" ht="15" customHeight="1"/>
    <row r="4" spans="1:72" ht="15" customHeight="1">
      <c r="I4" s="4"/>
      <c r="J4" s="4"/>
    </row>
    <row r="5" spans="1:72" ht="15" customHeight="1">
      <c r="A5" s="272" t="s">
        <v>3525</v>
      </c>
      <c r="B5" s="272" t="s">
        <v>1149</v>
      </c>
      <c r="C5" s="271" t="s">
        <v>3522</v>
      </c>
      <c r="D5" s="271" t="s">
        <v>3545</v>
      </c>
      <c r="E5" s="273" t="s">
        <v>860</v>
      </c>
      <c r="F5" s="273"/>
      <c r="G5" s="273" t="s">
        <v>3544</v>
      </c>
      <c r="H5" s="273"/>
      <c r="I5" s="10" t="s">
        <v>3526</v>
      </c>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c r="BB5" s="10"/>
      <c r="BC5" s="10"/>
      <c r="BD5" s="10"/>
      <c r="BE5" s="10"/>
      <c r="BF5" s="10"/>
      <c r="BG5" s="10"/>
      <c r="BH5" s="10"/>
      <c r="BI5" s="10"/>
      <c r="BJ5" s="10"/>
      <c r="BK5" s="10"/>
      <c r="BL5" s="10"/>
      <c r="BM5" s="10"/>
      <c r="BN5" s="10"/>
      <c r="BO5" s="10"/>
      <c r="BP5" s="10"/>
      <c r="BQ5" s="10"/>
      <c r="BR5" s="10"/>
      <c r="BS5" s="10"/>
      <c r="BT5" s="10"/>
    </row>
    <row r="6" spans="1:72" ht="15" customHeight="1">
      <c r="A6" s="272"/>
      <c r="B6" s="272"/>
      <c r="C6" s="271"/>
      <c r="D6" s="271"/>
      <c r="E6" s="271" t="s">
        <v>3522</v>
      </c>
      <c r="F6" s="271" t="s">
        <v>3545</v>
      </c>
      <c r="G6" s="271" t="s">
        <v>3522</v>
      </c>
      <c r="H6" s="271" t="s">
        <v>3545</v>
      </c>
      <c r="I6" s="11">
        <v>1</v>
      </c>
      <c r="J6" s="11">
        <f>I6+1</f>
        <v>2</v>
      </c>
      <c r="K6" s="11">
        <f t="shared" ref="K6:AM6" si="0">J6+1</f>
        <v>3</v>
      </c>
      <c r="L6" s="11">
        <f t="shared" si="0"/>
        <v>4</v>
      </c>
      <c r="M6" s="11">
        <f t="shared" si="0"/>
        <v>5</v>
      </c>
      <c r="N6" s="11">
        <f t="shared" si="0"/>
        <v>6</v>
      </c>
      <c r="O6" s="11">
        <f t="shared" si="0"/>
        <v>7</v>
      </c>
      <c r="P6" s="11">
        <f t="shared" si="0"/>
        <v>8</v>
      </c>
      <c r="Q6" s="11">
        <f t="shared" si="0"/>
        <v>9</v>
      </c>
      <c r="R6" s="11">
        <f t="shared" si="0"/>
        <v>10</v>
      </c>
      <c r="S6" s="11">
        <f t="shared" si="0"/>
        <v>11</v>
      </c>
      <c r="T6" s="11">
        <f t="shared" si="0"/>
        <v>12</v>
      </c>
      <c r="U6" s="11">
        <f t="shared" si="0"/>
        <v>13</v>
      </c>
      <c r="V6" s="11">
        <f t="shared" si="0"/>
        <v>14</v>
      </c>
      <c r="W6" s="11">
        <f t="shared" si="0"/>
        <v>15</v>
      </c>
      <c r="X6" s="11">
        <f t="shared" si="0"/>
        <v>16</v>
      </c>
      <c r="Y6" s="11">
        <f t="shared" si="0"/>
        <v>17</v>
      </c>
      <c r="Z6" s="11">
        <f t="shared" si="0"/>
        <v>18</v>
      </c>
      <c r="AA6" s="11">
        <f t="shared" si="0"/>
        <v>19</v>
      </c>
      <c r="AB6" s="11">
        <f t="shared" si="0"/>
        <v>20</v>
      </c>
      <c r="AC6" s="11">
        <f t="shared" si="0"/>
        <v>21</v>
      </c>
      <c r="AD6" s="11">
        <f t="shared" si="0"/>
        <v>22</v>
      </c>
      <c r="AE6" s="11">
        <f t="shared" si="0"/>
        <v>23</v>
      </c>
      <c r="AF6" s="11">
        <f t="shared" si="0"/>
        <v>24</v>
      </c>
      <c r="AG6" s="11">
        <f t="shared" si="0"/>
        <v>25</v>
      </c>
      <c r="AH6" s="11">
        <f t="shared" si="0"/>
        <v>26</v>
      </c>
      <c r="AI6" s="11">
        <f t="shared" si="0"/>
        <v>27</v>
      </c>
      <c r="AJ6" s="11">
        <f t="shared" si="0"/>
        <v>28</v>
      </c>
      <c r="AK6" s="11">
        <f t="shared" si="0"/>
        <v>29</v>
      </c>
      <c r="AL6" s="11">
        <f t="shared" si="0"/>
        <v>30</v>
      </c>
      <c r="AM6" s="11">
        <f t="shared" si="0"/>
        <v>31</v>
      </c>
      <c r="AN6" s="11">
        <f t="shared" ref="AN6" si="1">AM6+1</f>
        <v>32</v>
      </c>
      <c r="AO6" s="11">
        <f t="shared" ref="AO6" si="2">AN6+1</f>
        <v>33</v>
      </c>
      <c r="AP6" s="11">
        <f t="shared" ref="AP6" si="3">AO6+1</f>
        <v>34</v>
      </c>
      <c r="AQ6" s="11">
        <f t="shared" ref="AQ6" si="4">AP6+1</f>
        <v>35</v>
      </c>
      <c r="AR6" s="11">
        <f t="shared" ref="AR6" si="5">AQ6+1</f>
        <v>36</v>
      </c>
      <c r="AS6" s="11">
        <f t="shared" ref="AS6" si="6">AR6+1</f>
        <v>37</v>
      </c>
      <c r="AT6" s="11">
        <f t="shared" ref="AT6" si="7">AS6+1</f>
        <v>38</v>
      </c>
      <c r="AU6" s="11">
        <f t="shared" ref="AU6" si="8">AT6+1</f>
        <v>39</v>
      </c>
      <c r="AV6" s="11">
        <f t="shared" ref="AV6" si="9">AU6+1</f>
        <v>40</v>
      </c>
      <c r="AW6" s="11">
        <f t="shared" ref="AW6" si="10">AV6+1</f>
        <v>41</v>
      </c>
      <c r="AX6" s="11">
        <f t="shared" ref="AX6" si="11">AW6+1</f>
        <v>42</v>
      </c>
      <c r="AY6" s="11">
        <f t="shared" ref="AY6" si="12">AX6+1</f>
        <v>43</v>
      </c>
      <c r="AZ6" s="11">
        <f t="shared" ref="AZ6" si="13">AY6+1</f>
        <v>44</v>
      </c>
      <c r="BA6" s="11">
        <f t="shared" ref="BA6" si="14">AZ6+1</f>
        <v>45</v>
      </c>
      <c r="BB6" s="11">
        <f t="shared" ref="BB6" si="15">BA6+1</f>
        <v>46</v>
      </c>
      <c r="BC6" s="11">
        <f t="shared" ref="BC6" si="16">BB6+1</f>
        <v>47</v>
      </c>
      <c r="BD6" s="11">
        <f t="shared" ref="BD6" si="17">BC6+1</f>
        <v>48</v>
      </c>
      <c r="BE6" s="11">
        <f t="shared" ref="BE6" si="18">BD6+1</f>
        <v>49</v>
      </c>
      <c r="BF6" s="11">
        <f t="shared" ref="BF6" si="19">BE6+1</f>
        <v>50</v>
      </c>
      <c r="BG6" s="11">
        <f t="shared" ref="BG6" si="20">BF6+1</f>
        <v>51</v>
      </c>
      <c r="BH6" s="11">
        <f t="shared" ref="BH6" si="21">BG6+1</f>
        <v>52</v>
      </c>
      <c r="BI6" s="11">
        <f t="shared" ref="BI6" si="22">BH6+1</f>
        <v>53</v>
      </c>
      <c r="BJ6" s="11">
        <f t="shared" ref="BJ6" si="23">BI6+1</f>
        <v>54</v>
      </c>
      <c r="BK6" s="11">
        <f t="shared" ref="BK6" si="24">BJ6+1</f>
        <v>55</v>
      </c>
      <c r="BL6" s="11">
        <f t="shared" ref="BL6" si="25">BK6+1</f>
        <v>56</v>
      </c>
      <c r="BM6" s="11">
        <f t="shared" ref="BM6" si="26">BL6+1</f>
        <v>57</v>
      </c>
      <c r="BN6" s="11">
        <f t="shared" ref="BN6" si="27">BM6+1</f>
        <v>58</v>
      </c>
      <c r="BO6" s="11">
        <f t="shared" ref="BO6" si="28">BN6+1</f>
        <v>59</v>
      </c>
      <c r="BP6" s="11">
        <f t="shared" ref="BP6" si="29">BO6+1</f>
        <v>60</v>
      </c>
      <c r="BQ6" s="11">
        <f t="shared" ref="BQ6" si="30">BP6+1</f>
        <v>61</v>
      </c>
      <c r="BR6" s="11">
        <f t="shared" ref="BR6" si="31">BQ6+1</f>
        <v>62</v>
      </c>
      <c r="BS6" s="11">
        <f t="shared" ref="BS6" si="32">BR6+1</f>
        <v>63</v>
      </c>
      <c r="BT6" s="11">
        <f t="shared" ref="BT6" si="33">BS6+1</f>
        <v>64</v>
      </c>
    </row>
    <row r="7" spans="1:72" ht="15" customHeight="1">
      <c r="A7" s="272"/>
      <c r="B7" s="272"/>
      <c r="C7" s="271"/>
      <c r="D7" s="271"/>
      <c r="E7" s="271"/>
      <c r="F7" s="271"/>
      <c r="G7" s="271"/>
      <c r="H7" s="271"/>
      <c r="I7" s="12">
        <f>'Player Scoreboard'!K7</f>
        <v>100</v>
      </c>
      <c r="J7" s="12">
        <f>'Player Scoreboard'!L7</f>
        <v>100</v>
      </c>
      <c r="K7" s="12">
        <f>'Player Scoreboard'!M7</f>
        <v>100</v>
      </c>
      <c r="L7" s="12">
        <f>'Player Scoreboard'!N7</f>
        <v>100</v>
      </c>
      <c r="M7" s="12">
        <f>'Player Scoreboard'!O7</f>
        <v>100</v>
      </c>
      <c r="N7" s="12">
        <f>'Player Scoreboard'!P7</f>
        <v>100</v>
      </c>
      <c r="O7" s="12">
        <f>'Player Scoreboard'!Q7</f>
        <v>100</v>
      </c>
      <c r="P7" s="12">
        <f>'Player Scoreboard'!R7</f>
        <v>100</v>
      </c>
      <c r="Q7" s="12">
        <f>'Player Scoreboard'!S7</f>
        <v>100</v>
      </c>
      <c r="R7" s="12">
        <f>'Player Scoreboard'!T7</f>
        <v>100</v>
      </c>
      <c r="S7" s="12">
        <f>'Player Scoreboard'!U7</f>
        <v>100</v>
      </c>
      <c r="T7" s="12">
        <f>'Player Scoreboard'!V7</f>
        <v>100</v>
      </c>
      <c r="U7" s="12">
        <f>'Player Scoreboard'!W7</f>
        <v>100</v>
      </c>
      <c r="V7" s="12">
        <f>'Player Scoreboard'!X7</f>
        <v>100</v>
      </c>
      <c r="W7" s="12">
        <f>'Player Scoreboard'!Y7</f>
        <v>100</v>
      </c>
      <c r="X7" s="12">
        <f>'Player Scoreboard'!Z7</f>
        <v>100</v>
      </c>
      <c r="Y7" s="12">
        <f>'Player Scoreboard'!AA7</f>
        <v>100</v>
      </c>
      <c r="Z7" s="12">
        <f>'Player Scoreboard'!AB7</f>
        <v>100</v>
      </c>
      <c r="AA7" s="12">
        <f>'Player Scoreboard'!AC7</f>
        <v>100</v>
      </c>
      <c r="AB7" s="12">
        <f>'Player Scoreboard'!AD7</f>
        <v>100</v>
      </c>
      <c r="AC7" s="12">
        <f>'Player Scoreboard'!AE7</f>
        <v>100</v>
      </c>
      <c r="AD7" s="12">
        <f>'Player Scoreboard'!AF7</f>
        <v>100</v>
      </c>
      <c r="AE7" s="12">
        <f>'Player Scoreboard'!AG7</f>
        <v>100</v>
      </c>
      <c r="AF7" s="12">
        <f>'Player Scoreboard'!AH7</f>
        <v>100</v>
      </c>
      <c r="AG7" s="12">
        <f>'Player Scoreboard'!AI7</f>
        <v>100</v>
      </c>
      <c r="AH7" s="12">
        <f>'Player Scoreboard'!AJ7</f>
        <v>100</v>
      </c>
      <c r="AI7" s="12">
        <f>'Player Scoreboard'!AK7</f>
        <v>100</v>
      </c>
      <c r="AJ7" s="12">
        <f>'Player Scoreboard'!AL7</f>
        <v>100</v>
      </c>
      <c r="AK7" s="12">
        <f>'Player Scoreboard'!AM7</f>
        <v>100</v>
      </c>
      <c r="AL7" s="12">
        <f>'Player Scoreboard'!AN7</f>
        <v>100</v>
      </c>
      <c r="AM7" s="12">
        <f>'Player Scoreboard'!AO7</f>
        <v>100</v>
      </c>
      <c r="AN7" s="12">
        <f>'Player Scoreboard'!AP7</f>
        <v>100</v>
      </c>
      <c r="AO7" s="12">
        <f>'Player Scoreboard'!AQ7</f>
        <v>100</v>
      </c>
      <c r="AP7" s="12">
        <f>'Player Scoreboard'!AR7</f>
        <v>100</v>
      </c>
      <c r="AQ7" s="12">
        <f>'Player Scoreboard'!AS7</f>
        <v>100</v>
      </c>
      <c r="AR7" s="12">
        <f>'Player Scoreboard'!AT7</f>
        <v>100</v>
      </c>
      <c r="AS7" s="12">
        <f>'Player Scoreboard'!AU7</f>
        <v>100</v>
      </c>
      <c r="AT7" s="12">
        <f>'Player Scoreboard'!AV7</f>
        <v>100</v>
      </c>
      <c r="AU7" s="12">
        <f>'Player Scoreboard'!AW7</f>
        <v>100</v>
      </c>
      <c r="AV7" s="12">
        <f>'Player Scoreboard'!AX7</f>
        <v>100</v>
      </c>
      <c r="AW7" s="12">
        <f>'Player Scoreboard'!AY7</f>
        <v>100</v>
      </c>
      <c r="AX7" s="12">
        <f>'Player Scoreboard'!AZ7</f>
        <v>100</v>
      </c>
      <c r="AY7" s="12">
        <f>'Player Scoreboard'!BA7</f>
        <v>100</v>
      </c>
      <c r="AZ7" s="12">
        <f>'Player Scoreboard'!BB7</f>
        <v>100</v>
      </c>
      <c r="BA7" s="12">
        <f>'Player Scoreboard'!BC7</f>
        <v>100</v>
      </c>
      <c r="BB7" s="12">
        <f>'Player Scoreboard'!BD7</f>
        <v>100</v>
      </c>
      <c r="BC7" s="12">
        <f>'Player Scoreboard'!BE7</f>
        <v>100</v>
      </c>
      <c r="BD7" s="12">
        <f>'Player Scoreboard'!BF7</f>
        <v>100</v>
      </c>
      <c r="BE7" s="12">
        <f>'Player Scoreboard'!BG7</f>
        <v>200</v>
      </c>
      <c r="BF7" s="12">
        <f>'Player Scoreboard'!BH7</f>
        <v>200</v>
      </c>
      <c r="BG7" s="12">
        <f>'Player Scoreboard'!BI7</f>
        <v>200</v>
      </c>
      <c r="BH7" s="12">
        <f>'Player Scoreboard'!BJ7</f>
        <v>200</v>
      </c>
      <c r="BI7" s="12">
        <f>'Player Scoreboard'!BK7</f>
        <v>200</v>
      </c>
      <c r="BJ7" s="12">
        <f>'Player Scoreboard'!BL7</f>
        <v>200</v>
      </c>
      <c r="BK7" s="12">
        <f>'Player Scoreboard'!BM7</f>
        <v>200</v>
      </c>
      <c r="BL7" s="12">
        <f>'Player Scoreboard'!BN7</f>
        <v>200</v>
      </c>
      <c r="BM7" s="12">
        <f>'Player Scoreboard'!BO7</f>
        <v>400</v>
      </c>
      <c r="BN7" s="12">
        <f>'Player Scoreboard'!BP7</f>
        <v>400</v>
      </c>
      <c r="BO7" s="12">
        <f>'Player Scoreboard'!BQ7</f>
        <v>400</v>
      </c>
      <c r="BP7" s="12">
        <f>'Player Scoreboard'!BR7</f>
        <v>400</v>
      </c>
      <c r="BQ7" s="12">
        <f>'Player Scoreboard'!BS7</f>
        <v>800</v>
      </c>
      <c r="BR7" s="12">
        <f>'Player Scoreboard'!BT7</f>
        <v>800</v>
      </c>
      <c r="BS7" s="12">
        <f>'Player Scoreboard'!BU7</f>
        <v>800</v>
      </c>
      <c r="BT7" s="12">
        <f>'Player Scoreboard'!BV7</f>
        <v>1600</v>
      </c>
    </row>
    <row r="8" spans="1:72" ht="15" customHeight="1">
      <c r="A8" s="272"/>
      <c r="B8" s="272"/>
      <c r="C8" s="271"/>
      <c r="D8" s="271"/>
      <c r="E8" s="271"/>
      <c r="F8" s="271"/>
      <c r="G8" s="271"/>
      <c r="H8" s="271"/>
      <c r="I8" s="14">
        <f>SUM(J7:BT7)</f>
        <v>11900</v>
      </c>
      <c r="J8" s="14">
        <f t="shared" ref="J8" si="34">I8-J7</f>
        <v>11800</v>
      </c>
      <c r="K8" s="14">
        <f t="shared" ref="K8" si="35">J8-K7</f>
        <v>11700</v>
      </c>
      <c r="L8" s="14">
        <f t="shared" ref="L8" si="36">K8-L7</f>
        <v>11600</v>
      </c>
      <c r="M8" s="14">
        <f t="shared" ref="M8" si="37">L8-M7</f>
        <v>11500</v>
      </c>
      <c r="N8" s="14">
        <f t="shared" ref="N8" si="38">M8-N7</f>
        <v>11400</v>
      </c>
      <c r="O8" s="14">
        <f t="shared" ref="O8" si="39">N8-O7</f>
        <v>11300</v>
      </c>
      <c r="P8" s="14">
        <f t="shared" ref="P8" si="40">O8-P7</f>
        <v>11200</v>
      </c>
      <c r="Q8" s="14">
        <f t="shared" ref="Q8" si="41">P8-Q7</f>
        <v>11100</v>
      </c>
      <c r="R8" s="14">
        <f t="shared" ref="R8" si="42">Q8-R7</f>
        <v>11000</v>
      </c>
      <c r="S8" s="14">
        <f t="shared" ref="S8" si="43">R8-S7</f>
        <v>10900</v>
      </c>
      <c r="T8" s="14">
        <f t="shared" ref="T8" si="44">S8-T7</f>
        <v>10800</v>
      </c>
      <c r="U8" s="14">
        <f t="shared" ref="U8" si="45">T8-U7</f>
        <v>10700</v>
      </c>
      <c r="V8" s="14">
        <f t="shared" ref="V8" si="46">U8-V7</f>
        <v>10600</v>
      </c>
      <c r="W8" s="14">
        <f t="shared" ref="W8" si="47">V8-W7</f>
        <v>10500</v>
      </c>
      <c r="X8" s="14">
        <f t="shared" ref="X8" si="48">W8-X7</f>
        <v>10400</v>
      </c>
      <c r="Y8" s="14">
        <f t="shared" ref="Y8" si="49">X8-Y7</f>
        <v>10300</v>
      </c>
      <c r="Z8" s="14">
        <f t="shared" ref="Z8" si="50">Y8-Z7</f>
        <v>10200</v>
      </c>
      <c r="AA8" s="14">
        <f t="shared" ref="AA8" si="51">Z8-AA7</f>
        <v>10100</v>
      </c>
      <c r="AB8" s="14">
        <f t="shared" ref="AB8" si="52">AA8-AB7</f>
        <v>10000</v>
      </c>
      <c r="AC8" s="14">
        <f t="shared" ref="AC8" si="53">AB8-AC7</f>
        <v>9900</v>
      </c>
      <c r="AD8" s="14">
        <f t="shared" ref="AD8" si="54">AC8-AD7</f>
        <v>9800</v>
      </c>
      <c r="AE8" s="14">
        <f t="shared" ref="AE8" si="55">AD8-AE7</f>
        <v>9700</v>
      </c>
      <c r="AF8" s="14">
        <f t="shared" ref="AF8" si="56">AE8-AF7</f>
        <v>9600</v>
      </c>
      <c r="AG8" s="14">
        <f t="shared" ref="AG8" si="57">AF8-AG7</f>
        <v>9500</v>
      </c>
      <c r="AH8" s="14">
        <f t="shared" ref="AH8" si="58">AG8-AH7</f>
        <v>9400</v>
      </c>
      <c r="AI8" s="14">
        <f t="shared" ref="AI8" si="59">AH8-AI7</f>
        <v>9300</v>
      </c>
      <c r="AJ8" s="14">
        <f t="shared" ref="AJ8" si="60">AI8-AJ7</f>
        <v>9200</v>
      </c>
      <c r="AK8" s="14">
        <f t="shared" ref="AK8" si="61">AJ8-AK7</f>
        <v>9100</v>
      </c>
      <c r="AL8" s="14">
        <f t="shared" ref="AL8" si="62">AK8-AL7</f>
        <v>9000</v>
      </c>
      <c r="AM8" s="14">
        <f t="shared" ref="AM8" si="63">AL8-AM7</f>
        <v>8900</v>
      </c>
      <c r="AN8" s="14">
        <f t="shared" ref="AN8" si="64">AM8-AN7</f>
        <v>8800</v>
      </c>
      <c r="AO8" s="14">
        <f t="shared" ref="AO8" si="65">AN8-AO7</f>
        <v>8700</v>
      </c>
      <c r="AP8" s="14">
        <f t="shared" ref="AP8" si="66">AO8-AP7</f>
        <v>8600</v>
      </c>
      <c r="AQ8" s="14">
        <f t="shared" ref="AQ8" si="67">AP8-AQ7</f>
        <v>8500</v>
      </c>
      <c r="AR8" s="14">
        <f t="shared" ref="AR8" si="68">AQ8-AR7</f>
        <v>8400</v>
      </c>
      <c r="AS8" s="14">
        <f t="shared" ref="AS8" si="69">AR8-AS7</f>
        <v>8300</v>
      </c>
      <c r="AT8" s="14">
        <f t="shared" ref="AT8" si="70">AS8-AT7</f>
        <v>8200</v>
      </c>
      <c r="AU8" s="14">
        <f t="shared" ref="AU8" si="71">AT8-AU7</f>
        <v>8100</v>
      </c>
      <c r="AV8" s="14">
        <f t="shared" ref="AV8" si="72">AU8-AV7</f>
        <v>8000</v>
      </c>
      <c r="AW8" s="14">
        <f t="shared" ref="AW8" si="73">AV8-AW7</f>
        <v>7900</v>
      </c>
      <c r="AX8" s="14">
        <f t="shared" ref="AX8" si="74">AW8-AX7</f>
        <v>7800</v>
      </c>
      <c r="AY8" s="14">
        <f t="shared" ref="AY8" si="75">AX8-AY7</f>
        <v>7700</v>
      </c>
      <c r="AZ8" s="14">
        <f t="shared" ref="AZ8" si="76">AY8-AZ7</f>
        <v>7600</v>
      </c>
      <c r="BA8" s="14">
        <f t="shared" ref="BA8" si="77">AZ8-BA7</f>
        <v>7500</v>
      </c>
      <c r="BB8" s="14">
        <f t="shared" ref="BB8" si="78">BA8-BB7</f>
        <v>7400</v>
      </c>
      <c r="BC8" s="14">
        <f t="shared" ref="BC8" si="79">BB8-BC7</f>
        <v>7300</v>
      </c>
      <c r="BD8" s="14">
        <f t="shared" ref="BD8" si="80">BC8-BD7</f>
        <v>7200</v>
      </c>
      <c r="BE8" s="14">
        <f t="shared" ref="BE8" si="81">BD8-BE7</f>
        <v>7000</v>
      </c>
      <c r="BF8" s="14">
        <f t="shared" ref="BF8" si="82">BE8-BF7</f>
        <v>6800</v>
      </c>
      <c r="BG8" s="14">
        <f t="shared" ref="BG8" si="83">BF8-BG7</f>
        <v>6600</v>
      </c>
      <c r="BH8" s="14">
        <f t="shared" ref="BH8" si="84">BG8-BH7</f>
        <v>6400</v>
      </c>
      <c r="BI8" s="14">
        <f t="shared" ref="BI8" si="85">BH8-BI7</f>
        <v>6200</v>
      </c>
      <c r="BJ8" s="14">
        <f t="shared" ref="BJ8" si="86">BI8-BJ7</f>
        <v>6000</v>
      </c>
      <c r="BK8" s="14">
        <f t="shared" ref="BK8" si="87">BJ8-BK7</f>
        <v>5800</v>
      </c>
      <c r="BL8" s="14">
        <f t="shared" ref="BL8" si="88">BK8-BL7</f>
        <v>5600</v>
      </c>
      <c r="BM8" s="14">
        <f t="shared" ref="BM8" si="89">BL8-BM7</f>
        <v>5200</v>
      </c>
      <c r="BN8" s="14">
        <f t="shared" ref="BN8" si="90">BM8-BN7</f>
        <v>4800</v>
      </c>
      <c r="BO8" s="14">
        <f t="shared" ref="BO8" si="91">BN8-BO7</f>
        <v>4400</v>
      </c>
      <c r="BP8" s="14">
        <f t="shared" ref="BP8" si="92">BO8-BP7</f>
        <v>4000</v>
      </c>
      <c r="BQ8" s="14">
        <f t="shared" ref="BQ8" si="93">BP8-BQ7</f>
        <v>3200</v>
      </c>
      <c r="BR8" s="14">
        <f t="shared" ref="BR8" si="94">BQ8-BR7</f>
        <v>2400</v>
      </c>
      <c r="BS8" s="14">
        <f t="shared" ref="BS8" si="95">BR8-BS7</f>
        <v>1600</v>
      </c>
      <c r="BT8" s="14">
        <f t="shared" ref="BT8" si="96">BS8-BT7</f>
        <v>0</v>
      </c>
    </row>
    <row r="9" spans="1:72" ht="15" customHeight="1">
      <c r="A9" s="12">
        <f>IF('Player Name'!C6&lt;&gt;"",1,"")</f>
        <v>1</v>
      </c>
      <c r="B9" s="13" t="str">
        <f ca="1">IF(A9&lt;&gt;"",VLOOKUP(A9,Dummy!$E$7:$N$106,10,FALSE),"")</f>
        <v>John 1</v>
      </c>
      <c r="C9" s="25">
        <f ca="1">IF($A9&lt;&gt;"",E9+G9,"")</f>
        <v>0</v>
      </c>
      <c r="D9" s="25">
        <f ca="1">IF($A9&lt;&gt;"",F9+H9,"")</f>
        <v>0</v>
      </c>
      <c r="E9" s="25">
        <f ca="1">IF($A9&lt;&gt;"",VLOOKUP($B9,'Player Scoreboard'!$C$10:$F$24,4,FALSE),"")</f>
        <v>0</v>
      </c>
      <c r="F9" s="12">
        <f ca="1">IF($A9&lt;&gt;"",VLOOKUP($B9,'Player Scoreboard'!$C$10:$G$24,5,FALSE),"")</f>
        <v>0</v>
      </c>
      <c r="G9" s="25">
        <f ca="1">IF($A9&lt;&gt;"",VLOOKUP($B9,'Player Scoreboard'!$C$10:$H$24,6,FALSE),"")</f>
        <v>0</v>
      </c>
      <c r="H9" s="12">
        <f ca="1">IF($A9&lt;&gt;"",VLOOKUP($B9,'Player Scoreboard'!$C$10:$I$24,7,FALSE),"")</f>
        <v>0</v>
      </c>
      <c r="I9" s="12" t="str">
        <f ca="1">IF($A9&lt;&gt;"",VLOOKUP($B9,'Player Scoreboard'!$C$10:$BV$24,I$6+8,FALSE),"")</f>
        <v/>
      </c>
      <c r="J9" s="12" t="str">
        <f ca="1">IF($A9&lt;&gt;"",VLOOKUP($B9,'Player Scoreboard'!$C$10:$BV$24,J$6+8,FALSE),"")</f>
        <v/>
      </c>
      <c r="K9" s="12" t="str">
        <f ca="1">IF($A9&lt;&gt;"",VLOOKUP($B9,'Player Scoreboard'!$C$10:$BV$24,K$6+8,FALSE),"")</f>
        <v/>
      </c>
      <c r="L9" s="12" t="str">
        <f ca="1">IF($A9&lt;&gt;"",VLOOKUP($B9,'Player Scoreboard'!$C$10:$BV$24,L$6+8,FALSE),"")</f>
        <v/>
      </c>
      <c r="M9" s="12" t="str">
        <f ca="1">IF($A9&lt;&gt;"",VLOOKUP($B9,'Player Scoreboard'!$C$10:$BV$24,M$6+8,FALSE),"")</f>
        <v/>
      </c>
      <c r="N9" s="12" t="str">
        <f ca="1">IF($A9&lt;&gt;"",VLOOKUP($B9,'Player Scoreboard'!$C$10:$BV$24,N$6+8,FALSE),"")</f>
        <v/>
      </c>
      <c r="O9" s="12" t="str">
        <f ca="1">IF($A9&lt;&gt;"",VLOOKUP($B9,'Player Scoreboard'!$C$10:$BV$24,O$6+8,FALSE),"")</f>
        <v/>
      </c>
      <c r="P9" s="12" t="str">
        <f ca="1">IF($A9&lt;&gt;"",VLOOKUP($B9,'Player Scoreboard'!$C$10:$BV$24,P$6+8,FALSE),"")</f>
        <v/>
      </c>
      <c r="Q9" s="12" t="str">
        <f ca="1">IF($A9&lt;&gt;"",VLOOKUP($B9,'Player Scoreboard'!$C$10:$BV$24,Q$6+8,FALSE),"")</f>
        <v/>
      </c>
      <c r="R9" s="12" t="str">
        <f ca="1">IF($A9&lt;&gt;"",VLOOKUP($B9,'Player Scoreboard'!$C$10:$BV$24,R$6+8,FALSE),"")</f>
        <v/>
      </c>
      <c r="S9" s="12" t="str">
        <f ca="1">IF($A9&lt;&gt;"",VLOOKUP($B9,'Player Scoreboard'!$C$10:$BV$24,S$6+8,FALSE),"")</f>
        <v/>
      </c>
      <c r="T9" s="12" t="str">
        <f ca="1">IF($A9&lt;&gt;"",VLOOKUP($B9,'Player Scoreboard'!$C$10:$BV$24,T$6+8,FALSE),"")</f>
        <v/>
      </c>
      <c r="U9" s="12" t="str">
        <f ca="1">IF($A9&lt;&gt;"",VLOOKUP($B9,'Player Scoreboard'!$C$10:$BV$24,U$6+8,FALSE),"")</f>
        <v/>
      </c>
      <c r="V9" s="12" t="str">
        <f ca="1">IF($A9&lt;&gt;"",VLOOKUP($B9,'Player Scoreboard'!$C$10:$BV$24,V$6+8,FALSE),"")</f>
        <v/>
      </c>
      <c r="W9" s="12" t="str">
        <f ca="1">IF($A9&lt;&gt;"",VLOOKUP($B9,'Player Scoreboard'!$C$10:$BV$24,W$6+8,FALSE),"")</f>
        <v/>
      </c>
      <c r="X9" s="12" t="str">
        <f ca="1">IF($A9&lt;&gt;"",VLOOKUP($B9,'Player Scoreboard'!$C$10:$BV$24,X$6+8,FALSE),"")</f>
        <v/>
      </c>
      <c r="Y9" s="12" t="str">
        <f ca="1">IF($A9&lt;&gt;"",VLOOKUP($B9,'Player Scoreboard'!$C$10:$BV$24,Y$6+8,FALSE),"")</f>
        <v/>
      </c>
      <c r="Z9" s="12" t="str">
        <f ca="1">IF($A9&lt;&gt;"",VLOOKUP($B9,'Player Scoreboard'!$C$10:$BV$24,Z$6+8,FALSE),"")</f>
        <v/>
      </c>
      <c r="AA9" s="12" t="str">
        <f ca="1">IF($A9&lt;&gt;"",VLOOKUP($B9,'Player Scoreboard'!$C$10:$BV$24,AA$6+8,FALSE),"")</f>
        <v/>
      </c>
      <c r="AB9" s="12" t="str">
        <f ca="1">IF($A9&lt;&gt;"",VLOOKUP($B9,'Player Scoreboard'!$C$10:$BV$24,AB$6+8,FALSE),"")</f>
        <v/>
      </c>
      <c r="AC9" s="12" t="str">
        <f ca="1">IF($A9&lt;&gt;"",VLOOKUP($B9,'Player Scoreboard'!$C$10:$BV$24,AC$6+8,FALSE),"")</f>
        <v/>
      </c>
      <c r="AD9" s="12" t="str">
        <f ca="1">IF($A9&lt;&gt;"",VLOOKUP($B9,'Player Scoreboard'!$C$10:$BV$24,AD$6+8,FALSE),"")</f>
        <v/>
      </c>
      <c r="AE9" s="12" t="str">
        <f ca="1">IF($A9&lt;&gt;"",VLOOKUP($B9,'Player Scoreboard'!$C$10:$BV$24,AE$6+8,FALSE),"")</f>
        <v/>
      </c>
      <c r="AF9" s="12" t="str">
        <f ca="1">IF($A9&lt;&gt;"",VLOOKUP($B9,'Player Scoreboard'!$C$10:$BV$24,AF$6+8,FALSE),"")</f>
        <v/>
      </c>
      <c r="AG9" s="12" t="str">
        <f ca="1">IF($A9&lt;&gt;"",VLOOKUP($B9,'Player Scoreboard'!$C$10:$BV$24,AG$6+8,FALSE),"")</f>
        <v/>
      </c>
      <c r="AH9" s="12" t="str">
        <f ca="1">IF($A9&lt;&gt;"",VLOOKUP($B9,'Player Scoreboard'!$C$10:$BV$24,AH$6+8,FALSE),"")</f>
        <v/>
      </c>
      <c r="AI9" s="12" t="str">
        <f ca="1">IF($A9&lt;&gt;"",VLOOKUP($B9,'Player Scoreboard'!$C$10:$BV$24,AI$6+8,FALSE),"")</f>
        <v/>
      </c>
      <c r="AJ9" s="12" t="str">
        <f ca="1">IF($A9&lt;&gt;"",VLOOKUP($B9,'Player Scoreboard'!$C$10:$BV$24,AJ$6+8,FALSE),"")</f>
        <v/>
      </c>
      <c r="AK9" s="12" t="str">
        <f ca="1">IF($A9&lt;&gt;"",VLOOKUP($B9,'Player Scoreboard'!$C$10:$BV$24,AK$6+8,FALSE),"")</f>
        <v/>
      </c>
      <c r="AL9" s="12" t="str">
        <f ca="1">IF($A9&lt;&gt;"",VLOOKUP($B9,'Player Scoreboard'!$C$10:$BV$24,AL$6+8,FALSE),"")</f>
        <v/>
      </c>
      <c r="AM9" s="12" t="str">
        <f ca="1">IF($A9&lt;&gt;"",VLOOKUP($B9,'Player Scoreboard'!$C$10:$BV$24,AM$6+8,FALSE),"")</f>
        <v/>
      </c>
      <c r="AN9" s="12" t="str">
        <f ca="1">IF($A9&lt;&gt;"",VLOOKUP($B9,'Player Scoreboard'!$C$10:$BV$24,AN$6+8,FALSE),"")</f>
        <v/>
      </c>
      <c r="AO9" s="12" t="str">
        <f ca="1">IF($A9&lt;&gt;"",VLOOKUP($B9,'Player Scoreboard'!$C$10:$BV$24,AO$6+8,FALSE),"")</f>
        <v/>
      </c>
      <c r="AP9" s="12" t="str">
        <f ca="1">IF($A9&lt;&gt;"",VLOOKUP($B9,'Player Scoreboard'!$C$10:$BV$24,AP$6+8,FALSE),"")</f>
        <v/>
      </c>
      <c r="AQ9" s="12" t="str">
        <f ca="1">IF($A9&lt;&gt;"",VLOOKUP($B9,'Player Scoreboard'!$C$10:$BV$24,AQ$6+8,FALSE),"")</f>
        <v/>
      </c>
      <c r="AR9" s="12" t="str">
        <f ca="1">IF($A9&lt;&gt;"",VLOOKUP($B9,'Player Scoreboard'!$C$10:$BV$24,AR$6+8,FALSE),"")</f>
        <v/>
      </c>
      <c r="AS9" s="12" t="str">
        <f ca="1">IF($A9&lt;&gt;"",VLOOKUP($B9,'Player Scoreboard'!$C$10:$BV$24,AS$6+8,FALSE),"")</f>
        <v/>
      </c>
      <c r="AT9" s="12" t="str">
        <f ca="1">IF($A9&lt;&gt;"",VLOOKUP($B9,'Player Scoreboard'!$C$10:$BV$24,AT$6+8,FALSE),"")</f>
        <v/>
      </c>
      <c r="AU9" s="12" t="str">
        <f ca="1">IF($A9&lt;&gt;"",VLOOKUP($B9,'Player Scoreboard'!$C$10:$BV$24,AU$6+8,FALSE),"")</f>
        <v/>
      </c>
      <c r="AV9" s="12" t="str">
        <f ca="1">IF($A9&lt;&gt;"",VLOOKUP($B9,'Player Scoreboard'!$C$10:$BV$24,AV$6+8,FALSE),"")</f>
        <v/>
      </c>
      <c r="AW9" s="12" t="str">
        <f ca="1">IF($A9&lt;&gt;"",VLOOKUP($B9,'Player Scoreboard'!$C$10:$BV$24,AW$6+8,FALSE),"")</f>
        <v/>
      </c>
      <c r="AX9" s="12" t="str">
        <f ca="1">IF($A9&lt;&gt;"",VLOOKUP($B9,'Player Scoreboard'!$C$10:$BV$24,AX$6+8,FALSE),"")</f>
        <v/>
      </c>
      <c r="AY9" s="12" t="str">
        <f ca="1">IF($A9&lt;&gt;"",VLOOKUP($B9,'Player Scoreboard'!$C$10:$BV$24,AY$6+8,FALSE),"")</f>
        <v/>
      </c>
      <c r="AZ9" s="12" t="str">
        <f ca="1">IF($A9&lt;&gt;"",VLOOKUP($B9,'Player Scoreboard'!$C$10:$BV$24,AZ$6+8,FALSE),"")</f>
        <v/>
      </c>
      <c r="BA9" s="12" t="str">
        <f ca="1">IF($A9&lt;&gt;"",VLOOKUP($B9,'Player Scoreboard'!$C$10:$BV$24,BA$6+8,FALSE),"")</f>
        <v/>
      </c>
      <c r="BB9" s="12" t="str">
        <f ca="1">IF($A9&lt;&gt;"",VLOOKUP($B9,'Player Scoreboard'!$C$10:$BV$24,BB$6+8,FALSE),"")</f>
        <v/>
      </c>
      <c r="BC9" s="12" t="str">
        <f ca="1">IF($A9&lt;&gt;"",VLOOKUP($B9,'Player Scoreboard'!$C$10:$BV$24,BC$6+8,FALSE),"")</f>
        <v/>
      </c>
      <c r="BD9" s="12" t="str">
        <f ca="1">IF($A9&lt;&gt;"",VLOOKUP($B9,'Player Scoreboard'!$C$10:$BV$24,BD$6+8,FALSE),"")</f>
        <v/>
      </c>
      <c r="BE9" s="12" t="str">
        <f ca="1">IF($A9&lt;&gt;"",VLOOKUP($B9,'Player Scoreboard'!$C$10:$BV$24,BE$6+8,FALSE),"")</f>
        <v/>
      </c>
      <c r="BF9" s="12" t="str">
        <f ca="1">IF($A9&lt;&gt;"",VLOOKUP($B9,'Player Scoreboard'!$C$10:$BV$24,BF$6+8,FALSE),"")</f>
        <v/>
      </c>
      <c r="BG9" s="12" t="str">
        <f ca="1">IF($A9&lt;&gt;"",VLOOKUP($B9,'Player Scoreboard'!$C$10:$BV$24,BG$6+8,FALSE),"")</f>
        <v/>
      </c>
      <c r="BH9" s="12" t="str">
        <f ca="1">IF($A9&lt;&gt;"",VLOOKUP($B9,'Player Scoreboard'!$C$10:$BV$24,BH$6+8,FALSE),"")</f>
        <v/>
      </c>
      <c r="BI9" s="12" t="str">
        <f ca="1">IF($A9&lt;&gt;"",VLOOKUP($B9,'Player Scoreboard'!$C$10:$BV$24,BI$6+8,FALSE),"")</f>
        <v/>
      </c>
      <c r="BJ9" s="12" t="str">
        <f ca="1">IF($A9&lt;&gt;"",VLOOKUP($B9,'Player Scoreboard'!$C$10:$BV$24,BJ$6+8,FALSE),"")</f>
        <v/>
      </c>
      <c r="BK9" s="12" t="str">
        <f ca="1">IF($A9&lt;&gt;"",VLOOKUP($B9,'Player Scoreboard'!$C$10:$BV$24,BK$6+8,FALSE),"")</f>
        <v/>
      </c>
      <c r="BL9" s="12" t="str">
        <f ca="1">IF($A9&lt;&gt;"",VLOOKUP($B9,'Player Scoreboard'!$C$10:$BV$24,BL$6+8,FALSE),"")</f>
        <v/>
      </c>
      <c r="BM9" s="12" t="str">
        <f ca="1">IF($A9&lt;&gt;"",VLOOKUP($B9,'Player Scoreboard'!$C$10:$BV$24,BM$6+8,FALSE),"")</f>
        <v/>
      </c>
      <c r="BN9" s="12" t="str">
        <f ca="1">IF($A9&lt;&gt;"",VLOOKUP($B9,'Player Scoreboard'!$C$10:$BV$24,BN$6+8,FALSE),"")</f>
        <v/>
      </c>
      <c r="BO9" s="12" t="str">
        <f ca="1">IF($A9&lt;&gt;"",VLOOKUP($B9,'Player Scoreboard'!$C$10:$BV$24,BO$6+8,FALSE),"")</f>
        <v/>
      </c>
      <c r="BP9" s="12" t="str">
        <f ca="1">IF($A9&lt;&gt;"",VLOOKUP($B9,'Player Scoreboard'!$C$10:$BV$24,BP$6+8,FALSE),"")</f>
        <v/>
      </c>
      <c r="BQ9" s="12" t="str">
        <f ca="1">IF($A9&lt;&gt;"",VLOOKUP($B9,'Player Scoreboard'!$C$10:$BV$24,BQ$6+8,FALSE),"")</f>
        <v/>
      </c>
      <c r="BR9" s="12" t="str">
        <f ca="1">IF($A9&lt;&gt;"",VLOOKUP($B9,'Player Scoreboard'!$C$10:$BV$24,BR$6+8,FALSE),"")</f>
        <v/>
      </c>
      <c r="BS9" s="12" t="str">
        <f ca="1">IF($A9&lt;&gt;"",VLOOKUP($B9,'Player Scoreboard'!$C$10:$BV$24,BS$6+8,FALSE),"")</f>
        <v/>
      </c>
      <c r="BT9" s="12" t="str">
        <f ca="1">IF($A9&lt;&gt;"",VLOOKUP($B9,'Player Scoreboard'!$C$10:$BV$24,BT$6+8,FALSE),"")</f>
        <v/>
      </c>
    </row>
    <row r="10" spans="1:72" ht="15" customHeight="1">
      <c r="A10" s="14">
        <f>IF('Player Name'!C7&lt;&gt;"",A9+1,"")</f>
        <v>2</v>
      </c>
      <c r="B10" s="15" t="str">
        <f ca="1">IF(A10&lt;&gt;"",VLOOKUP(A10,Dummy!$E$7:$N$106,10,FALSE),"")</f>
        <v>John 2</v>
      </c>
      <c r="C10" s="26">
        <f t="shared" ref="C10:C23" ca="1" si="97">IF($A10&lt;&gt;"",E10+G10,"")</f>
        <v>0</v>
      </c>
      <c r="D10" s="14">
        <f t="shared" ref="D10:D23" ca="1" si="98">IF($A10&lt;&gt;"",F10+H10,"")</f>
        <v>0</v>
      </c>
      <c r="E10" s="26">
        <f ca="1">IF($A10&lt;&gt;"",VLOOKUP($B10,'Player Scoreboard'!$C$10:$F$24,4,FALSE),"")</f>
        <v>0</v>
      </c>
      <c r="F10" s="14">
        <f ca="1">IF($A10&lt;&gt;"",VLOOKUP($B10,'Player Scoreboard'!$C$10:$G$24,5,FALSE),"")</f>
        <v>0</v>
      </c>
      <c r="G10" s="26">
        <f ca="1">IF($A10&lt;&gt;"",VLOOKUP($B10,'Player Scoreboard'!$C$10:$H$24,6,FALSE),"")</f>
        <v>0</v>
      </c>
      <c r="H10" s="14">
        <f ca="1">IF($A10&lt;&gt;"",VLOOKUP($B10,'Player Scoreboard'!$C$10:$I$24,7,FALSE),"")</f>
        <v>0</v>
      </c>
      <c r="I10" s="14" t="str">
        <f ca="1">IF($A10&lt;&gt;"",VLOOKUP($B10,'Player Scoreboard'!$C$10:$BV$24,I$6+8,FALSE),"")</f>
        <v/>
      </c>
      <c r="J10" s="14" t="str">
        <f ca="1">IF($A10&lt;&gt;"",VLOOKUP($B10,'Player Scoreboard'!$C$10:$BV$24,J$6+8,FALSE),"")</f>
        <v/>
      </c>
      <c r="K10" s="14" t="str">
        <f ca="1">IF($A10&lt;&gt;"",VLOOKUP($B10,'Player Scoreboard'!$C$10:$BV$24,K$6+8,FALSE),"")</f>
        <v/>
      </c>
      <c r="L10" s="14" t="str">
        <f ca="1">IF($A10&lt;&gt;"",VLOOKUP($B10,'Player Scoreboard'!$C$10:$BV$24,L$6+8,FALSE),"")</f>
        <v/>
      </c>
      <c r="M10" s="14" t="str">
        <f ca="1">IF($A10&lt;&gt;"",VLOOKUP($B10,'Player Scoreboard'!$C$10:$BV$24,M$6+8,FALSE),"")</f>
        <v/>
      </c>
      <c r="N10" s="14" t="str">
        <f ca="1">IF($A10&lt;&gt;"",VLOOKUP($B10,'Player Scoreboard'!$C$10:$BV$24,N$6+8,FALSE),"")</f>
        <v/>
      </c>
      <c r="O10" s="14" t="str">
        <f ca="1">IF($A10&lt;&gt;"",VLOOKUP($B10,'Player Scoreboard'!$C$10:$BV$24,O$6+8,FALSE),"")</f>
        <v/>
      </c>
      <c r="P10" s="14" t="str">
        <f ca="1">IF($A10&lt;&gt;"",VLOOKUP($B10,'Player Scoreboard'!$C$10:$BV$24,P$6+8,FALSE),"")</f>
        <v/>
      </c>
      <c r="Q10" s="14" t="str">
        <f ca="1">IF($A10&lt;&gt;"",VLOOKUP($B10,'Player Scoreboard'!$C$10:$BV$24,Q$6+8,FALSE),"")</f>
        <v/>
      </c>
      <c r="R10" s="14" t="str">
        <f ca="1">IF($A10&lt;&gt;"",VLOOKUP($B10,'Player Scoreboard'!$C$10:$BV$24,R$6+8,FALSE),"")</f>
        <v/>
      </c>
      <c r="S10" s="14" t="str">
        <f ca="1">IF($A10&lt;&gt;"",VLOOKUP($B10,'Player Scoreboard'!$C$10:$BV$24,S$6+8,FALSE),"")</f>
        <v/>
      </c>
      <c r="T10" s="14" t="str">
        <f ca="1">IF($A10&lt;&gt;"",VLOOKUP($B10,'Player Scoreboard'!$C$10:$BV$24,T$6+8,FALSE),"")</f>
        <v/>
      </c>
      <c r="U10" s="14" t="str">
        <f ca="1">IF($A10&lt;&gt;"",VLOOKUP($B10,'Player Scoreboard'!$C$10:$BV$24,U$6+8,FALSE),"")</f>
        <v/>
      </c>
      <c r="V10" s="14" t="str">
        <f ca="1">IF($A10&lt;&gt;"",VLOOKUP($B10,'Player Scoreboard'!$C$10:$BV$24,V$6+8,FALSE),"")</f>
        <v/>
      </c>
      <c r="W10" s="14" t="str">
        <f ca="1">IF($A10&lt;&gt;"",VLOOKUP($B10,'Player Scoreboard'!$C$10:$BV$24,W$6+8,FALSE),"")</f>
        <v/>
      </c>
      <c r="X10" s="14" t="str">
        <f ca="1">IF($A10&lt;&gt;"",VLOOKUP($B10,'Player Scoreboard'!$C$10:$BV$24,X$6+8,FALSE),"")</f>
        <v/>
      </c>
      <c r="Y10" s="14" t="str">
        <f ca="1">IF($A10&lt;&gt;"",VLOOKUP($B10,'Player Scoreboard'!$C$10:$BV$24,Y$6+8,FALSE),"")</f>
        <v/>
      </c>
      <c r="Z10" s="14" t="str">
        <f ca="1">IF($A10&lt;&gt;"",VLOOKUP($B10,'Player Scoreboard'!$C$10:$BV$24,Z$6+8,FALSE),"")</f>
        <v/>
      </c>
      <c r="AA10" s="14" t="str">
        <f ca="1">IF($A10&lt;&gt;"",VLOOKUP($B10,'Player Scoreboard'!$C$10:$BV$24,AA$6+8,FALSE),"")</f>
        <v/>
      </c>
      <c r="AB10" s="14" t="str">
        <f ca="1">IF($A10&lt;&gt;"",VLOOKUP($B10,'Player Scoreboard'!$C$10:$BV$24,AB$6+8,FALSE),"")</f>
        <v/>
      </c>
      <c r="AC10" s="14" t="str">
        <f ca="1">IF($A10&lt;&gt;"",VLOOKUP($B10,'Player Scoreboard'!$C$10:$BV$24,AC$6+8,FALSE),"")</f>
        <v/>
      </c>
      <c r="AD10" s="14" t="str">
        <f ca="1">IF($A10&lt;&gt;"",VLOOKUP($B10,'Player Scoreboard'!$C$10:$BV$24,AD$6+8,FALSE),"")</f>
        <v/>
      </c>
      <c r="AE10" s="14" t="str">
        <f ca="1">IF($A10&lt;&gt;"",VLOOKUP($B10,'Player Scoreboard'!$C$10:$BV$24,AE$6+8,FALSE),"")</f>
        <v/>
      </c>
      <c r="AF10" s="14" t="str">
        <f ca="1">IF($A10&lt;&gt;"",VLOOKUP($B10,'Player Scoreboard'!$C$10:$BV$24,AF$6+8,FALSE),"")</f>
        <v/>
      </c>
      <c r="AG10" s="14" t="str">
        <f ca="1">IF($A10&lt;&gt;"",VLOOKUP($B10,'Player Scoreboard'!$C$10:$BV$24,AG$6+8,FALSE),"")</f>
        <v/>
      </c>
      <c r="AH10" s="14" t="str">
        <f ca="1">IF($A10&lt;&gt;"",VLOOKUP($B10,'Player Scoreboard'!$C$10:$BV$24,AH$6+8,FALSE),"")</f>
        <v/>
      </c>
      <c r="AI10" s="14" t="str">
        <f ca="1">IF($A10&lt;&gt;"",VLOOKUP($B10,'Player Scoreboard'!$C$10:$BV$24,AI$6+8,FALSE),"")</f>
        <v/>
      </c>
      <c r="AJ10" s="14" t="str">
        <f ca="1">IF($A10&lt;&gt;"",VLOOKUP($B10,'Player Scoreboard'!$C$10:$BV$24,AJ$6+8,FALSE),"")</f>
        <v/>
      </c>
      <c r="AK10" s="14" t="str">
        <f ca="1">IF($A10&lt;&gt;"",VLOOKUP($B10,'Player Scoreboard'!$C$10:$BV$24,AK$6+8,FALSE),"")</f>
        <v/>
      </c>
      <c r="AL10" s="14" t="str">
        <f ca="1">IF($A10&lt;&gt;"",VLOOKUP($B10,'Player Scoreboard'!$C$10:$BV$24,AL$6+8,FALSE),"")</f>
        <v/>
      </c>
      <c r="AM10" s="14" t="str">
        <f ca="1">IF($A10&lt;&gt;"",VLOOKUP($B10,'Player Scoreboard'!$C$10:$BV$24,AM$6+8,FALSE),"")</f>
        <v/>
      </c>
      <c r="AN10" s="14" t="str">
        <f ca="1">IF($A10&lt;&gt;"",VLOOKUP($B10,'Player Scoreboard'!$C$10:$BV$24,AN$6+8,FALSE),"")</f>
        <v/>
      </c>
      <c r="AO10" s="14" t="str">
        <f ca="1">IF($A10&lt;&gt;"",VLOOKUP($B10,'Player Scoreboard'!$C$10:$BV$24,AO$6+8,FALSE),"")</f>
        <v/>
      </c>
      <c r="AP10" s="14" t="str">
        <f ca="1">IF($A10&lt;&gt;"",VLOOKUP($B10,'Player Scoreboard'!$C$10:$BV$24,AP$6+8,FALSE),"")</f>
        <v/>
      </c>
      <c r="AQ10" s="14" t="str">
        <f ca="1">IF($A10&lt;&gt;"",VLOOKUP($B10,'Player Scoreboard'!$C$10:$BV$24,AQ$6+8,FALSE),"")</f>
        <v/>
      </c>
      <c r="AR10" s="14" t="str">
        <f ca="1">IF($A10&lt;&gt;"",VLOOKUP($B10,'Player Scoreboard'!$C$10:$BV$24,AR$6+8,FALSE),"")</f>
        <v/>
      </c>
      <c r="AS10" s="14" t="str">
        <f ca="1">IF($A10&lt;&gt;"",VLOOKUP($B10,'Player Scoreboard'!$C$10:$BV$24,AS$6+8,FALSE),"")</f>
        <v/>
      </c>
      <c r="AT10" s="14" t="str">
        <f ca="1">IF($A10&lt;&gt;"",VLOOKUP($B10,'Player Scoreboard'!$C$10:$BV$24,AT$6+8,FALSE),"")</f>
        <v/>
      </c>
      <c r="AU10" s="14" t="str">
        <f ca="1">IF($A10&lt;&gt;"",VLOOKUP($B10,'Player Scoreboard'!$C$10:$BV$24,AU$6+8,FALSE),"")</f>
        <v/>
      </c>
      <c r="AV10" s="14" t="str">
        <f ca="1">IF($A10&lt;&gt;"",VLOOKUP($B10,'Player Scoreboard'!$C$10:$BV$24,AV$6+8,FALSE),"")</f>
        <v/>
      </c>
      <c r="AW10" s="14" t="str">
        <f ca="1">IF($A10&lt;&gt;"",VLOOKUP($B10,'Player Scoreboard'!$C$10:$BV$24,AW$6+8,FALSE),"")</f>
        <v/>
      </c>
      <c r="AX10" s="14" t="str">
        <f ca="1">IF($A10&lt;&gt;"",VLOOKUP($B10,'Player Scoreboard'!$C$10:$BV$24,AX$6+8,FALSE),"")</f>
        <v/>
      </c>
      <c r="AY10" s="14" t="str">
        <f ca="1">IF($A10&lt;&gt;"",VLOOKUP($B10,'Player Scoreboard'!$C$10:$BV$24,AY$6+8,FALSE),"")</f>
        <v/>
      </c>
      <c r="AZ10" s="14" t="str">
        <f ca="1">IF($A10&lt;&gt;"",VLOOKUP($B10,'Player Scoreboard'!$C$10:$BV$24,AZ$6+8,FALSE),"")</f>
        <v/>
      </c>
      <c r="BA10" s="14" t="str">
        <f ca="1">IF($A10&lt;&gt;"",VLOOKUP($B10,'Player Scoreboard'!$C$10:$BV$24,BA$6+8,FALSE),"")</f>
        <v/>
      </c>
      <c r="BB10" s="14" t="str">
        <f ca="1">IF($A10&lt;&gt;"",VLOOKUP($B10,'Player Scoreboard'!$C$10:$BV$24,BB$6+8,FALSE),"")</f>
        <v/>
      </c>
      <c r="BC10" s="14" t="str">
        <f ca="1">IF($A10&lt;&gt;"",VLOOKUP($B10,'Player Scoreboard'!$C$10:$BV$24,BC$6+8,FALSE),"")</f>
        <v/>
      </c>
      <c r="BD10" s="14" t="str">
        <f ca="1">IF($A10&lt;&gt;"",VLOOKUP($B10,'Player Scoreboard'!$C$10:$BV$24,BD$6+8,FALSE),"")</f>
        <v/>
      </c>
      <c r="BE10" s="14" t="str">
        <f ca="1">IF($A10&lt;&gt;"",VLOOKUP($B10,'Player Scoreboard'!$C$10:$BV$24,BE$6+8,FALSE),"")</f>
        <v/>
      </c>
      <c r="BF10" s="14" t="str">
        <f ca="1">IF($A10&lt;&gt;"",VLOOKUP($B10,'Player Scoreboard'!$C$10:$BV$24,BF$6+8,FALSE),"")</f>
        <v/>
      </c>
      <c r="BG10" s="14" t="str">
        <f ca="1">IF($A10&lt;&gt;"",VLOOKUP($B10,'Player Scoreboard'!$C$10:$BV$24,BG$6+8,FALSE),"")</f>
        <v/>
      </c>
      <c r="BH10" s="14" t="str">
        <f ca="1">IF($A10&lt;&gt;"",VLOOKUP($B10,'Player Scoreboard'!$C$10:$BV$24,BH$6+8,FALSE),"")</f>
        <v/>
      </c>
      <c r="BI10" s="14" t="str">
        <f ca="1">IF($A10&lt;&gt;"",VLOOKUP($B10,'Player Scoreboard'!$C$10:$BV$24,BI$6+8,FALSE),"")</f>
        <v/>
      </c>
      <c r="BJ10" s="14" t="str">
        <f ca="1">IF($A10&lt;&gt;"",VLOOKUP($B10,'Player Scoreboard'!$C$10:$BV$24,BJ$6+8,FALSE),"")</f>
        <v/>
      </c>
      <c r="BK10" s="14" t="str">
        <f ca="1">IF($A10&lt;&gt;"",VLOOKUP($B10,'Player Scoreboard'!$C$10:$BV$24,BK$6+8,FALSE),"")</f>
        <v/>
      </c>
      <c r="BL10" s="14" t="str">
        <f ca="1">IF($A10&lt;&gt;"",VLOOKUP($B10,'Player Scoreboard'!$C$10:$BV$24,BL$6+8,FALSE),"")</f>
        <v/>
      </c>
      <c r="BM10" s="14" t="str">
        <f ca="1">IF($A10&lt;&gt;"",VLOOKUP($B10,'Player Scoreboard'!$C$10:$BV$24,BM$6+8,FALSE),"")</f>
        <v/>
      </c>
      <c r="BN10" s="14" t="str">
        <f ca="1">IF($A10&lt;&gt;"",VLOOKUP($B10,'Player Scoreboard'!$C$10:$BV$24,BN$6+8,FALSE),"")</f>
        <v/>
      </c>
      <c r="BO10" s="14" t="str">
        <f ca="1">IF($A10&lt;&gt;"",VLOOKUP($B10,'Player Scoreboard'!$C$10:$BV$24,BO$6+8,FALSE),"")</f>
        <v/>
      </c>
      <c r="BP10" s="14" t="str">
        <f ca="1">IF($A10&lt;&gt;"",VLOOKUP($B10,'Player Scoreboard'!$C$10:$BV$24,BP$6+8,FALSE),"")</f>
        <v/>
      </c>
      <c r="BQ10" s="14" t="str">
        <f ca="1">IF($A10&lt;&gt;"",VLOOKUP($B10,'Player Scoreboard'!$C$10:$BV$24,BQ$6+8,FALSE),"")</f>
        <v/>
      </c>
      <c r="BR10" s="14" t="str">
        <f ca="1">IF($A10&lt;&gt;"",VLOOKUP($B10,'Player Scoreboard'!$C$10:$BV$24,BR$6+8,FALSE),"")</f>
        <v/>
      </c>
      <c r="BS10" s="14" t="str">
        <f ca="1">IF($A10&lt;&gt;"",VLOOKUP($B10,'Player Scoreboard'!$C$10:$BV$24,BS$6+8,FALSE),"")</f>
        <v/>
      </c>
      <c r="BT10" s="14" t="str">
        <f ca="1">IF($A10&lt;&gt;"",VLOOKUP($B10,'Player Scoreboard'!$C$10:$BV$24,BT$6+8,FALSE),"")</f>
        <v/>
      </c>
    </row>
    <row r="11" spans="1:72" ht="15" customHeight="1">
      <c r="A11" s="12">
        <f>IF('Player Name'!C8&lt;&gt;"",A10+1,"")</f>
        <v>3</v>
      </c>
      <c r="B11" s="13" t="str">
        <f ca="1">IF(A11&lt;&gt;"",VLOOKUP(A11,Dummy!$E$7:$N$106,10,FALSE),"")</f>
        <v>John 3</v>
      </c>
      <c r="C11" s="25">
        <f t="shared" ca="1" si="97"/>
        <v>0</v>
      </c>
      <c r="D11" s="12">
        <f t="shared" ca="1" si="98"/>
        <v>0</v>
      </c>
      <c r="E11" s="25">
        <f ca="1">IF($A11&lt;&gt;"",VLOOKUP($B11,'Player Scoreboard'!$C$10:$F$24,4,FALSE),"")</f>
        <v>0</v>
      </c>
      <c r="F11" s="12">
        <f ca="1">IF($A11&lt;&gt;"",VLOOKUP($B11,'Player Scoreboard'!$C$10:$G$24,5,FALSE),"")</f>
        <v>0</v>
      </c>
      <c r="G11" s="25">
        <f ca="1">IF($A11&lt;&gt;"",VLOOKUP($B11,'Player Scoreboard'!$C$10:$H$24,6,FALSE),"")</f>
        <v>0</v>
      </c>
      <c r="H11" s="12">
        <f ca="1">IF($A11&lt;&gt;"",VLOOKUP($B11,'Player Scoreboard'!$C$10:$I$24,7,FALSE),"")</f>
        <v>0</v>
      </c>
      <c r="I11" s="12" t="str">
        <f ca="1">IF($A11&lt;&gt;"",VLOOKUP($B11,'Player Scoreboard'!$C$10:$BV$24,I$6+8,FALSE),"")</f>
        <v/>
      </c>
      <c r="J11" s="12" t="str">
        <f ca="1">IF($A11&lt;&gt;"",VLOOKUP($B11,'Player Scoreboard'!$C$10:$BV$24,J$6+8,FALSE),"")</f>
        <v/>
      </c>
      <c r="K11" s="12" t="str">
        <f ca="1">IF($A11&lt;&gt;"",VLOOKUP($B11,'Player Scoreboard'!$C$10:$BV$24,K$6+8,FALSE),"")</f>
        <v/>
      </c>
      <c r="L11" s="12" t="str">
        <f ca="1">IF($A11&lt;&gt;"",VLOOKUP($B11,'Player Scoreboard'!$C$10:$BV$24,L$6+8,FALSE),"")</f>
        <v/>
      </c>
      <c r="M11" s="12" t="str">
        <f ca="1">IF($A11&lt;&gt;"",VLOOKUP($B11,'Player Scoreboard'!$C$10:$BV$24,M$6+8,FALSE),"")</f>
        <v/>
      </c>
      <c r="N11" s="12" t="str">
        <f ca="1">IF($A11&lt;&gt;"",VLOOKUP($B11,'Player Scoreboard'!$C$10:$BV$24,N$6+8,FALSE),"")</f>
        <v/>
      </c>
      <c r="O11" s="12" t="str">
        <f ca="1">IF($A11&lt;&gt;"",VLOOKUP($B11,'Player Scoreboard'!$C$10:$BV$24,O$6+8,FALSE),"")</f>
        <v/>
      </c>
      <c r="P11" s="12" t="str">
        <f ca="1">IF($A11&lt;&gt;"",VLOOKUP($B11,'Player Scoreboard'!$C$10:$BV$24,P$6+8,FALSE),"")</f>
        <v/>
      </c>
      <c r="Q11" s="12" t="str">
        <f ca="1">IF($A11&lt;&gt;"",VLOOKUP($B11,'Player Scoreboard'!$C$10:$BV$24,Q$6+8,FALSE),"")</f>
        <v/>
      </c>
      <c r="R11" s="12" t="str">
        <f ca="1">IF($A11&lt;&gt;"",VLOOKUP($B11,'Player Scoreboard'!$C$10:$BV$24,R$6+8,FALSE),"")</f>
        <v/>
      </c>
      <c r="S11" s="12" t="str">
        <f ca="1">IF($A11&lt;&gt;"",VLOOKUP($B11,'Player Scoreboard'!$C$10:$BV$24,S$6+8,FALSE),"")</f>
        <v/>
      </c>
      <c r="T11" s="12" t="str">
        <f ca="1">IF($A11&lt;&gt;"",VLOOKUP($B11,'Player Scoreboard'!$C$10:$BV$24,T$6+8,FALSE),"")</f>
        <v/>
      </c>
      <c r="U11" s="12" t="str">
        <f ca="1">IF($A11&lt;&gt;"",VLOOKUP($B11,'Player Scoreboard'!$C$10:$BV$24,U$6+8,FALSE),"")</f>
        <v/>
      </c>
      <c r="V11" s="12" t="str">
        <f ca="1">IF($A11&lt;&gt;"",VLOOKUP($B11,'Player Scoreboard'!$C$10:$BV$24,V$6+8,FALSE),"")</f>
        <v/>
      </c>
      <c r="W11" s="12" t="str">
        <f ca="1">IF($A11&lt;&gt;"",VLOOKUP($B11,'Player Scoreboard'!$C$10:$BV$24,W$6+8,FALSE),"")</f>
        <v/>
      </c>
      <c r="X11" s="12" t="str">
        <f ca="1">IF($A11&lt;&gt;"",VLOOKUP($B11,'Player Scoreboard'!$C$10:$BV$24,X$6+8,FALSE),"")</f>
        <v/>
      </c>
      <c r="Y11" s="12" t="str">
        <f ca="1">IF($A11&lt;&gt;"",VLOOKUP($B11,'Player Scoreboard'!$C$10:$BV$24,Y$6+8,FALSE),"")</f>
        <v/>
      </c>
      <c r="Z11" s="12" t="str">
        <f ca="1">IF($A11&lt;&gt;"",VLOOKUP($B11,'Player Scoreboard'!$C$10:$BV$24,Z$6+8,FALSE),"")</f>
        <v/>
      </c>
      <c r="AA11" s="12" t="str">
        <f ca="1">IF($A11&lt;&gt;"",VLOOKUP($B11,'Player Scoreboard'!$C$10:$BV$24,AA$6+8,FALSE),"")</f>
        <v/>
      </c>
      <c r="AB11" s="12" t="str">
        <f ca="1">IF($A11&lt;&gt;"",VLOOKUP($B11,'Player Scoreboard'!$C$10:$BV$24,AB$6+8,FALSE),"")</f>
        <v/>
      </c>
      <c r="AC11" s="12" t="str">
        <f ca="1">IF($A11&lt;&gt;"",VLOOKUP($B11,'Player Scoreboard'!$C$10:$BV$24,AC$6+8,FALSE),"")</f>
        <v/>
      </c>
      <c r="AD11" s="12" t="str">
        <f ca="1">IF($A11&lt;&gt;"",VLOOKUP($B11,'Player Scoreboard'!$C$10:$BV$24,AD$6+8,FALSE),"")</f>
        <v/>
      </c>
      <c r="AE11" s="12" t="str">
        <f ca="1">IF($A11&lt;&gt;"",VLOOKUP($B11,'Player Scoreboard'!$C$10:$BV$24,AE$6+8,FALSE),"")</f>
        <v/>
      </c>
      <c r="AF11" s="12" t="str">
        <f ca="1">IF($A11&lt;&gt;"",VLOOKUP($B11,'Player Scoreboard'!$C$10:$BV$24,AF$6+8,FALSE),"")</f>
        <v/>
      </c>
      <c r="AG11" s="12" t="str">
        <f ca="1">IF($A11&lt;&gt;"",VLOOKUP($B11,'Player Scoreboard'!$C$10:$BV$24,AG$6+8,FALSE),"")</f>
        <v/>
      </c>
      <c r="AH11" s="12" t="str">
        <f ca="1">IF($A11&lt;&gt;"",VLOOKUP($B11,'Player Scoreboard'!$C$10:$BV$24,AH$6+8,FALSE),"")</f>
        <v/>
      </c>
      <c r="AI11" s="12" t="str">
        <f ca="1">IF($A11&lt;&gt;"",VLOOKUP($B11,'Player Scoreboard'!$C$10:$BV$24,AI$6+8,FALSE),"")</f>
        <v/>
      </c>
      <c r="AJ11" s="12" t="str">
        <f ca="1">IF($A11&lt;&gt;"",VLOOKUP($B11,'Player Scoreboard'!$C$10:$BV$24,AJ$6+8,FALSE),"")</f>
        <v/>
      </c>
      <c r="AK11" s="12" t="str">
        <f ca="1">IF($A11&lt;&gt;"",VLOOKUP($B11,'Player Scoreboard'!$C$10:$BV$24,AK$6+8,FALSE),"")</f>
        <v/>
      </c>
      <c r="AL11" s="12" t="str">
        <f ca="1">IF($A11&lt;&gt;"",VLOOKUP($B11,'Player Scoreboard'!$C$10:$BV$24,AL$6+8,FALSE),"")</f>
        <v/>
      </c>
      <c r="AM11" s="12" t="str">
        <f ca="1">IF($A11&lt;&gt;"",VLOOKUP($B11,'Player Scoreboard'!$C$10:$BV$24,AM$6+8,FALSE),"")</f>
        <v/>
      </c>
      <c r="AN11" s="12" t="str">
        <f ca="1">IF($A11&lt;&gt;"",VLOOKUP($B11,'Player Scoreboard'!$C$10:$BV$24,AN$6+8,FALSE),"")</f>
        <v/>
      </c>
      <c r="AO11" s="12" t="str">
        <f ca="1">IF($A11&lt;&gt;"",VLOOKUP($B11,'Player Scoreboard'!$C$10:$BV$24,AO$6+8,FALSE),"")</f>
        <v/>
      </c>
      <c r="AP11" s="12" t="str">
        <f ca="1">IF($A11&lt;&gt;"",VLOOKUP($B11,'Player Scoreboard'!$C$10:$BV$24,AP$6+8,FALSE),"")</f>
        <v/>
      </c>
      <c r="AQ11" s="12" t="str">
        <f ca="1">IF($A11&lt;&gt;"",VLOOKUP($B11,'Player Scoreboard'!$C$10:$BV$24,AQ$6+8,FALSE),"")</f>
        <v/>
      </c>
      <c r="AR11" s="12" t="str">
        <f ca="1">IF($A11&lt;&gt;"",VLOOKUP($B11,'Player Scoreboard'!$C$10:$BV$24,AR$6+8,FALSE),"")</f>
        <v/>
      </c>
      <c r="AS11" s="12" t="str">
        <f ca="1">IF($A11&lt;&gt;"",VLOOKUP($B11,'Player Scoreboard'!$C$10:$BV$24,AS$6+8,FALSE),"")</f>
        <v/>
      </c>
      <c r="AT11" s="12" t="str">
        <f ca="1">IF($A11&lt;&gt;"",VLOOKUP($B11,'Player Scoreboard'!$C$10:$BV$24,AT$6+8,FALSE),"")</f>
        <v/>
      </c>
      <c r="AU11" s="12" t="str">
        <f ca="1">IF($A11&lt;&gt;"",VLOOKUP($B11,'Player Scoreboard'!$C$10:$BV$24,AU$6+8,FALSE),"")</f>
        <v/>
      </c>
      <c r="AV11" s="12" t="str">
        <f ca="1">IF($A11&lt;&gt;"",VLOOKUP($B11,'Player Scoreboard'!$C$10:$BV$24,AV$6+8,FALSE),"")</f>
        <v/>
      </c>
      <c r="AW11" s="12" t="str">
        <f ca="1">IF($A11&lt;&gt;"",VLOOKUP($B11,'Player Scoreboard'!$C$10:$BV$24,AW$6+8,FALSE),"")</f>
        <v/>
      </c>
      <c r="AX11" s="12" t="str">
        <f ca="1">IF($A11&lt;&gt;"",VLOOKUP($B11,'Player Scoreboard'!$C$10:$BV$24,AX$6+8,FALSE),"")</f>
        <v/>
      </c>
      <c r="AY11" s="12" t="str">
        <f ca="1">IF($A11&lt;&gt;"",VLOOKUP($B11,'Player Scoreboard'!$C$10:$BV$24,AY$6+8,FALSE),"")</f>
        <v/>
      </c>
      <c r="AZ11" s="12" t="str">
        <f ca="1">IF($A11&lt;&gt;"",VLOOKUP($B11,'Player Scoreboard'!$C$10:$BV$24,AZ$6+8,FALSE),"")</f>
        <v/>
      </c>
      <c r="BA11" s="12" t="str">
        <f ca="1">IF($A11&lt;&gt;"",VLOOKUP($B11,'Player Scoreboard'!$C$10:$BV$24,BA$6+8,FALSE),"")</f>
        <v/>
      </c>
      <c r="BB11" s="12" t="str">
        <f ca="1">IF($A11&lt;&gt;"",VLOOKUP($B11,'Player Scoreboard'!$C$10:$BV$24,BB$6+8,FALSE),"")</f>
        <v/>
      </c>
      <c r="BC11" s="12" t="str">
        <f ca="1">IF($A11&lt;&gt;"",VLOOKUP($B11,'Player Scoreboard'!$C$10:$BV$24,BC$6+8,FALSE),"")</f>
        <v/>
      </c>
      <c r="BD11" s="12" t="str">
        <f ca="1">IF($A11&lt;&gt;"",VLOOKUP($B11,'Player Scoreboard'!$C$10:$BV$24,BD$6+8,FALSE),"")</f>
        <v/>
      </c>
      <c r="BE11" s="12" t="str">
        <f ca="1">IF($A11&lt;&gt;"",VLOOKUP($B11,'Player Scoreboard'!$C$10:$BV$24,BE$6+8,FALSE),"")</f>
        <v/>
      </c>
      <c r="BF11" s="12" t="str">
        <f ca="1">IF($A11&lt;&gt;"",VLOOKUP($B11,'Player Scoreboard'!$C$10:$BV$24,BF$6+8,FALSE),"")</f>
        <v/>
      </c>
      <c r="BG11" s="12" t="str">
        <f ca="1">IF($A11&lt;&gt;"",VLOOKUP($B11,'Player Scoreboard'!$C$10:$BV$24,BG$6+8,FALSE),"")</f>
        <v/>
      </c>
      <c r="BH11" s="12" t="str">
        <f ca="1">IF($A11&lt;&gt;"",VLOOKUP($B11,'Player Scoreboard'!$C$10:$BV$24,BH$6+8,FALSE),"")</f>
        <v/>
      </c>
      <c r="BI11" s="12" t="str">
        <f ca="1">IF($A11&lt;&gt;"",VLOOKUP($B11,'Player Scoreboard'!$C$10:$BV$24,BI$6+8,FALSE),"")</f>
        <v/>
      </c>
      <c r="BJ11" s="12" t="str">
        <f ca="1">IF($A11&lt;&gt;"",VLOOKUP($B11,'Player Scoreboard'!$C$10:$BV$24,BJ$6+8,FALSE),"")</f>
        <v/>
      </c>
      <c r="BK11" s="12" t="str">
        <f ca="1">IF($A11&lt;&gt;"",VLOOKUP($B11,'Player Scoreboard'!$C$10:$BV$24,BK$6+8,FALSE),"")</f>
        <v/>
      </c>
      <c r="BL11" s="12" t="str">
        <f ca="1">IF($A11&lt;&gt;"",VLOOKUP($B11,'Player Scoreboard'!$C$10:$BV$24,BL$6+8,FALSE),"")</f>
        <v/>
      </c>
      <c r="BM11" s="12" t="str">
        <f ca="1">IF($A11&lt;&gt;"",VLOOKUP($B11,'Player Scoreboard'!$C$10:$BV$24,BM$6+8,FALSE),"")</f>
        <v/>
      </c>
      <c r="BN11" s="12" t="str">
        <f ca="1">IF($A11&lt;&gt;"",VLOOKUP($B11,'Player Scoreboard'!$C$10:$BV$24,BN$6+8,FALSE),"")</f>
        <v/>
      </c>
      <c r="BO11" s="12" t="str">
        <f ca="1">IF($A11&lt;&gt;"",VLOOKUP($B11,'Player Scoreboard'!$C$10:$BV$24,BO$6+8,FALSE),"")</f>
        <v/>
      </c>
      <c r="BP11" s="12" t="str">
        <f ca="1">IF($A11&lt;&gt;"",VLOOKUP($B11,'Player Scoreboard'!$C$10:$BV$24,BP$6+8,FALSE),"")</f>
        <v/>
      </c>
      <c r="BQ11" s="12" t="str">
        <f ca="1">IF($A11&lt;&gt;"",VLOOKUP($B11,'Player Scoreboard'!$C$10:$BV$24,BQ$6+8,FALSE),"")</f>
        <v/>
      </c>
      <c r="BR11" s="12" t="str">
        <f ca="1">IF($A11&lt;&gt;"",VLOOKUP($B11,'Player Scoreboard'!$C$10:$BV$24,BR$6+8,FALSE),"")</f>
        <v/>
      </c>
      <c r="BS11" s="12" t="str">
        <f ca="1">IF($A11&lt;&gt;"",VLOOKUP($B11,'Player Scoreboard'!$C$10:$BV$24,BS$6+8,FALSE),"")</f>
        <v/>
      </c>
      <c r="BT11" s="12" t="str">
        <f ca="1">IF($A11&lt;&gt;"",VLOOKUP($B11,'Player Scoreboard'!$C$10:$BV$24,BT$6+8,FALSE),"")</f>
        <v/>
      </c>
    </row>
    <row r="12" spans="1:72" ht="15" customHeight="1">
      <c r="A12" s="14">
        <f>IF('Player Name'!C9&lt;&gt;"",A11+1,"")</f>
        <v>4</v>
      </c>
      <c r="B12" s="15" t="str">
        <f ca="1">IF(A12&lt;&gt;"",VLOOKUP(A12,Dummy!$E$7:$N$106,10,FALSE),"")</f>
        <v>John 4</v>
      </c>
      <c r="C12" s="26">
        <f t="shared" ca="1" si="97"/>
        <v>0</v>
      </c>
      <c r="D12" s="14">
        <f t="shared" ca="1" si="98"/>
        <v>0</v>
      </c>
      <c r="E12" s="26">
        <f ca="1">IF($A12&lt;&gt;"",VLOOKUP($B12,'Player Scoreboard'!$C$10:$F$24,4,FALSE),"")</f>
        <v>0</v>
      </c>
      <c r="F12" s="14">
        <f ca="1">IF($A12&lt;&gt;"",VLOOKUP($B12,'Player Scoreboard'!$C$10:$G$24,5,FALSE),"")</f>
        <v>0</v>
      </c>
      <c r="G12" s="26">
        <f ca="1">IF($A12&lt;&gt;"",VLOOKUP($B12,'Player Scoreboard'!$C$10:$H$24,6,FALSE),"")</f>
        <v>0</v>
      </c>
      <c r="H12" s="14">
        <f ca="1">IF($A12&lt;&gt;"",VLOOKUP($B12,'Player Scoreboard'!$C$10:$I$24,7,FALSE),"")</f>
        <v>0</v>
      </c>
      <c r="I12" s="14" t="str">
        <f ca="1">IF($A12&lt;&gt;"",VLOOKUP($B12,'Player Scoreboard'!$C$10:$BV$24,I$6+8,FALSE),"")</f>
        <v/>
      </c>
      <c r="J12" s="14" t="str">
        <f ca="1">IF($A12&lt;&gt;"",VLOOKUP($B12,'Player Scoreboard'!$C$10:$BV$24,J$6+8,FALSE),"")</f>
        <v/>
      </c>
      <c r="K12" s="14" t="str">
        <f ca="1">IF($A12&lt;&gt;"",VLOOKUP($B12,'Player Scoreboard'!$C$10:$BV$24,K$6+8,FALSE),"")</f>
        <v/>
      </c>
      <c r="L12" s="14" t="str">
        <f ca="1">IF($A12&lt;&gt;"",VLOOKUP($B12,'Player Scoreboard'!$C$10:$BV$24,L$6+8,FALSE),"")</f>
        <v/>
      </c>
      <c r="M12" s="14" t="str">
        <f ca="1">IF($A12&lt;&gt;"",VLOOKUP($B12,'Player Scoreboard'!$C$10:$BV$24,M$6+8,FALSE),"")</f>
        <v/>
      </c>
      <c r="N12" s="14" t="str">
        <f ca="1">IF($A12&lt;&gt;"",VLOOKUP($B12,'Player Scoreboard'!$C$10:$BV$24,N$6+8,FALSE),"")</f>
        <v/>
      </c>
      <c r="O12" s="14" t="str">
        <f ca="1">IF($A12&lt;&gt;"",VLOOKUP($B12,'Player Scoreboard'!$C$10:$BV$24,O$6+8,FALSE),"")</f>
        <v/>
      </c>
      <c r="P12" s="14" t="str">
        <f ca="1">IF($A12&lt;&gt;"",VLOOKUP($B12,'Player Scoreboard'!$C$10:$BV$24,P$6+8,FALSE),"")</f>
        <v/>
      </c>
      <c r="Q12" s="14" t="str">
        <f ca="1">IF($A12&lt;&gt;"",VLOOKUP($B12,'Player Scoreboard'!$C$10:$BV$24,Q$6+8,FALSE),"")</f>
        <v/>
      </c>
      <c r="R12" s="14" t="str">
        <f ca="1">IF($A12&lt;&gt;"",VLOOKUP($B12,'Player Scoreboard'!$C$10:$BV$24,R$6+8,FALSE),"")</f>
        <v/>
      </c>
      <c r="S12" s="14" t="str">
        <f ca="1">IF($A12&lt;&gt;"",VLOOKUP($B12,'Player Scoreboard'!$C$10:$BV$24,S$6+8,FALSE),"")</f>
        <v/>
      </c>
      <c r="T12" s="14" t="str">
        <f ca="1">IF($A12&lt;&gt;"",VLOOKUP($B12,'Player Scoreboard'!$C$10:$BV$24,T$6+8,FALSE),"")</f>
        <v/>
      </c>
      <c r="U12" s="14" t="str">
        <f ca="1">IF($A12&lt;&gt;"",VLOOKUP($B12,'Player Scoreboard'!$C$10:$BV$24,U$6+8,FALSE),"")</f>
        <v/>
      </c>
      <c r="V12" s="14" t="str">
        <f ca="1">IF($A12&lt;&gt;"",VLOOKUP($B12,'Player Scoreboard'!$C$10:$BV$24,V$6+8,FALSE),"")</f>
        <v/>
      </c>
      <c r="W12" s="14" t="str">
        <f ca="1">IF($A12&lt;&gt;"",VLOOKUP($B12,'Player Scoreboard'!$C$10:$BV$24,W$6+8,FALSE),"")</f>
        <v/>
      </c>
      <c r="X12" s="14" t="str">
        <f ca="1">IF($A12&lt;&gt;"",VLOOKUP($B12,'Player Scoreboard'!$C$10:$BV$24,X$6+8,FALSE),"")</f>
        <v/>
      </c>
      <c r="Y12" s="14" t="str">
        <f ca="1">IF($A12&lt;&gt;"",VLOOKUP($B12,'Player Scoreboard'!$C$10:$BV$24,Y$6+8,FALSE),"")</f>
        <v/>
      </c>
      <c r="Z12" s="14" t="str">
        <f ca="1">IF($A12&lt;&gt;"",VLOOKUP($B12,'Player Scoreboard'!$C$10:$BV$24,Z$6+8,FALSE),"")</f>
        <v/>
      </c>
      <c r="AA12" s="14" t="str">
        <f ca="1">IF($A12&lt;&gt;"",VLOOKUP($B12,'Player Scoreboard'!$C$10:$BV$24,AA$6+8,FALSE),"")</f>
        <v/>
      </c>
      <c r="AB12" s="14" t="str">
        <f ca="1">IF($A12&lt;&gt;"",VLOOKUP($B12,'Player Scoreboard'!$C$10:$BV$24,AB$6+8,FALSE),"")</f>
        <v/>
      </c>
      <c r="AC12" s="14" t="str">
        <f ca="1">IF($A12&lt;&gt;"",VLOOKUP($B12,'Player Scoreboard'!$C$10:$BV$24,AC$6+8,FALSE),"")</f>
        <v/>
      </c>
      <c r="AD12" s="14" t="str">
        <f ca="1">IF($A12&lt;&gt;"",VLOOKUP($B12,'Player Scoreboard'!$C$10:$BV$24,AD$6+8,FALSE),"")</f>
        <v/>
      </c>
      <c r="AE12" s="14" t="str">
        <f ca="1">IF($A12&lt;&gt;"",VLOOKUP($B12,'Player Scoreboard'!$C$10:$BV$24,AE$6+8,FALSE),"")</f>
        <v/>
      </c>
      <c r="AF12" s="14" t="str">
        <f ca="1">IF($A12&lt;&gt;"",VLOOKUP($B12,'Player Scoreboard'!$C$10:$BV$24,AF$6+8,FALSE),"")</f>
        <v/>
      </c>
      <c r="AG12" s="14" t="str">
        <f ca="1">IF($A12&lt;&gt;"",VLOOKUP($B12,'Player Scoreboard'!$C$10:$BV$24,AG$6+8,FALSE),"")</f>
        <v/>
      </c>
      <c r="AH12" s="14" t="str">
        <f ca="1">IF($A12&lt;&gt;"",VLOOKUP($B12,'Player Scoreboard'!$C$10:$BV$24,AH$6+8,FALSE),"")</f>
        <v/>
      </c>
      <c r="AI12" s="14" t="str">
        <f ca="1">IF($A12&lt;&gt;"",VLOOKUP($B12,'Player Scoreboard'!$C$10:$BV$24,AI$6+8,FALSE),"")</f>
        <v/>
      </c>
      <c r="AJ12" s="14" t="str">
        <f ca="1">IF($A12&lt;&gt;"",VLOOKUP($B12,'Player Scoreboard'!$C$10:$BV$24,AJ$6+8,FALSE),"")</f>
        <v/>
      </c>
      <c r="AK12" s="14" t="str">
        <f ca="1">IF($A12&lt;&gt;"",VLOOKUP($B12,'Player Scoreboard'!$C$10:$BV$24,AK$6+8,FALSE),"")</f>
        <v/>
      </c>
      <c r="AL12" s="14" t="str">
        <f ca="1">IF($A12&lt;&gt;"",VLOOKUP($B12,'Player Scoreboard'!$C$10:$BV$24,AL$6+8,FALSE),"")</f>
        <v/>
      </c>
      <c r="AM12" s="14" t="str">
        <f ca="1">IF($A12&lt;&gt;"",VLOOKUP($B12,'Player Scoreboard'!$C$10:$BV$24,AM$6+8,FALSE),"")</f>
        <v/>
      </c>
      <c r="AN12" s="14" t="str">
        <f ca="1">IF($A12&lt;&gt;"",VLOOKUP($B12,'Player Scoreboard'!$C$10:$BV$24,AN$6+8,FALSE),"")</f>
        <v/>
      </c>
      <c r="AO12" s="14" t="str">
        <f ca="1">IF($A12&lt;&gt;"",VLOOKUP($B12,'Player Scoreboard'!$C$10:$BV$24,AO$6+8,FALSE),"")</f>
        <v/>
      </c>
      <c r="AP12" s="14" t="str">
        <f ca="1">IF($A12&lt;&gt;"",VLOOKUP($B12,'Player Scoreboard'!$C$10:$BV$24,AP$6+8,FALSE),"")</f>
        <v/>
      </c>
      <c r="AQ12" s="14" t="str">
        <f ca="1">IF($A12&lt;&gt;"",VLOOKUP($B12,'Player Scoreboard'!$C$10:$BV$24,AQ$6+8,FALSE),"")</f>
        <v/>
      </c>
      <c r="AR12" s="14" t="str">
        <f ca="1">IF($A12&lt;&gt;"",VLOOKUP($B12,'Player Scoreboard'!$C$10:$BV$24,AR$6+8,FALSE),"")</f>
        <v/>
      </c>
      <c r="AS12" s="14" t="str">
        <f ca="1">IF($A12&lt;&gt;"",VLOOKUP($B12,'Player Scoreboard'!$C$10:$BV$24,AS$6+8,FALSE),"")</f>
        <v/>
      </c>
      <c r="AT12" s="14" t="str">
        <f ca="1">IF($A12&lt;&gt;"",VLOOKUP($B12,'Player Scoreboard'!$C$10:$BV$24,AT$6+8,FALSE),"")</f>
        <v/>
      </c>
      <c r="AU12" s="14" t="str">
        <f ca="1">IF($A12&lt;&gt;"",VLOOKUP($B12,'Player Scoreboard'!$C$10:$BV$24,AU$6+8,FALSE),"")</f>
        <v/>
      </c>
      <c r="AV12" s="14" t="str">
        <f ca="1">IF($A12&lt;&gt;"",VLOOKUP($B12,'Player Scoreboard'!$C$10:$BV$24,AV$6+8,FALSE),"")</f>
        <v/>
      </c>
      <c r="AW12" s="14" t="str">
        <f ca="1">IF($A12&lt;&gt;"",VLOOKUP($B12,'Player Scoreboard'!$C$10:$BV$24,AW$6+8,FALSE),"")</f>
        <v/>
      </c>
      <c r="AX12" s="14" t="str">
        <f ca="1">IF($A12&lt;&gt;"",VLOOKUP($B12,'Player Scoreboard'!$C$10:$BV$24,AX$6+8,FALSE),"")</f>
        <v/>
      </c>
      <c r="AY12" s="14" t="str">
        <f ca="1">IF($A12&lt;&gt;"",VLOOKUP($B12,'Player Scoreboard'!$C$10:$BV$24,AY$6+8,FALSE),"")</f>
        <v/>
      </c>
      <c r="AZ12" s="14" t="str">
        <f ca="1">IF($A12&lt;&gt;"",VLOOKUP($B12,'Player Scoreboard'!$C$10:$BV$24,AZ$6+8,FALSE),"")</f>
        <v/>
      </c>
      <c r="BA12" s="14" t="str">
        <f ca="1">IF($A12&lt;&gt;"",VLOOKUP($B12,'Player Scoreboard'!$C$10:$BV$24,BA$6+8,FALSE),"")</f>
        <v/>
      </c>
      <c r="BB12" s="14" t="str">
        <f ca="1">IF($A12&lt;&gt;"",VLOOKUP($B12,'Player Scoreboard'!$C$10:$BV$24,BB$6+8,FALSE),"")</f>
        <v/>
      </c>
      <c r="BC12" s="14" t="str">
        <f ca="1">IF($A12&lt;&gt;"",VLOOKUP($B12,'Player Scoreboard'!$C$10:$BV$24,BC$6+8,FALSE),"")</f>
        <v/>
      </c>
      <c r="BD12" s="14" t="str">
        <f ca="1">IF($A12&lt;&gt;"",VLOOKUP($B12,'Player Scoreboard'!$C$10:$BV$24,BD$6+8,FALSE),"")</f>
        <v/>
      </c>
      <c r="BE12" s="14" t="str">
        <f ca="1">IF($A12&lt;&gt;"",VLOOKUP($B12,'Player Scoreboard'!$C$10:$BV$24,BE$6+8,FALSE),"")</f>
        <v/>
      </c>
      <c r="BF12" s="14" t="str">
        <f ca="1">IF($A12&lt;&gt;"",VLOOKUP($B12,'Player Scoreboard'!$C$10:$BV$24,BF$6+8,FALSE),"")</f>
        <v/>
      </c>
      <c r="BG12" s="14" t="str">
        <f ca="1">IF($A12&lt;&gt;"",VLOOKUP($B12,'Player Scoreboard'!$C$10:$BV$24,BG$6+8,FALSE),"")</f>
        <v/>
      </c>
      <c r="BH12" s="14" t="str">
        <f ca="1">IF($A12&lt;&gt;"",VLOOKUP($B12,'Player Scoreboard'!$C$10:$BV$24,BH$6+8,FALSE),"")</f>
        <v/>
      </c>
      <c r="BI12" s="14" t="str">
        <f ca="1">IF($A12&lt;&gt;"",VLOOKUP($B12,'Player Scoreboard'!$C$10:$BV$24,BI$6+8,FALSE),"")</f>
        <v/>
      </c>
      <c r="BJ12" s="14" t="str">
        <f ca="1">IF($A12&lt;&gt;"",VLOOKUP($B12,'Player Scoreboard'!$C$10:$BV$24,BJ$6+8,FALSE),"")</f>
        <v/>
      </c>
      <c r="BK12" s="14" t="str">
        <f ca="1">IF($A12&lt;&gt;"",VLOOKUP($B12,'Player Scoreboard'!$C$10:$BV$24,BK$6+8,FALSE),"")</f>
        <v/>
      </c>
      <c r="BL12" s="14" t="str">
        <f ca="1">IF($A12&lt;&gt;"",VLOOKUP($B12,'Player Scoreboard'!$C$10:$BV$24,BL$6+8,FALSE),"")</f>
        <v/>
      </c>
      <c r="BM12" s="14" t="str">
        <f ca="1">IF($A12&lt;&gt;"",VLOOKUP($B12,'Player Scoreboard'!$C$10:$BV$24,BM$6+8,FALSE),"")</f>
        <v/>
      </c>
      <c r="BN12" s="14" t="str">
        <f ca="1">IF($A12&lt;&gt;"",VLOOKUP($B12,'Player Scoreboard'!$C$10:$BV$24,BN$6+8,FALSE),"")</f>
        <v/>
      </c>
      <c r="BO12" s="14" t="str">
        <f ca="1">IF($A12&lt;&gt;"",VLOOKUP($B12,'Player Scoreboard'!$C$10:$BV$24,BO$6+8,FALSE),"")</f>
        <v/>
      </c>
      <c r="BP12" s="14" t="str">
        <f ca="1">IF($A12&lt;&gt;"",VLOOKUP($B12,'Player Scoreboard'!$C$10:$BV$24,BP$6+8,FALSE),"")</f>
        <v/>
      </c>
      <c r="BQ12" s="14" t="str">
        <f ca="1">IF($A12&lt;&gt;"",VLOOKUP($B12,'Player Scoreboard'!$C$10:$BV$24,BQ$6+8,FALSE),"")</f>
        <v/>
      </c>
      <c r="BR12" s="14" t="str">
        <f ca="1">IF($A12&lt;&gt;"",VLOOKUP($B12,'Player Scoreboard'!$C$10:$BV$24,BR$6+8,FALSE),"")</f>
        <v/>
      </c>
      <c r="BS12" s="14" t="str">
        <f ca="1">IF($A12&lt;&gt;"",VLOOKUP($B12,'Player Scoreboard'!$C$10:$BV$24,BS$6+8,FALSE),"")</f>
        <v/>
      </c>
      <c r="BT12" s="14" t="str">
        <f ca="1">IF($A12&lt;&gt;"",VLOOKUP($B12,'Player Scoreboard'!$C$10:$BV$24,BT$6+8,FALSE),"")</f>
        <v/>
      </c>
    </row>
    <row r="13" spans="1:72" ht="15" customHeight="1">
      <c r="A13" s="12">
        <f>IF('Player Name'!C10&lt;&gt;"",A12+1,"")</f>
        <v>5</v>
      </c>
      <c r="B13" s="13" t="str">
        <f ca="1">IF(A13&lt;&gt;"",VLOOKUP(A13,Dummy!$E$7:$N$106,10,FALSE),"")</f>
        <v>John 5</v>
      </c>
      <c r="C13" s="25">
        <f t="shared" ca="1" si="97"/>
        <v>0</v>
      </c>
      <c r="D13" s="12">
        <f t="shared" ca="1" si="98"/>
        <v>0</v>
      </c>
      <c r="E13" s="25">
        <f ca="1">IF($A13&lt;&gt;"",VLOOKUP($B13,'Player Scoreboard'!$C$10:$F$24,4,FALSE),"")</f>
        <v>0</v>
      </c>
      <c r="F13" s="12">
        <f ca="1">IF($A13&lt;&gt;"",VLOOKUP($B13,'Player Scoreboard'!$C$10:$G$24,5,FALSE),"")</f>
        <v>0</v>
      </c>
      <c r="G13" s="25">
        <f ca="1">IF($A13&lt;&gt;"",VLOOKUP($B13,'Player Scoreboard'!$C$10:$H$24,6,FALSE),"")</f>
        <v>0</v>
      </c>
      <c r="H13" s="12">
        <f ca="1">IF($A13&lt;&gt;"",VLOOKUP($B13,'Player Scoreboard'!$C$10:$I$24,7,FALSE),"")</f>
        <v>0</v>
      </c>
      <c r="I13" s="12" t="str">
        <f ca="1">IF($A13&lt;&gt;"",VLOOKUP($B13,'Player Scoreboard'!$C$10:$BV$24,I$6+8,FALSE),"")</f>
        <v/>
      </c>
      <c r="J13" s="12" t="str">
        <f ca="1">IF($A13&lt;&gt;"",VLOOKUP($B13,'Player Scoreboard'!$C$10:$BV$24,J$6+8,FALSE),"")</f>
        <v/>
      </c>
      <c r="K13" s="12" t="str">
        <f ca="1">IF($A13&lt;&gt;"",VLOOKUP($B13,'Player Scoreboard'!$C$10:$BV$24,K$6+8,FALSE),"")</f>
        <v/>
      </c>
      <c r="L13" s="12" t="str">
        <f ca="1">IF($A13&lt;&gt;"",VLOOKUP($B13,'Player Scoreboard'!$C$10:$BV$24,L$6+8,FALSE),"")</f>
        <v/>
      </c>
      <c r="M13" s="12" t="str">
        <f ca="1">IF($A13&lt;&gt;"",VLOOKUP($B13,'Player Scoreboard'!$C$10:$BV$24,M$6+8,FALSE),"")</f>
        <v/>
      </c>
      <c r="N13" s="12" t="str">
        <f ca="1">IF($A13&lt;&gt;"",VLOOKUP($B13,'Player Scoreboard'!$C$10:$BV$24,N$6+8,FALSE),"")</f>
        <v/>
      </c>
      <c r="O13" s="12" t="str">
        <f ca="1">IF($A13&lt;&gt;"",VLOOKUP($B13,'Player Scoreboard'!$C$10:$BV$24,O$6+8,FALSE),"")</f>
        <v/>
      </c>
      <c r="P13" s="12" t="str">
        <f ca="1">IF($A13&lt;&gt;"",VLOOKUP($B13,'Player Scoreboard'!$C$10:$BV$24,P$6+8,FALSE),"")</f>
        <v/>
      </c>
      <c r="Q13" s="12" t="str">
        <f ca="1">IF($A13&lt;&gt;"",VLOOKUP($B13,'Player Scoreboard'!$C$10:$BV$24,Q$6+8,FALSE),"")</f>
        <v/>
      </c>
      <c r="R13" s="12" t="str">
        <f ca="1">IF($A13&lt;&gt;"",VLOOKUP($B13,'Player Scoreboard'!$C$10:$BV$24,R$6+8,FALSE),"")</f>
        <v/>
      </c>
      <c r="S13" s="12" t="str">
        <f ca="1">IF($A13&lt;&gt;"",VLOOKUP($B13,'Player Scoreboard'!$C$10:$BV$24,S$6+8,FALSE),"")</f>
        <v/>
      </c>
      <c r="T13" s="12" t="str">
        <f ca="1">IF($A13&lt;&gt;"",VLOOKUP($B13,'Player Scoreboard'!$C$10:$BV$24,T$6+8,FALSE),"")</f>
        <v/>
      </c>
      <c r="U13" s="12" t="str">
        <f ca="1">IF($A13&lt;&gt;"",VLOOKUP($B13,'Player Scoreboard'!$C$10:$BV$24,U$6+8,FALSE),"")</f>
        <v/>
      </c>
      <c r="V13" s="12" t="str">
        <f ca="1">IF($A13&lt;&gt;"",VLOOKUP($B13,'Player Scoreboard'!$C$10:$BV$24,V$6+8,FALSE),"")</f>
        <v/>
      </c>
      <c r="W13" s="12" t="str">
        <f ca="1">IF($A13&lt;&gt;"",VLOOKUP($B13,'Player Scoreboard'!$C$10:$BV$24,W$6+8,FALSE),"")</f>
        <v/>
      </c>
      <c r="X13" s="12" t="str">
        <f ca="1">IF($A13&lt;&gt;"",VLOOKUP($B13,'Player Scoreboard'!$C$10:$BV$24,X$6+8,FALSE),"")</f>
        <v/>
      </c>
      <c r="Y13" s="12" t="str">
        <f ca="1">IF($A13&lt;&gt;"",VLOOKUP($B13,'Player Scoreboard'!$C$10:$BV$24,Y$6+8,FALSE),"")</f>
        <v/>
      </c>
      <c r="Z13" s="12" t="str">
        <f ca="1">IF($A13&lt;&gt;"",VLOOKUP($B13,'Player Scoreboard'!$C$10:$BV$24,Z$6+8,FALSE),"")</f>
        <v/>
      </c>
      <c r="AA13" s="12" t="str">
        <f ca="1">IF($A13&lt;&gt;"",VLOOKUP($B13,'Player Scoreboard'!$C$10:$BV$24,AA$6+8,FALSE),"")</f>
        <v/>
      </c>
      <c r="AB13" s="12" t="str">
        <f ca="1">IF($A13&lt;&gt;"",VLOOKUP($B13,'Player Scoreboard'!$C$10:$BV$24,AB$6+8,FALSE),"")</f>
        <v/>
      </c>
      <c r="AC13" s="12" t="str">
        <f ca="1">IF($A13&lt;&gt;"",VLOOKUP($B13,'Player Scoreboard'!$C$10:$BV$24,AC$6+8,FALSE),"")</f>
        <v/>
      </c>
      <c r="AD13" s="12" t="str">
        <f ca="1">IF($A13&lt;&gt;"",VLOOKUP($B13,'Player Scoreboard'!$C$10:$BV$24,AD$6+8,FALSE),"")</f>
        <v/>
      </c>
      <c r="AE13" s="12" t="str">
        <f ca="1">IF($A13&lt;&gt;"",VLOOKUP($B13,'Player Scoreboard'!$C$10:$BV$24,AE$6+8,FALSE),"")</f>
        <v/>
      </c>
      <c r="AF13" s="12" t="str">
        <f ca="1">IF($A13&lt;&gt;"",VLOOKUP($B13,'Player Scoreboard'!$C$10:$BV$24,AF$6+8,FALSE),"")</f>
        <v/>
      </c>
      <c r="AG13" s="12" t="str">
        <f ca="1">IF($A13&lt;&gt;"",VLOOKUP($B13,'Player Scoreboard'!$C$10:$BV$24,AG$6+8,FALSE),"")</f>
        <v/>
      </c>
      <c r="AH13" s="12" t="str">
        <f ca="1">IF($A13&lt;&gt;"",VLOOKUP($B13,'Player Scoreboard'!$C$10:$BV$24,AH$6+8,FALSE),"")</f>
        <v/>
      </c>
      <c r="AI13" s="12" t="str">
        <f ca="1">IF($A13&lt;&gt;"",VLOOKUP($B13,'Player Scoreboard'!$C$10:$BV$24,AI$6+8,FALSE),"")</f>
        <v/>
      </c>
      <c r="AJ13" s="12" t="str">
        <f ca="1">IF($A13&lt;&gt;"",VLOOKUP($B13,'Player Scoreboard'!$C$10:$BV$24,AJ$6+8,FALSE),"")</f>
        <v/>
      </c>
      <c r="AK13" s="12" t="str">
        <f ca="1">IF($A13&lt;&gt;"",VLOOKUP($B13,'Player Scoreboard'!$C$10:$BV$24,AK$6+8,FALSE),"")</f>
        <v/>
      </c>
      <c r="AL13" s="12" t="str">
        <f ca="1">IF($A13&lt;&gt;"",VLOOKUP($B13,'Player Scoreboard'!$C$10:$BV$24,AL$6+8,FALSE),"")</f>
        <v/>
      </c>
      <c r="AM13" s="12" t="str">
        <f ca="1">IF($A13&lt;&gt;"",VLOOKUP($B13,'Player Scoreboard'!$C$10:$BV$24,AM$6+8,FALSE),"")</f>
        <v/>
      </c>
      <c r="AN13" s="12" t="str">
        <f ca="1">IF($A13&lt;&gt;"",VLOOKUP($B13,'Player Scoreboard'!$C$10:$BV$24,AN$6+8,FALSE),"")</f>
        <v/>
      </c>
      <c r="AO13" s="12" t="str">
        <f ca="1">IF($A13&lt;&gt;"",VLOOKUP($B13,'Player Scoreboard'!$C$10:$BV$24,AO$6+8,FALSE),"")</f>
        <v/>
      </c>
      <c r="AP13" s="12" t="str">
        <f ca="1">IF($A13&lt;&gt;"",VLOOKUP($B13,'Player Scoreboard'!$C$10:$BV$24,AP$6+8,FALSE),"")</f>
        <v/>
      </c>
      <c r="AQ13" s="12" t="str">
        <f ca="1">IF($A13&lt;&gt;"",VLOOKUP($B13,'Player Scoreboard'!$C$10:$BV$24,AQ$6+8,FALSE),"")</f>
        <v/>
      </c>
      <c r="AR13" s="12" t="str">
        <f ca="1">IF($A13&lt;&gt;"",VLOOKUP($B13,'Player Scoreboard'!$C$10:$BV$24,AR$6+8,FALSE),"")</f>
        <v/>
      </c>
      <c r="AS13" s="12" t="str">
        <f ca="1">IF($A13&lt;&gt;"",VLOOKUP($B13,'Player Scoreboard'!$C$10:$BV$24,AS$6+8,FALSE),"")</f>
        <v/>
      </c>
      <c r="AT13" s="12" t="str">
        <f ca="1">IF($A13&lt;&gt;"",VLOOKUP($B13,'Player Scoreboard'!$C$10:$BV$24,AT$6+8,FALSE),"")</f>
        <v/>
      </c>
      <c r="AU13" s="12" t="str">
        <f ca="1">IF($A13&lt;&gt;"",VLOOKUP($B13,'Player Scoreboard'!$C$10:$BV$24,AU$6+8,FALSE),"")</f>
        <v/>
      </c>
      <c r="AV13" s="12" t="str">
        <f ca="1">IF($A13&lt;&gt;"",VLOOKUP($B13,'Player Scoreboard'!$C$10:$BV$24,AV$6+8,FALSE),"")</f>
        <v/>
      </c>
      <c r="AW13" s="12" t="str">
        <f ca="1">IF($A13&lt;&gt;"",VLOOKUP($B13,'Player Scoreboard'!$C$10:$BV$24,AW$6+8,FALSE),"")</f>
        <v/>
      </c>
      <c r="AX13" s="12" t="str">
        <f ca="1">IF($A13&lt;&gt;"",VLOOKUP($B13,'Player Scoreboard'!$C$10:$BV$24,AX$6+8,FALSE),"")</f>
        <v/>
      </c>
      <c r="AY13" s="12" t="str">
        <f ca="1">IF($A13&lt;&gt;"",VLOOKUP($B13,'Player Scoreboard'!$C$10:$BV$24,AY$6+8,FALSE),"")</f>
        <v/>
      </c>
      <c r="AZ13" s="12" t="str">
        <f ca="1">IF($A13&lt;&gt;"",VLOOKUP($B13,'Player Scoreboard'!$C$10:$BV$24,AZ$6+8,FALSE),"")</f>
        <v/>
      </c>
      <c r="BA13" s="12" t="str">
        <f ca="1">IF($A13&lt;&gt;"",VLOOKUP($B13,'Player Scoreboard'!$C$10:$BV$24,BA$6+8,FALSE),"")</f>
        <v/>
      </c>
      <c r="BB13" s="12" t="str">
        <f ca="1">IF($A13&lt;&gt;"",VLOOKUP($B13,'Player Scoreboard'!$C$10:$BV$24,BB$6+8,FALSE),"")</f>
        <v/>
      </c>
      <c r="BC13" s="12" t="str">
        <f ca="1">IF($A13&lt;&gt;"",VLOOKUP($B13,'Player Scoreboard'!$C$10:$BV$24,BC$6+8,FALSE),"")</f>
        <v/>
      </c>
      <c r="BD13" s="12" t="str">
        <f ca="1">IF($A13&lt;&gt;"",VLOOKUP($B13,'Player Scoreboard'!$C$10:$BV$24,BD$6+8,FALSE),"")</f>
        <v/>
      </c>
      <c r="BE13" s="12" t="str">
        <f ca="1">IF($A13&lt;&gt;"",VLOOKUP($B13,'Player Scoreboard'!$C$10:$BV$24,BE$6+8,FALSE),"")</f>
        <v/>
      </c>
      <c r="BF13" s="12" t="str">
        <f ca="1">IF($A13&lt;&gt;"",VLOOKUP($B13,'Player Scoreboard'!$C$10:$BV$24,BF$6+8,FALSE),"")</f>
        <v/>
      </c>
      <c r="BG13" s="12" t="str">
        <f ca="1">IF($A13&lt;&gt;"",VLOOKUP($B13,'Player Scoreboard'!$C$10:$BV$24,BG$6+8,FALSE),"")</f>
        <v/>
      </c>
      <c r="BH13" s="12" t="str">
        <f ca="1">IF($A13&lt;&gt;"",VLOOKUP($B13,'Player Scoreboard'!$C$10:$BV$24,BH$6+8,FALSE),"")</f>
        <v/>
      </c>
      <c r="BI13" s="12" t="str">
        <f ca="1">IF($A13&lt;&gt;"",VLOOKUP($B13,'Player Scoreboard'!$C$10:$BV$24,BI$6+8,FALSE),"")</f>
        <v/>
      </c>
      <c r="BJ13" s="12" t="str">
        <f ca="1">IF($A13&lt;&gt;"",VLOOKUP($B13,'Player Scoreboard'!$C$10:$BV$24,BJ$6+8,FALSE),"")</f>
        <v/>
      </c>
      <c r="BK13" s="12" t="str">
        <f ca="1">IF($A13&lt;&gt;"",VLOOKUP($B13,'Player Scoreboard'!$C$10:$BV$24,BK$6+8,FALSE),"")</f>
        <v/>
      </c>
      <c r="BL13" s="12" t="str">
        <f ca="1">IF($A13&lt;&gt;"",VLOOKUP($B13,'Player Scoreboard'!$C$10:$BV$24,BL$6+8,FALSE),"")</f>
        <v/>
      </c>
      <c r="BM13" s="12" t="str">
        <f ca="1">IF($A13&lt;&gt;"",VLOOKUP($B13,'Player Scoreboard'!$C$10:$BV$24,BM$6+8,FALSE),"")</f>
        <v/>
      </c>
      <c r="BN13" s="12" t="str">
        <f ca="1">IF($A13&lt;&gt;"",VLOOKUP($B13,'Player Scoreboard'!$C$10:$BV$24,BN$6+8,FALSE),"")</f>
        <v/>
      </c>
      <c r="BO13" s="12" t="str">
        <f ca="1">IF($A13&lt;&gt;"",VLOOKUP($B13,'Player Scoreboard'!$C$10:$BV$24,BO$6+8,FALSE),"")</f>
        <v/>
      </c>
      <c r="BP13" s="12" t="str">
        <f ca="1">IF($A13&lt;&gt;"",VLOOKUP($B13,'Player Scoreboard'!$C$10:$BV$24,BP$6+8,FALSE),"")</f>
        <v/>
      </c>
      <c r="BQ13" s="12" t="str">
        <f ca="1">IF($A13&lt;&gt;"",VLOOKUP($B13,'Player Scoreboard'!$C$10:$BV$24,BQ$6+8,FALSE),"")</f>
        <v/>
      </c>
      <c r="BR13" s="12" t="str">
        <f ca="1">IF($A13&lt;&gt;"",VLOOKUP($B13,'Player Scoreboard'!$C$10:$BV$24,BR$6+8,FALSE),"")</f>
        <v/>
      </c>
      <c r="BS13" s="12" t="str">
        <f ca="1">IF($A13&lt;&gt;"",VLOOKUP($B13,'Player Scoreboard'!$C$10:$BV$24,BS$6+8,FALSE),"")</f>
        <v/>
      </c>
      <c r="BT13" s="12" t="str">
        <f ca="1">IF($A13&lt;&gt;"",VLOOKUP($B13,'Player Scoreboard'!$C$10:$BV$24,BT$6+8,FALSE),"")</f>
        <v/>
      </c>
    </row>
    <row r="14" spans="1:72" ht="15" customHeight="1">
      <c r="A14" s="14">
        <f>IF('Player Name'!C11&lt;&gt;"",A13+1,"")</f>
        <v>6</v>
      </c>
      <c r="B14" s="15" t="str">
        <f ca="1">IF(A14&lt;&gt;"",VLOOKUP(A14,Dummy!$E$7:$N$106,10,FALSE),"")</f>
        <v>John 6</v>
      </c>
      <c r="C14" s="26">
        <f t="shared" ca="1" si="97"/>
        <v>0</v>
      </c>
      <c r="D14" s="14">
        <f t="shared" ca="1" si="98"/>
        <v>0</v>
      </c>
      <c r="E14" s="26">
        <f ca="1">IF($A14&lt;&gt;"",VLOOKUP($B14,'Player Scoreboard'!$C$10:$F$24,4,FALSE),"")</f>
        <v>0</v>
      </c>
      <c r="F14" s="14">
        <f ca="1">IF($A14&lt;&gt;"",VLOOKUP($B14,'Player Scoreboard'!$C$10:$G$24,5,FALSE),"")</f>
        <v>0</v>
      </c>
      <c r="G14" s="26">
        <f ca="1">IF($A14&lt;&gt;"",VLOOKUP($B14,'Player Scoreboard'!$C$10:$H$24,6,FALSE),"")</f>
        <v>0</v>
      </c>
      <c r="H14" s="14">
        <f ca="1">IF($A14&lt;&gt;"",VLOOKUP($B14,'Player Scoreboard'!$C$10:$I$24,7,FALSE),"")</f>
        <v>0</v>
      </c>
      <c r="I14" s="14" t="str">
        <f ca="1">IF($A14&lt;&gt;"",VLOOKUP($B14,'Player Scoreboard'!$C$10:$BV$24,I$6+8,FALSE),"")</f>
        <v/>
      </c>
      <c r="J14" s="14" t="str">
        <f ca="1">IF($A14&lt;&gt;"",VLOOKUP($B14,'Player Scoreboard'!$C$10:$BV$24,J$6+8,FALSE),"")</f>
        <v/>
      </c>
      <c r="K14" s="14" t="str">
        <f ca="1">IF($A14&lt;&gt;"",VLOOKUP($B14,'Player Scoreboard'!$C$10:$BV$24,K$6+8,FALSE),"")</f>
        <v/>
      </c>
      <c r="L14" s="14" t="str">
        <f ca="1">IF($A14&lt;&gt;"",VLOOKUP($B14,'Player Scoreboard'!$C$10:$BV$24,L$6+8,FALSE),"")</f>
        <v/>
      </c>
      <c r="M14" s="14" t="str">
        <f ca="1">IF($A14&lt;&gt;"",VLOOKUP($B14,'Player Scoreboard'!$C$10:$BV$24,M$6+8,FALSE),"")</f>
        <v/>
      </c>
      <c r="N14" s="14" t="str">
        <f ca="1">IF($A14&lt;&gt;"",VLOOKUP($B14,'Player Scoreboard'!$C$10:$BV$24,N$6+8,FALSE),"")</f>
        <v/>
      </c>
      <c r="O14" s="14" t="str">
        <f ca="1">IF($A14&lt;&gt;"",VLOOKUP($B14,'Player Scoreboard'!$C$10:$BV$24,O$6+8,FALSE),"")</f>
        <v/>
      </c>
      <c r="P14" s="14" t="str">
        <f ca="1">IF($A14&lt;&gt;"",VLOOKUP($B14,'Player Scoreboard'!$C$10:$BV$24,P$6+8,FALSE),"")</f>
        <v/>
      </c>
      <c r="Q14" s="14" t="str">
        <f ca="1">IF($A14&lt;&gt;"",VLOOKUP($B14,'Player Scoreboard'!$C$10:$BV$24,Q$6+8,FALSE),"")</f>
        <v/>
      </c>
      <c r="R14" s="14" t="str">
        <f ca="1">IF($A14&lt;&gt;"",VLOOKUP($B14,'Player Scoreboard'!$C$10:$BV$24,R$6+8,FALSE),"")</f>
        <v/>
      </c>
      <c r="S14" s="14" t="str">
        <f ca="1">IF($A14&lt;&gt;"",VLOOKUP($B14,'Player Scoreboard'!$C$10:$BV$24,S$6+8,FALSE),"")</f>
        <v/>
      </c>
      <c r="T14" s="14" t="str">
        <f ca="1">IF($A14&lt;&gt;"",VLOOKUP($B14,'Player Scoreboard'!$C$10:$BV$24,T$6+8,FALSE),"")</f>
        <v/>
      </c>
      <c r="U14" s="14" t="str">
        <f ca="1">IF($A14&lt;&gt;"",VLOOKUP($B14,'Player Scoreboard'!$C$10:$BV$24,U$6+8,FALSE),"")</f>
        <v/>
      </c>
      <c r="V14" s="14" t="str">
        <f ca="1">IF($A14&lt;&gt;"",VLOOKUP($B14,'Player Scoreboard'!$C$10:$BV$24,V$6+8,FALSE),"")</f>
        <v/>
      </c>
      <c r="W14" s="14" t="str">
        <f ca="1">IF($A14&lt;&gt;"",VLOOKUP($B14,'Player Scoreboard'!$C$10:$BV$24,W$6+8,FALSE),"")</f>
        <v/>
      </c>
      <c r="X14" s="14" t="str">
        <f ca="1">IF($A14&lt;&gt;"",VLOOKUP($B14,'Player Scoreboard'!$C$10:$BV$24,X$6+8,FALSE),"")</f>
        <v/>
      </c>
      <c r="Y14" s="14" t="str">
        <f ca="1">IF($A14&lt;&gt;"",VLOOKUP($B14,'Player Scoreboard'!$C$10:$BV$24,Y$6+8,FALSE),"")</f>
        <v/>
      </c>
      <c r="Z14" s="14" t="str">
        <f ca="1">IF($A14&lt;&gt;"",VLOOKUP($B14,'Player Scoreboard'!$C$10:$BV$24,Z$6+8,FALSE),"")</f>
        <v/>
      </c>
      <c r="AA14" s="14" t="str">
        <f ca="1">IF($A14&lt;&gt;"",VLOOKUP($B14,'Player Scoreboard'!$C$10:$BV$24,AA$6+8,FALSE),"")</f>
        <v/>
      </c>
      <c r="AB14" s="14" t="str">
        <f ca="1">IF($A14&lt;&gt;"",VLOOKUP($B14,'Player Scoreboard'!$C$10:$BV$24,AB$6+8,FALSE),"")</f>
        <v/>
      </c>
      <c r="AC14" s="14" t="str">
        <f ca="1">IF($A14&lt;&gt;"",VLOOKUP($B14,'Player Scoreboard'!$C$10:$BV$24,AC$6+8,FALSE),"")</f>
        <v/>
      </c>
      <c r="AD14" s="14" t="str">
        <f ca="1">IF($A14&lt;&gt;"",VLOOKUP($B14,'Player Scoreboard'!$C$10:$BV$24,AD$6+8,FALSE),"")</f>
        <v/>
      </c>
      <c r="AE14" s="14" t="str">
        <f ca="1">IF($A14&lt;&gt;"",VLOOKUP($B14,'Player Scoreboard'!$C$10:$BV$24,AE$6+8,FALSE),"")</f>
        <v/>
      </c>
      <c r="AF14" s="14" t="str">
        <f ca="1">IF($A14&lt;&gt;"",VLOOKUP($B14,'Player Scoreboard'!$C$10:$BV$24,AF$6+8,FALSE),"")</f>
        <v/>
      </c>
      <c r="AG14" s="14" t="str">
        <f ca="1">IF($A14&lt;&gt;"",VLOOKUP($B14,'Player Scoreboard'!$C$10:$BV$24,AG$6+8,FALSE),"")</f>
        <v/>
      </c>
      <c r="AH14" s="14" t="str">
        <f ca="1">IF($A14&lt;&gt;"",VLOOKUP($B14,'Player Scoreboard'!$C$10:$BV$24,AH$6+8,FALSE),"")</f>
        <v/>
      </c>
      <c r="AI14" s="14" t="str">
        <f ca="1">IF($A14&lt;&gt;"",VLOOKUP($B14,'Player Scoreboard'!$C$10:$BV$24,AI$6+8,FALSE),"")</f>
        <v/>
      </c>
      <c r="AJ14" s="14" t="str">
        <f ca="1">IF($A14&lt;&gt;"",VLOOKUP($B14,'Player Scoreboard'!$C$10:$BV$24,AJ$6+8,FALSE),"")</f>
        <v/>
      </c>
      <c r="AK14" s="14" t="str">
        <f ca="1">IF($A14&lt;&gt;"",VLOOKUP($B14,'Player Scoreboard'!$C$10:$BV$24,AK$6+8,FALSE),"")</f>
        <v/>
      </c>
      <c r="AL14" s="14" t="str">
        <f ca="1">IF($A14&lt;&gt;"",VLOOKUP($B14,'Player Scoreboard'!$C$10:$BV$24,AL$6+8,FALSE),"")</f>
        <v/>
      </c>
      <c r="AM14" s="14" t="str">
        <f ca="1">IF($A14&lt;&gt;"",VLOOKUP($B14,'Player Scoreboard'!$C$10:$BV$24,AM$6+8,FALSE),"")</f>
        <v/>
      </c>
      <c r="AN14" s="14" t="str">
        <f ca="1">IF($A14&lt;&gt;"",VLOOKUP($B14,'Player Scoreboard'!$C$10:$BV$24,AN$6+8,FALSE),"")</f>
        <v/>
      </c>
      <c r="AO14" s="14" t="str">
        <f ca="1">IF($A14&lt;&gt;"",VLOOKUP($B14,'Player Scoreboard'!$C$10:$BV$24,AO$6+8,FALSE),"")</f>
        <v/>
      </c>
      <c r="AP14" s="14" t="str">
        <f ca="1">IF($A14&lt;&gt;"",VLOOKUP($B14,'Player Scoreboard'!$C$10:$BV$24,AP$6+8,FALSE),"")</f>
        <v/>
      </c>
      <c r="AQ14" s="14" t="str">
        <f ca="1">IF($A14&lt;&gt;"",VLOOKUP($B14,'Player Scoreboard'!$C$10:$BV$24,AQ$6+8,FALSE),"")</f>
        <v/>
      </c>
      <c r="AR14" s="14" t="str">
        <f ca="1">IF($A14&lt;&gt;"",VLOOKUP($B14,'Player Scoreboard'!$C$10:$BV$24,AR$6+8,FALSE),"")</f>
        <v/>
      </c>
      <c r="AS14" s="14" t="str">
        <f ca="1">IF($A14&lt;&gt;"",VLOOKUP($B14,'Player Scoreboard'!$C$10:$BV$24,AS$6+8,FALSE),"")</f>
        <v/>
      </c>
      <c r="AT14" s="14" t="str">
        <f ca="1">IF($A14&lt;&gt;"",VLOOKUP($B14,'Player Scoreboard'!$C$10:$BV$24,AT$6+8,FALSE),"")</f>
        <v/>
      </c>
      <c r="AU14" s="14" t="str">
        <f ca="1">IF($A14&lt;&gt;"",VLOOKUP($B14,'Player Scoreboard'!$C$10:$BV$24,AU$6+8,FALSE),"")</f>
        <v/>
      </c>
      <c r="AV14" s="14" t="str">
        <f ca="1">IF($A14&lt;&gt;"",VLOOKUP($B14,'Player Scoreboard'!$C$10:$BV$24,AV$6+8,FALSE),"")</f>
        <v/>
      </c>
      <c r="AW14" s="14" t="str">
        <f ca="1">IF($A14&lt;&gt;"",VLOOKUP($B14,'Player Scoreboard'!$C$10:$BV$24,AW$6+8,FALSE),"")</f>
        <v/>
      </c>
      <c r="AX14" s="14" t="str">
        <f ca="1">IF($A14&lt;&gt;"",VLOOKUP($B14,'Player Scoreboard'!$C$10:$BV$24,AX$6+8,FALSE),"")</f>
        <v/>
      </c>
      <c r="AY14" s="14" t="str">
        <f ca="1">IF($A14&lt;&gt;"",VLOOKUP($B14,'Player Scoreboard'!$C$10:$BV$24,AY$6+8,FALSE),"")</f>
        <v/>
      </c>
      <c r="AZ14" s="14" t="str">
        <f ca="1">IF($A14&lt;&gt;"",VLOOKUP($B14,'Player Scoreboard'!$C$10:$BV$24,AZ$6+8,FALSE),"")</f>
        <v/>
      </c>
      <c r="BA14" s="14" t="str">
        <f ca="1">IF($A14&lt;&gt;"",VLOOKUP($B14,'Player Scoreboard'!$C$10:$BV$24,BA$6+8,FALSE),"")</f>
        <v/>
      </c>
      <c r="BB14" s="14" t="str">
        <f ca="1">IF($A14&lt;&gt;"",VLOOKUP($B14,'Player Scoreboard'!$C$10:$BV$24,BB$6+8,FALSE),"")</f>
        <v/>
      </c>
      <c r="BC14" s="14" t="str">
        <f ca="1">IF($A14&lt;&gt;"",VLOOKUP($B14,'Player Scoreboard'!$C$10:$BV$24,BC$6+8,FALSE),"")</f>
        <v/>
      </c>
      <c r="BD14" s="14" t="str">
        <f ca="1">IF($A14&lt;&gt;"",VLOOKUP($B14,'Player Scoreboard'!$C$10:$BV$24,BD$6+8,FALSE),"")</f>
        <v/>
      </c>
      <c r="BE14" s="14" t="str">
        <f ca="1">IF($A14&lt;&gt;"",VLOOKUP($B14,'Player Scoreboard'!$C$10:$BV$24,BE$6+8,FALSE),"")</f>
        <v/>
      </c>
      <c r="BF14" s="14" t="str">
        <f ca="1">IF($A14&lt;&gt;"",VLOOKUP($B14,'Player Scoreboard'!$C$10:$BV$24,BF$6+8,FALSE),"")</f>
        <v/>
      </c>
      <c r="BG14" s="14" t="str">
        <f ca="1">IF($A14&lt;&gt;"",VLOOKUP($B14,'Player Scoreboard'!$C$10:$BV$24,BG$6+8,FALSE),"")</f>
        <v/>
      </c>
      <c r="BH14" s="14" t="str">
        <f ca="1">IF($A14&lt;&gt;"",VLOOKUP($B14,'Player Scoreboard'!$C$10:$BV$24,BH$6+8,FALSE),"")</f>
        <v/>
      </c>
      <c r="BI14" s="14" t="str">
        <f ca="1">IF($A14&lt;&gt;"",VLOOKUP($B14,'Player Scoreboard'!$C$10:$BV$24,BI$6+8,FALSE),"")</f>
        <v/>
      </c>
      <c r="BJ14" s="14" t="str">
        <f ca="1">IF($A14&lt;&gt;"",VLOOKUP($B14,'Player Scoreboard'!$C$10:$BV$24,BJ$6+8,FALSE),"")</f>
        <v/>
      </c>
      <c r="BK14" s="14" t="str">
        <f ca="1">IF($A14&lt;&gt;"",VLOOKUP($B14,'Player Scoreboard'!$C$10:$BV$24,BK$6+8,FALSE),"")</f>
        <v/>
      </c>
      <c r="BL14" s="14" t="str">
        <f ca="1">IF($A14&lt;&gt;"",VLOOKUP($B14,'Player Scoreboard'!$C$10:$BV$24,BL$6+8,FALSE),"")</f>
        <v/>
      </c>
      <c r="BM14" s="14" t="str">
        <f ca="1">IF($A14&lt;&gt;"",VLOOKUP($B14,'Player Scoreboard'!$C$10:$BV$24,BM$6+8,FALSE),"")</f>
        <v/>
      </c>
      <c r="BN14" s="14" t="str">
        <f ca="1">IF($A14&lt;&gt;"",VLOOKUP($B14,'Player Scoreboard'!$C$10:$BV$24,BN$6+8,FALSE),"")</f>
        <v/>
      </c>
      <c r="BO14" s="14" t="str">
        <f ca="1">IF($A14&lt;&gt;"",VLOOKUP($B14,'Player Scoreboard'!$C$10:$BV$24,BO$6+8,FALSE),"")</f>
        <v/>
      </c>
      <c r="BP14" s="14" t="str">
        <f ca="1">IF($A14&lt;&gt;"",VLOOKUP($B14,'Player Scoreboard'!$C$10:$BV$24,BP$6+8,FALSE),"")</f>
        <v/>
      </c>
      <c r="BQ14" s="14" t="str">
        <f ca="1">IF($A14&lt;&gt;"",VLOOKUP($B14,'Player Scoreboard'!$C$10:$BV$24,BQ$6+8,FALSE),"")</f>
        <v/>
      </c>
      <c r="BR14" s="14" t="str">
        <f ca="1">IF($A14&lt;&gt;"",VLOOKUP($B14,'Player Scoreboard'!$C$10:$BV$24,BR$6+8,FALSE),"")</f>
        <v/>
      </c>
      <c r="BS14" s="14" t="str">
        <f ca="1">IF($A14&lt;&gt;"",VLOOKUP($B14,'Player Scoreboard'!$C$10:$BV$24,BS$6+8,FALSE),"")</f>
        <v/>
      </c>
      <c r="BT14" s="14" t="str">
        <f ca="1">IF($A14&lt;&gt;"",VLOOKUP($B14,'Player Scoreboard'!$C$10:$BV$24,BT$6+8,FALSE),"")</f>
        <v/>
      </c>
    </row>
    <row r="15" spans="1:72" ht="15" customHeight="1">
      <c r="A15" s="12">
        <f>IF('Player Name'!C12&lt;&gt;"",A14+1,"")</f>
        <v>7</v>
      </c>
      <c r="B15" s="13" t="str">
        <f ca="1">IF(A15&lt;&gt;"",VLOOKUP(A15,Dummy!$E$7:$N$106,10,FALSE),"")</f>
        <v>John 7</v>
      </c>
      <c r="C15" s="25">
        <f t="shared" ca="1" si="97"/>
        <v>0</v>
      </c>
      <c r="D15" s="12">
        <f t="shared" ca="1" si="98"/>
        <v>0</v>
      </c>
      <c r="E15" s="25">
        <f ca="1">IF($A15&lt;&gt;"",VLOOKUP($B15,'Player Scoreboard'!$C$10:$F$24,4,FALSE),"")</f>
        <v>0</v>
      </c>
      <c r="F15" s="12">
        <f ca="1">IF($A15&lt;&gt;"",VLOOKUP($B15,'Player Scoreboard'!$C$10:$G$24,5,FALSE),"")</f>
        <v>0</v>
      </c>
      <c r="G15" s="25">
        <f ca="1">IF($A15&lt;&gt;"",VLOOKUP($B15,'Player Scoreboard'!$C$10:$H$24,6,FALSE),"")</f>
        <v>0</v>
      </c>
      <c r="H15" s="12">
        <f ca="1">IF($A15&lt;&gt;"",VLOOKUP($B15,'Player Scoreboard'!$C$10:$I$24,7,FALSE),"")</f>
        <v>0</v>
      </c>
      <c r="I15" s="12" t="str">
        <f ca="1">IF($A15&lt;&gt;"",VLOOKUP($B15,'Player Scoreboard'!$C$10:$BV$24,I$6+8,FALSE),"")</f>
        <v/>
      </c>
      <c r="J15" s="12" t="str">
        <f ca="1">IF($A15&lt;&gt;"",VLOOKUP($B15,'Player Scoreboard'!$C$10:$BV$24,J$6+8,FALSE),"")</f>
        <v/>
      </c>
      <c r="K15" s="12" t="str">
        <f ca="1">IF($A15&lt;&gt;"",VLOOKUP($B15,'Player Scoreboard'!$C$10:$BV$24,K$6+8,FALSE),"")</f>
        <v/>
      </c>
      <c r="L15" s="12" t="str">
        <f ca="1">IF($A15&lt;&gt;"",VLOOKUP($B15,'Player Scoreboard'!$C$10:$BV$24,L$6+8,FALSE),"")</f>
        <v/>
      </c>
      <c r="M15" s="12" t="str">
        <f ca="1">IF($A15&lt;&gt;"",VLOOKUP($B15,'Player Scoreboard'!$C$10:$BV$24,M$6+8,FALSE),"")</f>
        <v/>
      </c>
      <c r="N15" s="12" t="str">
        <f ca="1">IF($A15&lt;&gt;"",VLOOKUP($B15,'Player Scoreboard'!$C$10:$BV$24,N$6+8,FALSE),"")</f>
        <v/>
      </c>
      <c r="O15" s="12" t="str">
        <f ca="1">IF($A15&lt;&gt;"",VLOOKUP($B15,'Player Scoreboard'!$C$10:$BV$24,O$6+8,FALSE),"")</f>
        <v/>
      </c>
      <c r="P15" s="12" t="str">
        <f ca="1">IF($A15&lt;&gt;"",VLOOKUP($B15,'Player Scoreboard'!$C$10:$BV$24,P$6+8,FALSE),"")</f>
        <v/>
      </c>
      <c r="Q15" s="12" t="str">
        <f ca="1">IF($A15&lt;&gt;"",VLOOKUP($B15,'Player Scoreboard'!$C$10:$BV$24,Q$6+8,FALSE),"")</f>
        <v/>
      </c>
      <c r="R15" s="12" t="str">
        <f ca="1">IF($A15&lt;&gt;"",VLOOKUP($B15,'Player Scoreboard'!$C$10:$BV$24,R$6+8,FALSE),"")</f>
        <v/>
      </c>
      <c r="S15" s="12" t="str">
        <f ca="1">IF($A15&lt;&gt;"",VLOOKUP($B15,'Player Scoreboard'!$C$10:$BV$24,S$6+8,FALSE),"")</f>
        <v/>
      </c>
      <c r="T15" s="12" t="str">
        <f ca="1">IF($A15&lt;&gt;"",VLOOKUP($B15,'Player Scoreboard'!$C$10:$BV$24,T$6+8,FALSE),"")</f>
        <v/>
      </c>
      <c r="U15" s="12" t="str">
        <f ca="1">IF($A15&lt;&gt;"",VLOOKUP($B15,'Player Scoreboard'!$C$10:$BV$24,U$6+8,FALSE),"")</f>
        <v/>
      </c>
      <c r="V15" s="12" t="str">
        <f ca="1">IF($A15&lt;&gt;"",VLOOKUP($B15,'Player Scoreboard'!$C$10:$BV$24,V$6+8,FALSE),"")</f>
        <v/>
      </c>
      <c r="W15" s="12" t="str">
        <f ca="1">IF($A15&lt;&gt;"",VLOOKUP($B15,'Player Scoreboard'!$C$10:$BV$24,W$6+8,FALSE),"")</f>
        <v/>
      </c>
      <c r="X15" s="12" t="str">
        <f ca="1">IF($A15&lt;&gt;"",VLOOKUP($B15,'Player Scoreboard'!$C$10:$BV$24,X$6+8,FALSE),"")</f>
        <v/>
      </c>
      <c r="Y15" s="12" t="str">
        <f ca="1">IF($A15&lt;&gt;"",VLOOKUP($B15,'Player Scoreboard'!$C$10:$BV$24,Y$6+8,FALSE),"")</f>
        <v/>
      </c>
      <c r="Z15" s="12" t="str">
        <f ca="1">IF($A15&lt;&gt;"",VLOOKUP($B15,'Player Scoreboard'!$C$10:$BV$24,Z$6+8,FALSE),"")</f>
        <v/>
      </c>
      <c r="AA15" s="12" t="str">
        <f ca="1">IF($A15&lt;&gt;"",VLOOKUP($B15,'Player Scoreboard'!$C$10:$BV$24,AA$6+8,FALSE),"")</f>
        <v/>
      </c>
      <c r="AB15" s="12" t="str">
        <f ca="1">IF($A15&lt;&gt;"",VLOOKUP($B15,'Player Scoreboard'!$C$10:$BV$24,AB$6+8,FALSE),"")</f>
        <v/>
      </c>
      <c r="AC15" s="12" t="str">
        <f ca="1">IF($A15&lt;&gt;"",VLOOKUP($B15,'Player Scoreboard'!$C$10:$BV$24,AC$6+8,FALSE),"")</f>
        <v/>
      </c>
      <c r="AD15" s="12" t="str">
        <f ca="1">IF($A15&lt;&gt;"",VLOOKUP($B15,'Player Scoreboard'!$C$10:$BV$24,AD$6+8,FALSE),"")</f>
        <v/>
      </c>
      <c r="AE15" s="12" t="str">
        <f ca="1">IF($A15&lt;&gt;"",VLOOKUP($B15,'Player Scoreboard'!$C$10:$BV$24,AE$6+8,FALSE),"")</f>
        <v/>
      </c>
      <c r="AF15" s="12" t="str">
        <f ca="1">IF($A15&lt;&gt;"",VLOOKUP($B15,'Player Scoreboard'!$C$10:$BV$24,AF$6+8,FALSE),"")</f>
        <v/>
      </c>
      <c r="AG15" s="12" t="str">
        <f ca="1">IF($A15&lt;&gt;"",VLOOKUP($B15,'Player Scoreboard'!$C$10:$BV$24,AG$6+8,FALSE),"")</f>
        <v/>
      </c>
      <c r="AH15" s="12" t="str">
        <f ca="1">IF($A15&lt;&gt;"",VLOOKUP($B15,'Player Scoreboard'!$C$10:$BV$24,AH$6+8,FALSE),"")</f>
        <v/>
      </c>
      <c r="AI15" s="12" t="str">
        <f ca="1">IF($A15&lt;&gt;"",VLOOKUP($B15,'Player Scoreboard'!$C$10:$BV$24,AI$6+8,FALSE),"")</f>
        <v/>
      </c>
      <c r="AJ15" s="12" t="str">
        <f ca="1">IF($A15&lt;&gt;"",VLOOKUP($B15,'Player Scoreboard'!$C$10:$BV$24,AJ$6+8,FALSE),"")</f>
        <v/>
      </c>
      <c r="AK15" s="12" t="str">
        <f ca="1">IF($A15&lt;&gt;"",VLOOKUP($B15,'Player Scoreboard'!$C$10:$BV$24,AK$6+8,FALSE),"")</f>
        <v/>
      </c>
      <c r="AL15" s="12" t="str">
        <f ca="1">IF($A15&lt;&gt;"",VLOOKUP($B15,'Player Scoreboard'!$C$10:$BV$24,AL$6+8,FALSE),"")</f>
        <v/>
      </c>
      <c r="AM15" s="12" t="str">
        <f ca="1">IF($A15&lt;&gt;"",VLOOKUP($B15,'Player Scoreboard'!$C$10:$BV$24,AM$6+8,FALSE),"")</f>
        <v/>
      </c>
      <c r="AN15" s="12" t="str">
        <f ca="1">IF($A15&lt;&gt;"",VLOOKUP($B15,'Player Scoreboard'!$C$10:$BV$24,AN$6+8,FALSE),"")</f>
        <v/>
      </c>
      <c r="AO15" s="12" t="str">
        <f ca="1">IF($A15&lt;&gt;"",VLOOKUP($B15,'Player Scoreboard'!$C$10:$BV$24,AO$6+8,FALSE),"")</f>
        <v/>
      </c>
      <c r="AP15" s="12" t="str">
        <f ca="1">IF($A15&lt;&gt;"",VLOOKUP($B15,'Player Scoreboard'!$C$10:$BV$24,AP$6+8,FALSE),"")</f>
        <v/>
      </c>
      <c r="AQ15" s="12" t="str">
        <f ca="1">IF($A15&lt;&gt;"",VLOOKUP($B15,'Player Scoreboard'!$C$10:$BV$24,AQ$6+8,FALSE),"")</f>
        <v/>
      </c>
      <c r="AR15" s="12" t="str">
        <f ca="1">IF($A15&lt;&gt;"",VLOOKUP($B15,'Player Scoreboard'!$C$10:$BV$24,AR$6+8,FALSE),"")</f>
        <v/>
      </c>
      <c r="AS15" s="12" t="str">
        <f ca="1">IF($A15&lt;&gt;"",VLOOKUP($B15,'Player Scoreboard'!$C$10:$BV$24,AS$6+8,FALSE),"")</f>
        <v/>
      </c>
      <c r="AT15" s="12" t="str">
        <f ca="1">IF($A15&lt;&gt;"",VLOOKUP($B15,'Player Scoreboard'!$C$10:$BV$24,AT$6+8,FALSE),"")</f>
        <v/>
      </c>
      <c r="AU15" s="12" t="str">
        <f ca="1">IF($A15&lt;&gt;"",VLOOKUP($B15,'Player Scoreboard'!$C$10:$BV$24,AU$6+8,FALSE),"")</f>
        <v/>
      </c>
      <c r="AV15" s="12" t="str">
        <f ca="1">IF($A15&lt;&gt;"",VLOOKUP($B15,'Player Scoreboard'!$C$10:$BV$24,AV$6+8,FALSE),"")</f>
        <v/>
      </c>
      <c r="AW15" s="12" t="str">
        <f ca="1">IF($A15&lt;&gt;"",VLOOKUP($B15,'Player Scoreboard'!$C$10:$BV$24,AW$6+8,FALSE),"")</f>
        <v/>
      </c>
      <c r="AX15" s="12" t="str">
        <f ca="1">IF($A15&lt;&gt;"",VLOOKUP($B15,'Player Scoreboard'!$C$10:$BV$24,AX$6+8,FALSE),"")</f>
        <v/>
      </c>
      <c r="AY15" s="12" t="str">
        <f ca="1">IF($A15&lt;&gt;"",VLOOKUP($B15,'Player Scoreboard'!$C$10:$BV$24,AY$6+8,FALSE),"")</f>
        <v/>
      </c>
      <c r="AZ15" s="12" t="str">
        <f ca="1">IF($A15&lt;&gt;"",VLOOKUP($B15,'Player Scoreboard'!$C$10:$BV$24,AZ$6+8,FALSE),"")</f>
        <v/>
      </c>
      <c r="BA15" s="12" t="str">
        <f ca="1">IF($A15&lt;&gt;"",VLOOKUP($B15,'Player Scoreboard'!$C$10:$BV$24,BA$6+8,FALSE),"")</f>
        <v/>
      </c>
      <c r="BB15" s="12" t="str">
        <f ca="1">IF($A15&lt;&gt;"",VLOOKUP($B15,'Player Scoreboard'!$C$10:$BV$24,BB$6+8,FALSE),"")</f>
        <v/>
      </c>
      <c r="BC15" s="12" t="str">
        <f ca="1">IF($A15&lt;&gt;"",VLOOKUP($B15,'Player Scoreboard'!$C$10:$BV$24,BC$6+8,FALSE),"")</f>
        <v/>
      </c>
      <c r="BD15" s="12" t="str">
        <f ca="1">IF($A15&lt;&gt;"",VLOOKUP($B15,'Player Scoreboard'!$C$10:$BV$24,BD$6+8,FALSE),"")</f>
        <v/>
      </c>
      <c r="BE15" s="12" t="str">
        <f ca="1">IF($A15&lt;&gt;"",VLOOKUP($B15,'Player Scoreboard'!$C$10:$BV$24,BE$6+8,FALSE),"")</f>
        <v/>
      </c>
      <c r="BF15" s="12" t="str">
        <f ca="1">IF($A15&lt;&gt;"",VLOOKUP($B15,'Player Scoreboard'!$C$10:$BV$24,BF$6+8,FALSE),"")</f>
        <v/>
      </c>
      <c r="BG15" s="12" t="str">
        <f ca="1">IF($A15&lt;&gt;"",VLOOKUP($B15,'Player Scoreboard'!$C$10:$BV$24,BG$6+8,FALSE),"")</f>
        <v/>
      </c>
      <c r="BH15" s="12" t="str">
        <f ca="1">IF($A15&lt;&gt;"",VLOOKUP($B15,'Player Scoreboard'!$C$10:$BV$24,BH$6+8,FALSE),"")</f>
        <v/>
      </c>
      <c r="BI15" s="12" t="str">
        <f ca="1">IF($A15&lt;&gt;"",VLOOKUP($B15,'Player Scoreboard'!$C$10:$BV$24,BI$6+8,FALSE),"")</f>
        <v/>
      </c>
      <c r="BJ15" s="12" t="str">
        <f ca="1">IF($A15&lt;&gt;"",VLOOKUP($B15,'Player Scoreboard'!$C$10:$BV$24,BJ$6+8,FALSE),"")</f>
        <v/>
      </c>
      <c r="BK15" s="12" t="str">
        <f ca="1">IF($A15&lt;&gt;"",VLOOKUP($B15,'Player Scoreboard'!$C$10:$BV$24,BK$6+8,FALSE),"")</f>
        <v/>
      </c>
      <c r="BL15" s="12" t="str">
        <f ca="1">IF($A15&lt;&gt;"",VLOOKUP($B15,'Player Scoreboard'!$C$10:$BV$24,BL$6+8,FALSE),"")</f>
        <v/>
      </c>
      <c r="BM15" s="12" t="str">
        <f ca="1">IF($A15&lt;&gt;"",VLOOKUP($B15,'Player Scoreboard'!$C$10:$BV$24,BM$6+8,FALSE),"")</f>
        <v/>
      </c>
      <c r="BN15" s="12" t="str">
        <f ca="1">IF($A15&lt;&gt;"",VLOOKUP($B15,'Player Scoreboard'!$C$10:$BV$24,BN$6+8,FALSE),"")</f>
        <v/>
      </c>
      <c r="BO15" s="12" t="str">
        <f ca="1">IF($A15&lt;&gt;"",VLOOKUP($B15,'Player Scoreboard'!$C$10:$BV$24,BO$6+8,FALSE),"")</f>
        <v/>
      </c>
      <c r="BP15" s="12" t="str">
        <f ca="1">IF($A15&lt;&gt;"",VLOOKUP($B15,'Player Scoreboard'!$C$10:$BV$24,BP$6+8,FALSE),"")</f>
        <v/>
      </c>
      <c r="BQ15" s="12" t="str">
        <f ca="1">IF($A15&lt;&gt;"",VLOOKUP($B15,'Player Scoreboard'!$C$10:$BV$24,BQ$6+8,FALSE),"")</f>
        <v/>
      </c>
      <c r="BR15" s="12" t="str">
        <f ca="1">IF($A15&lt;&gt;"",VLOOKUP($B15,'Player Scoreboard'!$C$10:$BV$24,BR$6+8,FALSE),"")</f>
        <v/>
      </c>
      <c r="BS15" s="12" t="str">
        <f ca="1">IF($A15&lt;&gt;"",VLOOKUP($B15,'Player Scoreboard'!$C$10:$BV$24,BS$6+8,FALSE),"")</f>
        <v/>
      </c>
      <c r="BT15" s="12" t="str">
        <f ca="1">IF($A15&lt;&gt;"",VLOOKUP($B15,'Player Scoreboard'!$C$10:$BV$24,BT$6+8,FALSE),"")</f>
        <v/>
      </c>
    </row>
    <row r="16" spans="1:72" ht="15" customHeight="1">
      <c r="A16" s="14">
        <f>IF('Player Name'!C13&lt;&gt;"",A15+1,"")</f>
        <v>8</v>
      </c>
      <c r="B16" s="15" t="str">
        <f ca="1">IF(A16&lt;&gt;"",VLOOKUP(A16,Dummy!$E$7:$N$106,10,FALSE),"")</f>
        <v>John 8</v>
      </c>
      <c r="C16" s="26">
        <f t="shared" ca="1" si="97"/>
        <v>0</v>
      </c>
      <c r="D16" s="14">
        <f t="shared" ca="1" si="98"/>
        <v>0</v>
      </c>
      <c r="E16" s="26">
        <f ca="1">IF($A16&lt;&gt;"",VLOOKUP($B16,'Player Scoreboard'!$C$10:$F$24,4,FALSE),"")</f>
        <v>0</v>
      </c>
      <c r="F16" s="14">
        <f ca="1">IF($A16&lt;&gt;"",VLOOKUP($B16,'Player Scoreboard'!$C$10:$G$24,5,FALSE),"")</f>
        <v>0</v>
      </c>
      <c r="G16" s="26">
        <f ca="1">IF($A16&lt;&gt;"",VLOOKUP($B16,'Player Scoreboard'!$C$10:$H$24,6,FALSE),"")</f>
        <v>0</v>
      </c>
      <c r="H16" s="14">
        <f ca="1">IF($A16&lt;&gt;"",VLOOKUP($B16,'Player Scoreboard'!$C$10:$I$24,7,FALSE),"")</f>
        <v>0</v>
      </c>
      <c r="I16" s="14" t="str">
        <f ca="1">IF($A16&lt;&gt;"",VLOOKUP($B16,'Player Scoreboard'!$C$10:$BV$24,I$6+8,FALSE),"")</f>
        <v/>
      </c>
      <c r="J16" s="14" t="str">
        <f ca="1">IF($A16&lt;&gt;"",VLOOKUP($B16,'Player Scoreboard'!$C$10:$BV$24,J$6+8,FALSE),"")</f>
        <v/>
      </c>
      <c r="K16" s="14" t="str">
        <f ca="1">IF($A16&lt;&gt;"",VLOOKUP($B16,'Player Scoreboard'!$C$10:$BV$24,K$6+8,FALSE),"")</f>
        <v/>
      </c>
      <c r="L16" s="14" t="str">
        <f ca="1">IF($A16&lt;&gt;"",VLOOKUP($B16,'Player Scoreboard'!$C$10:$BV$24,L$6+8,FALSE),"")</f>
        <v/>
      </c>
      <c r="M16" s="14" t="str">
        <f ca="1">IF($A16&lt;&gt;"",VLOOKUP($B16,'Player Scoreboard'!$C$10:$BV$24,M$6+8,FALSE),"")</f>
        <v/>
      </c>
      <c r="N16" s="14" t="str">
        <f ca="1">IF($A16&lt;&gt;"",VLOOKUP($B16,'Player Scoreboard'!$C$10:$BV$24,N$6+8,FALSE),"")</f>
        <v/>
      </c>
      <c r="O16" s="14" t="str">
        <f ca="1">IF($A16&lt;&gt;"",VLOOKUP($B16,'Player Scoreboard'!$C$10:$BV$24,O$6+8,FALSE),"")</f>
        <v/>
      </c>
      <c r="P16" s="14" t="str">
        <f ca="1">IF($A16&lt;&gt;"",VLOOKUP($B16,'Player Scoreboard'!$C$10:$BV$24,P$6+8,FALSE),"")</f>
        <v/>
      </c>
      <c r="Q16" s="14" t="str">
        <f ca="1">IF($A16&lt;&gt;"",VLOOKUP($B16,'Player Scoreboard'!$C$10:$BV$24,Q$6+8,FALSE),"")</f>
        <v/>
      </c>
      <c r="R16" s="14" t="str">
        <f ca="1">IF($A16&lt;&gt;"",VLOOKUP($B16,'Player Scoreboard'!$C$10:$BV$24,R$6+8,FALSE),"")</f>
        <v/>
      </c>
      <c r="S16" s="14" t="str">
        <f ca="1">IF($A16&lt;&gt;"",VLOOKUP($B16,'Player Scoreboard'!$C$10:$BV$24,S$6+8,FALSE),"")</f>
        <v/>
      </c>
      <c r="T16" s="14" t="str">
        <f ca="1">IF($A16&lt;&gt;"",VLOOKUP($B16,'Player Scoreboard'!$C$10:$BV$24,T$6+8,FALSE),"")</f>
        <v/>
      </c>
      <c r="U16" s="14" t="str">
        <f ca="1">IF($A16&lt;&gt;"",VLOOKUP($B16,'Player Scoreboard'!$C$10:$BV$24,U$6+8,FALSE),"")</f>
        <v/>
      </c>
      <c r="V16" s="14" t="str">
        <f ca="1">IF($A16&lt;&gt;"",VLOOKUP($B16,'Player Scoreboard'!$C$10:$BV$24,V$6+8,FALSE),"")</f>
        <v/>
      </c>
      <c r="W16" s="14" t="str">
        <f ca="1">IF($A16&lt;&gt;"",VLOOKUP($B16,'Player Scoreboard'!$C$10:$BV$24,W$6+8,FALSE),"")</f>
        <v/>
      </c>
      <c r="X16" s="14" t="str">
        <f ca="1">IF($A16&lt;&gt;"",VLOOKUP($B16,'Player Scoreboard'!$C$10:$BV$24,X$6+8,FALSE),"")</f>
        <v/>
      </c>
      <c r="Y16" s="14" t="str">
        <f ca="1">IF($A16&lt;&gt;"",VLOOKUP($B16,'Player Scoreboard'!$C$10:$BV$24,Y$6+8,FALSE),"")</f>
        <v/>
      </c>
      <c r="Z16" s="14" t="str">
        <f ca="1">IF($A16&lt;&gt;"",VLOOKUP($B16,'Player Scoreboard'!$C$10:$BV$24,Z$6+8,FALSE),"")</f>
        <v/>
      </c>
      <c r="AA16" s="14" t="str">
        <f ca="1">IF($A16&lt;&gt;"",VLOOKUP($B16,'Player Scoreboard'!$C$10:$BV$24,AA$6+8,FALSE),"")</f>
        <v/>
      </c>
      <c r="AB16" s="14" t="str">
        <f ca="1">IF($A16&lt;&gt;"",VLOOKUP($B16,'Player Scoreboard'!$C$10:$BV$24,AB$6+8,FALSE),"")</f>
        <v/>
      </c>
      <c r="AC16" s="14" t="str">
        <f ca="1">IF($A16&lt;&gt;"",VLOOKUP($B16,'Player Scoreboard'!$C$10:$BV$24,AC$6+8,FALSE),"")</f>
        <v/>
      </c>
      <c r="AD16" s="14" t="str">
        <f ca="1">IF($A16&lt;&gt;"",VLOOKUP($B16,'Player Scoreboard'!$C$10:$BV$24,AD$6+8,FALSE),"")</f>
        <v/>
      </c>
      <c r="AE16" s="14" t="str">
        <f ca="1">IF($A16&lt;&gt;"",VLOOKUP($B16,'Player Scoreboard'!$C$10:$BV$24,AE$6+8,FALSE),"")</f>
        <v/>
      </c>
      <c r="AF16" s="14" t="str">
        <f ca="1">IF($A16&lt;&gt;"",VLOOKUP($B16,'Player Scoreboard'!$C$10:$BV$24,AF$6+8,FALSE),"")</f>
        <v/>
      </c>
      <c r="AG16" s="14" t="str">
        <f ca="1">IF($A16&lt;&gt;"",VLOOKUP($B16,'Player Scoreboard'!$C$10:$BV$24,AG$6+8,FALSE),"")</f>
        <v/>
      </c>
      <c r="AH16" s="14" t="str">
        <f ca="1">IF($A16&lt;&gt;"",VLOOKUP($B16,'Player Scoreboard'!$C$10:$BV$24,AH$6+8,FALSE),"")</f>
        <v/>
      </c>
      <c r="AI16" s="14" t="str">
        <f ca="1">IF($A16&lt;&gt;"",VLOOKUP($B16,'Player Scoreboard'!$C$10:$BV$24,AI$6+8,FALSE),"")</f>
        <v/>
      </c>
      <c r="AJ16" s="14" t="str">
        <f ca="1">IF($A16&lt;&gt;"",VLOOKUP($B16,'Player Scoreboard'!$C$10:$BV$24,AJ$6+8,FALSE),"")</f>
        <v/>
      </c>
      <c r="AK16" s="14" t="str">
        <f ca="1">IF($A16&lt;&gt;"",VLOOKUP($B16,'Player Scoreboard'!$C$10:$BV$24,AK$6+8,FALSE),"")</f>
        <v/>
      </c>
      <c r="AL16" s="14" t="str">
        <f ca="1">IF($A16&lt;&gt;"",VLOOKUP($B16,'Player Scoreboard'!$C$10:$BV$24,AL$6+8,FALSE),"")</f>
        <v/>
      </c>
      <c r="AM16" s="14" t="str">
        <f ca="1">IF($A16&lt;&gt;"",VLOOKUP($B16,'Player Scoreboard'!$C$10:$BV$24,AM$6+8,FALSE),"")</f>
        <v/>
      </c>
      <c r="AN16" s="14" t="str">
        <f ca="1">IF($A16&lt;&gt;"",VLOOKUP($B16,'Player Scoreboard'!$C$10:$BV$24,AN$6+8,FALSE),"")</f>
        <v/>
      </c>
      <c r="AO16" s="14" t="str">
        <f ca="1">IF($A16&lt;&gt;"",VLOOKUP($B16,'Player Scoreboard'!$C$10:$BV$24,AO$6+8,FALSE),"")</f>
        <v/>
      </c>
      <c r="AP16" s="14" t="str">
        <f ca="1">IF($A16&lt;&gt;"",VLOOKUP($B16,'Player Scoreboard'!$C$10:$BV$24,AP$6+8,FALSE),"")</f>
        <v/>
      </c>
      <c r="AQ16" s="14" t="str">
        <f ca="1">IF($A16&lt;&gt;"",VLOOKUP($B16,'Player Scoreboard'!$C$10:$BV$24,AQ$6+8,FALSE),"")</f>
        <v/>
      </c>
      <c r="AR16" s="14" t="str">
        <f ca="1">IF($A16&lt;&gt;"",VLOOKUP($B16,'Player Scoreboard'!$C$10:$BV$24,AR$6+8,FALSE),"")</f>
        <v/>
      </c>
      <c r="AS16" s="14" t="str">
        <f ca="1">IF($A16&lt;&gt;"",VLOOKUP($B16,'Player Scoreboard'!$C$10:$BV$24,AS$6+8,FALSE),"")</f>
        <v/>
      </c>
      <c r="AT16" s="14" t="str">
        <f ca="1">IF($A16&lt;&gt;"",VLOOKUP($B16,'Player Scoreboard'!$C$10:$BV$24,AT$6+8,FALSE),"")</f>
        <v/>
      </c>
      <c r="AU16" s="14" t="str">
        <f ca="1">IF($A16&lt;&gt;"",VLOOKUP($B16,'Player Scoreboard'!$C$10:$BV$24,AU$6+8,FALSE),"")</f>
        <v/>
      </c>
      <c r="AV16" s="14" t="str">
        <f ca="1">IF($A16&lt;&gt;"",VLOOKUP($B16,'Player Scoreboard'!$C$10:$BV$24,AV$6+8,FALSE),"")</f>
        <v/>
      </c>
      <c r="AW16" s="14" t="str">
        <f ca="1">IF($A16&lt;&gt;"",VLOOKUP($B16,'Player Scoreboard'!$C$10:$BV$24,AW$6+8,FALSE),"")</f>
        <v/>
      </c>
      <c r="AX16" s="14" t="str">
        <f ca="1">IF($A16&lt;&gt;"",VLOOKUP($B16,'Player Scoreboard'!$C$10:$BV$24,AX$6+8,FALSE),"")</f>
        <v/>
      </c>
      <c r="AY16" s="14" t="str">
        <f ca="1">IF($A16&lt;&gt;"",VLOOKUP($B16,'Player Scoreboard'!$C$10:$BV$24,AY$6+8,FALSE),"")</f>
        <v/>
      </c>
      <c r="AZ16" s="14" t="str">
        <f ca="1">IF($A16&lt;&gt;"",VLOOKUP($B16,'Player Scoreboard'!$C$10:$BV$24,AZ$6+8,FALSE),"")</f>
        <v/>
      </c>
      <c r="BA16" s="14" t="str">
        <f ca="1">IF($A16&lt;&gt;"",VLOOKUP($B16,'Player Scoreboard'!$C$10:$BV$24,BA$6+8,FALSE),"")</f>
        <v/>
      </c>
      <c r="BB16" s="14" t="str">
        <f ca="1">IF($A16&lt;&gt;"",VLOOKUP($B16,'Player Scoreboard'!$C$10:$BV$24,BB$6+8,FALSE),"")</f>
        <v/>
      </c>
      <c r="BC16" s="14" t="str">
        <f ca="1">IF($A16&lt;&gt;"",VLOOKUP($B16,'Player Scoreboard'!$C$10:$BV$24,BC$6+8,FALSE),"")</f>
        <v/>
      </c>
      <c r="BD16" s="14" t="str">
        <f ca="1">IF($A16&lt;&gt;"",VLOOKUP($B16,'Player Scoreboard'!$C$10:$BV$24,BD$6+8,FALSE),"")</f>
        <v/>
      </c>
      <c r="BE16" s="14" t="str">
        <f ca="1">IF($A16&lt;&gt;"",VLOOKUP($B16,'Player Scoreboard'!$C$10:$BV$24,BE$6+8,FALSE),"")</f>
        <v/>
      </c>
      <c r="BF16" s="14" t="str">
        <f ca="1">IF($A16&lt;&gt;"",VLOOKUP($B16,'Player Scoreboard'!$C$10:$BV$24,BF$6+8,FALSE),"")</f>
        <v/>
      </c>
      <c r="BG16" s="14" t="str">
        <f ca="1">IF($A16&lt;&gt;"",VLOOKUP($B16,'Player Scoreboard'!$C$10:$BV$24,BG$6+8,FALSE),"")</f>
        <v/>
      </c>
      <c r="BH16" s="14" t="str">
        <f ca="1">IF($A16&lt;&gt;"",VLOOKUP($B16,'Player Scoreboard'!$C$10:$BV$24,BH$6+8,FALSE),"")</f>
        <v/>
      </c>
      <c r="BI16" s="14" t="str">
        <f ca="1">IF($A16&lt;&gt;"",VLOOKUP($B16,'Player Scoreboard'!$C$10:$BV$24,BI$6+8,FALSE),"")</f>
        <v/>
      </c>
      <c r="BJ16" s="14" t="str">
        <f ca="1">IF($A16&lt;&gt;"",VLOOKUP($B16,'Player Scoreboard'!$C$10:$BV$24,BJ$6+8,FALSE),"")</f>
        <v/>
      </c>
      <c r="BK16" s="14" t="str">
        <f ca="1">IF($A16&lt;&gt;"",VLOOKUP($B16,'Player Scoreboard'!$C$10:$BV$24,BK$6+8,FALSE),"")</f>
        <v/>
      </c>
      <c r="BL16" s="14" t="str">
        <f ca="1">IF($A16&lt;&gt;"",VLOOKUP($B16,'Player Scoreboard'!$C$10:$BV$24,BL$6+8,FALSE),"")</f>
        <v/>
      </c>
      <c r="BM16" s="14" t="str">
        <f ca="1">IF($A16&lt;&gt;"",VLOOKUP($B16,'Player Scoreboard'!$C$10:$BV$24,BM$6+8,FALSE),"")</f>
        <v/>
      </c>
      <c r="BN16" s="14" t="str">
        <f ca="1">IF($A16&lt;&gt;"",VLOOKUP($B16,'Player Scoreboard'!$C$10:$BV$24,BN$6+8,FALSE),"")</f>
        <v/>
      </c>
      <c r="BO16" s="14" t="str">
        <f ca="1">IF($A16&lt;&gt;"",VLOOKUP($B16,'Player Scoreboard'!$C$10:$BV$24,BO$6+8,FALSE),"")</f>
        <v/>
      </c>
      <c r="BP16" s="14" t="str">
        <f ca="1">IF($A16&lt;&gt;"",VLOOKUP($B16,'Player Scoreboard'!$C$10:$BV$24,BP$6+8,FALSE),"")</f>
        <v/>
      </c>
      <c r="BQ16" s="14" t="str">
        <f ca="1">IF($A16&lt;&gt;"",VLOOKUP($B16,'Player Scoreboard'!$C$10:$BV$24,BQ$6+8,FALSE),"")</f>
        <v/>
      </c>
      <c r="BR16" s="14" t="str">
        <f ca="1">IF($A16&lt;&gt;"",VLOOKUP($B16,'Player Scoreboard'!$C$10:$BV$24,BR$6+8,FALSE),"")</f>
        <v/>
      </c>
      <c r="BS16" s="14" t="str">
        <f ca="1">IF($A16&lt;&gt;"",VLOOKUP($B16,'Player Scoreboard'!$C$10:$BV$24,BS$6+8,FALSE),"")</f>
        <v/>
      </c>
      <c r="BT16" s="14" t="str">
        <f ca="1">IF($A16&lt;&gt;"",VLOOKUP($B16,'Player Scoreboard'!$C$10:$BV$24,BT$6+8,FALSE),"")</f>
        <v/>
      </c>
    </row>
    <row r="17" spans="1:72" ht="15" customHeight="1">
      <c r="A17" s="12">
        <f>IF('Player Name'!C14&lt;&gt;"",A16+1,"")</f>
        <v>9</v>
      </c>
      <c r="B17" s="13" t="str">
        <f ca="1">IF(A17&lt;&gt;"",VLOOKUP(A17,Dummy!$E$7:$N$106,10,FALSE),"")</f>
        <v>John 9</v>
      </c>
      <c r="C17" s="25">
        <f t="shared" ca="1" si="97"/>
        <v>0</v>
      </c>
      <c r="D17" s="12">
        <f t="shared" ca="1" si="98"/>
        <v>0</v>
      </c>
      <c r="E17" s="25">
        <f ca="1">IF($A17&lt;&gt;"",VLOOKUP($B17,'Player Scoreboard'!$C$10:$F$24,4,FALSE),"")</f>
        <v>0</v>
      </c>
      <c r="F17" s="12">
        <f ca="1">IF($A17&lt;&gt;"",VLOOKUP($B17,'Player Scoreboard'!$C$10:$G$24,5,FALSE),"")</f>
        <v>0</v>
      </c>
      <c r="G17" s="25">
        <f ca="1">IF($A17&lt;&gt;"",VLOOKUP($B17,'Player Scoreboard'!$C$10:$H$24,6,FALSE),"")</f>
        <v>0</v>
      </c>
      <c r="H17" s="12">
        <f ca="1">IF($A17&lt;&gt;"",VLOOKUP($B17,'Player Scoreboard'!$C$10:$I$24,7,FALSE),"")</f>
        <v>0</v>
      </c>
      <c r="I17" s="12" t="str">
        <f ca="1">IF($A17&lt;&gt;"",VLOOKUP($B17,'Player Scoreboard'!$C$10:$BV$24,I$6+8,FALSE),"")</f>
        <v/>
      </c>
      <c r="J17" s="12" t="str">
        <f ca="1">IF($A17&lt;&gt;"",VLOOKUP($B17,'Player Scoreboard'!$C$10:$BV$24,J$6+8,FALSE),"")</f>
        <v/>
      </c>
      <c r="K17" s="12" t="str">
        <f ca="1">IF($A17&lt;&gt;"",VLOOKUP($B17,'Player Scoreboard'!$C$10:$BV$24,K$6+8,FALSE),"")</f>
        <v/>
      </c>
      <c r="L17" s="12" t="str">
        <f ca="1">IF($A17&lt;&gt;"",VLOOKUP($B17,'Player Scoreboard'!$C$10:$BV$24,L$6+8,FALSE),"")</f>
        <v/>
      </c>
      <c r="M17" s="12" t="str">
        <f ca="1">IF($A17&lt;&gt;"",VLOOKUP($B17,'Player Scoreboard'!$C$10:$BV$24,M$6+8,FALSE),"")</f>
        <v/>
      </c>
      <c r="N17" s="12" t="str">
        <f ca="1">IF($A17&lt;&gt;"",VLOOKUP($B17,'Player Scoreboard'!$C$10:$BV$24,N$6+8,FALSE),"")</f>
        <v/>
      </c>
      <c r="O17" s="12" t="str">
        <f ca="1">IF($A17&lt;&gt;"",VLOOKUP($B17,'Player Scoreboard'!$C$10:$BV$24,O$6+8,FALSE),"")</f>
        <v/>
      </c>
      <c r="P17" s="12" t="str">
        <f ca="1">IF($A17&lt;&gt;"",VLOOKUP($B17,'Player Scoreboard'!$C$10:$BV$24,P$6+8,FALSE),"")</f>
        <v/>
      </c>
      <c r="Q17" s="12" t="str">
        <f ca="1">IF($A17&lt;&gt;"",VLOOKUP($B17,'Player Scoreboard'!$C$10:$BV$24,Q$6+8,FALSE),"")</f>
        <v/>
      </c>
      <c r="R17" s="12" t="str">
        <f ca="1">IF($A17&lt;&gt;"",VLOOKUP($B17,'Player Scoreboard'!$C$10:$BV$24,R$6+8,FALSE),"")</f>
        <v/>
      </c>
      <c r="S17" s="12" t="str">
        <f ca="1">IF($A17&lt;&gt;"",VLOOKUP($B17,'Player Scoreboard'!$C$10:$BV$24,S$6+8,FALSE),"")</f>
        <v/>
      </c>
      <c r="T17" s="12" t="str">
        <f ca="1">IF($A17&lt;&gt;"",VLOOKUP($B17,'Player Scoreboard'!$C$10:$BV$24,T$6+8,FALSE),"")</f>
        <v/>
      </c>
      <c r="U17" s="12" t="str">
        <f ca="1">IF($A17&lt;&gt;"",VLOOKUP($B17,'Player Scoreboard'!$C$10:$BV$24,U$6+8,FALSE),"")</f>
        <v/>
      </c>
      <c r="V17" s="12" t="str">
        <f ca="1">IF($A17&lt;&gt;"",VLOOKUP($B17,'Player Scoreboard'!$C$10:$BV$24,V$6+8,FALSE),"")</f>
        <v/>
      </c>
      <c r="W17" s="12" t="str">
        <f ca="1">IF($A17&lt;&gt;"",VLOOKUP($B17,'Player Scoreboard'!$C$10:$BV$24,W$6+8,FALSE),"")</f>
        <v/>
      </c>
      <c r="X17" s="12" t="str">
        <f ca="1">IF($A17&lt;&gt;"",VLOOKUP($B17,'Player Scoreboard'!$C$10:$BV$24,X$6+8,FALSE),"")</f>
        <v/>
      </c>
      <c r="Y17" s="12" t="str">
        <f ca="1">IF($A17&lt;&gt;"",VLOOKUP($B17,'Player Scoreboard'!$C$10:$BV$24,Y$6+8,FALSE),"")</f>
        <v/>
      </c>
      <c r="Z17" s="12" t="str">
        <f ca="1">IF($A17&lt;&gt;"",VLOOKUP($B17,'Player Scoreboard'!$C$10:$BV$24,Z$6+8,FALSE),"")</f>
        <v/>
      </c>
      <c r="AA17" s="12" t="str">
        <f ca="1">IF($A17&lt;&gt;"",VLOOKUP($B17,'Player Scoreboard'!$C$10:$BV$24,AA$6+8,FALSE),"")</f>
        <v/>
      </c>
      <c r="AB17" s="12" t="str">
        <f ca="1">IF($A17&lt;&gt;"",VLOOKUP($B17,'Player Scoreboard'!$C$10:$BV$24,AB$6+8,FALSE),"")</f>
        <v/>
      </c>
      <c r="AC17" s="12" t="str">
        <f ca="1">IF($A17&lt;&gt;"",VLOOKUP($B17,'Player Scoreboard'!$C$10:$BV$24,AC$6+8,FALSE),"")</f>
        <v/>
      </c>
      <c r="AD17" s="12" t="str">
        <f ca="1">IF($A17&lt;&gt;"",VLOOKUP($B17,'Player Scoreboard'!$C$10:$BV$24,AD$6+8,FALSE),"")</f>
        <v/>
      </c>
      <c r="AE17" s="12" t="str">
        <f ca="1">IF($A17&lt;&gt;"",VLOOKUP($B17,'Player Scoreboard'!$C$10:$BV$24,AE$6+8,FALSE),"")</f>
        <v/>
      </c>
      <c r="AF17" s="12" t="str">
        <f ca="1">IF($A17&lt;&gt;"",VLOOKUP($B17,'Player Scoreboard'!$C$10:$BV$24,AF$6+8,FALSE),"")</f>
        <v/>
      </c>
      <c r="AG17" s="12" t="str">
        <f ca="1">IF($A17&lt;&gt;"",VLOOKUP($B17,'Player Scoreboard'!$C$10:$BV$24,AG$6+8,FALSE),"")</f>
        <v/>
      </c>
      <c r="AH17" s="12" t="str">
        <f ca="1">IF($A17&lt;&gt;"",VLOOKUP($B17,'Player Scoreboard'!$C$10:$BV$24,AH$6+8,FALSE),"")</f>
        <v/>
      </c>
      <c r="AI17" s="12" t="str">
        <f ca="1">IF($A17&lt;&gt;"",VLOOKUP($B17,'Player Scoreboard'!$C$10:$BV$24,AI$6+8,FALSE),"")</f>
        <v/>
      </c>
      <c r="AJ17" s="12" t="str">
        <f ca="1">IF($A17&lt;&gt;"",VLOOKUP($B17,'Player Scoreboard'!$C$10:$BV$24,AJ$6+8,FALSE),"")</f>
        <v/>
      </c>
      <c r="AK17" s="12" t="str">
        <f ca="1">IF($A17&lt;&gt;"",VLOOKUP($B17,'Player Scoreboard'!$C$10:$BV$24,AK$6+8,FALSE),"")</f>
        <v/>
      </c>
      <c r="AL17" s="12" t="str">
        <f ca="1">IF($A17&lt;&gt;"",VLOOKUP($B17,'Player Scoreboard'!$C$10:$BV$24,AL$6+8,FALSE),"")</f>
        <v/>
      </c>
      <c r="AM17" s="12" t="str">
        <f ca="1">IF($A17&lt;&gt;"",VLOOKUP($B17,'Player Scoreboard'!$C$10:$BV$24,AM$6+8,FALSE),"")</f>
        <v/>
      </c>
      <c r="AN17" s="12" t="str">
        <f ca="1">IF($A17&lt;&gt;"",VLOOKUP($B17,'Player Scoreboard'!$C$10:$BV$24,AN$6+8,FALSE),"")</f>
        <v/>
      </c>
      <c r="AO17" s="12" t="str">
        <f ca="1">IF($A17&lt;&gt;"",VLOOKUP($B17,'Player Scoreboard'!$C$10:$BV$24,AO$6+8,FALSE),"")</f>
        <v/>
      </c>
      <c r="AP17" s="12" t="str">
        <f ca="1">IF($A17&lt;&gt;"",VLOOKUP($B17,'Player Scoreboard'!$C$10:$BV$24,AP$6+8,FALSE),"")</f>
        <v/>
      </c>
      <c r="AQ17" s="12" t="str">
        <f ca="1">IF($A17&lt;&gt;"",VLOOKUP($B17,'Player Scoreboard'!$C$10:$BV$24,AQ$6+8,FALSE),"")</f>
        <v/>
      </c>
      <c r="AR17" s="12" t="str">
        <f ca="1">IF($A17&lt;&gt;"",VLOOKUP($B17,'Player Scoreboard'!$C$10:$BV$24,AR$6+8,FALSE),"")</f>
        <v/>
      </c>
      <c r="AS17" s="12" t="str">
        <f ca="1">IF($A17&lt;&gt;"",VLOOKUP($B17,'Player Scoreboard'!$C$10:$BV$24,AS$6+8,FALSE),"")</f>
        <v/>
      </c>
      <c r="AT17" s="12" t="str">
        <f ca="1">IF($A17&lt;&gt;"",VLOOKUP($B17,'Player Scoreboard'!$C$10:$BV$24,AT$6+8,FALSE),"")</f>
        <v/>
      </c>
      <c r="AU17" s="12" t="str">
        <f ca="1">IF($A17&lt;&gt;"",VLOOKUP($B17,'Player Scoreboard'!$C$10:$BV$24,AU$6+8,FALSE),"")</f>
        <v/>
      </c>
      <c r="AV17" s="12" t="str">
        <f ca="1">IF($A17&lt;&gt;"",VLOOKUP($B17,'Player Scoreboard'!$C$10:$BV$24,AV$6+8,FALSE),"")</f>
        <v/>
      </c>
      <c r="AW17" s="12" t="str">
        <f ca="1">IF($A17&lt;&gt;"",VLOOKUP($B17,'Player Scoreboard'!$C$10:$BV$24,AW$6+8,FALSE),"")</f>
        <v/>
      </c>
      <c r="AX17" s="12" t="str">
        <f ca="1">IF($A17&lt;&gt;"",VLOOKUP($B17,'Player Scoreboard'!$C$10:$BV$24,AX$6+8,FALSE),"")</f>
        <v/>
      </c>
      <c r="AY17" s="12" t="str">
        <f ca="1">IF($A17&lt;&gt;"",VLOOKUP($B17,'Player Scoreboard'!$C$10:$BV$24,AY$6+8,FALSE),"")</f>
        <v/>
      </c>
      <c r="AZ17" s="12" t="str">
        <f ca="1">IF($A17&lt;&gt;"",VLOOKUP($B17,'Player Scoreboard'!$C$10:$BV$24,AZ$6+8,FALSE),"")</f>
        <v/>
      </c>
      <c r="BA17" s="12" t="str">
        <f ca="1">IF($A17&lt;&gt;"",VLOOKUP($B17,'Player Scoreboard'!$C$10:$BV$24,BA$6+8,FALSE),"")</f>
        <v/>
      </c>
      <c r="BB17" s="12" t="str">
        <f ca="1">IF($A17&lt;&gt;"",VLOOKUP($B17,'Player Scoreboard'!$C$10:$BV$24,BB$6+8,FALSE),"")</f>
        <v/>
      </c>
      <c r="BC17" s="12" t="str">
        <f ca="1">IF($A17&lt;&gt;"",VLOOKUP($B17,'Player Scoreboard'!$C$10:$BV$24,BC$6+8,FALSE),"")</f>
        <v/>
      </c>
      <c r="BD17" s="12" t="str">
        <f ca="1">IF($A17&lt;&gt;"",VLOOKUP($B17,'Player Scoreboard'!$C$10:$BV$24,BD$6+8,FALSE),"")</f>
        <v/>
      </c>
      <c r="BE17" s="12" t="str">
        <f ca="1">IF($A17&lt;&gt;"",VLOOKUP($B17,'Player Scoreboard'!$C$10:$BV$24,BE$6+8,FALSE),"")</f>
        <v/>
      </c>
      <c r="BF17" s="12" t="str">
        <f ca="1">IF($A17&lt;&gt;"",VLOOKUP($B17,'Player Scoreboard'!$C$10:$BV$24,BF$6+8,FALSE),"")</f>
        <v/>
      </c>
      <c r="BG17" s="12" t="str">
        <f ca="1">IF($A17&lt;&gt;"",VLOOKUP($B17,'Player Scoreboard'!$C$10:$BV$24,BG$6+8,FALSE),"")</f>
        <v/>
      </c>
      <c r="BH17" s="12" t="str">
        <f ca="1">IF($A17&lt;&gt;"",VLOOKUP($B17,'Player Scoreboard'!$C$10:$BV$24,BH$6+8,FALSE),"")</f>
        <v/>
      </c>
      <c r="BI17" s="12" t="str">
        <f ca="1">IF($A17&lt;&gt;"",VLOOKUP($B17,'Player Scoreboard'!$C$10:$BV$24,BI$6+8,FALSE),"")</f>
        <v/>
      </c>
      <c r="BJ17" s="12" t="str">
        <f ca="1">IF($A17&lt;&gt;"",VLOOKUP($B17,'Player Scoreboard'!$C$10:$BV$24,BJ$6+8,FALSE),"")</f>
        <v/>
      </c>
      <c r="BK17" s="12" t="str">
        <f ca="1">IF($A17&lt;&gt;"",VLOOKUP($B17,'Player Scoreboard'!$C$10:$BV$24,BK$6+8,FALSE),"")</f>
        <v/>
      </c>
      <c r="BL17" s="12" t="str">
        <f ca="1">IF($A17&lt;&gt;"",VLOOKUP($B17,'Player Scoreboard'!$C$10:$BV$24,BL$6+8,FALSE),"")</f>
        <v/>
      </c>
      <c r="BM17" s="12" t="str">
        <f ca="1">IF($A17&lt;&gt;"",VLOOKUP($B17,'Player Scoreboard'!$C$10:$BV$24,BM$6+8,FALSE),"")</f>
        <v/>
      </c>
      <c r="BN17" s="12" t="str">
        <f ca="1">IF($A17&lt;&gt;"",VLOOKUP($B17,'Player Scoreboard'!$C$10:$BV$24,BN$6+8,FALSE),"")</f>
        <v/>
      </c>
      <c r="BO17" s="12" t="str">
        <f ca="1">IF($A17&lt;&gt;"",VLOOKUP($B17,'Player Scoreboard'!$C$10:$BV$24,BO$6+8,FALSE),"")</f>
        <v/>
      </c>
      <c r="BP17" s="12" t="str">
        <f ca="1">IF($A17&lt;&gt;"",VLOOKUP($B17,'Player Scoreboard'!$C$10:$BV$24,BP$6+8,FALSE),"")</f>
        <v/>
      </c>
      <c r="BQ17" s="12" t="str">
        <f ca="1">IF($A17&lt;&gt;"",VLOOKUP($B17,'Player Scoreboard'!$C$10:$BV$24,BQ$6+8,FALSE),"")</f>
        <v/>
      </c>
      <c r="BR17" s="12" t="str">
        <f ca="1">IF($A17&lt;&gt;"",VLOOKUP($B17,'Player Scoreboard'!$C$10:$BV$24,BR$6+8,FALSE),"")</f>
        <v/>
      </c>
      <c r="BS17" s="12" t="str">
        <f ca="1">IF($A17&lt;&gt;"",VLOOKUP($B17,'Player Scoreboard'!$C$10:$BV$24,BS$6+8,FALSE),"")</f>
        <v/>
      </c>
      <c r="BT17" s="12" t="str">
        <f ca="1">IF($A17&lt;&gt;"",VLOOKUP($B17,'Player Scoreboard'!$C$10:$BV$24,BT$6+8,FALSE),"")</f>
        <v/>
      </c>
    </row>
    <row r="18" spans="1:72" ht="15" customHeight="1">
      <c r="A18" s="14">
        <f>IF('Player Name'!C15&lt;&gt;"",A17+1,"")</f>
        <v>10</v>
      </c>
      <c r="B18" s="15" t="str">
        <f ca="1">IF(A18&lt;&gt;"",VLOOKUP(A18,Dummy!$E$7:$N$106,10,FALSE),"")</f>
        <v>John 10</v>
      </c>
      <c r="C18" s="26">
        <f t="shared" ca="1" si="97"/>
        <v>0</v>
      </c>
      <c r="D18" s="14">
        <f t="shared" ca="1" si="98"/>
        <v>0</v>
      </c>
      <c r="E18" s="26">
        <f ca="1">IF($A18&lt;&gt;"",VLOOKUP($B18,'Player Scoreboard'!$C$10:$F$24,4,FALSE),"")</f>
        <v>0</v>
      </c>
      <c r="F18" s="14">
        <f ca="1">IF($A18&lt;&gt;"",VLOOKUP($B18,'Player Scoreboard'!$C$10:$G$24,5,FALSE),"")</f>
        <v>0</v>
      </c>
      <c r="G18" s="26">
        <f ca="1">IF($A18&lt;&gt;"",VLOOKUP($B18,'Player Scoreboard'!$C$10:$H$24,6,FALSE),"")</f>
        <v>0</v>
      </c>
      <c r="H18" s="14">
        <f ca="1">IF($A18&lt;&gt;"",VLOOKUP($B18,'Player Scoreboard'!$C$10:$I$24,7,FALSE),"")</f>
        <v>0</v>
      </c>
      <c r="I18" s="14" t="str">
        <f ca="1">IF($A18&lt;&gt;"",VLOOKUP($B18,'Player Scoreboard'!$C$10:$BV$24,I$6+8,FALSE),"")</f>
        <v/>
      </c>
      <c r="J18" s="14" t="str">
        <f ca="1">IF($A18&lt;&gt;"",VLOOKUP($B18,'Player Scoreboard'!$C$10:$BV$24,J$6+8,FALSE),"")</f>
        <v/>
      </c>
      <c r="K18" s="14" t="str">
        <f ca="1">IF($A18&lt;&gt;"",VLOOKUP($B18,'Player Scoreboard'!$C$10:$BV$24,K$6+8,FALSE),"")</f>
        <v/>
      </c>
      <c r="L18" s="14" t="str">
        <f ca="1">IF($A18&lt;&gt;"",VLOOKUP($B18,'Player Scoreboard'!$C$10:$BV$24,L$6+8,FALSE),"")</f>
        <v/>
      </c>
      <c r="M18" s="14" t="str">
        <f ca="1">IF($A18&lt;&gt;"",VLOOKUP($B18,'Player Scoreboard'!$C$10:$BV$24,M$6+8,FALSE),"")</f>
        <v/>
      </c>
      <c r="N18" s="14" t="str">
        <f ca="1">IF($A18&lt;&gt;"",VLOOKUP($B18,'Player Scoreboard'!$C$10:$BV$24,N$6+8,FALSE),"")</f>
        <v/>
      </c>
      <c r="O18" s="14" t="str">
        <f ca="1">IF($A18&lt;&gt;"",VLOOKUP($B18,'Player Scoreboard'!$C$10:$BV$24,O$6+8,FALSE),"")</f>
        <v/>
      </c>
      <c r="P18" s="14" t="str">
        <f ca="1">IF($A18&lt;&gt;"",VLOOKUP($B18,'Player Scoreboard'!$C$10:$BV$24,P$6+8,FALSE),"")</f>
        <v/>
      </c>
      <c r="Q18" s="14" t="str">
        <f ca="1">IF($A18&lt;&gt;"",VLOOKUP($B18,'Player Scoreboard'!$C$10:$BV$24,Q$6+8,FALSE),"")</f>
        <v/>
      </c>
      <c r="R18" s="14" t="str">
        <f ca="1">IF($A18&lt;&gt;"",VLOOKUP($B18,'Player Scoreboard'!$C$10:$BV$24,R$6+8,FALSE),"")</f>
        <v/>
      </c>
      <c r="S18" s="14" t="str">
        <f ca="1">IF($A18&lt;&gt;"",VLOOKUP($B18,'Player Scoreboard'!$C$10:$BV$24,S$6+8,FALSE),"")</f>
        <v/>
      </c>
      <c r="T18" s="14" t="str">
        <f ca="1">IF($A18&lt;&gt;"",VLOOKUP($B18,'Player Scoreboard'!$C$10:$BV$24,T$6+8,FALSE),"")</f>
        <v/>
      </c>
      <c r="U18" s="14" t="str">
        <f ca="1">IF($A18&lt;&gt;"",VLOOKUP($B18,'Player Scoreboard'!$C$10:$BV$24,U$6+8,FALSE),"")</f>
        <v/>
      </c>
      <c r="V18" s="14" t="str">
        <f ca="1">IF($A18&lt;&gt;"",VLOOKUP($B18,'Player Scoreboard'!$C$10:$BV$24,V$6+8,FALSE),"")</f>
        <v/>
      </c>
      <c r="W18" s="14" t="str">
        <f ca="1">IF($A18&lt;&gt;"",VLOOKUP($B18,'Player Scoreboard'!$C$10:$BV$24,W$6+8,FALSE),"")</f>
        <v/>
      </c>
      <c r="X18" s="14" t="str">
        <f ca="1">IF($A18&lt;&gt;"",VLOOKUP($B18,'Player Scoreboard'!$C$10:$BV$24,X$6+8,FALSE),"")</f>
        <v/>
      </c>
      <c r="Y18" s="14" t="str">
        <f ca="1">IF($A18&lt;&gt;"",VLOOKUP($B18,'Player Scoreboard'!$C$10:$BV$24,Y$6+8,FALSE),"")</f>
        <v/>
      </c>
      <c r="Z18" s="14" t="str">
        <f ca="1">IF($A18&lt;&gt;"",VLOOKUP($B18,'Player Scoreboard'!$C$10:$BV$24,Z$6+8,FALSE),"")</f>
        <v/>
      </c>
      <c r="AA18" s="14" t="str">
        <f ca="1">IF($A18&lt;&gt;"",VLOOKUP($B18,'Player Scoreboard'!$C$10:$BV$24,AA$6+8,FALSE),"")</f>
        <v/>
      </c>
      <c r="AB18" s="14" t="str">
        <f ca="1">IF($A18&lt;&gt;"",VLOOKUP($B18,'Player Scoreboard'!$C$10:$BV$24,AB$6+8,FALSE),"")</f>
        <v/>
      </c>
      <c r="AC18" s="14" t="str">
        <f ca="1">IF($A18&lt;&gt;"",VLOOKUP($B18,'Player Scoreboard'!$C$10:$BV$24,AC$6+8,FALSE),"")</f>
        <v/>
      </c>
      <c r="AD18" s="14" t="str">
        <f ca="1">IF($A18&lt;&gt;"",VLOOKUP($B18,'Player Scoreboard'!$C$10:$BV$24,AD$6+8,FALSE),"")</f>
        <v/>
      </c>
      <c r="AE18" s="14" t="str">
        <f ca="1">IF($A18&lt;&gt;"",VLOOKUP($B18,'Player Scoreboard'!$C$10:$BV$24,AE$6+8,FALSE),"")</f>
        <v/>
      </c>
      <c r="AF18" s="14" t="str">
        <f ca="1">IF($A18&lt;&gt;"",VLOOKUP($B18,'Player Scoreboard'!$C$10:$BV$24,AF$6+8,FALSE),"")</f>
        <v/>
      </c>
      <c r="AG18" s="14" t="str">
        <f ca="1">IF($A18&lt;&gt;"",VLOOKUP($B18,'Player Scoreboard'!$C$10:$BV$24,AG$6+8,FALSE),"")</f>
        <v/>
      </c>
      <c r="AH18" s="14" t="str">
        <f ca="1">IF($A18&lt;&gt;"",VLOOKUP($B18,'Player Scoreboard'!$C$10:$BV$24,AH$6+8,FALSE),"")</f>
        <v/>
      </c>
      <c r="AI18" s="14" t="str">
        <f ca="1">IF($A18&lt;&gt;"",VLOOKUP($B18,'Player Scoreboard'!$C$10:$BV$24,AI$6+8,FALSE),"")</f>
        <v/>
      </c>
      <c r="AJ18" s="14" t="str">
        <f ca="1">IF($A18&lt;&gt;"",VLOOKUP($B18,'Player Scoreboard'!$C$10:$BV$24,AJ$6+8,FALSE),"")</f>
        <v/>
      </c>
      <c r="AK18" s="14" t="str">
        <f ca="1">IF($A18&lt;&gt;"",VLOOKUP($B18,'Player Scoreboard'!$C$10:$BV$24,AK$6+8,FALSE),"")</f>
        <v/>
      </c>
      <c r="AL18" s="14" t="str">
        <f ca="1">IF($A18&lt;&gt;"",VLOOKUP($B18,'Player Scoreboard'!$C$10:$BV$24,AL$6+8,FALSE),"")</f>
        <v/>
      </c>
      <c r="AM18" s="14" t="str">
        <f ca="1">IF($A18&lt;&gt;"",VLOOKUP($B18,'Player Scoreboard'!$C$10:$BV$24,AM$6+8,FALSE),"")</f>
        <v/>
      </c>
      <c r="AN18" s="14" t="str">
        <f ca="1">IF($A18&lt;&gt;"",VLOOKUP($B18,'Player Scoreboard'!$C$10:$BV$24,AN$6+8,FALSE),"")</f>
        <v/>
      </c>
      <c r="AO18" s="14" t="str">
        <f ca="1">IF($A18&lt;&gt;"",VLOOKUP($B18,'Player Scoreboard'!$C$10:$BV$24,AO$6+8,FALSE),"")</f>
        <v/>
      </c>
      <c r="AP18" s="14" t="str">
        <f ca="1">IF($A18&lt;&gt;"",VLOOKUP($B18,'Player Scoreboard'!$C$10:$BV$24,AP$6+8,FALSE),"")</f>
        <v/>
      </c>
      <c r="AQ18" s="14" t="str">
        <f ca="1">IF($A18&lt;&gt;"",VLOOKUP($B18,'Player Scoreboard'!$C$10:$BV$24,AQ$6+8,FALSE),"")</f>
        <v/>
      </c>
      <c r="AR18" s="14" t="str">
        <f ca="1">IF($A18&lt;&gt;"",VLOOKUP($B18,'Player Scoreboard'!$C$10:$BV$24,AR$6+8,FALSE),"")</f>
        <v/>
      </c>
      <c r="AS18" s="14" t="str">
        <f ca="1">IF($A18&lt;&gt;"",VLOOKUP($B18,'Player Scoreboard'!$C$10:$BV$24,AS$6+8,FALSE),"")</f>
        <v/>
      </c>
      <c r="AT18" s="14" t="str">
        <f ca="1">IF($A18&lt;&gt;"",VLOOKUP($B18,'Player Scoreboard'!$C$10:$BV$24,AT$6+8,FALSE),"")</f>
        <v/>
      </c>
      <c r="AU18" s="14" t="str">
        <f ca="1">IF($A18&lt;&gt;"",VLOOKUP($B18,'Player Scoreboard'!$C$10:$BV$24,AU$6+8,FALSE),"")</f>
        <v/>
      </c>
      <c r="AV18" s="14" t="str">
        <f ca="1">IF($A18&lt;&gt;"",VLOOKUP($B18,'Player Scoreboard'!$C$10:$BV$24,AV$6+8,FALSE),"")</f>
        <v/>
      </c>
      <c r="AW18" s="14" t="str">
        <f ca="1">IF($A18&lt;&gt;"",VLOOKUP($B18,'Player Scoreboard'!$C$10:$BV$24,AW$6+8,FALSE),"")</f>
        <v/>
      </c>
      <c r="AX18" s="14" t="str">
        <f ca="1">IF($A18&lt;&gt;"",VLOOKUP($B18,'Player Scoreboard'!$C$10:$BV$24,AX$6+8,FALSE),"")</f>
        <v/>
      </c>
      <c r="AY18" s="14" t="str">
        <f ca="1">IF($A18&lt;&gt;"",VLOOKUP($B18,'Player Scoreboard'!$C$10:$BV$24,AY$6+8,FALSE),"")</f>
        <v/>
      </c>
      <c r="AZ18" s="14" t="str">
        <f ca="1">IF($A18&lt;&gt;"",VLOOKUP($B18,'Player Scoreboard'!$C$10:$BV$24,AZ$6+8,FALSE),"")</f>
        <v/>
      </c>
      <c r="BA18" s="14" t="str">
        <f ca="1">IF($A18&lt;&gt;"",VLOOKUP($B18,'Player Scoreboard'!$C$10:$BV$24,BA$6+8,FALSE),"")</f>
        <v/>
      </c>
      <c r="BB18" s="14" t="str">
        <f ca="1">IF($A18&lt;&gt;"",VLOOKUP($B18,'Player Scoreboard'!$C$10:$BV$24,BB$6+8,FALSE),"")</f>
        <v/>
      </c>
      <c r="BC18" s="14" t="str">
        <f ca="1">IF($A18&lt;&gt;"",VLOOKUP($B18,'Player Scoreboard'!$C$10:$BV$24,BC$6+8,FALSE),"")</f>
        <v/>
      </c>
      <c r="BD18" s="14" t="str">
        <f ca="1">IF($A18&lt;&gt;"",VLOOKUP($B18,'Player Scoreboard'!$C$10:$BV$24,BD$6+8,FALSE),"")</f>
        <v/>
      </c>
      <c r="BE18" s="14" t="str">
        <f ca="1">IF($A18&lt;&gt;"",VLOOKUP($B18,'Player Scoreboard'!$C$10:$BV$24,BE$6+8,FALSE),"")</f>
        <v/>
      </c>
      <c r="BF18" s="14" t="str">
        <f ca="1">IF($A18&lt;&gt;"",VLOOKUP($B18,'Player Scoreboard'!$C$10:$BV$24,BF$6+8,FALSE),"")</f>
        <v/>
      </c>
      <c r="BG18" s="14" t="str">
        <f ca="1">IF($A18&lt;&gt;"",VLOOKUP($B18,'Player Scoreboard'!$C$10:$BV$24,BG$6+8,FALSE),"")</f>
        <v/>
      </c>
      <c r="BH18" s="14" t="str">
        <f ca="1">IF($A18&lt;&gt;"",VLOOKUP($B18,'Player Scoreboard'!$C$10:$BV$24,BH$6+8,FALSE),"")</f>
        <v/>
      </c>
      <c r="BI18" s="14" t="str">
        <f ca="1">IF($A18&lt;&gt;"",VLOOKUP($B18,'Player Scoreboard'!$C$10:$BV$24,BI$6+8,FALSE),"")</f>
        <v/>
      </c>
      <c r="BJ18" s="14" t="str">
        <f ca="1">IF($A18&lt;&gt;"",VLOOKUP($B18,'Player Scoreboard'!$C$10:$BV$24,BJ$6+8,FALSE),"")</f>
        <v/>
      </c>
      <c r="BK18" s="14" t="str">
        <f ca="1">IF($A18&lt;&gt;"",VLOOKUP($B18,'Player Scoreboard'!$C$10:$BV$24,BK$6+8,FALSE),"")</f>
        <v/>
      </c>
      <c r="BL18" s="14" t="str">
        <f ca="1">IF($A18&lt;&gt;"",VLOOKUP($B18,'Player Scoreboard'!$C$10:$BV$24,BL$6+8,FALSE),"")</f>
        <v/>
      </c>
      <c r="BM18" s="14" t="str">
        <f ca="1">IF($A18&lt;&gt;"",VLOOKUP($B18,'Player Scoreboard'!$C$10:$BV$24,BM$6+8,FALSE),"")</f>
        <v/>
      </c>
      <c r="BN18" s="14" t="str">
        <f ca="1">IF($A18&lt;&gt;"",VLOOKUP($B18,'Player Scoreboard'!$C$10:$BV$24,BN$6+8,FALSE),"")</f>
        <v/>
      </c>
      <c r="BO18" s="14" t="str">
        <f ca="1">IF($A18&lt;&gt;"",VLOOKUP($B18,'Player Scoreboard'!$C$10:$BV$24,BO$6+8,FALSE),"")</f>
        <v/>
      </c>
      <c r="BP18" s="14" t="str">
        <f ca="1">IF($A18&lt;&gt;"",VLOOKUP($B18,'Player Scoreboard'!$C$10:$BV$24,BP$6+8,FALSE),"")</f>
        <v/>
      </c>
      <c r="BQ18" s="14" t="str">
        <f ca="1">IF($A18&lt;&gt;"",VLOOKUP($B18,'Player Scoreboard'!$C$10:$BV$24,BQ$6+8,FALSE),"")</f>
        <v/>
      </c>
      <c r="BR18" s="14" t="str">
        <f ca="1">IF($A18&lt;&gt;"",VLOOKUP($B18,'Player Scoreboard'!$C$10:$BV$24,BR$6+8,FALSE),"")</f>
        <v/>
      </c>
      <c r="BS18" s="14" t="str">
        <f ca="1">IF($A18&lt;&gt;"",VLOOKUP($B18,'Player Scoreboard'!$C$10:$BV$24,BS$6+8,FALSE),"")</f>
        <v/>
      </c>
      <c r="BT18" s="14" t="str">
        <f ca="1">IF($A18&lt;&gt;"",VLOOKUP($B18,'Player Scoreboard'!$C$10:$BV$24,BT$6+8,FALSE),"")</f>
        <v/>
      </c>
    </row>
    <row r="19" spans="1:72" ht="15" customHeight="1">
      <c r="A19" s="12">
        <f>IF('Player Name'!C16&lt;&gt;"",A18+1,"")</f>
        <v>11</v>
      </c>
      <c r="B19" s="13" t="str">
        <f ca="1">IF(A19&lt;&gt;"",VLOOKUP(A19,Dummy!$E$7:$N$106,10,FALSE),"")</f>
        <v>John 11</v>
      </c>
      <c r="C19" s="25">
        <f t="shared" ca="1" si="97"/>
        <v>0</v>
      </c>
      <c r="D19" s="12">
        <f t="shared" ca="1" si="98"/>
        <v>0</v>
      </c>
      <c r="E19" s="25">
        <f ca="1">IF($A19&lt;&gt;"",VLOOKUP($B19,'Player Scoreboard'!$C$10:$F$24,4,FALSE),"")</f>
        <v>0</v>
      </c>
      <c r="F19" s="12">
        <f ca="1">IF($A19&lt;&gt;"",VLOOKUP($B19,'Player Scoreboard'!$C$10:$G$24,5,FALSE),"")</f>
        <v>0</v>
      </c>
      <c r="G19" s="25">
        <f ca="1">IF($A19&lt;&gt;"",VLOOKUP($B19,'Player Scoreboard'!$C$10:$H$24,6,FALSE),"")</f>
        <v>0</v>
      </c>
      <c r="H19" s="12">
        <f ca="1">IF($A19&lt;&gt;"",VLOOKUP($B19,'Player Scoreboard'!$C$10:$I$24,7,FALSE),"")</f>
        <v>0</v>
      </c>
      <c r="I19" s="12" t="str">
        <f ca="1">IF($A19&lt;&gt;"",VLOOKUP($B19,'Player Scoreboard'!$C$10:$BV$24,I$6+8,FALSE),"")</f>
        <v/>
      </c>
      <c r="J19" s="12" t="str">
        <f ca="1">IF($A19&lt;&gt;"",VLOOKUP($B19,'Player Scoreboard'!$C$10:$BV$24,J$6+8,FALSE),"")</f>
        <v/>
      </c>
      <c r="K19" s="12" t="str">
        <f ca="1">IF($A19&lt;&gt;"",VLOOKUP($B19,'Player Scoreboard'!$C$10:$BV$24,K$6+8,FALSE),"")</f>
        <v/>
      </c>
      <c r="L19" s="12" t="str">
        <f ca="1">IF($A19&lt;&gt;"",VLOOKUP($B19,'Player Scoreboard'!$C$10:$BV$24,L$6+8,FALSE),"")</f>
        <v/>
      </c>
      <c r="M19" s="12" t="str">
        <f ca="1">IF($A19&lt;&gt;"",VLOOKUP($B19,'Player Scoreboard'!$C$10:$BV$24,M$6+8,FALSE),"")</f>
        <v/>
      </c>
      <c r="N19" s="12" t="str">
        <f ca="1">IF($A19&lt;&gt;"",VLOOKUP($B19,'Player Scoreboard'!$C$10:$BV$24,N$6+8,FALSE),"")</f>
        <v/>
      </c>
      <c r="O19" s="12" t="str">
        <f ca="1">IF($A19&lt;&gt;"",VLOOKUP($B19,'Player Scoreboard'!$C$10:$BV$24,O$6+8,FALSE),"")</f>
        <v/>
      </c>
      <c r="P19" s="12" t="str">
        <f ca="1">IF($A19&lt;&gt;"",VLOOKUP($B19,'Player Scoreboard'!$C$10:$BV$24,P$6+8,FALSE),"")</f>
        <v/>
      </c>
      <c r="Q19" s="12" t="str">
        <f ca="1">IF($A19&lt;&gt;"",VLOOKUP($B19,'Player Scoreboard'!$C$10:$BV$24,Q$6+8,FALSE),"")</f>
        <v/>
      </c>
      <c r="R19" s="12" t="str">
        <f ca="1">IF($A19&lt;&gt;"",VLOOKUP($B19,'Player Scoreboard'!$C$10:$BV$24,R$6+8,FALSE),"")</f>
        <v/>
      </c>
      <c r="S19" s="12" t="str">
        <f ca="1">IF($A19&lt;&gt;"",VLOOKUP($B19,'Player Scoreboard'!$C$10:$BV$24,S$6+8,FALSE),"")</f>
        <v/>
      </c>
      <c r="T19" s="12" t="str">
        <f ca="1">IF($A19&lt;&gt;"",VLOOKUP($B19,'Player Scoreboard'!$C$10:$BV$24,T$6+8,FALSE),"")</f>
        <v/>
      </c>
      <c r="U19" s="12" t="str">
        <f ca="1">IF($A19&lt;&gt;"",VLOOKUP($B19,'Player Scoreboard'!$C$10:$BV$24,U$6+8,FALSE),"")</f>
        <v/>
      </c>
      <c r="V19" s="12" t="str">
        <f ca="1">IF($A19&lt;&gt;"",VLOOKUP($B19,'Player Scoreboard'!$C$10:$BV$24,V$6+8,FALSE),"")</f>
        <v/>
      </c>
      <c r="W19" s="12" t="str">
        <f ca="1">IF($A19&lt;&gt;"",VLOOKUP($B19,'Player Scoreboard'!$C$10:$BV$24,W$6+8,FALSE),"")</f>
        <v/>
      </c>
      <c r="X19" s="12" t="str">
        <f ca="1">IF($A19&lt;&gt;"",VLOOKUP($B19,'Player Scoreboard'!$C$10:$BV$24,X$6+8,FALSE),"")</f>
        <v/>
      </c>
      <c r="Y19" s="12" t="str">
        <f ca="1">IF($A19&lt;&gt;"",VLOOKUP($B19,'Player Scoreboard'!$C$10:$BV$24,Y$6+8,FALSE),"")</f>
        <v/>
      </c>
      <c r="Z19" s="12" t="str">
        <f ca="1">IF($A19&lt;&gt;"",VLOOKUP($B19,'Player Scoreboard'!$C$10:$BV$24,Z$6+8,FALSE),"")</f>
        <v/>
      </c>
      <c r="AA19" s="12" t="str">
        <f ca="1">IF($A19&lt;&gt;"",VLOOKUP($B19,'Player Scoreboard'!$C$10:$BV$24,AA$6+8,FALSE),"")</f>
        <v/>
      </c>
      <c r="AB19" s="12" t="str">
        <f ca="1">IF($A19&lt;&gt;"",VLOOKUP($B19,'Player Scoreboard'!$C$10:$BV$24,AB$6+8,FALSE),"")</f>
        <v/>
      </c>
      <c r="AC19" s="12" t="str">
        <f ca="1">IF($A19&lt;&gt;"",VLOOKUP($B19,'Player Scoreboard'!$C$10:$BV$24,AC$6+8,FALSE),"")</f>
        <v/>
      </c>
      <c r="AD19" s="12" t="str">
        <f ca="1">IF($A19&lt;&gt;"",VLOOKUP($B19,'Player Scoreboard'!$C$10:$BV$24,AD$6+8,FALSE),"")</f>
        <v/>
      </c>
      <c r="AE19" s="12" t="str">
        <f ca="1">IF($A19&lt;&gt;"",VLOOKUP($B19,'Player Scoreboard'!$C$10:$BV$24,AE$6+8,FALSE),"")</f>
        <v/>
      </c>
      <c r="AF19" s="12" t="str">
        <f ca="1">IF($A19&lt;&gt;"",VLOOKUP($B19,'Player Scoreboard'!$C$10:$BV$24,AF$6+8,FALSE),"")</f>
        <v/>
      </c>
      <c r="AG19" s="12" t="str">
        <f ca="1">IF($A19&lt;&gt;"",VLOOKUP($B19,'Player Scoreboard'!$C$10:$BV$24,AG$6+8,FALSE),"")</f>
        <v/>
      </c>
      <c r="AH19" s="12" t="str">
        <f ca="1">IF($A19&lt;&gt;"",VLOOKUP($B19,'Player Scoreboard'!$C$10:$BV$24,AH$6+8,FALSE),"")</f>
        <v/>
      </c>
      <c r="AI19" s="12" t="str">
        <f ca="1">IF($A19&lt;&gt;"",VLOOKUP($B19,'Player Scoreboard'!$C$10:$BV$24,AI$6+8,FALSE),"")</f>
        <v/>
      </c>
      <c r="AJ19" s="12" t="str">
        <f ca="1">IF($A19&lt;&gt;"",VLOOKUP($B19,'Player Scoreboard'!$C$10:$BV$24,AJ$6+8,FALSE),"")</f>
        <v/>
      </c>
      <c r="AK19" s="12" t="str">
        <f ca="1">IF($A19&lt;&gt;"",VLOOKUP($B19,'Player Scoreboard'!$C$10:$BV$24,AK$6+8,FALSE),"")</f>
        <v/>
      </c>
      <c r="AL19" s="12" t="str">
        <f ca="1">IF($A19&lt;&gt;"",VLOOKUP($B19,'Player Scoreboard'!$C$10:$BV$24,AL$6+8,FALSE),"")</f>
        <v/>
      </c>
      <c r="AM19" s="12" t="str">
        <f ca="1">IF($A19&lt;&gt;"",VLOOKUP($B19,'Player Scoreboard'!$C$10:$BV$24,AM$6+8,FALSE),"")</f>
        <v/>
      </c>
      <c r="AN19" s="12" t="str">
        <f ca="1">IF($A19&lt;&gt;"",VLOOKUP($B19,'Player Scoreboard'!$C$10:$BV$24,AN$6+8,FALSE),"")</f>
        <v/>
      </c>
      <c r="AO19" s="12" t="str">
        <f ca="1">IF($A19&lt;&gt;"",VLOOKUP($B19,'Player Scoreboard'!$C$10:$BV$24,AO$6+8,FALSE),"")</f>
        <v/>
      </c>
      <c r="AP19" s="12" t="str">
        <f ca="1">IF($A19&lt;&gt;"",VLOOKUP($B19,'Player Scoreboard'!$C$10:$BV$24,AP$6+8,FALSE),"")</f>
        <v/>
      </c>
      <c r="AQ19" s="12" t="str">
        <f ca="1">IF($A19&lt;&gt;"",VLOOKUP($B19,'Player Scoreboard'!$C$10:$BV$24,AQ$6+8,FALSE),"")</f>
        <v/>
      </c>
      <c r="AR19" s="12" t="str">
        <f ca="1">IF($A19&lt;&gt;"",VLOOKUP($B19,'Player Scoreboard'!$C$10:$BV$24,AR$6+8,FALSE),"")</f>
        <v/>
      </c>
      <c r="AS19" s="12" t="str">
        <f ca="1">IF($A19&lt;&gt;"",VLOOKUP($B19,'Player Scoreboard'!$C$10:$BV$24,AS$6+8,FALSE),"")</f>
        <v/>
      </c>
      <c r="AT19" s="12" t="str">
        <f ca="1">IF($A19&lt;&gt;"",VLOOKUP($B19,'Player Scoreboard'!$C$10:$BV$24,AT$6+8,FALSE),"")</f>
        <v/>
      </c>
      <c r="AU19" s="12" t="str">
        <f ca="1">IF($A19&lt;&gt;"",VLOOKUP($B19,'Player Scoreboard'!$C$10:$BV$24,AU$6+8,FALSE),"")</f>
        <v/>
      </c>
      <c r="AV19" s="12" t="str">
        <f ca="1">IF($A19&lt;&gt;"",VLOOKUP($B19,'Player Scoreboard'!$C$10:$BV$24,AV$6+8,FALSE),"")</f>
        <v/>
      </c>
      <c r="AW19" s="12" t="str">
        <f ca="1">IF($A19&lt;&gt;"",VLOOKUP($B19,'Player Scoreboard'!$C$10:$BV$24,AW$6+8,FALSE),"")</f>
        <v/>
      </c>
      <c r="AX19" s="12" t="str">
        <f ca="1">IF($A19&lt;&gt;"",VLOOKUP($B19,'Player Scoreboard'!$C$10:$BV$24,AX$6+8,FALSE),"")</f>
        <v/>
      </c>
      <c r="AY19" s="12" t="str">
        <f ca="1">IF($A19&lt;&gt;"",VLOOKUP($B19,'Player Scoreboard'!$C$10:$BV$24,AY$6+8,FALSE),"")</f>
        <v/>
      </c>
      <c r="AZ19" s="12" t="str">
        <f ca="1">IF($A19&lt;&gt;"",VLOOKUP($B19,'Player Scoreboard'!$C$10:$BV$24,AZ$6+8,FALSE),"")</f>
        <v/>
      </c>
      <c r="BA19" s="12" t="str">
        <f ca="1">IF($A19&lt;&gt;"",VLOOKUP($B19,'Player Scoreboard'!$C$10:$BV$24,BA$6+8,FALSE),"")</f>
        <v/>
      </c>
      <c r="BB19" s="12" t="str">
        <f ca="1">IF($A19&lt;&gt;"",VLOOKUP($B19,'Player Scoreboard'!$C$10:$BV$24,BB$6+8,FALSE),"")</f>
        <v/>
      </c>
      <c r="BC19" s="12" t="str">
        <f ca="1">IF($A19&lt;&gt;"",VLOOKUP($B19,'Player Scoreboard'!$C$10:$BV$24,BC$6+8,FALSE),"")</f>
        <v/>
      </c>
      <c r="BD19" s="12" t="str">
        <f ca="1">IF($A19&lt;&gt;"",VLOOKUP($B19,'Player Scoreboard'!$C$10:$BV$24,BD$6+8,FALSE),"")</f>
        <v/>
      </c>
      <c r="BE19" s="12" t="str">
        <f ca="1">IF($A19&lt;&gt;"",VLOOKUP($B19,'Player Scoreboard'!$C$10:$BV$24,BE$6+8,FALSE),"")</f>
        <v/>
      </c>
      <c r="BF19" s="12" t="str">
        <f ca="1">IF($A19&lt;&gt;"",VLOOKUP($B19,'Player Scoreboard'!$C$10:$BV$24,BF$6+8,FALSE),"")</f>
        <v/>
      </c>
      <c r="BG19" s="12" t="str">
        <f ca="1">IF($A19&lt;&gt;"",VLOOKUP($B19,'Player Scoreboard'!$C$10:$BV$24,BG$6+8,FALSE),"")</f>
        <v/>
      </c>
      <c r="BH19" s="12" t="str">
        <f ca="1">IF($A19&lt;&gt;"",VLOOKUP($B19,'Player Scoreboard'!$C$10:$BV$24,BH$6+8,FALSE),"")</f>
        <v/>
      </c>
      <c r="BI19" s="12" t="str">
        <f ca="1">IF($A19&lt;&gt;"",VLOOKUP($B19,'Player Scoreboard'!$C$10:$BV$24,BI$6+8,FALSE),"")</f>
        <v/>
      </c>
      <c r="BJ19" s="12" t="str">
        <f ca="1">IF($A19&lt;&gt;"",VLOOKUP($B19,'Player Scoreboard'!$C$10:$BV$24,BJ$6+8,FALSE),"")</f>
        <v/>
      </c>
      <c r="BK19" s="12" t="str">
        <f ca="1">IF($A19&lt;&gt;"",VLOOKUP($B19,'Player Scoreboard'!$C$10:$BV$24,BK$6+8,FALSE),"")</f>
        <v/>
      </c>
      <c r="BL19" s="12" t="str">
        <f ca="1">IF($A19&lt;&gt;"",VLOOKUP($B19,'Player Scoreboard'!$C$10:$BV$24,BL$6+8,FALSE),"")</f>
        <v/>
      </c>
      <c r="BM19" s="12" t="str">
        <f ca="1">IF($A19&lt;&gt;"",VLOOKUP($B19,'Player Scoreboard'!$C$10:$BV$24,BM$6+8,FALSE),"")</f>
        <v/>
      </c>
      <c r="BN19" s="12" t="str">
        <f ca="1">IF($A19&lt;&gt;"",VLOOKUP($B19,'Player Scoreboard'!$C$10:$BV$24,BN$6+8,FALSE),"")</f>
        <v/>
      </c>
      <c r="BO19" s="12" t="str">
        <f ca="1">IF($A19&lt;&gt;"",VLOOKUP($B19,'Player Scoreboard'!$C$10:$BV$24,BO$6+8,FALSE),"")</f>
        <v/>
      </c>
      <c r="BP19" s="12" t="str">
        <f ca="1">IF($A19&lt;&gt;"",VLOOKUP($B19,'Player Scoreboard'!$C$10:$BV$24,BP$6+8,FALSE),"")</f>
        <v/>
      </c>
      <c r="BQ19" s="12" t="str">
        <f ca="1">IF($A19&lt;&gt;"",VLOOKUP($B19,'Player Scoreboard'!$C$10:$BV$24,BQ$6+8,FALSE),"")</f>
        <v/>
      </c>
      <c r="BR19" s="12" t="str">
        <f ca="1">IF($A19&lt;&gt;"",VLOOKUP($B19,'Player Scoreboard'!$C$10:$BV$24,BR$6+8,FALSE),"")</f>
        <v/>
      </c>
      <c r="BS19" s="12" t="str">
        <f ca="1">IF($A19&lt;&gt;"",VLOOKUP($B19,'Player Scoreboard'!$C$10:$BV$24,BS$6+8,FALSE),"")</f>
        <v/>
      </c>
      <c r="BT19" s="12" t="str">
        <f ca="1">IF($A19&lt;&gt;"",VLOOKUP($B19,'Player Scoreboard'!$C$10:$BV$24,BT$6+8,FALSE),"")</f>
        <v/>
      </c>
    </row>
    <row r="20" spans="1:72" ht="15" customHeight="1">
      <c r="A20" s="14">
        <f>IF('Player Name'!C17&lt;&gt;"",A19+1,"")</f>
        <v>12</v>
      </c>
      <c r="B20" s="15" t="str">
        <f ca="1">IF(A20&lt;&gt;"",VLOOKUP(A20,Dummy!$E$7:$N$106,10,FALSE),"")</f>
        <v>John 12</v>
      </c>
      <c r="C20" s="26">
        <f t="shared" ca="1" si="97"/>
        <v>0</v>
      </c>
      <c r="D20" s="14">
        <f t="shared" ca="1" si="98"/>
        <v>0</v>
      </c>
      <c r="E20" s="26">
        <f ca="1">IF($A20&lt;&gt;"",VLOOKUP($B20,'Player Scoreboard'!$C$10:$F$24,4,FALSE),"")</f>
        <v>0</v>
      </c>
      <c r="F20" s="14">
        <f ca="1">IF($A20&lt;&gt;"",VLOOKUP($B20,'Player Scoreboard'!$C$10:$G$24,5,FALSE),"")</f>
        <v>0</v>
      </c>
      <c r="G20" s="26">
        <f ca="1">IF($A20&lt;&gt;"",VLOOKUP($B20,'Player Scoreboard'!$C$10:$H$24,6,FALSE),"")</f>
        <v>0</v>
      </c>
      <c r="H20" s="14">
        <f ca="1">IF($A20&lt;&gt;"",VLOOKUP($B20,'Player Scoreboard'!$C$10:$I$24,7,FALSE),"")</f>
        <v>0</v>
      </c>
      <c r="I20" s="14" t="str">
        <f ca="1">IF($A20&lt;&gt;"",VLOOKUP($B20,'Player Scoreboard'!$C$10:$BV$24,I$6+8,FALSE),"")</f>
        <v/>
      </c>
      <c r="J20" s="14" t="str">
        <f ca="1">IF($A20&lt;&gt;"",VLOOKUP($B20,'Player Scoreboard'!$C$10:$BV$24,J$6+8,FALSE),"")</f>
        <v/>
      </c>
      <c r="K20" s="14" t="str">
        <f ca="1">IF($A20&lt;&gt;"",VLOOKUP($B20,'Player Scoreboard'!$C$10:$BV$24,K$6+8,FALSE),"")</f>
        <v/>
      </c>
      <c r="L20" s="14" t="str">
        <f ca="1">IF($A20&lt;&gt;"",VLOOKUP($B20,'Player Scoreboard'!$C$10:$BV$24,L$6+8,FALSE),"")</f>
        <v/>
      </c>
      <c r="M20" s="14" t="str">
        <f ca="1">IF($A20&lt;&gt;"",VLOOKUP($B20,'Player Scoreboard'!$C$10:$BV$24,M$6+8,FALSE),"")</f>
        <v/>
      </c>
      <c r="N20" s="14" t="str">
        <f ca="1">IF($A20&lt;&gt;"",VLOOKUP($B20,'Player Scoreboard'!$C$10:$BV$24,N$6+8,FALSE),"")</f>
        <v/>
      </c>
      <c r="O20" s="14" t="str">
        <f ca="1">IF($A20&lt;&gt;"",VLOOKUP($B20,'Player Scoreboard'!$C$10:$BV$24,O$6+8,FALSE),"")</f>
        <v/>
      </c>
      <c r="P20" s="14" t="str">
        <f ca="1">IF($A20&lt;&gt;"",VLOOKUP($B20,'Player Scoreboard'!$C$10:$BV$24,P$6+8,FALSE),"")</f>
        <v/>
      </c>
      <c r="Q20" s="14" t="str">
        <f ca="1">IF($A20&lt;&gt;"",VLOOKUP($B20,'Player Scoreboard'!$C$10:$BV$24,Q$6+8,FALSE),"")</f>
        <v/>
      </c>
      <c r="R20" s="14" t="str">
        <f ca="1">IF($A20&lt;&gt;"",VLOOKUP($B20,'Player Scoreboard'!$C$10:$BV$24,R$6+8,FALSE),"")</f>
        <v/>
      </c>
      <c r="S20" s="14" t="str">
        <f ca="1">IF($A20&lt;&gt;"",VLOOKUP($B20,'Player Scoreboard'!$C$10:$BV$24,S$6+8,FALSE),"")</f>
        <v/>
      </c>
      <c r="T20" s="14" t="str">
        <f ca="1">IF($A20&lt;&gt;"",VLOOKUP($B20,'Player Scoreboard'!$C$10:$BV$24,T$6+8,FALSE),"")</f>
        <v/>
      </c>
      <c r="U20" s="14" t="str">
        <f ca="1">IF($A20&lt;&gt;"",VLOOKUP($B20,'Player Scoreboard'!$C$10:$BV$24,U$6+8,FALSE),"")</f>
        <v/>
      </c>
      <c r="V20" s="14" t="str">
        <f ca="1">IF($A20&lt;&gt;"",VLOOKUP($B20,'Player Scoreboard'!$C$10:$BV$24,V$6+8,FALSE),"")</f>
        <v/>
      </c>
      <c r="W20" s="14" t="str">
        <f ca="1">IF($A20&lt;&gt;"",VLOOKUP($B20,'Player Scoreboard'!$C$10:$BV$24,W$6+8,FALSE),"")</f>
        <v/>
      </c>
      <c r="X20" s="14" t="str">
        <f ca="1">IF($A20&lt;&gt;"",VLOOKUP($B20,'Player Scoreboard'!$C$10:$BV$24,X$6+8,FALSE),"")</f>
        <v/>
      </c>
      <c r="Y20" s="14" t="str">
        <f ca="1">IF($A20&lt;&gt;"",VLOOKUP($B20,'Player Scoreboard'!$C$10:$BV$24,Y$6+8,FALSE),"")</f>
        <v/>
      </c>
      <c r="Z20" s="14" t="str">
        <f ca="1">IF($A20&lt;&gt;"",VLOOKUP($B20,'Player Scoreboard'!$C$10:$BV$24,Z$6+8,FALSE),"")</f>
        <v/>
      </c>
      <c r="AA20" s="14" t="str">
        <f ca="1">IF($A20&lt;&gt;"",VLOOKUP($B20,'Player Scoreboard'!$C$10:$BV$24,AA$6+8,FALSE),"")</f>
        <v/>
      </c>
      <c r="AB20" s="14" t="str">
        <f ca="1">IF($A20&lt;&gt;"",VLOOKUP($B20,'Player Scoreboard'!$C$10:$BV$24,AB$6+8,FALSE),"")</f>
        <v/>
      </c>
      <c r="AC20" s="14" t="str">
        <f ca="1">IF($A20&lt;&gt;"",VLOOKUP($B20,'Player Scoreboard'!$C$10:$BV$24,AC$6+8,FALSE),"")</f>
        <v/>
      </c>
      <c r="AD20" s="14" t="str">
        <f ca="1">IF($A20&lt;&gt;"",VLOOKUP($B20,'Player Scoreboard'!$C$10:$BV$24,AD$6+8,FALSE),"")</f>
        <v/>
      </c>
      <c r="AE20" s="14" t="str">
        <f ca="1">IF($A20&lt;&gt;"",VLOOKUP($B20,'Player Scoreboard'!$C$10:$BV$24,AE$6+8,FALSE),"")</f>
        <v/>
      </c>
      <c r="AF20" s="14" t="str">
        <f ca="1">IF($A20&lt;&gt;"",VLOOKUP($B20,'Player Scoreboard'!$C$10:$BV$24,AF$6+8,FALSE),"")</f>
        <v/>
      </c>
      <c r="AG20" s="14" t="str">
        <f ca="1">IF($A20&lt;&gt;"",VLOOKUP($B20,'Player Scoreboard'!$C$10:$BV$24,AG$6+8,FALSE),"")</f>
        <v/>
      </c>
      <c r="AH20" s="14" t="str">
        <f ca="1">IF($A20&lt;&gt;"",VLOOKUP($B20,'Player Scoreboard'!$C$10:$BV$24,AH$6+8,FALSE),"")</f>
        <v/>
      </c>
      <c r="AI20" s="14" t="str">
        <f ca="1">IF($A20&lt;&gt;"",VLOOKUP($B20,'Player Scoreboard'!$C$10:$BV$24,AI$6+8,FALSE),"")</f>
        <v/>
      </c>
      <c r="AJ20" s="14" t="str">
        <f ca="1">IF($A20&lt;&gt;"",VLOOKUP($B20,'Player Scoreboard'!$C$10:$BV$24,AJ$6+8,FALSE),"")</f>
        <v/>
      </c>
      <c r="AK20" s="14" t="str">
        <f ca="1">IF($A20&lt;&gt;"",VLOOKUP($B20,'Player Scoreboard'!$C$10:$BV$24,AK$6+8,FALSE),"")</f>
        <v/>
      </c>
      <c r="AL20" s="14" t="str">
        <f ca="1">IF($A20&lt;&gt;"",VLOOKUP($B20,'Player Scoreboard'!$C$10:$BV$24,AL$6+8,FALSE),"")</f>
        <v/>
      </c>
      <c r="AM20" s="14" t="str">
        <f ca="1">IF($A20&lt;&gt;"",VLOOKUP($B20,'Player Scoreboard'!$C$10:$BV$24,AM$6+8,FALSE),"")</f>
        <v/>
      </c>
      <c r="AN20" s="14" t="str">
        <f ca="1">IF($A20&lt;&gt;"",VLOOKUP($B20,'Player Scoreboard'!$C$10:$BV$24,AN$6+8,FALSE),"")</f>
        <v/>
      </c>
      <c r="AO20" s="14" t="str">
        <f ca="1">IF($A20&lt;&gt;"",VLOOKUP($B20,'Player Scoreboard'!$C$10:$BV$24,AO$6+8,FALSE),"")</f>
        <v/>
      </c>
      <c r="AP20" s="14" t="str">
        <f ca="1">IF($A20&lt;&gt;"",VLOOKUP($B20,'Player Scoreboard'!$C$10:$BV$24,AP$6+8,FALSE),"")</f>
        <v/>
      </c>
      <c r="AQ20" s="14" t="str">
        <f ca="1">IF($A20&lt;&gt;"",VLOOKUP($B20,'Player Scoreboard'!$C$10:$BV$24,AQ$6+8,FALSE),"")</f>
        <v/>
      </c>
      <c r="AR20" s="14" t="str">
        <f ca="1">IF($A20&lt;&gt;"",VLOOKUP($B20,'Player Scoreboard'!$C$10:$BV$24,AR$6+8,FALSE),"")</f>
        <v/>
      </c>
      <c r="AS20" s="14" t="str">
        <f ca="1">IF($A20&lt;&gt;"",VLOOKUP($B20,'Player Scoreboard'!$C$10:$BV$24,AS$6+8,FALSE),"")</f>
        <v/>
      </c>
      <c r="AT20" s="14" t="str">
        <f ca="1">IF($A20&lt;&gt;"",VLOOKUP($B20,'Player Scoreboard'!$C$10:$BV$24,AT$6+8,FALSE),"")</f>
        <v/>
      </c>
      <c r="AU20" s="14" t="str">
        <f ca="1">IF($A20&lt;&gt;"",VLOOKUP($B20,'Player Scoreboard'!$C$10:$BV$24,AU$6+8,FALSE),"")</f>
        <v/>
      </c>
      <c r="AV20" s="14" t="str">
        <f ca="1">IF($A20&lt;&gt;"",VLOOKUP($B20,'Player Scoreboard'!$C$10:$BV$24,AV$6+8,FALSE),"")</f>
        <v/>
      </c>
      <c r="AW20" s="14" t="str">
        <f ca="1">IF($A20&lt;&gt;"",VLOOKUP($B20,'Player Scoreboard'!$C$10:$BV$24,AW$6+8,FALSE),"")</f>
        <v/>
      </c>
      <c r="AX20" s="14" t="str">
        <f ca="1">IF($A20&lt;&gt;"",VLOOKUP($B20,'Player Scoreboard'!$C$10:$BV$24,AX$6+8,FALSE),"")</f>
        <v/>
      </c>
      <c r="AY20" s="14" t="str">
        <f ca="1">IF($A20&lt;&gt;"",VLOOKUP($B20,'Player Scoreboard'!$C$10:$BV$24,AY$6+8,FALSE),"")</f>
        <v/>
      </c>
      <c r="AZ20" s="14" t="str">
        <f ca="1">IF($A20&lt;&gt;"",VLOOKUP($B20,'Player Scoreboard'!$C$10:$BV$24,AZ$6+8,FALSE),"")</f>
        <v/>
      </c>
      <c r="BA20" s="14" t="str">
        <f ca="1">IF($A20&lt;&gt;"",VLOOKUP($B20,'Player Scoreboard'!$C$10:$BV$24,BA$6+8,FALSE),"")</f>
        <v/>
      </c>
      <c r="BB20" s="14" t="str">
        <f ca="1">IF($A20&lt;&gt;"",VLOOKUP($B20,'Player Scoreboard'!$C$10:$BV$24,BB$6+8,FALSE),"")</f>
        <v/>
      </c>
      <c r="BC20" s="14" t="str">
        <f ca="1">IF($A20&lt;&gt;"",VLOOKUP($B20,'Player Scoreboard'!$C$10:$BV$24,BC$6+8,FALSE),"")</f>
        <v/>
      </c>
      <c r="BD20" s="14" t="str">
        <f ca="1">IF($A20&lt;&gt;"",VLOOKUP($B20,'Player Scoreboard'!$C$10:$BV$24,BD$6+8,FALSE),"")</f>
        <v/>
      </c>
      <c r="BE20" s="14" t="str">
        <f ca="1">IF($A20&lt;&gt;"",VLOOKUP($B20,'Player Scoreboard'!$C$10:$BV$24,BE$6+8,FALSE),"")</f>
        <v/>
      </c>
      <c r="BF20" s="14" t="str">
        <f ca="1">IF($A20&lt;&gt;"",VLOOKUP($B20,'Player Scoreboard'!$C$10:$BV$24,BF$6+8,FALSE),"")</f>
        <v/>
      </c>
      <c r="BG20" s="14" t="str">
        <f ca="1">IF($A20&lt;&gt;"",VLOOKUP($B20,'Player Scoreboard'!$C$10:$BV$24,BG$6+8,FALSE),"")</f>
        <v/>
      </c>
      <c r="BH20" s="14" t="str">
        <f ca="1">IF($A20&lt;&gt;"",VLOOKUP($B20,'Player Scoreboard'!$C$10:$BV$24,BH$6+8,FALSE),"")</f>
        <v/>
      </c>
      <c r="BI20" s="14" t="str">
        <f ca="1">IF($A20&lt;&gt;"",VLOOKUP($B20,'Player Scoreboard'!$C$10:$BV$24,BI$6+8,FALSE),"")</f>
        <v/>
      </c>
      <c r="BJ20" s="14" t="str">
        <f ca="1">IF($A20&lt;&gt;"",VLOOKUP($B20,'Player Scoreboard'!$C$10:$BV$24,BJ$6+8,FALSE),"")</f>
        <v/>
      </c>
      <c r="BK20" s="14" t="str">
        <f ca="1">IF($A20&lt;&gt;"",VLOOKUP($B20,'Player Scoreboard'!$C$10:$BV$24,BK$6+8,FALSE),"")</f>
        <v/>
      </c>
      <c r="BL20" s="14" t="str">
        <f ca="1">IF($A20&lt;&gt;"",VLOOKUP($B20,'Player Scoreboard'!$C$10:$BV$24,BL$6+8,FALSE),"")</f>
        <v/>
      </c>
      <c r="BM20" s="14" t="str">
        <f ca="1">IF($A20&lt;&gt;"",VLOOKUP($B20,'Player Scoreboard'!$C$10:$BV$24,BM$6+8,FALSE),"")</f>
        <v/>
      </c>
      <c r="BN20" s="14" t="str">
        <f ca="1">IF($A20&lt;&gt;"",VLOOKUP($B20,'Player Scoreboard'!$C$10:$BV$24,BN$6+8,FALSE),"")</f>
        <v/>
      </c>
      <c r="BO20" s="14" t="str">
        <f ca="1">IF($A20&lt;&gt;"",VLOOKUP($B20,'Player Scoreboard'!$C$10:$BV$24,BO$6+8,FALSE),"")</f>
        <v/>
      </c>
      <c r="BP20" s="14" t="str">
        <f ca="1">IF($A20&lt;&gt;"",VLOOKUP($B20,'Player Scoreboard'!$C$10:$BV$24,BP$6+8,FALSE),"")</f>
        <v/>
      </c>
      <c r="BQ20" s="14" t="str">
        <f ca="1">IF($A20&lt;&gt;"",VLOOKUP($B20,'Player Scoreboard'!$C$10:$BV$24,BQ$6+8,FALSE),"")</f>
        <v/>
      </c>
      <c r="BR20" s="14" t="str">
        <f ca="1">IF($A20&lt;&gt;"",VLOOKUP($B20,'Player Scoreboard'!$C$10:$BV$24,BR$6+8,FALSE),"")</f>
        <v/>
      </c>
      <c r="BS20" s="14" t="str">
        <f ca="1">IF($A20&lt;&gt;"",VLOOKUP($B20,'Player Scoreboard'!$C$10:$BV$24,BS$6+8,FALSE),"")</f>
        <v/>
      </c>
      <c r="BT20" s="14" t="str">
        <f ca="1">IF($A20&lt;&gt;"",VLOOKUP($B20,'Player Scoreboard'!$C$10:$BV$24,BT$6+8,FALSE),"")</f>
        <v/>
      </c>
    </row>
    <row r="21" spans="1:72" ht="15" customHeight="1">
      <c r="A21" s="12">
        <f>IF('Player Name'!C18&lt;&gt;"",A20+1,"")</f>
        <v>13</v>
      </c>
      <c r="B21" s="13" t="str">
        <f ca="1">IF(A21&lt;&gt;"",VLOOKUP(A21,Dummy!$E$7:$N$106,10,FALSE),"")</f>
        <v>John 13</v>
      </c>
      <c r="C21" s="25">
        <f t="shared" ca="1" si="97"/>
        <v>0</v>
      </c>
      <c r="D21" s="12">
        <f t="shared" ca="1" si="98"/>
        <v>0</v>
      </c>
      <c r="E21" s="25">
        <f ca="1">IF($A21&lt;&gt;"",VLOOKUP($B21,'Player Scoreboard'!$C$10:$F$24,4,FALSE),"")</f>
        <v>0</v>
      </c>
      <c r="F21" s="12">
        <f ca="1">IF($A21&lt;&gt;"",VLOOKUP($B21,'Player Scoreboard'!$C$10:$G$24,5,FALSE),"")</f>
        <v>0</v>
      </c>
      <c r="G21" s="25">
        <f ca="1">IF($A21&lt;&gt;"",VLOOKUP($B21,'Player Scoreboard'!$C$10:$H$24,6,FALSE),"")</f>
        <v>0</v>
      </c>
      <c r="H21" s="12">
        <f ca="1">IF($A21&lt;&gt;"",VLOOKUP($B21,'Player Scoreboard'!$C$10:$I$24,7,FALSE),"")</f>
        <v>0</v>
      </c>
      <c r="I21" s="12" t="str">
        <f ca="1">IF($A21&lt;&gt;"",VLOOKUP($B21,'Player Scoreboard'!$C$10:$BV$24,I$6+8,FALSE),"")</f>
        <v/>
      </c>
      <c r="J21" s="12" t="str">
        <f ca="1">IF($A21&lt;&gt;"",VLOOKUP($B21,'Player Scoreboard'!$C$10:$BV$24,J$6+8,FALSE),"")</f>
        <v/>
      </c>
      <c r="K21" s="12" t="str">
        <f ca="1">IF($A21&lt;&gt;"",VLOOKUP($B21,'Player Scoreboard'!$C$10:$BV$24,K$6+8,FALSE),"")</f>
        <v/>
      </c>
      <c r="L21" s="12" t="str">
        <f ca="1">IF($A21&lt;&gt;"",VLOOKUP($B21,'Player Scoreboard'!$C$10:$BV$24,L$6+8,FALSE),"")</f>
        <v/>
      </c>
      <c r="M21" s="12" t="str">
        <f ca="1">IF($A21&lt;&gt;"",VLOOKUP($B21,'Player Scoreboard'!$C$10:$BV$24,M$6+8,FALSE),"")</f>
        <v/>
      </c>
      <c r="N21" s="12" t="str">
        <f ca="1">IF($A21&lt;&gt;"",VLOOKUP($B21,'Player Scoreboard'!$C$10:$BV$24,N$6+8,FALSE),"")</f>
        <v/>
      </c>
      <c r="O21" s="12" t="str">
        <f ca="1">IF($A21&lt;&gt;"",VLOOKUP($B21,'Player Scoreboard'!$C$10:$BV$24,O$6+8,FALSE),"")</f>
        <v/>
      </c>
      <c r="P21" s="12" t="str">
        <f ca="1">IF($A21&lt;&gt;"",VLOOKUP($B21,'Player Scoreboard'!$C$10:$BV$24,P$6+8,FALSE),"")</f>
        <v/>
      </c>
      <c r="Q21" s="12" t="str">
        <f ca="1">IF($A21&lt;&gt;"",VLOOKUP($B21,'Player Scoreboard'!$C$10:$BV$24,Q$6+8,FALSE),"")</f>
        <v/>
      </c>
      <c r="R21" s="12" t="str">
        <f ca="1">IF($A21&lt;&gt;"",VLOOKUP($B21,'Player Scoreboard'!$C$10:$BV$24,R$6+8,FALSE),"")</f>
        <v/>
      </c>
      <c r="S21" s="12" t="str">
        <f ca="1">IF($A21&lt;&gt;"",VLOOKUP($B21,'Player Scoreboard'!$C$10:$BV$24,S$6+8,FALSE),"")</f>
        <v/>
      </c>
      <c r="T21" s="12" t="str">
        <f ca="1">IF($A21&lt;&gt;"",VLOOKUP($B21,'Player Scoreboard'!$C$10:$BV$24,T$6+8,FALSE),"")</f>
        <v/>
      </c>
      <c r="U21" s="12" t="str">
        <f ca="1">IF($A21&lt;&gt;"",VLOOKUP($B21,'Player Scoreboard'!$C$10:$BV$24,U$6+8,FALSE),"")</f>
        <v/>
      </c>
      <c r="V21" s="12" t="str">
        <f ca="1">IF($A21&lt;&gt;"",VLOOKUP($B21,'Player Scoreboard'!$C$10:$BV$24,V$6+8,FALSE),"")</f>
        <v/>
      </c>
      <c r="W21" s="12" t="str">
        <f ca="1">IF($A21&lt;&gt;"",VLOOKUP($B21,'Player Scoreboard'!$C$10:$BV$24,W$6+8,FALSE),"")</f>
        <v/>
      </c>
      <c r="X21" s="12" t="str">
        <f ca="1">IF($A21&lt;&gt;"",VLOOKUP($B21,'Player Scoreboard'!$C$10:$BV$24,X$6+8,FALSE),"")</f>
        <v/>
      </c>
      <c r="Y21" s="12" t="str">
        <f ca="1">IF($A21&lt;&gt;"",VLOOKUP($B21,'Player Scoreboard'!$C$10:$BV$24,Y$6+8,FALSE),"")</f>
        <v/>
      </c>
      <c r="Z21" s="12" t="str">
        <f ca="1">IF($A21&lt;&gt;"",VLOOKUP($B21,'Player Scoreboard'!$C$10:$BV$24,Z$6+8,FALSE),"")</f>
        <v/>
      </c>
      <c r="AA21" s="12" t="str">
        <f ca="1">IF($A21&lt;&gt;"",VLOOKUP($B21,'Player Scoreboard'!$C$10:$BV$24,AA$6+8,FALSE),"")</f>
        <v/>
      </c>
      <c r="AB21" s="12" t="str">
        <f ca="1">IF($A21&lt;&gt;"",VLOOKUP($B21,'Player Scoreboard'!$C$10:$BV$24,AB$6+8,FALSE),"")</f>
        <v/>
      </c>
      <c r="AC21" s="12" t="str">
        <f ca="1">IF($A21&lt;&gt;"",VLOOKUP($B21,'Player Scoreboard'!$C$10:$BV$24,AC$6+8,FALSE),"")</f>
        <v/>
      </c>
      <c r="AD21" s="12" t="str">
        <f ca="1">IF($A21&lt;&gt;"",VLOOKUP($B21,'Player Scoreboard'!$C$10:$BV$24,AD$6+8,FALSE),"")</f>
        <v/>
      </c>
      <c r="AE21" s="12" t="str">
        <f ca="1">IF($A21&lt;&gt;"",VLOOKUP($B21,'Player Scoreboard'!$C$10:$BV$24,AE$6+8,FALSE),"")</f>
        <v/>
      </c>
      <c r="AF21" s="12" t="str">
        <f ca="1">IF($A21&lt;&gt;"",VLOOKUP($B21,'Player Scoreboard'!$C$10:$BV$24,AF$6+8,FALSE),"")</f>
        <v/>
      </c>
      <c r="AG21" s="12" t="str">
        <f ca="1">IF($A21&lt;&gt;"",VLOOKUP($B21,'Player Scoreboard'!$C$10:$BV$24,AG$6+8,FALSE),"")</f>
        <v/>
      </c>
      <c r="AH21" s="12" t="str">
        <f ca="1">IF($A21&lt;&gt;"",VLOOKUP($B21,'Player Scoreboard'!$C$10:$BV$24,AH$6+8,FALSE),"")</f>
        <v/>
      </c>
      <c r="AI21" s="12" t="str">
        <f ca="1">IF($A21&lt;&gt;"",VLOOKUP($B21,'Player Scoreboard'!$C$10:$BV$24,AI$6+8,FALSE),"")</f>
        <v/>
      </c>
      <c r="AJ21" s="12" t="str">
        <f ca="1">IF($A21&lt;&gt;"",VLOOKUP($B21,'Player Scoreboard'!$C$10:$BV$24,AJ$6+8,FALSE),"")</f>
        <v/>
      </c>
      <c r="AK21" s="12" t="str">
        <f ca="1">IF($A21&lt;&gt;"",VLOOKUP($B21,'Player Scoreboard'!$C$10:$BV$24,AK$6+8,FALSE),"")</f>
        <v/>
      </c>
      <c r="AL21" s="12" t="str">
        <f ca="1">IF($A21&lt;&gt;"",VLOOKUP($B21,'Player Scoreboard'!$C$10:$BV$24,AL$6+8,FALSE),"")</f>
        <v/>
      </c>
      <c r="AM21" s="12" t="str">
        <f ca="1">IF($A21&lt;&gt;"",VLOOKUP($B21,'Player Scoreboard'!$C$10:$BV$24,AM$6+8,FALSE),"")</f>
        <v/>
      </c>
      <c r="AN21" s="12" t="str">
        <f ca="1">IF($A21&lt;&gt;"",VLOOKUP($B21,'Player Scoreboard'!$C$10:$BV$24,AN$6+8,FALSE),"")</f>
        <v/>
      </c>
      <c r="AO21" s="12" t="str">
        <f ca="1">IF($A21&lt;&gt;"",VLOOKUP($B21,'Player Scoreboard'!$C$10:$BV$24,AO$6+8,FALSE),"")</f>
        <v/>
      </c>
      <c r="AP21" s="12" t="str">
        <f ca="1">IF($A21&lt;&gt;"",VLOOKUP($B21,'Player Scoreboard'!$C$10:$BV$24,AP$6+8,FALSE),"")</f>
        <v/>
      </c>
      <c r="AQ21" s="12" t="str">
        <f ca="1">IF($A21&lt;&gt;"",VLOOKUP($B21,'Player Scoreboard'!$C$10:$BV$24,AQ$6+8,FALSE),"")</f>
        <v/>
      </c>
      <c r="AR21" s="12" t="str">
        <f ca="1">IF($A21&lt;&gt;"",VLOOKUP($B21,'Player Scoreboard'!$C$10:$BV$24,AR$6+8,FALSE),"")</f>
        <v/>
      </c>
      <c r="AS21" s="12" t="str">
        <f ca="1">IF($A21&lt;&gt;"",VLOOKUP($B21,'Player Scoreboard'!$C$10:$BV$24,AS$6+8,FALSE),"")</f>
        <v/>
      </c>
      <c r="AT21" s="12" t="str">
        <f ca="1">IF($A21&lt;&gt;"",VLOOKUP($B21,'Player Scoreboard'!$C$10:$BV$24,AT$6+8,FALSE),"")</f>
        <v/>
      </c>
      <c r="AU21" s="12" t="str">
        <f ca="1">IF($A21&lt;&gt;"",VLOOKUP($B21,'Player Scoreboard'!$C$10:$BV$24,AU$6+8,FALSE),"")</f>
        <v/>
      </c>
      <c r="AV21" s="12" t="str">
        <f ca="1">IF($A21&lt;&gt;"",VLOOKUP($B21,'Player Scoreboard'!$C$10:$BV$24,AV$6+8,FALSE),"")</f>
        <v/>
      </c>
      <c r="AW21" s="12" t="str">
        <f ca="1">IF($A21&lt;&gt;"",VLOOKUP($B21,'Player Scoreboard'!$C$10:$BV$24,AW$6+8,FALSE),"")</f>
        <v/>
      </c>
      <c r="AX21" s="12" t="str">
        <f ca="1">IF($A21&lt;&gt;"",VLOOKUP($B21,'Player Scoreboard'!$C$10:$BV$24,AX$6+8,FALSE),"")</f>
        <v/>
      </c>
      <c r="AY21" s="12" t="str">
        <f ca="1">IF($A21&lt;&gt;"",VLOOKUP($B21,'Player Scoreboard'!$C$10:$BV$24,AY$6+8,FALSE),"")</f>
        <v/>
      </c>
      <c r="AZ21" s="12" t="str">
        <f ca="1">IF($A21&lt;&gt;"",VLOOKUP($B21,'Player Scoreboard'!$C$10:$BV$24,AZ$6+8,FALSE),"")</f>
        <v/>
      </c>
      <c r="BA21" s="12" t="str">
        <f ca="1">IF($A21&lt;&gt;"",VLOOKUP($B21,'Player Scoreboard'!$C$10:$BV$24,BA$6+8,FALSE),"")</f>
        <v/>
      </c>
      <c r="BB21" s="12" t="str">
        <f ca="1">IF($A21&lt;&gt;"",VLOOKUP($B21,'Player Scoreboard'!$C$10:$BV$24,BB$6+8,FALSE),"")</f>
        <v/>
      </c>
      <c r="BC21" s="12" t="str">
        <f ca="1">IF($A21&lt;&gt;"",VLOOKUP($B21,'Player Scoreboard'!$C$10:$BV$24,BC$6+8,FALSE),"")</f>
        <v/>
      </c>
      <c r="BD21" s="12" t="str">
        <f ca="1">IF($A21&lt;&gt;"",VLOOKUP($B21,'Player Scoreboard'!$C$10:$BV$24,BD$6+8,FALSE),"")</f>
        <v/>
      </c>
      <c r="BE21" s="12" t="str">
        <f ca="1">IF($A21&lt;&gt;"",VLOOKUP($B21,'Player Scoreboard'!$C$10:$BV$24,BE$6+8,FALSE),"")</f>
        <v/>
      </c>
      <c r="BF21" s="12" t="str">
        <f ca="1">IF($A21&lt;&gt;"",VLOOKUP($B21,'Player Scoreboard'!$C$10:$BV$24,BF$6+8,FALSE),"")</f>
        <v/>
      </c>
      <c r="BG21" s="12" t="str">
        <f ca="1">IF($A21&lt;&gt;"",VLOOKUP($B21,'Player Scoreboard'!$C$10:$BV$24,BG$6+8,FALSE),"")</f>
        <v/>
      </c>
      <c r="BH21" s="12" t="str">
        <f ca="1">IF($A21&lt;&gt;"",VLOOKUP($B21,'Player Scoreboard'!$C$10:$BV$24,BH$6+8,FALSE),"")</f>
        <v/>
      </c>
      <c r="BI21" s="12" t="str">
        <f ca="1">IF($A21&lt;&gt;"",VLOOKUP($B21,'Player Scoreboard'!$C$10:$BV$24,BI$6+8,FALSE),"")</f>
        <v/>
      </c>
      <c r="BJ21" s="12" t="str">
        <f ca="1">IF($A21&lt;&gt;"",VLOOKUP($B21,'Player Scoreboard'!$C$10:$BV$24,BJ$6+8,FALSE),"")</f>
        <v/>
      </c>
      <c r="BK21" s="12" t="str">
        <f ca="1">IF($A21&lt;&gt;"",VLOOKUP($B21,'Player Scoreboard'!$C$10:$BV$24,BK$6+8,FALSE),"")</f>
        <v/>
      </c>
      <c r="BL21" s="12" t="str">
        <f ca="1">IF($A21&lt;&gt;"",VLOOKUP($B21,'Player Scoreboard'!$C$10:$BV$24,BL$6+8,FALSE),"")</f>
        <v/>
      </c>
      <c r="BM21" s="12" t="str">
        <f ca="1">IF($A21&lt;&gt;"",VLOOKUP($B21,'Player Scoreboard'!$C$10:$BV$24,BM$6+8,FALSE),"")</f>
        <v/>
      </c>
      <c r="BN21" s="12" t="str">
        <f ca="1">IF($A21&lt;&gt;"",VLOOKUP($B21,'Player Scoreboard'!$C$10:$BV$24,BN$6+8,FALSE),"")</f>
        <v/>
      </c>
      <c r="BO21" s="12" t="str">
        <f ca="1">IF($A21&lt;&gt;"",VLOOKUP($B21,'Player Scoreboard'!$C$10:$BV$24,BO$6+8,FALSE),"")</f>
        <v/>
      </c>
      <c r="BP21" s="12" t="str">
        <f ca="1">IF($A21&lt;&gt;"",VLOOKUP($B21,'Player Scoreboard'!$C$10:$BV$24,BP$6+8,FALSE),"")</f>
        <v/>
      </c>
      <c r="BQ21" s="12" t="str">
        <f ca="1">IF($A21&lt;&gt;"",VLOOKUP($B21,'Player Scoreboard'!$C$10:$BV$24,BQ$6+8,FALSE),"")</f>
        <v/>
      </c>
      <c r="BR21" s="12" t="str">
        <f ca="1">IF($A21&lt;&gt;"",VLOOKUP($B21,'Player Scoreboard'!$C$10:$BV$24,BR$6+8,FALSE),"")</f>
        <v/>
      </c>
      <c r="BS21" s="12" t="str">
        <f ca="1">IF($A21&lt;&gt;"",VLOOKUP($B21,'Player Scoreboard'!$C$10:$BV$24,BS$6+8,FALSE),"")</f>
        <v/>
      </c>
      <c r="BT21" s="12" t="str">
        <f ca="1">IF($A21&lt;&gt;"",VLOOKUP($B21,'Player Scoreboard'!$C$10:$BV$24,BT$6+8,FALSE),"")</f>
        <v/>
      </c>
    </row>
    <row r="22" spans="1:72" ht="15" customHeight="1">
      <c r="A22" s="14">
        <f>IF('Player Name'!C19&lt;&gt;"",A21+1,"")</f>
        <v>14</v>
      </c>
      <c r="B22" s="15" t="str">
        <f ca="1">IF(A22&lt;&gt;"",VLOOKUP(A22,Dummy!$E$7:$N$106,10,FALSE),"")</f>
        <v>John 14</v>
      </c>
      <c r="C22" s="26">
        <f t="shared" ca="1" si="97"/>
        <v>0</v>
      </c>
      <c r="D22" s="14">
        <f t="shared" ca="1" si="98"/>
        <v>0</v>
      </c>
      <c r="E22" s="26">
        <f ca="1">IF($A22&lt;&gt;"",VLOOKUP($B22,'Player Scoreboard'!$C$10:$F$24,4,FALSE),"")</f>
        <v>0</v>
      </c>
      <c r="F22" s="14">
        <f ca="1">IF($A22&lt;&gt;"",VLOOKUP($B22,'Player Scoreboard'!$C$10:$G$24,5,FALSE),"")</f>
        <v>0</v>
      </c>
      <c r="G22" s="26">
        <f ca="1">IF($A22&lt;&gt;"",VLOOKUP($B22,'Player Scoreboard'!$C$10:$H$24,6,FALSE),"")</f>
        <v>0</v>
      </c>
      <c r="H22" s="14">
        <f ca="1">IF($A22&lt;&gt;"",VLOOKUP($B22,'Player Scoreboard'!$C$10:$I$24,7,FALSE),"")</f>
        <v>0</v>
      </c>
      <c r="I22" s="14" t="str">
        <f ca="1">IF($A22&lt;&gt;"",VLOOKUP($B22,'Player Scoreboard'!$C$10:$BV$24,I$6+8,FALSE),"")</f>
        <v/>
      </c>
      <c r="J22" s="14" t="str">
        <f ca="1">IF($A22&lt;&gt;"",VLOOKUP($B22,'Player Scoreboard'!$C$10:$BV$24,J$6+8,FALSE),"")</f>
        <v/>
      </c>
      <c r="K22" s="14" t="str">
        <f ca="1">IF($A22&lt;&gt;"",VLOOKUP($B22,'Player Scoreboard'!$C$10:$BV$24,K$6+8,FALSE),"")</f>
        <v/>
      </c>
      <c r="L22" s="14" t="str">
        <f ca="1">IF($A22&lt;&gt;"",VLOOKUP($B22,'Player Scoreboard'!$C$10:$BV$24,L$6+8,FALSE),"")</f>
        <v/>
      </c>
      <c r="M22" s="14" t="str">
        <f ca="1">IF($A22&lt;&gt;"",VLOOKUP($B22,'Player Scoreboard'!$C$10:$BV$24,M$6+8,FALSE),"")</f>
        <v/>
      </c>
      <c r="N22" s="14" t="str">
        <f ca="1">IF($A22&lt;&gt;"",VLOOKUP($B22,'Player Scoreboard'!$C$10:$BV$24,N$6+8,FALSE),"")</f>
        <v/>
      </c>
      <c r="O22" s="14" t="str">
        <f ca="1">IF($A22&lt;&gt;"",VLOOKUP($B22,'Player Scoreboard'!$C$10:$BV$24,O$6+8,FALSE),"")</f>
        <v/>
      </c>
      <c r="P22" s="14" t="str">
        <f ca="1">IF($A22&lt;&gt;"",VLOOKUP($B22,'Player Scoreboard'!$C$10:$BV$24,P$6+8,FALSE),"")</f>
        <v/>
      </c>
      <c r="Q22" s="14" t="str">
        <f ca="1">IF($A22&lt;&gt;"",VLOOKUP($B22,'Player Scoreboard'!$C$10:$BV$24,Q$6+8,FALSE),"")</f>
        <v/>
      </c>
      <c r="R22" s="14" t="str">
        <f ca="1">IF($A22&lt;&gt;"",VLOOKUP($B22,'Player Scoreboard'!$C$10:$BV$24,R$6+8,FALSE),"")</f>
        <v/>
      </c>
      <c r="S22" s="14" t="str">
        <f ca="1">IF($A22&lt;&gt;"",VLOOKUP($B22,'Player Scoreboard'!$C$10:$BV$24,S$6+8,FALSE),"")</f>
        <v/>
      </c>
      <c r="T22" s="14" t="str">
        <f ca="1">IF($A22&lt;&gt;"",VLOOKUP($B22,'Player Scoreboard'!$C$10:$BV$24,T$6+8,FALSE),"")</f>
        <v/>
      </c>
      <c r="U22" s="14" t="str">
        <f ca="1">IF($A22&lt;&gt;"",VLOOKUP($B22,'Player Scoreboard'!$C$10:$BV$24,U$6+8,FALSE),"")</f>
        <v/>
      </c>
      <c r="V22" s="14" t="str">
        <f ca="1">IF($A22&lt;&gt;"",VLOOKUP($B22,'Player Scoreboard'!$C$10:$BV$24,V$6+8,FALSE),"")</f>
        <v/>
      </c>
      <c r="W22" s="14" t="str">
        <f ca="1">IF($A22&lt;&gt;"",VLOOKUP($B22,'Player Scoreboard'!$C$10:$BV$24,W$6+8,FALSE),"")</f>
        <v/>
      </c>
      <c r="X22" s="14" t="str">
        <f ca="1">IF($A22&lt;&gt;"",VLOOKUP($B22,'Player Scoreboard'!$C$10:$BV$24,X$6+8,FALSE),"")</f>
        <v/>
      </c>
      <c r="Y22" s="14" t="str">
        <f ca="1">IF($A22&lt;&gt;"",VLOOKUP($B22,'Player Scoreboard'!$C$10:$BV$24,Y$6+8,FALSE),"")</f>
        <v/>
      </c>
      <c r="Z22" s="14" t="str">
        <f ca="1">IF($A22&lt;&gt;"",VLOOKUP($B22,'Player Scoreboard'!$C$10:$BV$24,Z$6+8,FALSE),"")</f>
        <v/>
      </c>
      <c r="AA22" s="14" t="str">
        <f ca="1">IF($A22&lt;&gt;"",VLOOKUP($B22,'Player Scoreboard'!$C$10:$BV$24,AA$6+8,FALSE),"")</f>
        <v/>
      </c>
      <c r="AB22" s="14" t="str">
        <f ca="1">IF($A22&lt;&gt;"",VLOOKUP($B22,'Player Scoreboard'!$C$10:$BV$24,AB$6+8,FALSE),"")</f>
        <v/>
      </c>
      <c r="AC22" s="14" t="str">
        <f ca="1">IF($A22&lt;&gt;"",VLOOKUP($B22,'Player Scoreboard'!$C$10:$BV$24,AC$6+8,FALSE),"")</f>
        <v/>
      </c>
      <c r="AD22" s="14" t="str">
        <f ca="1">IF($A22&lt;&gt;"",VLOOKUP($B22,'Player Scoreboard'!$C$10:$BV$24,AD$6+8,FALSE),"")</f>
        <v/>
      </c>
      <c r="AE22" s="14" t="str">
        <f ca="1">IF($A22&lt;&gt;"",VLOOKUP($B22,'Player Scoreboard'!$C$10:$BV$24,AE$6+8,FALSE),"")</f>
        <v/>
      </c>
      <c r="AF22" s="14" t="str">
        <f ca="1">IF($A22&lt;&gt;"",VLOOKUP($B22,'Player Scoreboard'!$C$10:$BV$24,AF$6+8,FALSE),"")</f>
        <v/>
      </c>
      <c r="AG22" s="14" t="str">
        <f ca="1">IF($A22&lt;&gt;"",VLOOKUP($B22,'Player Scoreboard'!$C$10:$BV$24,AG$6+8,FALSE),"")</f>
        <v/>
      </c>
      <c r="AH22" s="14" t="str">
        <f ca="1">IF($A22&lt;&gt;"",VLOOKUP($B22,'Player Scoreboard'!$C$10:$BV$24,AH$6+8,FALSE),"")</f>
        <v/>
      </c>
      <c r="AI22" s="14" t="str">
        <f ca="1">IF($A22&lt;&gt;"",VLOOKUP($B22,'Player Scoreboard'!$C$10:$BV$24,AI$6+8,FALSE),"")</f>
        <v/>
      </c>
      <c r="AJ22" s="14" t="str">
        <f ca="1">IF($A22&lt;&gt;"",VLOOKUP($B22,'Player Scoreboard'!$C$10:$BV$24,AJ$6+8,FALSE),"")</f>
        <v/>
      </c>
      <c r="AK22" s="14" t="str">
        <f ca="1">IF($A22&lt;&gt;"",VLOOKUP($B22,'Player Scoreboard'!$C$10:$BV$24,AK$6+8,FALSE),"")</f>
        <v/>
      </c>
      <c r="AL22" s="14" t="str">
        <f ca="1">IF($A22&lt;&gt;"",VLOOKUP($B22,'Player Scoreboard'!$C$10:$BV$24,AL$6+8,FALSE),"")</f>
        <v/>
      </c>
      <c r="AM22" s="14" t="str">
        <f ca="1">IF($A22&lt;&gt;"",VLOOKUP($B22,'Player Scoreboard'!$C$10:$BV$24,AM$6+8,FALSE),"")</f>
        <v/>
      </c>
      <c r="AN22" s="14" t="str">
        <f ca="1">IF($A22&lt;&gt;"",VLOOKUP($B22,'Player Scoreboard'!$C$10:$BV$24,AN$6+8,FALSE),"")</f>
        <v/>
      </c>
      <c r="AO22" s="14" t="str">
        <f ca="1">IF($A22&lt;&gt;"",VLOOKUP($B22,'Player Scoreboard'!$C$10:$BV$24,AO$6+8,FALSE),"")</f>
        <v/>
      </c>
      <c r="AP22" s="14" t="str">
        <f ca="1">IF($A22&lt;&gt;"",VLOOKUP($B22,'Player Scoreboard'!$C$10:$BV$24,AP$6+8,FALSE),"")</f>
        <v/>
      </c>
      <c r="AQ22" s="14" t="str">
        <f ca="1">IF($A22&lt;&gt;"",VLOOKUP($B22,'Player Scoreboard'!$C$10:$BV$24,AQ$6+8,FALSE),"")</f>
        <v/>
      </c>
      <c r="AR22" s="14" t="str">
        <f ca="1">IF($A22&lt;&gt;"",VLOOKUP($B22,'Player Scoreboard'!$C$10:$BV$24,AR$6+8,FALSE),"")</f>
        <v/>
      </c>
      <c r="AS22" s="14" t="str">
        <f ca="1">IF($A22&lt;&gt;"",VLOOKUP($B22,'Player Scoreboard'!$C$10:$BV$24,AS$6+8,FALSE),"")</f>
        <v/>
      </c>
      <c r="AT22" s="14" t="str">
        <f ca="1">IF($A22&lt;&gt;"",VLOOKUP($B22,'Player Scoreboard'!$C$10:$BV$24,AT$6+8,FALSE),"")</f>
        <v/>
      </c>
      <c r="AU22" s="14" t="str">
        <f ca="1">IF($A22&lt;&gt;"",VLOOKUP($B22,'Player Scoreboard'!$C$10:$BV$24,AU$6+8,FALSE),"")</f>
        <v/>
      </c>
      <c r="AV22" s="14" t="str">
        <f ca="1">IF($A22&lt;&gt;"",VLOOKUP($B22,'Player Scoreboard'!$C$10:$BV$24,AV$6+8,FALSE),"")</f>
        <v/>
      </c>
      <c r="AW22" s="14" t="str">
        <f ca="1">IF($A22&lt;&gt;"",VLOOKUP($B22,'Player Scoreboard'!$C$10:$BV$24,AW$6+8,FALSE),"")</f>
        <v/>
      </c>
      <c r="AX22" s="14" t="str">
        <f ca="1">IF($A22&lt;&gt;"",VLOOKUP($B22,'Player Scoreboard'!$C$10:$BV$24,AX$6+8,FALSE),"")</f>
        <v/>
      </c>
      <c r="AY22" s="14" t="str">
        <f ca="1">IF($A22&lt;&gt;"",VLOOKUP($B22,'Player Scoreboard'!$C$10:$BV$24,AY$6+8,FALSE),"")</f>
        <v/>
      </c>
      <c r="AZ22" s="14" t="str">
        <f ca="1">IF($A22&lt;&gt;"",VLOOKUP($B22,'Player Scoreboard'!$C$10:$BV$24,AZ$6+8,FALSE),"")</f>
        <v/>
      </c>
      <c r="BA22" s="14" t="str">
        <f ca="1">IF($A22&lt;&gt;"",VLOOKUP($B22,'Player Scoreboard'!$C$10:$BV$24,BA$6+8,FALSE),"")</f>
        <v/>
      </c>
      <c r="BB22" s="14" t="str">
        <f ca="1">IF($A22&lt;&gt;"",VLOOKUP($B22,'Player Scoreboard'!$C$10:$BV$24,BB$6+8,FALSE),"")</f>
        <v/>
      </c>
      <c r="BC22" s="14" t="str">
        <f ca="1">IF($A22&lt;&gt;"",VLOOKUP($B22,'Player Scoreboard'!$C$10:$BV$24,BC$6+8,FALSE),"")</f>
        <v/>
      </c>
      <c r="BD22" s="14" t="str">
        <f ca="1">IF($A22&lt;&gt;"",VLOOKUP($B22,'Player Scoreboard'!$C$10:$BV$24,BD$6+8,FALSE),"")</f>
        <v/>
      </c>
      <c r="BE22" s="14" t="str">
        <f ca="1">IF($A22&lt;&gt;"",VLOOKUP($B22,'Player Scoreboard'!$C$10:$BV$24,BE$6+8,FALSE),"")</f>
        <v/>
      </c>
      <c r="BF22" s="14" t="str">
        <f ca="1">IF($A22&lt;&gt;"",VLOOKUP($B22,'Player Scoreboard'!$C$10:$BV$24,BF$6+8,FALSE),"")</f>
        <v/>
      </c>
      <c r="BG22" s="14" t="str">
        <f ca="1">IF($A22&lt;&gt;"",VLOOKUP($B22,'Player Scoreboard'!$C$10:$BV$24,BG$6+8,FALSE),"")</f>
        <v/>
      </c>
      <c r="BH22" s="14" t="str">
        <f ca="1">IF($A22&lt;&gt;"",VLOOKUP($B22,'Player Scoreboard'!$C$10:$BV$24,BH$6+8,FALSE),"")</f>
        <v/>
      </c>
      <c r="BI22" s="14" t="str">
        <f ca="1">IF($A22&lt;&gt;"",VLOOKUP($B22,'Player Scoreboard'!$C$10:$BV$24,BI$6+8,FALSE),"")</f>
        <v/>
      </c>
      <c r="BJ22" s="14" t="str">
        <f ca="1">IF($A22&lt;&gt;"",VLOOKUP($B22,'Player Scoreboard'!$C$10:$BV$24,BJ$6+8,FALSE),"")</f>
        <v/>
      </c>
      <c r="BK22" s="14" t="str">
        <f ca="1">IF($A22&lt;&gt;"",VLOOKUP($B22,'Player Scoreboard'!$C$10:$BV$24,BK$6+8,FALSE),"")</f>
        <v/>
      </c>
      <c r="BL22" s="14" t="str">
        <f ca="1">IF($A22&lt;&gt;"",VLOOKUP($B22,'Player Scoreboard'!$C$10:$BV$24,BL$6+8,FALSE),"")</f>
        <v/>
      </c>
      <c r="BM22" s="14" t="str">
        <f ca="1">IF($A22&lt;&gt;"",VLOOKUP($B22,'Player Scoreboard'!$C$10:$BV$24,BM$6+8,FALSE),"")</f>
        <v/>
      </c>
      <c r="BN22" s="14" t="str">
        <f ca="1">IF($A22&lt;&gt;"",VLOOKUP($B22,'Player Scoreboard'!$C$10:$BV$24,BN$6+8,FALSE),"")</f>
        <v/>
      </c>
      <c r="BO22" s="14" t="str">
        <f ca="1">IF($A22&lt;&gt;"",VLOOKUP($B22,'Player Scoreboard'!$C$10:$BV$24,BO$6+8,FALSE),"")</f>
        <v/>
      </c>
      <c r="BP22" s="14" t="str">
        <f ca="1">IF($A22&lt;&gt;"",VLOOKUP($B22,'Player Scoreboard'!$C$10:$BV$24,BP$6+8,FALSE),"")</f>
        <v/>
      </c>
      <c r="BQ22" s="14" t="str">
        <f ca="1">IF($A22&lt;&gt;"",VLOOKUP($B22,'Player Scoreboard'!$C$10:$BV$24,BQ$6+8,FALSE),"")</f>
        <v/>
      </c>
      <c r="BR22" s="14" t="str">
        <f ca="1">IF($A22&lt;&gt;"",VLOOKUP($B22,'Player Scoreboard'!$C$10:$BV$24,BR$6+8,FALSE),"")</f>
        <v/>
      </c>
      <c r="BS22" s="14" t="str">
        <f ca="1">IF($A22&lt;&gt;"",VLOOKUP($B22,'Player Scoreboard'!$C$10:$BV$24,BS$6+8,FALSE),"")</f>
        <v/>
      </c>
      <c r="BT22" s="14" t="str">
        <f ca="1">IF($A22&lt;&gt;"",VLOOKUP($B22,'Player Scoreboard'!$C$10:$BV$24,BT$6+8,FALSE),"")</f>
        <v/>
      </c>
    </row>
    <row r="23" spans="1:72" ht="15" customHeight="1">
      <c r="A23" s="12">
        <f>IF('Player Name'!C20&lt;&gt;"",A22+1,"")</f>
        <v>15</v>
      </c>
      <c r="B23" s="13" t="str">
        <f ca="1">IF(A23&lt;&gt;"",VLOOKUP(A23,Dummy!$E$7:$N$106,10,FALSE),"")</f>
        <v>John 15</v>
      </c>
      <c r="C23" s="25">
        <f t="shared" ca="1" si="97"/>
        <v>0</v>
      </c>
      <c r="D23" s="12">
        <f t="shared" ca="1" si="98"/>
        <v>0</v>
      </c>
      <c r="E23" s="25">
        <f ca="1">IF($A23&lt;&gt;"",VLOOKUP($B23,'Player Scoreboard'!$C$10:$F$24,4,FALSE),"")</f>
        <v>0</v>
      </c>
      <c r="F23" s="12">
        <f ca="1">IF($A23&lt;&gt;"",VLOOKUP($B23,'Player Scoreboard'!$C$10:$G$24,5,FALSE),"")</f>
        <v>0</v>
      </c>
      <c r="G23" s="25">
        <f ca="1">IF($A23&lt;&gt;"",VLOOKUP($B23,'Player Scoreboard'!$C$10:$H$24,6,FALSE),"")</f>
        <v>0</v>
      </c>
      <c r="H23" s="12">
        <f ca="1">IF($A23&lt;&gt;"",VLOOKUP($B23,'Player Scoreboard'!$C$10:$I$24,7,FALSE),"")</f>
        <v>0</v>
      </c>
      <c r="I23" s="12" t="str">
        <f ca="1">IF($A23&lt;&gt;"",VLOOKUP($B23,'Player Scoreboard'!$C$10:$BV$24,I$6+8,FALSE),"")</f>
        <v/>
      </c>
      <c r="J23" s="12" t="str">
        <f ca="1">IF($A23&lt;&gt;"",VLOOKUP($B23,'Player Scoreboard'!$C$10:$BV$24,J$6+8,FALSE),"")</f>
        <v/>
      </c>
      <c r="K23" s="12" t="str">
        <f ca="1">IF($A23&lt;&gt;"",VLOOKUP($B23,'Player Scoreboard'!$C$10:$BV$24,K$6+8,FALSE),"")</f>
        <v/>
      </c>
      <c r="L23" s="12" t="str">
        <f ca="1">IF($A23&lt;&gt;"",VLOOKUP($B23,'Player Scoreboard'!$C$10:$BV$24,L$6+8,FALSE),"")</f>
        <v/>
      </c>
      <c r="M23" s="12" t="str">
        <f ca="1">IF($A23&lt;&gt;"",VLOOKUP($B23,'Player Scoreboard'!$C$10:$BV$24,M$6+8,FALSE),"")</f>
        <v/>
      </c>
      <c r="N23" s="12" t="str">
        <f ca="1">IF($A23&lt;&gt;"",VLOOKUP($B23,'Player Scoreboard'!$C$10:$BV$24,N$6+8,FALSE),"")</f>
        <v/>
      </c>
      <c r="O23" s="12" t="str">
        <f ca="1">IF($A23&lt;&gt;"",VLOOKUP($B23,'Player Scoreboard'!$C$10:$BV$24,O$6+8,FALSE),"")</f>
        <v/>
      </c>
      <c r="P23" s="12" t="str">
        <f ca="1">IF($A23&lt;&gt;"",VLOOKUP($B23,'Player Scoreboard'!$C$10:$BV$24,P$6+8,FALSE),"")</f>
        <v/>
      </c>
      <c r="Q23" s="12" t="str">
        <f ca="1">IF($A23&lt;&gt;"",VLOOKUP($B23,'Player Scoreboard'!$C$10:$BV$24,Q$6+8,FALSE),"")</f>
        <v/>
      </c>
      <c r="R23" s="12" t="str">
        <f ca="1">IF($A23&lt;&gt;"",VLOOKUP($B23,'Player Scoreboard'!$C$10:$BV$24,R$6+8,FALSE),"")</f>
        <v/>
      </c>
      <c r="S23" s="12" t="str">
        <f ca="1">IF($A23&lt;&gt;"",VLOOKUP($B23,'Player Scoreboard'!$C$10:$BV$24,S$6+8,FALSE),"")</f>
        <v/>
      </c>
      <c r="T23" s="12" t="str">
        <f ca="1">IF($A23&lt;&gt;"",VLOOKUP($B23,'Player Scoreboard'!$C$10:$BV$24,T$6+8,FALSE),"")</f>
        <v/>
      </c>
      <c r="U23" s="12" t="str">
        <f ca="1">IF($A23&lt;&gt;"",VLOOKUP($B23,'Player Scoreboard'!$C$10:$BV$24,U$6+8,FALSE),"")</f>
        <v/>
      </c>
      <c r="V23" s="12" t="str">
        <f ca="1">IF($A23&lt;&gt;"",VLOOKUP($B23,'Player Scoreboard'!$C$10:$BV$24,V$6+8,FALSE),"")</f>
        <v/>
      </c>
      <c r="W23" s="12" t="str">
        <f ca="1">IF($A23&lt;&gt;"",VLOOKUP($B23,'Player Scoreboard'!$C$10:$BV$24,W$6+8,FALSE),"")</f>
        <v/>
      </c>
      <c r="X23" s="12" t="str">
        <f ca="1">IF($A23&lt;&gt;"",VLOOKUP($B23,'Player Scoreboard'!$C$10:$BV$24,X$6+8,FALSE),"")</f>
        <v/>
      </c>
      <c r="Y23" s="12" t="str">
        <f ca="1">IF($A23&lt;&gt;"",VLOOKUP($B23,'Player Scoreboard'!$C$10:$BV$24,Y$6+8,FALSE),"")</f>
        <v/>
      </c>
      <c r="Z23" s="12" t="str">
        <f ca="1">IF($A23&lt;&gt;"",VLOOKUP($B23,'Player Scoreboard'!$C$10:$BV$24,Z$6+8,FALSE),"")</f>
        <v/>
      </c>
      <c r="AA23" s="12" t="str">
        <f ca="1">IF($A23&lt;&gt;"",VLOOKUP($B23,'Player Scoreboard'!$C$10:$BV$24,AA$6+8,FALSE),"")</f>
        <v/>
      </c>
      <c r="AB23" s="12" t="str">
        <f ca="1">IF($A23&lt;&gt;"",VLOOKUP($B23,'Player Scoreboard'!$C$10:$BV$24,AB$6+8,FALSE),"")</f>
        <v/>
      </c>
      <c r="AC23" s="12" t="str">
        <f ca="1">IF($A23&lt;&gt;"",VLOOKUP($B23,'Player Scoreboard'!$C$10:$BV$24,AC$6+8,FALSE),"")</f>
        <v/>
      </c>
      <c r="AD23" s="12" t="str">
        <f ca="1">IF($A23&lt;&gt;"",VLOOKUP($B23,'Player Scoreboard'!$C$10:$BV$24,AD$6+8,FALSE),"")</f>
        <v/>
      </c>
      <c r="AE23" s="12" t="str">
        <f ca="1">IF($A23&lt;&gt;"",VLOOKUP($B23,'Player Scoreboard'!$C$10:$BV$24,AE$6+8,FALSE),"")</f>
        <v/>
      </c>
      <c r="AF23" s="12" t="str">
        <f ca="1">IF($A23&lt;&gt;"",VLOOKUP($B23,'Player Scoreboard'!$C$10:$BV$24,AF$6+8,FALSE),"")</f>
        <v/>
      </c>
      <c r="AG23" s="12" t="str">
        <f ca="1">IF($A23&lt;&gt;"",VLOOKUP($B23,'Player Scoreboard'!$C$10:$BV$24,AG$6+8,FALSE),"")</f>
        <v/>
      </c>
      <c r="AH23" s="12" t="str">
        <f ca="1">IF($A23&lt;&gt;"",VLOOKUP($B23,'Player Scoreboard'!$C$10:$BV$24,AH$6+8,FALSE),"")</f>
        <v/>
      </c>
      <c r="AI23" s="12" t="str">
        <f ca="1">IF($A23&lt;&gt;"",VLOOKUP($B23,'Player Scoreboard'!$C$10:$BV$24,AI$6+8,FALSE),"")</f>
        <v/>
      </c>
      <c r="AJ23" s="12" t="str">
        <f ca="1">IF($A23&lt;&gt;"",VLOOKUP($B23,'Player Scoreboard'!$C$10:$BV$24,AJ$6+8,FALSE),"")</f>
        <v/>
      </c>
      <c r="AK23" s="12" t="str">
        <f ca="1">IF($A23&lt;&gt;"",VLOOKUP($B23,'Player Scoreboard'!$C$10:$BV$24,AK$6+8,FALSE),"")</f>
        <v/>
      </c>
      <c r="AL23" s="12" t="str">
        <f ca="1">IF($A23&lt;&gt;"",VLOOKUP($B23,'Player Scoreboard'!$C$10:$BV$24,AL$6+8,FALSE),"")</f>
        <v/>
      </c>
      <c r="AM23" s="12" t="str">
        <f ca="1">IF($A23&lt;&gt;"",VLOOKUP($B23,'Player Scoreboard'!$C$10:$BV$24,AM$6+8,FALSE),"")</f>
        <v/>
      </c>
      <c r="AN23" s="12" t="str">
        <f ca="1">IF($A23&lt;&gt;"",VLOOKUP($B23,'Player Scoreboard'!$C$10:$BV$24,AN$6+8,FALSE),"")</f>
        <v/>
      </c>
      <c r="AO23" s="12" t="str">
        <f ca="1">IF($A23&lt;&gt;"",VLOOKUP($B23,'Player Scoreboard'!$C$10:$BV$24,AO$6+8,FALSE),"")</f>
        <v/>
      </c>
      <c r="AP23" s="12" t="str">
        <f ca="1">IF($A23&lt;&gt;"",VLOOKUP($B23,'Player Scoreboard'!$C$10:$BV$24,AP$6+8,FALSE),"")</f>
        <v/>
      </c>
      <c r="AQ23" s="12" t="str">
        <f ca="1">IF($A23&lt;&gt;"",VLOOKUP($B23,'Player Scoreboard'!$C$10:$BV$24,AQ$6+8,FALSE),"")</f>
        <v/>
      </c>
      <c r="AR23" s="12" t="str">
        <f ca="1">IF($A23&lt;&gt;"",VLOOKUP($B23,'Player Scoreboard'!$C$10:$BV$24,AR$6+8,FALSE),"")</f>
        <v/>
      </c>
      <c r="AS23" s="12" t="str">
        <f ca="1">IF($A23&lt;&gt;"",VLOOKUP($B23,'Player Scoreboard'!$C$10:$BV$24,AS$6+8,FALSE),"")</f>
        <v/>
      </c>
      <c r="AT23" s="12" t="str">
        <f ca="1">IF($A23&lt;&gt;"",VLOOKUP($B23,'Player Scoreboard'!$C$10:$BV$24,AT$6+8,FALSE),"")</f>
        <v/>
      </c>
      <c r="AU23" s="12" t="str">
        <f ca="1">IF($A23&lt;&gt;"",VLOOKUP($B23,'Player Scoreboard'!$C$10:$BV$24,AU$6+8,FALSE),"")</f>
        <v/>
      </c>
      <c r="AV23" s="12" t="str">
        <f ca="1">IF($A23&lt;&gt;"",VLOOKUP($B23,'Player Scoreboard'!$C$10:$BV$24,AV$6+8,FALSE),"")</f>
        <v/>
      </c>
      <c r="AW23" s="12" t="str">
        <f ca="1">IF($A23&lt;&gt;"",VLOOKUP($B23,'Player Scoreboard'!$C$10:$BV$24,AW$6+8,FALSE),"")</f>
        <v/>
      </c>
      <c r="AX23" s="12" t="str">
        <f ca="1">IF($A23&lt;&gt;"",VLOOKUP($B23,'Player Scoreboard'!$C$10:$BV$24,AX$6+8,FALSE),"")</f>
        <v/>
      </c>
      <c r="AY23" s="12" t="str">
        <f ca="1">IF($A23&lt;&gt;"",VLOOKUP($B23,'Player Scoreboard'!$C$10:$BV$24,AY$6+8,FALSE),"")</f>
        <v/>
      </c>
      <c r="AZ23" s="12" t="str">
        <f ca="1">IF($A23&lt;&gt;"",VLOOKUP($B23,'Player Scoreboard'!$C$10:$BV$24,AZ$6+8,FALSE),"")</f>
        <v/>
      </c>
      <c r="BA23" s="12" t="str">
        <f ca="1">IF($A23&lt;&gt;"",VLOOKUP($B23,'Player Scoreboard'!$C$10:$BV$24,BA$6+8,FALSE),"")</f>
        <v/>
      </c>
      <c r="BB23" s="12" t="str">
        <f ca="1">IF($A23&lt;&gt;"",VLOOKUP($B23,'Player Scoreboard'!$C$10:$BV$24,BB$6+8,FALSE),"")</f>
        <v/>
      </c>
      <c r="BC23" s="12" t="str">
        <f ca="1">IF($A23&lt;&gt;"",VLOOKUP($B23,'Player Scoreboard'!$C$10:$BV$24,BC$6+8,FALSE),"")</f>
        <v/>
      </c>
      <c r="BD23" s="12" t="str">
        <f ca="1">IF($A23&lt;&gt;"",VLOOKUP($B23,'Player Scoreboard'!$C$10:$BV$24,BD$6+8,FALSE),"")</f>
        <v/>
      </c>
      <c r="BE23" s="12" t="str">
        <f ca="1">IF($A23&lt;&gt;"",VLOOKUP($B23,'Player Scoreboard'!$C$10:$BV$24,BE$6+8,FALSE),"")</f>
        <v/>
      </c>
      <c r="BF23" s="12" t="str">
        <f ca="1">IF($A23&lt;&gt;"",VLOOKUP($B23,'Player Scoreboard'!$C$10:$BV$24,BF$6+8,FALSE),"")</f>
        <v/>
      </c>
      <c r="BG23" s="12" t="str">
        <f ca="1">IF($A23&lt;&gt;"",VLOOKUP($B23,'Player Scoreboard'!$C$10:$BV$24,BG$6+8,FALSE),"")</f>
        <v/>
      </c>
      <c r="BH23" s="12" t="str">
        <f ca="1">IF($A23&lt;&gt;"",VLOOKUP($B23,'Player Scoreboard'!$C$10:$BV$24,BH$6+8,FALSE),"")</f>
        <v/>
      </c>
      <c r="BI23" s="12" t="str">
        <f ca="1">IF($A23&lt;&gt;"",VLOOKUP($B23,'Player Scoreboard'!$C$10:$BV$24,BI$6+8,FALSE),"")</f>
        <v/>
      </c>
      <c r="BJ23" s="12" t="str">
        <f ca="1">IF($A23&lt;&gt;"",VLOOKUP($B23,'Player Scoreboard'!$C$10:$BV$24,BJ$6+8,FALSE),"")</f>
        <v/>
      </c>
      <c r="BK23" s="12" t="str">
        <f ca="1">IF($A23&lt;&gt;"",VLOOKUP($B23,'Player Scoreboard'!$C$10:$BV$24,BK$6+8,FALSE),"")</f>
        <v/>
      </c>
      <c r="BL23" s="12" t="str">
        <f ca="1">IF($A23&lt;&gt;"",VLOOKUP($B23,'Player Scoreboard'!$C$10:$BV$24,BL$6+8,FALSE),"")</f>
        <v/>
      </c>
      <c r="BM23" s="12" t="str">
        <f ca="1">IF($A23&lt;&gt;"",VLOOKUP($B23,'Player Scoreboard'!$C$10:$BV$24,BM$6+8,FALSE),"")</f>
        <v/>
      </c>
      <c r="BN23" s="12" t="str">
        <f ca="1">IF($A23&lt;&gt;"",VLOOKUP($B23,'Player Scoreboard'!$C$10:$BV$24,BN$6+8,FALSE),"")</f>
        <v/>
      </c>
      <c r="BO23" s="12" t="str">
        <f ca="1">IF($A23&lt;&gt;"",VLOOKUP($B23,'Player Scoreboard'!$C$10:$BV$24,BO$6+8,FALSE),"")</f>
        <v/>
      </c>
      <c r="BP23" s="12" t="str">
        <f ca="1">IF($A23&lt;&gt;"",VLOOKUP($B23,'Player Scoreboard'!$C$10:$BV$24,BP$6+8,FALSE),"")</f>
        <v/>
      </c>
      <c r="BQ23" s="12" t="str">
        <f ca="1">IF($A23&lt;&gt;"",VLOOKUP($B23,'Player Scoreboard'!$C$10:$BV$24,BQ$6+8,FALSE),"")</f>
        <v/>
      </c>
      <c r="BR23" s="12" t="str">
        <f ca="1">IF($A23&lt;&gt;"",VLOOKUP($B23,'Player Scoreboard'!$C$10:$BV$24,BR$6+8,FALSE),"")</f>
        <v/>
      </c>
      <c r="BS23" s="12" t="str">
        <f ca="1">IF($A23&lt;&gt;"",VLOOKUP($B23,'Player Scoreboard'!$C$10:$BV$24,BS$6+8,FALSE),"")</f>
        <v/>
      </c>
      <c r="BT23" s="12" t="str">
        <f ca="1">IF($A23&lt;&gt;"",VLOOKUP($B23,'Player Scoreboard'!$C$10:$BV$24,BT$6+8,FALSE),"")</f>
        <v/>
      </c>
    </row>
  </sheetData>
  <sheetProtection password="CE4F" sheet="1" objects="1" scenarios="1"/>
  <mergeCells count="10">
    <mergeCell ref="C5:C8"/>
    <mergeCell ref="B5:B8"/>
    <mergeCell ref="A5:A8"/>
    <mergeCell ref="H6:H8"/>
    <mergeCell ref="G6:G8"/>
    <mergeCell ref="F6:F8"/>
    <mergeCell ref="E6:E8"/>
    <mergeCell ref="D5:D8"/>
    <mergeCell ref="E5:F5"/>
    <mergeCell ref="G5:H5"/>
  </mergeCells>
  <phoneticPr fontId="2" type="noConversion"/>
  <conditionalFormatting sqref="I7 J8">
    <cfRule type="cellIs" dxfId="586" priority="16" stopIfTrue="1" operator="equal">
      <formula>25</formula>
    </cfRule>
  </conditionalFormatting>
  <conditionalFormatting sqref="I8">
    <cfRule type="cellIs" dxfId="585" priority="15" stopIfTrue="1" operator="equal">
      <formula>25</formula>
    </cfRule>
  </conditionalFormatting>
  <conditionalFormatting sqref="I9:BT23">
    <cfRule type="expression" dxfId="584" priority="11">
      <formula>I9=I$7</formula>
    </cfRule>
  </conditionalFormatting>
  <conditionalFormatting sqref="J7:BT7">
    <cfRule type="cellIs" dxfId="583" priority="3" stopIfTrue="1" operator="equal">
      <formula>25</formula>
    </cfRule>
  </conditionalFormatting>
  <conditionalFormatting sqref="K8:BT8">
    <cfRule type="cellIs" dxfId="582" priority="2" stopIfTrue="1" operator="equal">
      <formula>25</formula>
    </cfRule>
  </conditionalFormatting>
  <conditionalFormatting sqref="A9:BT23">
    <cfRule type="expression" dxfId="581" priority="1">
      <formula>$A9=""</formula>
    </cfRule>
  </conditionalFormatting>
  <pageMargins left="0.75" right="0.75" top="1" bottom="1" header="0.5" footer="0.5"/>
  <pageSetup orientation="portrait" horizontalDpi="300" verticalDpi="300" r:id="rId1"/>
  <headerFooter alignWithMargins="0"/>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A23"/>
  <sheetViews>
    <sheetView showGridLines="0" workbookViewId="0">
      <selection activeCell="O4" sqref="O4"/>
    </sheetView>
  </sheetViews>
  <sheetFormatPr defaultColWidth="0" defaultRowHeight="12.6"/>
  <cols>
    <col min="1" max="1" width="10.33203125" style="2" customWidth="1"/>
    <col min="2" max="2" width="23.33203125" style="2" customWidth="1"/>
    <col min="3" max="4" width="10.77734375" style="2" customWidth="1"/>
    <col min="5" max="13" width="9.109375" style="2" customWidth="1"/>
    <col min="14" max="21" width="8.88671875" style="2" customWidth="1"/>
    <col min="22" max="52" width="9.109375" style="2" customWidth="1"/>
    <col min="53" max="53" width="3.109375" style="2" customWidth="1"/>
    <col min="54" max="16384" width="9.109375" style="2" hidden="1"/>
  </cols>
  <sheetData>
    <row r="1" spans="1:52" ht="15" customHeight="1">
      <c r="E1" s="3"/>
      <c r="F1" s="3"/>
    </row>
    <row r="2" spans="1:52" ht="15" customHeight="1"/>
    <row r="3" spans="1:52" ht="15" customHeight="1"/>
    <row r="4" spans="1:52" ht="15" customHeight="1">
      <c r="E4" s="4"/>
      <c r="F4" s="4"/>
    </row>
    <row r="5" spans="1:52" ht="15" customHeight="1">
      <c r="A5" s="272" t="s">
        <v>860</v>
      </c>
      <c r="B5" s="272"/>
      <c r="C5" s="272"/>
      <c r="D5" s="272"/>
      <c r="E5" s="10" t="s">
        <v>3526</v>
      </c>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row>
    <row r="6" spans="1:52" ht="15" customHeight="1">
      <c r="A6" s="272" t="s">
        <v>3525</v>
      </c>
      <c r="B6" s="272" t="s">
        <v>1149</v>
      </c>
      <c r="C6" s="271" t="s">
        <v>3522</v>
      </c>
      <c r="D6" s="271" t="s">
        <v>3545</v>
      </c>
      <c r="E6" s="24">
        <v>1</v>
      </c>
      <c r="F6" s="24">
        <f>E6+1</f>
        <v>2</v>
      </c>
      <c r="G6" s="24">
        <f t="shared" ref="G6:AZ6" si="0">F6+1</f>
        <v>3</v>
      </c>
      <c r="H6" s="24">
        <f t="shared" si="0"/>
        <v>4</v>
      </c>
      <c r="I6" s="24">
        <f t="shared" si="0"/>
        <v>5</v>
      </c>
      <c r="J6" s="24">
        <f t="shared" si="0"/>
        <v>6</v>
      </c>
      <c r="K6" s="24">
        <f t="shared" si="0"/>
        <v>7</v>
      </c>
      <c r="L6" s="24">
        <f t="shared" si="0"/>
        <v>8</v>
      </c>
      <c r="M6" s="24">
        <f t="shared" si="0"/>
        <v>9</v>
      </c>
      <c r="N6" s="24">
        <f t="shared" si="0"/>
        <v>10</v>
      </c>
      <c r="O6" s="24">
        <f t="shared" si="0"/>
        <v>11</v>
      </c>
      <c r="P6" s="24">
        <f t="shared" si="0"/>
        <v>12</v>
      </c>
      <c r="Q6" s="24">
        <f t="shared" si="0"/>
        <v>13</v>
      </c>
      <c r="R6" s="24">
        <f t="shared" si="0"/>
        <v>14</v>
      </c>
      <c r="S6" s="24">
        <f t="shared" si="0"/>
        <v>15</v>
      </c>
      <c r="T6" s="24">
        <f t="shared" si="0"/>
        <v>16</v>
      </c>
      <c r="U6" s="24">
        <f t="shared" si="0"/>
        <v>17</v>
      </c>
      <c r="V6" s="24">
        <f t="shared" si="0"/>
        <v>18</v>
      </c>
      <c r="W6" s="24">
        <f t="shared" si="0"/>
        <v>19</v>
      </c>
      <c r="X6" s="24">
        <f t="shared" si="0"/>
        <v>20</v>
      </c>
      <c r="Y6" s="24">
        <f t="shared" si="0"/>
        <v>21</v>
      </c>
      <c r="Z6" s="24">
        <f t="shared" si="0"/>
        <v>22</v>
      </c>
      <c r="AA6" s="24">
        <f t="shared" si="0"/>
        <v>23</v>
      </c>
      <c r="AB6" s="24">
        <f t="shared" si="0"/>
        <v>24</v>
      </c>
      <c r="AC6" s="24">
        <f t="shared" si="0"/>
        <v>25</v>
      </c>
      <c r="AD6" s="24">
        <f t="shared" si="0"/>
        <v>26</v>
      </c>
      <c r="AE6" s="24">
        <f t="shared" si="0"/>
        <v>27</v>
      </c>
      <c r="AF6" s="24">
        <f t="shared" si="0"/>
        <v>28</v>
      </c>
      <c r="AG6" s="24">
        <f t="shared" si="0"/>
        <v>29</v>
      </c>
      <c r="AH6" s="24">
        <f t="shared" si="0"/>
        <v>30</v>
      </c>
      <c r="AI6" s="24">
        <f t="shared" si="0"/>
        <v>31</v>
      </c>
      <c r="AJ6" s="24">
        <f t="shared" si="0"/>
        <v>32</v>
      </c>
      <c r="AK6" s="24">
        <f t="shared" si="0"/>
        <v>33</v>
      </c>
      <c r="AL6" s="24">
        <f t="shared" si="0"/>
        <v>34</v>
      </c>
      <c r="AM6" s="24">
        <f t="shared" si="0"/>
        <v>35</v>
      </c>
      <c r="AN6" s="24">
        <f t="shared" si="0"/>
        <v>36</v>
      </c>
      <c r="AO6" s="24">
        <f t="shared" si="0"/>
        <v>37</v>
      </c>
      <c r="AP6" s="24">
        <f t="shared" si="0"/>
        <v>38</v>
      </c>
      <c r="AQ6" s="24">
        <f t="shared" si="0"/>
        <v>39</v>
      </c>
      <c r="AR6" s="24">
        <f t="shared" si="0"/>
        <v>40</v>
      </c>
      <c r="AS6" s="24">
        <f t="shared" si="0"/>
        <v>41</v>
      </c>
      <c r="AT6" s="24">
        <f t="shared" si="0"/>
        <v>42</v>
      </c>
      <c r="AU6" s="24">
        <f t="shared" si="0"/>
        <v>43</v>
      </c>
      <c r="AV6" s="24">
        <f t="shared" si="0"/>
        <v>44</v>
      </c>
      <c r="AW6" s="24">
        <f t="shared" si="0"/>
        <v>45</v>
      </c>
      <c r="AX6" s="24">
        <f t="shared" si="0"/>
        <v>46</v>
      </c>
      <c r="AY6" s="24">
        <f t="shared" si="0"/>
        <v>47</v>
      </c>
      <c r="AZ6" s="24">
        <f t="shared" si="0"/>
        <v>48</v>
      </c>
    </row>
    <row r="7" spans="1:52" ht="15" customHeight="1">
      <c r="A7" s="272"/>
      <c r="B7" s="272"/>
      <c r="C7" s="271"/>
      <c r="D7" s="271"/>
      <c r="E7" s="12">
        <f>'Player Scoreboard'!K7</f>
        <v>100</v>
      </c>
      <c r="F7" s="12">
        <f>'Player Scoreboard'!L7</f>
        <v>100</v>
      </c>
      <c r="G7" s="12">
        <f>'Player Scoreboard'!M7</f>
        <v>100</v>
      </c>
      <c r="H7" s="12">
        <f>'Player Scoreboard'!N7</f>
        <v>100</v>
      </c>
      <c r="I7" s="12">
        <f>'Player Scoreboard'!O7</f>
        <v>100</v>
      </c>
      <c r="J7" s="12">
        <f>'Player Scoreboard'!P7</f>
        <v>100</v>
      </c>
      <c r="K7" s="12">
        <f>'Player Scoreboard'!Q7</f>
        <v>100</v>
      </c>
      <c r="L7" s="12">
        <f>'Player Scoreboard'!R7</f>
        <v>100</v>
      </c>
      <c r="M7" s="12">
        <f>'Player Scoreboard'!S7</f>
        <v>100</v>
      </c>
      <c r="N7" s="12">
        <f>'Player Scoreboard'!T7</f>
        <v>100</v>
      </c>
      <c r="O7" s="12">
        <f>'Player Scoreboard'!U7</f>
        <v>100</v>
      </c>
      <c r="P7" s="12">
        <f>'Player Scoreboard'!V7</f>
        <v>100</v>
      </c>
      <c r="Q7" s="12">
        <f>'Player Scoreboard'!W7</f>
        <v>100</v>
      </c>
      <c r="R7" s="12">
        <f>'Player Scoreboard'!X7</f>
        <v>100</v>
      </c>
      <c r="S7" s="12">
        <f>'Player Scoreboard'!Y7</f>
        <v>100</v>
      </c>
      <c r="T7" s="12">
        <f>'Player Scoreboard'!Z7</f>
        <v>100</v>
      </c>
      <c r="U7" s="12">
        <f>'Player Scoreboard'!AA7</f>
        <v>100</v>
      </c>
      <c r="V7" s="12">
        <f>'Player Scoreboard'!AB7</f>
        <v>100</v>
      </c>
      <c r="W7" s="12">
        <f>'Player Scoreboard'!AC7</f>
        <v>100</v>
      </c>
      <c r="X7" s="12">
        <f>'Player Scoreboard'!AD7</f>
        <v>100</v>
      </c>
      <c r="Y7" s="12">
        <f>'Player Scoreboard'!AE7</f>
        <v>100</v>
      </c>
      <c r="Z7" s="12">
        <f>'Player Scoreboard'!AF7</f>
        <v>100</v>
      </c>
      <c r="AA7" s="12">
        <f>'Player Scoreboard'!AG7</f>
        <v>100</v>
      </c>
      <c r="AB7" s="12">
        <f>'Player Scoreboard'!AH7</f>
        <v>100</v>
      </c>
      <c r="AC7" s="12">
        <f>'Player Scoreboard'!AI7</f>
        <v>100</v>
      </c>
      <c r="AD7" s="12">
        <f>'Player Scoreboard'!AJ7</f>
        <v>100</v>
      </c>
      <c r="AE7" s="12">
        <f>'Player Scoreboard'!AK7</f>
        <v>100</v>
      </c>
      <c r="AF7" s="12">
        <f>'Player Scoreboard'!AL7</f>
        <v>100</v>
      </c>
      <c r="AG7" s="12">
        <f>'Player Scoreboard'!AM7</f>
        <v>100</v>
      </c>
      <c r="AH7" s="12">
        <f>'Player Scoreboard'!AN7</f>
        <v>100</v>
      </c>
      <c r="AI7" s="12">
        <f>'Player Scoreboard'!AO7</f>
        <v>100</v>
      </c>
      <c r="AJ7" s="12">
        <f>'Player Scoreboard'!AP7</f>
        <v>100</v>
      </c>
      <c r="AK7" s="12">
        <f>'Player Scoreboard'!AQ7</f>
        <v>100</v>
      </c>
      <c r="AL7" s="12">
        <f>'Player Scoreboard'!AR7</f>
        <v>100</v>
      </c>
      <c r="AM7" s="12">
        <f>'Player Scoreboard'!AS7</f>
        <v>100</v>
      </c>
      <c r="AN7" s="12">
        <f>'Player Scoreboard'!AT7</f>
        <v>100</v>
      </c>
      <c r="AO7" s="12">
        <f>'Player Scoreboard'!AU7</f>
        <v>100</v>
      </c>
      <c r="AP7" s="12">
        <f>'Player Scoreboard'!AV7</f>
        <v>100</v>
      </c>
      <c r="AQ7" s="12">
        <f>'Player Scoreboard'!AW7</f>
        <v>100</v>
      </c>
      <c r="AR7" s="12">
        <f>'Player Scoreboard'!AX7</f>
        <v>100</v>
      </c>
      <c r="AS7" s="12">
        <f>'Player Scoreboard'!AY7</f>
        <v>100</v>
      </c>
      <c r="AT7" s="12">
        <f>'Player Scoreboard'!AZ7</f>
        <v>100</v>
      </c>
      <c r="AU7" s="12">
        <f>'Player Scoreboard'!BA7</f>
        <v>100</v>
      </c>
      <c r="AV7" s="12">
        <f>'Player Scoreboard'!BB7</f>
        <v>100</v>
      </c>
      <c r="AW7" s="12">
        <f>'Player Scoreboard'!BC7</f>
        <v>100</v>
      </c>
      <c r="AX7" s="12">
        <f>'Player Scoreboard'!BD7</f>
        <v>100</v>
      </c>
      <c r="AY7" s="12">
        <f>'Player Scoreboard'!BE7</f>
        <v>100</v>
      </c>
      <c r="AZ7" s="12">
        <f>'Player Scoreboard'!BF7</f>
        <v>100</v>
      </c>
    </row>
    <row r="8" spans="1:52" ht="15" customHeight="1">
      <c r="A8" s="272"/>
      <c r="B8" s="272"/>
      <c r="C8" s="271"/>
      <c r="D8" s="271"/>
      <c r="E8" s="14">
        <f>SUM(F7:AZ7)</f>
        <v>4700</v>
      </c>
      <c r="F8" s="14">
        <f t="shared" ref="F8:AZ8" si="1">E8-F7</f>
        <v>4600</v>
      </c>
      <c r="G8" s="14">
        <f t="shared" si="1"/>
        <v>4500</v>
      </c>
      <c r="H8" s="14">
        <f t="shared" si="1"/>
        <v>4400</v>
      </c>
      <c r="I8" s="14">
        <f t="shared" si="1"/>
        <v>4300</v>
      </c>
      <c r="J8" s="14">
        <f t="shared" si="1"/>
        <v>4200</v>
      </c>
      <c r="K8" s="14">
        <f t="shared" si="1"/>
        <v>4100</v>
      </c>
      <c r="L8" s="14">
        <f t="shared" si="1"/>
        <v>4000</v>
      </c>
      <c r="M8" s="14">
        <f t="shared" si="1"/>
        <v>3900</v>
      </c>
      <c r="N8" s="14">
        <f t="shared" si="1"/>
        <v>3800</v>
      </c>
      <c r="O8" s="14">
        <f t="shared" si="1"/>
        <v>3700</v>
      </c>
      <c r="P8" s="14">
        <f t="shared" si="1"/>
        <v>3600</v>
      </c>
      <c r="Q8" s="14">
        <f t="shared" si="1"/>
        <v>3500</v>
      </c>
      <c r="R8" s="14">
        <f t="shared" si="1"/>
        <v>3400</v>
      </c>
      <c r="S8" s="14">
        <f t="shared" si="1"/>
        <v>3300</v>
      </c>
      <c r="T8" s="14">
        <f t="shared" si="1"/>
        <v>3200</v>
      </c>
      <c r="U8" s="14">
        <f t="shared" si="1"/>
        <v>3100</v>
      </c>
      <c r="V8" s="14">
        <f t="shared" si="1"/>
        <v>3000</v>
      </c>
      <c r="W8" s="14">
        <f t="shared" si="1"/>
        <v>2900</v>
      </c>
      <c r="X8" s="14">
        <f t="shared" si="1"/>
        <v>2800</v>
      </c>
      <c r="Y8" s="14">
        <f t="shared" si="1"/>
        <v>2700</v>
      </c>
      <c r="Z8" s="14">
        <f t="shared" si="1"/>
        <v>2600</v>
      </c>
      <c r="AA8" s="14">
        <f t="shared" si="1"/>
        <v>2500</v>
      </c>
      <c r="AB8" s="14">
        <f t="shared" si="1"/>
        <v>2400</v>
      </c>
      <c r="AC8" s="14">
        <f t="shared" si="1"/>
        <v>2300</v>
      </c>
      <c r="AD8" s="14">
        <f t="shared" si="1"/>
        <v>2200</v>
      </c>
      <c r="AE8" s="14">
        <f t="shared" si="1"/>
        <v>2100</v>
      </c>
      <c r="AF8" s="14">
        <f t="shared" si="1"/>
        <v>2000</v>
      </c>
      <c r="AG8" s="14">
        <f t="shared" si="1"/>
        <v>1900</v>
      </c>
      <c r="AH8" s="14">
        <f t="shared" si="1"/>
        <v>1800</v>
      </c>
      <c r="AI8" s="14">
        <f t="shared" si="1"/>
        <v>1700</v>
      </c>
      <c r="AJ8" s="14">
        <f t="shared" si="1"/>
        <v>1600</v>
      </c>
      <c r="AK8" s="14">
        <f t="shared" si="1"/>
        <v>1500</v>
      </c>
      <c r="AL8" s="14">
        <f t="shared" si="1"/>
        <v>1400</v>
      </c>
      <c r="AM8" s="14">
        <f t="shared" si="1"/>
        <v>1300</v>
      </c>
      <c r="AN8" s="14">
        <f t="shared" si="1"/>
        <v>1200</v>
      </c>
      <c r="AO8" s="14">
        <f t="shared" si="1"/>
        <v>1100</v>
      </c>
      <c r="AP8" s="14">
        <f t="shared" si="1"/>
        <v>1000</v>
      </c>
      <c r="AQ8" s="14">
        <f t="shared" si="1"/>
        <v>900</v>
      </c>
      <c r="AR8" s="14">
        <f t="shared" si="1"/>
        <v>800</v>
      </c>
      <c r="AS8" s="14">
        <f t="shared" si="1"/>
        <v>700</v>
      </c>
      <c r="AT8" s="14">
        <f t="shared" si="1"/>
        <v>600</v>
      </c>
      <c r="AU8" s="14">
        <f t="shared" si="1"/>
        <v>500</v>
      </c>
      <c r="AV8" s="14">
        <f t="shared" si="1"/>
        <v>400</v>
      </c>
      <c r="AW8" s="14">
        <f t="shared" si="1"/>
        <v>300</v>
      </c>
      <c r="AX8" s="14">
        <f t="shared" si="1"/>
        <v>200</v>
      </c>
      <c r="AY8" s="14">
        <f t="shared" si="1"/>
        <v>100</v>
      </c>
      <c r="AZ8" s="14">
        <f t="shared" si="1"/>
        <v>0</v>
      </c>
    </row>
    <row r="9" spans="1:52" ht="15" customHeight="1">
      <c r="A9" s="12">
        <f>IF('Player Name'!C6&lt;&gt;"",1,"")</f>
        <v>1</v>
      </c>
      <c r="B9" s="13" t="str">
        <f ca="1">IF(A9&lt;&gt;"",VLOOKUP(A9,Dummy!$I$7:$N$106,6,FALSE),"")</f>
        <v>John 1</v>
      </c>
      <c r="C9" s="25">
        <f ca="1">IF($A9&lt;&gt;"",VLOOKUP($B9,'Player Scoreboard'!$C$10:$F$24,4,FALSE),"")</f>
        <v>0</v>
      </c>
      <c r="D9" s="12">
        <f ca="1">IF($A9&lt;&gt;"",VLOOKUP($B9,'Player Scoreboard'!$C$10:$G$24,5,FALSE),"")</f>
        <v>0</v>
      </c>
      <c r="E9" s="12" t="str">
        <f ca="1">IF($A9&lt;&gt;"",VLOOKUP($B9,'Player Scoreboard'!$C$10:$BV$24,E$6+8,FALSE),"")</f>
        <v/>
      </c>
      <c r="F9" s="12" t="str">
        <f ca="1">IF($A9&lt;&gt;"",VLOOKUP($B9,'Player Scoreboard'!$C$10:$BV$24,F$6+8,FALSE),"")</f>
        <v/>
      </c>
      <c r="G9" s="12" t="str">
        <f ca="1">IF($A9&lt;&gt;"",VLOOKUP($B9,'Player Scoreboard'!$C$10:$BV$24,G$6+8,FALSE),"")</f>
        <v/>
      </c>
      <c r="H9" s="12" t="str">
        <f ca="1">IF($A9&lt;&gt;"",VLOOKUP($B9,'Player Scoreboard'!$C$10:$BV$24,H$6+8,FALSE),"")</f>
        <v/>
      </c>
      <c r="I9" s="12" t="str">
        <f ca="1">IF($A9&lt;&gt;"",VLOOKUP($B9,'Player Scoreboard'!$C$10:$BV$24,I$6+8,FALSE),"")</f>
        <v/>
      </c>
      <c r="J9" s="12" t="str">
        <f ca="1">IF($A9&lt;&gt;"",VLOOKUP($B9,'Player Scoreboard'!$C$10:$BV$24,J$6+8,FALSE),"")</f>
        <v/>
      </c>
      <c r="K9" s="12" t="str">
        <f ca="1">IF($A9&lt;&gt;"",VLOOKUP($B9,'Player Scoreboard'!$C$10:$BV$24,K$6+8,FALSE),"")</f>
        <v/>
      </c>
      <c r="L9" s="12" t="str">
        <f ca="1">IF($A9&lt;&gt;"",VLOOKUP($B9,'Player Scoreboard'!$C$10:$BV$24,L$6+8,FALSE),"")</f>
        <v/>
      </c>
      <c r="M9" s="12" t="str">
        <f ca="1">IF($A9&lt;&gt;"",VLOOKUP($B9,'Player Scoreboard'!$C$10:$BV$24,M$6+8,FALSE),"")</f>
        <v/>
      </c>
      <c r="N9" s="12" t="str">
        <f ca="1">IF($A9&lt;&gt;"",VLOOKUP($B9,'Player Scoreboard'!$C$10:$BV$24,N$6+8,FALSE),"")</f>
        <v/>
      </c>
      <c r="O9" s="12" t="str">
        <f ca="1">IF($A9&lt;&gt;"",VLOOKUP($B9,'Player Scoreboard'!$C$10:$BV$24,O$6+8,FALSE),"")</f>
        <v/>
      </c>
      <c r="P9" s="12" t="str">
        <f ca="1">IF($A9&lt;&gt;"",VLOOKUP($B9,'Player Scoreboard'!$C$10:$BV$24,P$6+8,FALSE),"")</f>
        <v/>
      </c>
      <c r="Q9" s="12" t="str">
        <f ca="1">IF($A9&lt;&gt;"",VLOOKUP($B9,'Player Scoreboard'!$C$10:$BV$24,Q$6+8,FALSE),"")</f>
        <v/>
      </c>
      <c r="R9" s="12" t="str">
        <f ca="1">IF($A9&lt;&gt;"",VLOOKUP($B9,'Player Scoreboard'!$C$10:$BV$24,R$6+8,FALSE),"")</f>
        <v/>
      </c>
      <c r="S9" s="12" t="str">
        <f ca="1">IF($A9&lt;&gt;"",VLOOKUP($B9,'Player Scoreboard'!$C$10:$BV$24,S$6+8,FALSE),"")</f>
        <v/>
      </c>
      <c r="T9" s="12" t="str">
        <f ca="1">IF($A9&lt;&gt;"",VLOOKUP($B9,'Player Scoreboard'!$C$10:$BV$24,T$6+8,FALSE),"")</f>
        <v/>
      </c>
      <c r="U9" s="12" t="str">
        <f ca="1">IF($A9&lt;&gt;"",VLOOKUP($B9,'Player Scoreboard'!$C$10:$BV$24,U$6+8,FALSE),"")</f>
        <v/>
      </c>
      <c r="V9" s="12" t="str">
        <f ca="1">IF($A9&lt;&gt;"",VLOOKUP($B9,'Player Scoreboard'!$C$10:$BV$24,V$6+8,FALSE),"")</f>
        <v/>
      </c>
      <c r="W9" s="12" t="str">
        <f ca="1">IF($A9&lt;&gt;"",VLOOKUP($B9,'Player Scoreboard'!$C$10:$BV$24,W$6+8,FALSE),"")</f>
        <v/>
      </c>
      <c r="X9" s="12" t="str">
        <f ca="1">IF($A9&lt;&gt;"",VLOOKUP($B9,'Player Scoreboard'!$C$10:$BV$24,X$6+8,FALSE),"")</f>
        <v/>
      </c>
      <c r="Y9" s="12" t="str">
        <f ca="1">IF($A9&lt;&gt;"",VLOOKUP($B9,'Player Scoreboard'!$C$10:$BV$24,Y$6+8,FALSE),"")</f>
        <v/>
      </c>
      <c r="Z9" s="12" t="str">
        <f ca="1">IF($A9&lt;&gt;"",VLOOKUP($B9,'Player Scoreboard'!$C$10:$BV$24,Z$6+8,FALSE),"")</f>
        <v/>
      </c>
      <c r="AA9" s="12" t="str">
        <f ca="1">IF($A9&lt;&gt;"",VLOOKUP($B9,'Player Scoreboard'!$C$10:$BV$24,AA$6+8,FALSE),"")</f>
        <v/>
      </c>
      <c r="AB9" s="12" t="str">
        <f ca="1">IF($A9&lt;&gt;"",VLOOKUP($B9,'Player Scoreboard'!$C$10:$BV$24,AB$6+8,FALSE),"")</f>
        <v/>
      </c>
      <c r="AC9" s="12" t="str">
        <f ca="1">IF($A9&lt;&gt;"",VLOOKUP($B9,'Player Scoreboard'!$C$10:$BV$24,AC$6+8,FALSE),"")</f>
        <v/>
      </c>
      <c r="AD9" s="12" t="str">
        <f ca="1">IF($A9&lt;&gt;"",VLOOKUP($B9,'Player Scoreboard'!$C$10:$BV$24,AD$6+8,FALSE),"")</f>
        <v/>
      </c>
      <c r="AE9" s="12" t="str">
        <f ca="1">IF($A9&lt;&gt;"",VLOOKUP($B9,'Player Scoreboard'!$C$10:$BV$24,AE$6+8,FALSE),"")</f>
        <v/>
      </c>
      <c r="AF9" s="12" t="str">
        <f ca="1">IF($A9&lt;&gt;"",VLOOKUP($B9,'Player Scoreboard'!$C$10:$BV$24,AF$6+8,FALSE),"")</f>
        <v/>
      </c>
      <c r="AG9" s="12" t="str">
        <f ca="1">IF($A9&lt;&gt;"",VLOOKUP($B9,'Player Scoreboard'!$C$10:$BV$24,AG$6+8,FALSE),"")</f>
        <v/>
      </c>
      <c r="AH9" s="12" t="str">
        <f ca="1">IF($A9&lt;&gt;"",VLOOKUP($B9,'Player Scoreboard'!$C$10:$BV$24,AH$6+8,FALSE),"")</f>
        <v/>
      </c>
      <c r="AI9" s="12" t="str">
        <f ca="1">IF($A9&lt;&gt;"",VLOOKUP($B9,'Player Scoreboard'!$C$10:$BV$24,AI$6+8,FALSE),"")</f>
        <v/>
      </c>
      <c r="AJ9" s="12" t="str">
        <f ca="1">IF($A9&lt;&gt;"",VLOOKUP($B9,'Player Scoreboard'!$C$10:$BV$24,AJ$6+8,FALSE),"")</f>
        <v/>
      </c>
      <c r="AK9" s="12" t="str">
        <f ca="1">IF($A9&lt;&gt;"",VLOOKUP($B9,'Player Scoreboard'!$C$10:$BV$24,AK$6+8,FALSE),"")</f>
        <v/>
      </c>
      <c r="AL9" s="12" t="str">
        <f ca="1">IF($A9&lt;&gt;"",VLOOKUP($B9,'Player Scoreboard'!$C$10:$BV$24,AL$6+8,FALSE),"")</f>
        <v/>
      </c>
      <c r="AM9" s="12" t="str">
        <f ca="1">IF($A9&lt;&gt;"",VLOOKUP($B9,'Player Scoreboard'!$C$10:$BV$24,AM$6+8,FALSE),"")</f>
        <v/>
      </c>
      <c r="AN9" s="12" t="str">
        <f ca="1">IF($A9&lt;&gt;"",VLOOKUP($B9,'Player Scoreboard'!$C$10:$BV$24,AN$6+8,FALSE),"")</f>
        <v/>
      </c>
      <c r="AO9" s="12" t="str">
        <f ca="1">IF($A9&lt;&gt;"",VLOOKUP($B9,'Player Scoreboard'!$C$10:$BV$24,AO$6+8,FALSE),"")</f>
        <v/>
      </c>
      <c r="AP9" s="12" t="str">
        <f ca="1">IF($A9&lt;&gt;"",VLOOKUP($B9,'Player Scoreboard'!$C$10:$BV$24,AP$6+8,FALSE),"")</f>
        <v/>
      </c>
      <c r="AQ9" s="12" t="str">
        <f ca="1">IF($A9&lt;&gt;"",VLOOKUP($B9,'Player Scoreboard'!$C$10:$BV$24,AQ$6+8,FALSE),"")</f>
        <v/>
      </c>
      <c r="AR9" s="12" t="str">
        <f ca="1">IF($A9&lt;&gt;"",VLOOKUP($B9,'Player Scoreboard'!$C$10:$BV$24,AR$6+8,FALSE),"")</f>
        <v/>
      </c>
      <c r="AS9" s="12" t="str">
        <f ca="1">IF($A9&lt;&gt;"",VLOOKUP($B9,'Player Scoreboard'!$C$10:$BV$24,AS$6+8,FALSE),"")</f>
        <v/>
      </c>
      <c r="AT9" s="12" t="str">
        <f ca="1">IF($A9&lt;&gt;"",VLOOKUP($B9,'Player Scoreboard'!$C$10:$BV$24,AT$6+8,FALSE),"")</f>
        <v/>
      </c>
      <c r="AU9" s="12" t="str">
        <f ca="1">IF($A9&lt;&gt;"",VLOOKUP($B9,'Player Scoreboard'!$C$10:$BV$24,AU$6+8,FALSE),"")</f>
        <v/>
      </c>
      <c r="AV9" s="12" t="str">
        <f ca="1">IF($A9&lt;&gt;"",VLOOKUP($B9,'Player Scoreboard'!$C$10:$BV$24,AV$6+8,FALSE),"")</f>
        <v/>
      </c>
      <c r="AW9" s="12" t="str">
        <f ca="1">IF($A9&lt;&gt;"",VLOOKUP($B9,'Player Scoreboard'!$C$10:$BV$24,AW$6+8,FALSE),"")</f>
        <v/>
      </c>
      <c r="AX9" s="12" t="str">
        <f ca="1">IF($A9&lt;&gt;"",VLOOKUP($B9,'Player Scoreboard'!$C$10:$BV$24,AX$6+8,FALSE),"")</f>
        <v/>
      </c>
      <c r="AY9" s="12" t="str">
        <f ca="1">IF($A9&lt;&gt;"",VLOOKUP($B9,'Player Scoreboard'!$C$10:$BV$24,AY$6+8,FALSE),"")</f>
        <v/>
      </c>
      <c r="AZ9" s="12" t="str">
        <f ca="1">IF($A9&lt;&gt;"",VLOOKUP($B9,'Player Scoreboard'!$C$10:$BV$24,AZ$6+8,FALSE),"")</f>
        <v/>
      </c>
    </row>
    <row r="10" spans="1:52" ht="15" customHeight="1">
      <c r="A10" s="14">
        <f>IF('Player Name'!C7&lt;&gt;"",A9+1,"")</f>
        <v>2</v>
      </c>
      <c r="B10" s="15" t="str">
        <f ca="1">IF(A10&lt;&gt;"",VLOOKUP(A10,Dummy!$I$7:$N$106,6,FALSE),"")</f>
        <v>John 2</v>
      </c>
      <c r="C10" s="26">
        <f ca="1">IF($A10&lt;&gt;"",VLOOKUP($B10,'Player Scoreboard'!$C$10:$F$24,4,FALSE),"")</f>
        <v>0</v>
      </c>
      <c r="D10" s="14">
        <f ca="1">IF($A10&lt;&gt;"",VLOOKUP($B10,'Player Scoreboard'!$C$10:$G$24,5,FALSE),"")</f>
        <v>0</v>
      </c>
      <c r="E10" s="14" t="str">
        <f ca="1">IF($A10&lt;&gt;"",VLOOKUP($B10,'Player Scoreboard'!$C$10:$BV$24,E$6+8,FALSE),"")</f>
        <v/>
      </c>
      <c r="F10" s="14" t="str">
        <f ca="1">IF($A10&lt;&gt;"",VLOOKUP($B10,'Player Scoreboard'!$C$10:$BV$24,F$6+8,FALSE),"")</f>
        <v/>
      </c>
      <c r="G10" s="14" t="str">
        <f ca="1">IF($A10&lt;&gt;"",VLOOKUP($B10,'Player Scoreboard'!$C$10:$BV$24,G$6+8,FALSE),"")</f>
        <v/>
      </c>
      <c r="H10" s="14" t="str">
        <f ca="1">IF($A10&lt;&gt;"",VLOOKUP($B10,'Player Scoreboard'!$C$10:$BV$24,H$6+8,FALSE),"")</f>
        <v/>
      </c>
      <c r="I10" s="14" t="str">
        <f ca="1">IF($A10&lt;&gt;"",VLOOKUP($B10,'Player Scoreboard'!$C$10:$BV$24,I$6+8,FALSE),"")</f>
        <v/>
      </c>
      <c r="J10" s="14" t="str">
        <f ca="1">IF($A10&lt;&gt;"",VLOOKUP($B10,'Player Scoreboard'!$C$10:$BV$24,J$6+8,FALSE),"")</f>
        <v/>
      </c>
      <c r="K10" s="14" t="str">
        <f ca="1">IF($A10&lt;&gt;"",VLOOKUP($B10,'Player Scoreboard'!$C$10:$BV$24,K$6+8,FALSE),"")</f>
        <v/>
      </c>
      <c r="L10" s="14" t="str">
        <f ca="1">IF($A10&lt;&gt;"",VLOOKUP($B10,'Player Scoreboard'!$C$10:$BV$24,L$6+8,FALSE),"")</f>
        <v/>
      </c>
      <c r="M10" s="14" t="str">
        <f ca="1">IF($A10&lt;&gt;"",VLOOKUP($B10,'Player Scoreboard'!$C$10:$BV$24,M$6+8,FALSE),"")</f>
        <v/>
      </c>
      <c r="N10" s="14" t="str">
        <f ca="1">IF($A10&lt;&gt;"",VLOOKUP($B10,'Player Scoreboard'!$C$10:$BV$24,N$6+8,FALSE),"")</f>
        <v/>
      </c>
      <c r="O10" s="14" t="str">
        <f ca="1">IF($A10&lt;&gt;"",VLOOKUP($B10,'Player Scoreboard'!$C$10:$BV$24,O$6+8,FALSE),"")</f>
        <v/>
      </c>
      <c r="P10" s="14" t="str">
        <f ca="1">IF($A10&lt;&gt;"",VLOOKUP($B10,'Player Scoreboard'!$C$10:$BV$24,P$6+8,FALSE),"")</f>
        <v/>
      </c>
      <c r="Q10" s="14" t="str">
        <f ca="1">IF($A10&lt;&gt;"",VLOOKUP($B10,'Player Scoreboard'!$C$10:$BV$24,Q$6+8,FALSE),"")</f>
        <v/>
      </c>
      <c r="R10" s="14" t="str">
        <f ca="1">IF($A10&lt;&gt;"",VLOOKUP($B10,'Player Scoreboard'!$C$10:$BV$24,R$6+8,FALSE),"")</f>
        <v/>
      </c>
      <c r="S10" s="14" t="str">
        <f ca="1">IF($A10&lt;&gt;"",VLOOKUP($B10,'Player Scoreboard'!$C$10:$BV$24,S$6+8,FALSE),"")</f>
        <v/>
      </c>
      <c r="T10" s="14" t="str">
        <f ca="1">IF($A10&lt;&gt;"",VLOOKUP($B10,'Player Scoreboard'!$C$10:$BV$24,T$6+8,FALSE),"")</f>
        <v/>
      </c>
      <c r="U10" s="14" t="str">
        <f ca="1">IF($A10&lt;&gt;"",VLOOKUP($B10,'Player Scoreboard'!$C$10:$BV$24,U$6+8,FALSE),"")</f>
        <v/>
      </c>
      <c r="V10" s="14" t="str">
        <f ca="1">IF($A10&lt;&gt;"",VLOOKUP($B10,'Player Scoreboard'!$C$10:$BV$24,V$6+8,FALSE),"")</f>
        <v/>
      </c>
      <c r="W10" s="14" t="str">
        <f ca="1">IF($A10&lt;&gt;"",VLOOKUP($B10,'Player Scoreboard'!$C$10:$BV$24,W$6+8,FALSE),"")</f>
        <v/>
      </c>
      <c r="X10" s="14" t="str">
        <f ca="1">IF($A10&lt;&gt;"",VLOOKUP($B10,'Player Scoreboard'!$C$10:$BV$24,X$6+8,FALSE),"")</f>
        <v/>
      </c>
      <c r="Y10" s="14" t="str">
        <f ca="1">IF($A10&lt;&gt;"",VLOOKUP($B10,'Player Scoreboard'!$C$10:$BV$24,Y$6+8,FALSE),"")</f>
        <v/>
      </c>
      <c r="Z10" s="14" t="str">
        <f ca="1">IF($A10&lt;&gt;"",VLOOKUP($B10,'Player Scoreboard'!$C$10:$BV$24,Z$6+8,FALSE),"")</f>
        <v/>
      </c>
      <c r="AA10" s="14" t="str">
        <f ca="1">IF($A10&lt;&gt;"",VLOOKUP($B10,'Player Scoreboard'!$C$10:$BV$24,AA$6+8,FALSE),"")</f>
        <v/>
      </c>
      <c r="AB10" s="14" t="str">
        <f ca="1">IF($A10&lt;&gt;"",VLOOKUP($B10,'Player Scoreboard'!$C$10:$BV$24,AB$6+8,FALSE),"")</f>
        <v/>
      </c>
      <c r="AC10" s="14" t="str">
        <f ca="1">IF($A10&lt;&gt;"",VLOOKUP($B10,'Player Scoreboard'!$C$10:$BV$24,AC$6+8,FALSE),"")</f>
        <v/>
      </c>
      <c r="AD10" s="14" t="str">
        <f ca="1">IF($A10&lt;&gt;"",VLOOKUP($B10,'Player Scoreboard'!$C$10:$BV$24,AD$6+8,FALSE),"")</f>
        <v/>
      </c>
      <c r="AE10" s="14" t="str">
        <f ca="1">IF($A10&lt;&gt;"",VLOOKUP($B10,'Player Scoreboard'!$C$10:$BV$24,AE$6+8,FALSE),"")</f>
        <v/>
      </c>
      <c r="AF10" s="14" t="str">
        <f ca="1">IF($A10&lt;&gt;"",VLOOKUP($B10,'Player Scoreboard'!$C$10:$BV$24,AF$6+8,FALSE),"")</f>
        <v/>
      </c>
      <c r="AG10" s="14" t="str">
        <f ca="1">IF($A10&lt;&gt;"",VLOOKUP($B10,'Player Scoreboard'!$C$10:$BV$24,AG$6+8,FALSE),"")</f>
        <v/>
      </c>
      <c r="AH10" s="14" t="str">
        <f ca="1">IF($A10&lt;&gt;"",VLOOKUP($B10,'Player Scoreboard'!$C$10:$BV$24,AH$6+8,FALSE),"")</f>
        <v/>
      </c>
      <c r="AI10" s="14" t="str">
        <f ca="1">IF($A10&lt;&gt;"",VLOOKUP($B10,'Player Scoreboard'!$C$10:$BV$24,AI$6+8,FALSE),"")</f>
        <v/>
      </c>
      <c r="AJ10" s="14" t="str">
        <f ca="1">IF($A10&lt;&gt;"",VLOOKUP($B10,'Player Scoreboard'!$C$10:$BV$24,AJ$6+8,FALSE),"")</f>
        <v/>
      </c>
      <c r="AK10" s="14" t="str">
        <f ca="1">IF($A10&lt;&gt;"",VLOOKUP($B10,'Player Scoreboard'!$C$10:$BV$24,AK$6+8,FALSE),"")</f>
        <v/>
      </c>
      <c r="AL10" s="14" t="str">
        <f ca="1">IF($A10&lt;&gt;"",VLOOKUP($B10,'Player Scoreboard'!$C$10:$BV$24,AL$6+8,FALSE),"")</f>
        <v/>
      </c>
      <c r="AM10" s="14" t="str">
        <f ca="1">IF($A10&lt;&gt;"",VLOOKUP($B10,'Player Scoreboard'!$C$10:$BV$24,AM$6+8,FALSE),"")</f>
        <v/>
      </c>
      <c r="AN10" s="14" t="str">
        <f ca="1">IF($A10&lt;&gt;"",VLOOKUP($B10,'Player Scoreboard'!$C$10:$BV$24,AN$6+8,FALSE),"")</f>
        <v/>
      </c>
      <c r="AO10" s="14" t="str">
        <f ca="1">IF($A10&lt;&gt;"",VLOOKUP($B10,'Player Scoreboard'!$C$10:$BV$24,AO$6+8,FALSE),"")</f>
        <v/>
      </c>
      <c r="AP10" s="14" t="str">
        <f ca="1">IF($A10&lt;&gt;"",VLOOKUP($B10,'Player Scoreboard'!$C$10:$BV$24,AP$6+8,FALSE),"")</f>
        <v/>
      </c>
      <c r="AQ10" s="14" t="str">
        <f ca="1">IF($A10&lt;&gt;"",VLOOKUP($B10,'Player Scoreboard'!$C$10:$BV$24,AQ$6+8,FALSE),"")</f>
        <v/>
      </c>
      <c r="AR10" s="14" t="str">
        <f ca="1">IF($A10&lt;&gt;"",VLOOKUP($B10,'Player Scoreboard'!$C$10:$BV$24,AR$6+8,FALSE),"")</f>
        <v/>
      </c>
      <c r="AS10" s="14" t="str">
        <f ca="1">IF($A10&lt;&gt;"",VLOOKUP($B10,'Player Scoreboard'!$C$10:$BV$24,AS$6+8,FALSE),"")</f>
        <v/>
      </c>
      <c r="AT10" s="14" t="str">
        <f ca="1">IF($A10&lt;&gt;"",VLOOKUP($B10,'Player Scoreboard'!$C$10:$BV$24,AT$6+8,FALSE),"")</f>
        <v/>
      </c>
      <c r="AU10" s="14" t="str">
        <f ca="1">IF($A10&lt;&gt;"",VLOOKUP($B10,'Player Scoreboard'!$C$10:$BV$24,AU$6+8,FALSE),"")</f>
        <v/>
      </c>
      <c r="AV10" s="14" t="str">
        <f ca="1">IF($A10&lt;&gt;"",VLOOKUP($B10,'Player Scoreboard'!$C$10:$BV$24,AV$6+8,FALSE),"")</f>
        <v/>
      </c>
      <c r="AW10" s="14" t="str">
        <f ca="1">IF($A10&lt;&gt;"",VLOOKUP($B10,'Player Scoreboard'!$C$10:$BV$24,AW$6+8,FALSE),"")</f>
        <v/>
      </c>
      <c r="AX10" s="14" t="str">
        <f ca="1">IF($A10&lt;&gt;"",VLOOKUP($B10,'Player Scoreboard'!$C$10:$BV$24,AX$6+8,FALSE),"")</f>
        <v/>
      </c>
      <c r="AY10" s="14" t="str">
        <f ca="1">IF($A10&lt;&gt;"",VLOOKUP($B10,'Player Scoreboard'!$C$10:$BV$24,AY$6+8,FALSE),"")</f>
        <v/>
      </c>
      <c r="AZ10" s="14" t="str">
        <f ca="1">IF($A10&lt;&gt;"",VLOOKUP($B10,'Player Scoreboard'!$C$10:$BV$24,AZ$6+8,FALSE),"")</f>
        <v/>
      </c>
    </row>
    <row r="11" spans="1:52" ht="15" customHeight="1">
      <c r="A11" s="12">
        <f>IF('Player Name'!C8&lt;&gt;"",A10+1,"")</f>
        <v>3</v>
      </c>
      <c r="B11" s="13" t="str">
        <f ca="1">IF(A11&lt;&gt;"",VLOOKUP(A11,Dummy!$I$7:$N$106,6,FALSE),"")</f>
        <v>John 3</v>
      </c>
      <c r="C11" s="25">
        <f ca="1">IF($A11&lt;&gt;"",VLOOKUP($B11,'Player Scoreboard'!$C$10:$F$24,4,FALSE),"")</f>
        <v>0</v>
      </c>
      <c r="D11" s="12">
        <f ca="1">IF($A11&lt;&gt;"",VLOOKUP($B11,'Player Scoreboard'!$C$10:$G$24,5,FALSE),"")</f>
        <v>0</v>
      </c>
      <c r="E11" s="12" t="str">
        <f ca="1">IF($A11&lt;&gt;"",VLOOKUP($B11,'Player Scoreboard'!$C$10:$BV$24,E$6+8,FALSE),"")</f>
        <v/>
      </c>
      <c r="F11" s="12" t="str">
        <f ca="1">IF($A11&lt;&gt;"",VLOOKUP($B11,'Player Scoreboard'!$C$10:$BV$24,F$6+8,FALSE),"")</f>
        <v/>
      </c>
      <c r="G11" s="12" t="str">
        <f ca="1">IF($A11&lt;&gt;"",VLOOKUP($B11,'Player Scoreboard'!$C$10:$BV$24,G$6+8,FALSE),"")</f>
        <v/>
      </c>
      <c r="H11" s="12" t="str">
        <f ca="1">IF($A11&lt;&gt;"",VLOOKUP($B11,'Player Scoreboard'!$C$10:$BV$24,H$6+8,FALSE),"")</f>
        <v/>
      </c>
      <c r="I11" s="12" t="str">
        <f ca="1">IF($A11&lt;&gt;"",VLOOKUP($B11,'Player Scoreboard'!$C$10:$BV$24,I$6+8,FALSE),"")</f>
        <v/>
      </c>
      <c r="J11" s="12" t="str">
        <f ca="1">IF($A11&lt;&gt;"",VLOOKUP($B11,'Player Scoreboard'!$C$10:$BV$24,J$6+8,FALSE),"")</f>
        <v/>
      </c>
      <c r="K11" s="12" t="str">
        <f ca="1">IF($A11&lt;&gt;"",VLOOKUP($B11,'Player Scoreboard'!$C$10:$BV$24,K$6+8,FALSE),"")</f>
        <v/>
      </c>
      <c r="L11" s="12" t="str">
        <f ca="1">IF($A11&lt;&gt;"",VLOOKUP($B11,'Player Scoreboard'!$C$10:$BV$24,L$6+8,FALSE),"")</f>
        <v/>
      </c>
      <c r="M11" s="12" t="str">
        <f ca="1">IF($A11&lt;&gt;"",VLOOKUP($B11,'Player Scoreboard'!$C$10:$BV$24,M$6+8,FALSE),"")</f>
        <v/>
      </c>
      <c r="N11" s="12" t="str">
        <f ca="1">IF($A11&lt;&gt;"",VLOOKUP($B11,'Player Scoreboard'!$C$10:$BV$24,N$6+8,FALSE),"")</f>
        <v/>
      </c>
      <c r="O11" s="12" t="str">
        <f ca="1">IF($A11&lt;&gt;"",VLOOKUP($B11,'Player Scoreboard'!$C$10:$BV$24,O$6+8,FALSE),"")</f>
        <v/>
      </c>
      <c r="P11" s="12" t="str">
        <f ca="1">IF($A11&lt;&gt;"",VLOOKUP($B11,'Player Scoreboard'!$C$10:$BV$24,P$6+8,FALSE),"")</f>
        <v/>
      </c>
      <c r="Q11" s="12" t="str">
        <f ca="1">IF($A11&lt;&gt;"",VLOOKUP($B11,'Player Scoreboard'!$C$10:$BV$24,Q$6+8,FALSE),"")</f>
        <v/>
      </c>
      <c r="R11" s="12" t="str">
        <f ca="1">IF($A11&lt;&gt;"",VLOOKUP($B11,'Player Scoreboard'!$C$10:$BV$24,R$6+8,FALSE),"")</f>
        <v/>
      </c>
      <c r="S11" s="12" t="str">
        <f ca="1">IF($A11&lt;&gt;"",VLOOKUP($B11,'Player Scoreboard'!$C$10:$BV$24,S$6+8,FALSE),"")</f>
        <v/>
      </c>
      <c r="T11" s="12" t="str">
        <f ca="1">IF($A11&lt;&gt;"",VLOOKUP($B11,'Player Scoreboard'!$C$10:$BV$24,T$6+8,FALSE),"")</f>
        <v/>
      </c>
      <c r="U11" s="12" t="str">
        <f ca="1">IF($A11&lt;&gt;"",VLOOKUP($B11,'Player Scoreboard'!$C$10:$BV$24,U$6+8,FALSE),"")</f>
        <v/>
      </c>
      <c r="V11" s="12" t="str">
        <f ca="1">IF($A11&lt;&gt;"",VLOOKUP($B11,'Player Scoreboard'!$C$10:$BV$24,V$6+8,FALSE),"")</f>
        <v/>
      </c>
      <c r="W11" s="12" t="str">
        <f ca="1">IF($A11&lt;&gt;"",VLOOKUP($B11,'Player Scoreboard'!$C$10:$BV$24,W$6+8,FALSE),"")</f>
        <v/>
      </c>
      <c r="X11" s="12" t="str">
        <f ca="1">IF($A11&lt;&gt;"",VLOOKUP($B11,'Player Scoreboard'!$C$10:$BV$24,X$6+8,FALSE),"")</f>
        <v/>
      </c>
      <c r="Y11" s="12" t="str">
        <f ca="1">IF($A11&lt;&gt;"",VLOOKUP($B11,'Player Scoreboard'!$C$10:$BV$24,Y$6+8,FALSE),"")</f>
        <v/>
      </c>
      <c r="Z11" s="12" t="str">
        <f ca="1">IF($A11&lt;&gt;"",VLOOKUP($B11,'Player Scoreboard'!$C$10:$BV$24,Z$6+8,FALSE),"")</f>
        <v/>
      </c>
      <c r="AA11" s="12" t="str">
        <f ca="1">IF($A11&lt;&gt;"",VLOOKUP($B11,'Player Scoreboard'!$C$10:$BV$24,AA$6+8,FALSE),"")</f>
        <v/>
      </c>
      <c r="AB11" s="12" t="str">
        <f ca="1">IF($A11&lt;&gt;"",VLOOKUP($B11,'Player Scoreboard'!$C$10:$BV$24,AB$6+8,FALSE),"")</f>
        <v/>
      </c>
      <c r="AC11" s="12" t="str">
        <f ca="1">IF($A11&lt;&gt;"",VLOOKUP($B11,'Player Scoreboard'!$C$10:$BV$24,AC$6+8,FALSE),"")</f>
        <v/>
      </c>
      <c r="AD11" s="12" t="str">
        <f ca="1">IF($A11&lt;&gt;"",VLOOKUP($B11,'Player Scoreboard'!$C$10:$BV$24,AD$6+8,FALSE),"")</f>
        <v/>
      </c>
      <c r="AE11" s="12" t="str">
        <f ca="1">IF($A11&lt;&gt;"",VLOOKUP($B11,'Player Scoreboard'!$C$10:$BV$24,AE$6+8,FALSE),"")</f>
        <v/>
      </c>
      <c r="AF11" s="12" t="str">
        <f ca="1">IF($A11&lt;&gt;"",VLOOKUP($B11,'Player Scoreboard'!$C$10:$BV$24,AF$6+8,FALSE),"")</f>
        <v/>
      </c>
      <c r="AG11" s="12" t="str">
        <f ca="1">IF($A11&lt;&gt;"",VLOOKUP($B11,'Player Scoreboard'!$C$10:$BV$24,AG$6+8,FALSE),"")</f>
        <v/>
      </c>
      <c r="AH11" s="12" t="str">
        <f ca="1">IF($A11&lt;&gt;"",VLOOKUP($B11,'Player Scoreboard'!$C$10:$BV$24,AH$6+8,FALSE),"")</f>
        <v/>
      </c>
      <c r="AI11" s="12" t="str">
        <f ca="1">IF($A11&lt;&gt;"",VLOOKUP($B11,'Player Scoreboard'!$C$10:$BV$24,AI$6+8,FALSE),"")</f>
        <v/>
      </c>
      <c r="AJ11" s="12" t="str">
        <f ca="1">IF($A11&lt;&gt;"",VLOOKUP($B11,'Player Scoreboard'!$C$10:$BV$24,AJ$6+8,FALSE),"")</f>
        <v/>
      </c>
      <c r="AK11" s="12" t="str">
        <f ca="1">IF($A11&lt;&gt;"",VLOOKUP($B11,'Player Scoreboard'!$C$10:$BV$24,AK$6+8,FALSE),"")</f>
        <v/>
      </c>
      <c r="AL11" s="12" t="str">
        <f ca="1">IF($A11&lt;&gt;"",VLOOKUP($B11,'Player Scoreboard'!$C$10:$BV$24,AL$6+8,FALSE),"")</f>
        <v/>
      </c>
      <c r="AM11" s="12" t="str">
        <f ca="1">IF($A11&lt;&gt;"",VLOOKUP($B11,'Player Scoreboard'!$C$10:$BV$24,AM$6+8,FALSE),"")</f>
        <v/>
      </c>
      <c r="AN11" s="12" t="str">
        <f ca="1">IF($A11&lt;&gt;"",VLOOKUP($B11,'Player Scoreboard'!$C$10:$BV$24,AN$6+8,FALSE),"")</f>
        <v/>
      </c>
      <c r="AO11" s="12" t="str">
        <f ca="1">IF($A11&lt;&gt;"",VLOOKUP($B11,'Player Scoreboard'!$C$10:$BV$24,AO$6+8,FALSE),"")</f>
        <v/>
      </c>
      <c r="AP11" s="12" t="str">
        <f ca="1">IF($A11&lt;&gt;"",VLOOKUP($B11,'Player Scoreboard'!$C$10:$BV$24,AP$6+8,FALSE),"")</f>
        <v/>
      </c>
      <c r="AQ11" s="12" t="str">
        <f ca="1">IF($A11&lt;&gt;"",VLOOKUP($B11,'Player Scoreboard'!$C$10:$BV$24,AQ$6+8,FALSE),"")</f>
        <v/>
      </c>
      <c r="AR11" s="12" t="str">
        <f ca="1">IF($A11&lt;&gt;"",VLOOKUP($B11,'Player Scoreboard'!$C$10:$BV$24,AR$6+8,FALSE),"")</f>
        <v/>
      </c>
      <c r="AS11" s="12" t="str">
        <f ca="1">IF($A11&lt;&gt;"",VLOOKUP($B11,'Player Scoreboard'!$C$10:$BV$24,AS$6+8,FALSE),"")</f>
        <v/>
      </c>
      <c r="AT11" s="12" t="str">
        <f ca="1">IF($A11&lt;&gt;"",VLOOKUP($B11,'Player Scoreboard'!$C$10:$BV$24,AT$6+8,FALSE),"")</f>
        <v/>
      </c>
      <c r="AU11" s="12" t="str">
        <f ca="1">IF($A11&lt;&gt;"",VLOOKUP($B11,'Player Scoreboard'!$C$10:$BV$24,AU$6+8,FALSE),"")</f>
        <v/>
      </c>
      <c r="AV11" s="12" t="str">
        <f ca="1">IF($A11&lt;&gt;"",VLOOKUP($B11,'Player Scoreboard'!$C$10:$BV$24,AV$6+8,FALSE),"")</f>
        <v/>
      </c>
      <c r="AW11" s="12" t="str">
        <f ca="1">IF($A11&lt;&gt;"",VLOOKUP($B11,'Player Scoreboard'!$C$10:$BV$24,AW$6+8,FALSE),"")</f>
        <v/>
      </c>
      <c r="AX11" s="12" t="str">
        <f ca="1">IF($A11&lt;&gt;"",VLOOKUP($B11,'Player Scoreboard'!$C$10:$BV$24,AX$6+8,FALSE),"")</f>
        <v/>
      </c>
      <c r="AY11" s="12" t="str">
        <f ca="1">IF($A11&lt;&gt;"",VLOOKUP($B11,'Player Scoreboard'!$C$10:$BV$24,AY$6+8,FALSE),"")</f>
        <v/>
      </c>
      <c r="AZ11" s="12" t="str">
        <f ca="1">IF($A11&lt;&gt;"",VLOOKUP($B11,'Player Scoreboard'!$C$10:$BV$24,AZ$6+8,FALSE),"")</f>
        <v/>
      </c>
    </row>
    <row r="12" spans="1:52" ht="15" customHeight="1">
      <c r="A12" s="14">
        <f>IF('Player Name'!C9&lt;&gt;"",A11+1,"")</f>
        <v>4</v>
      </c>
      <c r="B12" s="15" t="str">
        <f ca="1">IF(A12&lt;&gt;"",VLOOKUP(A12,Dummy!$I$7:$N$106,6,FALSE),"")</f>
        <v>John 4</v>
      </c>
      <c r="C12" s="26">
        <f ca="1">IF($A12&lt;&gt;"",VLOOKUP($B12,'Player Scoreboard'!$C$10:$F$24,4,FALSE),"")</f>
        <v>0</v>
      </c>
      <c r="D12" s="14">
        <f ca="1">IF($A12&lt;&gt;"",VLOOKUP($B12,'Player Scoreboard'!$C$10:$G$24,5,FALSE),"")</f>
        <v>0</v>
      </c>
      <c r="E12" s="14" t="str">
        <f ca="1">IF($A12&lt;&gt;"",VLOOKUP($B12,'Player Scoreboard'!$C$10:$BV$24,E$6+8,FALSE),"")</f>
        <v/>
      </c>
      <c r="F12" s="14" t="str">
        <f ca="1">IF($A12&lt;&gt;"",VLOOKUP($B12,'Player Scoreboard'!$C$10:$BV$24,F$6+8,FALSE),"")</f>
        <v/>
      </c>
      <c r="G12" s="14" t="str">
        <f ca="1">IF($A12&lt;&gt;"",VLOOKUP($B12,'Player Scoreboard'!$C$10:$BV$24,G$6+8,FALSE),"")</f>
        <v/>
      </c>
      <c r="H12" s="14" t="str">
        <f ca="1">IF($A12&lt;&gt;"",VLOOKUP($B12,'Player Scoreboard'!$C$10:$BV$24,H$6+8,FALSE),"")</f>
        <v/>
      </c>
      <c r="I12" s="14" t="str">
        <f ca="1">IF($A12&lt;&gt;"",VLOOKUP($B12,'Player Scoreboard'!$C$10:$BV$24,I$6+8,FALSE),"")</f>
        <v/>
      </c>
      <c r="J12" s="14" t="str">
        <f ca="1">IF($A12&lt;&gt;"",VLOOKUP($B12,'Player Scoreboard'!$C$10:$BV$24,J$6+8,FALSE),"")</f>
        <v/>
      </c>
      <c r="K12" s="14" t="str">
        <f ca="1">IF($A12&lt;&gt;"",VLOOKUP($B12,'Player Scoreboard'!$C$10:$BV$24,K$6+8,FALSE),"")</f>
        <v/>
      </c>
      <c r="L12" s="14" t="str">
        <f ca="1">IF($A12&lt;&gt;"",VLOOKUP($B12,'Player Scoreboard'!$C$10:$BV$24,L$6+8,FALSE),"")</f>
        <v/>
      </c>
      <c r="M12" s="14" t="str">
        <f ca="1">IF($A12&lt;&gt;"",VLOOKUP($B12,'Player Scoreboard'!$C$10:$BV$24,M$6+8,FALSE),"")</f>
        <v/>
      </c>
      <c r="N12" s="14" t="str">
        <f ca="1">IF($A12&lt;&gt;"",VLOOKUP($B12,'Player Scoreboard'!$C$10:$BV$24,N$6+8,FALSE),"")</f>
        <v/>
      </c>
      <c r="O12" s="14" t="str">
        <f ca="1">IF($A12&lt;&gt;"",VLOOKUP($B12,'Player Scoreboard'!$C$10:$BV$24,O$6+8,FALSE),"")</f>
        <v/>
      </c>
      <c r="P12" s="14" t="str">
        <f ca="1">IF($A12&lt;&gt;"",VLOOKUP($B12,'Player Scoreboard'!$C$10:$BV$24,P$6+8,FALSE),"")</f>
        <v/>
      </c>
      <c r="Q12" s="14" t="str">
        <f ca="1">IF($A12&lt;&gt;"",VLOOKUP($B12,'Player Scoreboard'!$C$10:$BV$24,Q$6+8,FALSE),"")</f>
        <v/>
      </c>
      <c r="R12" s="14" t="str">
        <f ca="1">IF($A12&lt;&gt;"",VLOOKUP($B12,'Player Scoreboard'!$C$10:$BV$24,R$6+8,FALSE),"")</f>
        <v/>
      </c>
      <c r="S12" s="14" t="str">
        <f ca="1">IF($A12&lt;&gt;"",VLOOKUP($B12,'Player Scoreboard'!$C$10:$BV$24,S$6+8,FALSE),"")</f>
        <v/>
      </c>
      <c r="T12" s="14" t="str">
        <f ca="1">IF($A12&lt;&gt;"",VLOOKUP($B12,'Player Scoreboard'!$C$10:$BV$24,T$6+8,FALSE),"")</f>
        <v/>
      </c>
      <c r="U12" s="14" t="str">
        <f ca="1">IF($A12&lt;&gt;"",VLOOKUP($B12,'Player Scoreboard'!$C$10:$BV$24,U$6+8,FALSE),"")</f>
        <v/>
      </c>
      <c r="V12" s="14" t="str">
        <f ca="1">IF($A12&lt;&gt;"",VLOOKUP($B12,'Player Scoreboard'!$C$10:$BV$24,V$6+8,FALSE),"")</f>
        <v/>
      </c>
      <c r="W12" s="14" t="str">
        <f ca="1">IF($A12&lt;&gt;"",VLOOKUP($B12,'Player Scoreboard'!$C$10:$BV$24,W$6+8,FALSE),"")</f>
        <v/>
      </c>
      <c r="X12" s="14" t="str">
        <f ca="1">IF($A12&lt;&gt;"",VLOOKUP($B12,'Player Scoreboard'!$C$10:$BV$24,X$6+8,FALSE),"")</f>
        <v/>
      </c>
      <c r="Y12" s="14" t="str">
        <f ca="1">IF($A12&lt;&gt;"",VLOOKUP($B12,'Player Scoreboard'!$C$10:$BV$24,Y$6+8,FALSE),"")</f>
        <v/>
      </c>
      <c r="Z12" s="14" t="str">
        <f ca="1">IF($A12&lt;&gt;"",VLOOKUP($B12,'Player Scoreboard'!$C$10:$BV$24,Z$6+8,FALSE),"")</f>
        <v/>
      </c>
      <c r="AA12" s="14" t="str">
        <f ca="1">IF($A12&lt;&gt;"",VLOOKUP($B12,'Player Scoreboard'!$C$10:$BV$24,AA$6+8,FALSE),"")</f>
        <v/>
      </c>
      <c r="AB12" s="14" t="str">
        <f ca="1">IF($A12&lt;&gt;"",VLOOKUP($B12,'Player Scoreboard'!$C$10:$BV$24,AB$6+8,FALSE),"")</f>
        <v/>
      </c>
      <c r="AC12" s="14" t="str">
        <f ca="1">IF($A12&lt;&gt;"",VLOOKUP($B12,'Player Scoreboard'!$C$10:$BV$24,AC$6+8,FALSE),"")</f>
        <v/>
      </c>
      <c r="AD12" s="14" t="str">
        <f ca="1">IF($A12&lt;&gt;"",VLOOKUP($B12,'Player Scoreboard'!$C$10:$BV$24,AD$6+8,FALSE),"")</f>
        <v/>
      </c>
      <c r="AE12" s="14" t="str">
        <f ca="1">IF($A12&lt;&gt;"",VLOOKUP($B12,'Player Scoreboard'!$C$10:$BV$24,AE$6+8,FALSE),"")</f>
        <v/>
      </c>
      <c r="AF12" s="14" t="str">
        <f ca="1">IF($A12&lt;&gt;"",VLOOKUP($B12,'Player Scoreboard'!$C$10:$BV$24,AF$6+8,FALSE),"")</f>
        <v/>
      </c>
      <c r="AG12" s="14" t="str">
        <f ca="1">IF($A12&lt;&gt;"",VLOOKUP($B12,'Player Scoreboard'!$C$10:$BV$24,AG$6+8,FALSE),"")</f>
        <v/>
      </c>
      <c r="AH12" s="14" t="str">
        <f ca="1">IF($A12&lt;&gt;"",VLOOKUP($B12,'Player Scoreboard'!$C$10:$BV$24,AH$6+8,FALSE),"")</f>
        <v/>
      </c>
      <c r="AI12" s="14" t="str">
        <f ca="1">IF($A12&lt;&gt;"",VLOOKUP($B12,'Player Scoreboard'!$C$10:$BV$24,AI$6+8,FALSE),"")</f>
        <v/>
      </c>
      <c r="AJ12" s="14" t="str">
        <f ca="1">IF($A12&lt;&gt;"",VLOOKUP($B12,'Player Scoreboard'!$C$10:$BV$24,AJ$6+8,FALSE),"")</f>
        <v/>
      </c>
      <c r="AK12" s="14" t="str">
        <f ca="1">IF($A12&lt;&gt;"",VLOOKUP($B12,'Player Scoreboard'!$C$10:$BV$24,AK$6+8,FALSE),"")</f>
        <v/>
      </c>
      <c r="AL12" s="14" t="str">
        <f ca="1">IF($A12&lt;&gt;"",VLOOKUP($B12,'Player Scoreboard'!$C$10:$BV$24,AL$6+8,FALSE),"")</f>
        <v/>
      </c>
      <c r="AM12" s="14" t="str">
        <f ca="1">IF($A12&lt;&gt;"",VLOOKUP($B12,'Player Scoreboard'!$C$10:$BV$24,AM$6+8,FALSE),"")</f>
        <v/>
      </c>
      <c r="AN12" s="14" t="str">
        <f ca="1">IF($A12&lt;&gt;"",VLOOKUP($B12,'Player Scoreboard'!$C$10:$BV$24,AN$6+8,FALSE),"")</f>
        <v/>
      </c>
      <c r="AO12" s="14" t="str">
        <f ca="1">IF($A12&lt;&gt;"",VLOOKUP($B12,'Player Scoreboard'!$C$10:$BV$24,AO$6+8,FALSE),"")</f>
        <v/>
      </c>
      <c r="AP12" s="14" t="str">
        <f ca="1">IF($A12&lt;&gt;"",VLOOKUP($B12,'Player Scoreboard'!$C$10:$BV$24,AP$6+8,FALSE),"")</f>
        <v/>
      </c>
      <c r="AQ12" s="14" t="str">
        <f ca="1">IF($A12&lt;&gt;"",VLOOKUP($B12,'Player Scoreboard'!$C$10:$BV$24,AQ$6+8,FALSE),"")</f>
        <v/>
      </c>
      <c r="AR12" s="14" t="str">
        <f ca="1">IF($A12&lt;&gt;"",VLOOKUP($B12,'Player Scoreboard'!$C$10:$BV$24,AR$6+8,FALSE),"")</f>
        <v/>
      </c>
      <c r="AS12" s="14" t="str">
        <f ca="1">IF($A12&lt;&gt;"",VLOOKUP($B12,'Player Scoreboard'!$C$10:$BV$24,AS$6+8,FALSE),"")</f>
        <v/>
      </c>
      <c r="AT12" s="14" t="str">
        <f ca="1">IF($A12&lt;&gt;"",VLOOKUP($B12,'Player Scoreboard'!$C$10:$BV$24,AT$6+8,FALSE),"")</f>
        <v/>
      </c>
      <c r="AU12" s="14" t="str">
        <f ca="1">IF($A12&lt;&gt;"",VLOOKUP($B12,'Player Scoreboard'!$C$10:$BV$24,AU$6+8,FALSE),"")</f>
        <v/>
      </c>
      <c r="AV12" s="14" t="str">
        <f ca="1">IF($A12&lt;&gt;"",VLOOKUP($B12,'Player Scoreboard'!$C$10:$BV$24,AV$6+8,FALSE),"")</f>
        <v/>
      </c>
      <c r="AW12" s="14" t="str">
        <f ca="1">IF($A12&lt;&gt;"",VLOOKUP($B12,'Player Scoreboard'!$C$10:$BV$24,AW$6+8,FALSE),"")</f>
        <v/>
      </c>
      <c r="AX12" s="14" t="str">
        <f ca="1">IF($A12&lt;&gt;"",VLOOKUP($B12,'Player Scoreboard'!$C$10:$BV$24,AX$6+8,FALSE),"")</f>
        <v/>
      </c>
      <c r="AY12" s="14" t="str">
        <f ca="1">IF($A12&lt;&gt;"",VLOOKUP($B12,'Player Scoreboard'!$C$10:$BV$24,AY$6+8,FALSE),"")</f>
        <v/>
      </c>
      <c r="AZ12" s="14" t="str">
        <f ca="1">IF($A12&lt;&gt;"",VLOOKUP($B12,'Player Scoreboard'!$C$10:$BV$24,AZ$6+8,FALSE),"")</f>
        <v/>
      </c>
    </row>
    <row r="13" spans="1:52" ht="15" customHeight="1">
      <c r="A13" s="12">
        <f>IF('Player Name'!C10&lt;&gt;"",A12+1,"")</f>
        <v>5</v>
      </c>
      <c r="B13" s="13" t="str">
        <f ca="1">IF(A13&lt;&gt;"",VLOOKUP(A13,Dummy!$I$7:$N$106,6,FALSE),"")</f>
        <v>John 5</v>
      </c>
      <c r="C13" s="25">
        <f ca="1">IF($A13&lt;&gt;"",VLOOKUP($B13,'Player Scoreboard'!$C$10:$F$24,4,FALSE),"")</f>
        <v>0</v>
      </c>
      <c r="D13" s="12">
        <f ca="1">IF($A13&lt;&gt;"",VLOOKUP($B13,'Player Scoreboard'!$C$10:$G$24,5,FALSE),"")</f>
        <v>0</v>
      </c>
      <c r="E13" s="12" t="str">
        <f ca="1">IF($A13&lt;&gt;"",VLOOKUP($B13,'Player Scoreboard'!$C$10:$BV$24,E$6+8,FALSE),"")</f>
        <v/>
      </c>
      <c r="F13" s="12" t="str">
        <f ca="1">IF($A13&lt;&gt;"",VLOOKUP($B13,'Player Scoreboard'!$C$10:$BV$24,F$6+8,FALSE),"")</f>
        <v/>
      </c>
      <c r="G13" s="12" t="str">
        <f ca="1">IF($A13&lt;&gt;"",VLOOKUP($B13,'Player Scoreboard'!$C$10:$BV$24,G$6+8,FALSE),"")</f>
        <v/>
      </c>
      <c r="H13" s="12" t="str">
        <f ca="1">IF($A13&lt;&gt;"",VLOOKUP($B13,'Player Scoreboard'!$C$10:$BV$24,H$6+8,FALSE),"")</f>
        <v/>
      </c>
      <c r="I13" s="12" t="str">
        <f ca="1">IF($A13&lt;&gt;"",VLOOKUP($B13,'Player Scoreboard'!$C$10:$BV$24,I$6+8,FALSE),"")</f>
        <v/>
      </c>
      <c r="J13" s="12" t="str">
        <f ca="1">IF($A13&lt;&gt;"",VLOOKUP($B13,'Player Scoreboard'!$C$10:$BV$24,J$6+8,FALSE),"")</f>
        <v/>
      </c>
      <c r="K13" s="12" t="str">
        <f ca="1">IF($A13&lt;&gt;"",VLOOKUP($B13,'Player Scoreboard'!$C$10:$BV$24,K$6+8,FALSE),"")</f>
        <v/>
      </c>
      <c r="L13" s="12" t="str">
        <f ca="1">IF($A13&lt;&gt;"",VLOOKUP($B13,'Player Scoreboard'!$C$10:$BV$24,L$6+8,FALSE),"")</f>
        <v/>
      </c>
      <c r="M13" s="12" t="str">
        <f ca="1">IF($A13&lt;&gt;"",VLOOKUP($B13,'Player Scoreboard'!$C$10:$BV$24,M$6+8,FALSE),"")</f>
        <v/>
      </c>
      <c r="N13" s="12" t="str">
        <f ca="1">IF($A13&lt;&gt;"",VLOOKUP($B13,'Player Scoreboard'!$C$10:$BV$24,N$6+8,FALSE),"")</f>
        <v/>
      </c>
      <c r="O13" s="12" t="str">
        <f ca="1">IF($A13&lt;&gt;"",VLOOKUP($B13,'Player Scoreboard'!$C$10:$BV$24,O$6+8,FALSE),"")</f>
        <v/>
      </c>
      <c r="P13" s="12" t="str">
        <f ca="1">IF($A13&lt;&gt;"",VLOOKUP($B13,'Player Scoreboard'!$C$10:$BV$24,P$6+8,FALSE),"")</f>
        <v/>
      </c>
      <c r="Q13" s="12" t="str">
        <f ca="1">IF($A13&lt;&gt;"",VLOOKUP($B13,'Player Scoreboard'!$C$10:$BV$24,Q$6+8,FALSE),"")</f>
        <v/>
      </c>
      <c r="R13" s="12" t="str">
        <f ca="1">IF($A13&lt;&gt;"",VLOOKUP($B13,'Player Scoreboard'!$C$10:$BV$24,R$6+8,FALSE),"")</f>
        <v/>
      </c>
      <c r="S13" s="12" t="str">
        <f ca="1">IF($A13&lt;&gt;"",VLOOKUP($B13,'Player Scoreboard'!$C$10:$BV$24,S$6+8,FALSE),"")</f>
        <v/>
      </c>
      <c r="T13" s="12" t="str">
        <f ca="1">IF($A13&lt;&gt;"",VLOOKUP($B13,'Player Scoreboard'!$C$10:$BV$24,T$6+8,FALSE),"")</f>
        <v/>
      </c>
      <c r="U13" s="12" t="str">
        <f ca="1">IF($A13&lt;&gt;"",VLOOKUP($B13,'Player Scoreboard'!$C$10:$BV$24,U$6+8,FALSE),"")</f>
        <v/>
      </c>
      <c r="V13" s="12" t="str">
        <f ca="1">IF($A13&lt;&gt;"",VLOOKUP($B13,'Player Scoreboard'!$C$10:$BV$24,V$6+8,FALSE),"")</f>
        <v/>
      </c>
      <c r="W13" s="12" t="str">
        <f ca="1">IF($A13&lt;&gt;"",VLOOKUP($B13,'Player Scoreboard'!$C$10:$BV$24,W$6+8,FALSE),"")</f>
        <v/>
      </c>
      <c r="X13" s="12" t="str">
        <f ca="1">IF($A13&lt;&gt;"",VLOOKUP($B13,'Player Scoreboard'!$C$10:$BV$24,X$6+8,FALSE),"")</f>
        <v/>
      </c>
      <c r="Y13" s="12" t="str">
        <f ca="1">IF($A13&lt;&gt;"",VLOOKUP($B13,'Player Scoreboard'!$C$10:$BV$24,Y$6+8,FALSE),"")</f>
        <v/>
      </c>
      <c r="Z13" s="12" t="str">
        <f ca="1">IF($A13&lt;&gt;"",VLOOKUP($B13,'Player Scoreboard'!$C$10:$BV$24,Z$6+8,FALSE),"")</f>
        <v/>
      </c>
      <c r="AA13" s="12" t="str">
        <f ca="1">IF($A13&lt;&gt;"",VLOOKUP($B13,'Player Scoreboard'!$C$10:$BV$24,AA$6+8,FALSE),"")</f>
        <v/>
      </c>
      <c r="AB13" s="12" t="str">
        <f ca="1">IF($A13&lt;&gt;"",VLOOKUP($B13,'Player Scoreboard'!$C$10:$BV$24,AB$6+8,FALSE),"")</f>
        <v/>
      </c>
      <c r="AC13" s="12" t="str">
        <f ca="1">IF($A13&lt;&gt;"",VLOOKUP($B13,'Player Scoreboard'!$C$10:$BV$24,AC$6+8,FALSE),"")</f>
        <v/>
      </c>
      <c r="AD13" s="12" t="str">
        <f ca="1">IF($A13&lt;&gt;"",VLOOKUP($B13,'Player Scoreboard'!$C$10:$BV$24,AD$6+8,FALSE),"")</f>
        <v/>
      </c>
      <c r="AE13" s="12" t="str">
        <f ca="1">IF($A13&lt;&gt;"",VLOOKUP($B13,'Player Scoreboard'!$C$10:$BV$24,AE$6+8,FALSE),"")</f>
        <v/>
      </c>
      <c r="AF13" s="12" t="str">
        <f ca="1">IF($A13&lt;&gt;"",VLOOKUP($B13,'Player Scoreboard'!$C$10:$BV$24,AF$6+8,FALSE),"")</f>
        <v/>
      </c>
      <c r="AG13" s="12" t="str">
        <f ca="1">IF($A13&lt;&gt;"",VLOOKUP($B13,'Player Scoreboard'!$C$10:$BV$24,AG$6+8,FALSE),"")</f>
        <v/>
      </c>
      <c r="AH13" s="12" t="str">
        <f ca="1">IF($A13&lt;&gt;"",VLOOKUP($B13,'Player Scoreboard'!$C$10:$BV$24,AH$6+8,FALSE),"")</f>
        <v/>
      </c>
      <c r="AI13" s="12" t="str">
        <f ca="1">IF($A13&lt;&gt;"",VLOOKUP($B13,'Player Scoreboard'!$C$10:$BV$24,AI$6+8,FALSE),"")</f>
        <v/>
      </c>
      <c r="AJ13" s="12" t="str">
        <f ca="1">IF($A13&lt;&gt;"",VLOOKUP($B13,'Player Scoreboard'!$C$10:$BV$24,AJ$6+8,FALSE),"")</f>
        <v/>
      </c>
      <c r="AK13" s="12" t="str">
        <f ca="1">IF($A13&lt;&gt;"",VLOOKUP($B13,'Player Scoreboard'!$C$10:$BV$24,AK$6+8,FALSE),"")</f>
        <v/>
      </c>
      <c r="AL13" s="12" t="str">
        <f ca="1">IF($A13&lt;&gt;"",VLOOKUP($B13,'Player Scoreboard'!$C$10:$BV$24,AL$6+8,FALSE),"")</f>
        <v/>
      </c>
      <c r="AM13" s="12" t="str">
        <f ca="1">IF($A13&lt;&gt;"",VLOOKUP($B13,'Player Scoreboard'!$C$10:$BV$24,AM$6+8,FALSE),"")</f>
        <v/>
      </c>
      <c r="AN13" s="12" t="str">
        <f ca="1">IF($A13&lt;&gt;"",VLOOKUP($B13,'Player Scoreboard'!$C$10:$BV$24,AN$6+8,FALSE),"")</f>
        <v/>
      </c>
      <c r="AO13" s="12" t="str">
        <f ca="1">IF($A13&lt;&gt;"",VLOOKUP($B13,'Player Scoreboard'!$C$10:$BV$24,AO$6+8,FALSE),"")</f>
        <v/>
      </c>
      <c r="AP13" s="12" t="str">
        <f ca="1">IF($A13&lt;&gt;"",VLOOKUP($B13,'Player Scoreboard'!$C$10:$BV$24,AP$6+8,FALSE),"")</f>
        <v/>
      </c>
      <c r="AQ13" s="12" t="str">
        <f ca="1">IF($A13&lt;&gt;"",VLOOKUP($B13,'Player Scoreboard'!$C$10:$BV$24,AQ$6+8,FALSE),"")</f>
        <v/>
      </c>
      <c r="AR13" s="12" t="str">
        <f ca="1">IF($A13&lt;&gt;"",VLOOKUP($B13,'Player Scoreboard'!$C$10:$BV$24,AR$6+8,FALSE),"")</f>
        <v/>
      </c>
      <c r="AS13" s="12" t="str">
        <f ca="1">IF($A13&lt;&gt;"",VLOOKUP($B13,'Player Scoreboard'!$C$10:$BV$24,AS$6+8,FALSE),"")</f>
        <v/>
      </c>
      <c r="AT13" s="12" t="str">
        <f ca="1">IF($A13&lt;&gt;"",VLOOKUP($B13,'Player Scoreboard'!$C$10:$BV$24,AT$6+8,FALSE),"")</f>
        <v/>
      </c>
      <c r="AU13" s="12" t="str">
        <f ca="1">IF($A13&lt;&gt;"",VLOOKUP($B13,'Player Scoreboard'!$C$10:$BV$24,AU$6+8,FALSE),"")</f>
        <v/>
      </c>
      <c r="AV13" s="12" t="str">
        <f ca="1">IF($A13&lt;&gt;"",VLOOKUP($B13,'Player Scoreboard'!$C$10:$BV$24,AV$6+8,FALSE),"")</f>
        <v/>
      </c>
      <c r="AW13" s="12" t="str">
        <f ca="1">IF($A13&lt;&gt;"",VLOOKUP($B13,'Player Scoreboard'!$C$10:$BV$24,AW$6+8,FALSE),"")</f>
        <v/>
      </c>
      <c r="AX13" s="12" t="str">
        <f ca="1">IF($A13&lt;&gt;"",VLOOKUP($B13,'Player Scoreboard'!$C$10:$BV$24,AX$6+8,FALSE),"")</f>
        <v/>
      </c>
      <c r="AY13" s="12" t="str">
        <f ca="1">IF($A13&lt;&gt;"",VLOOKUP($B13,'Player Scoreboard'!$C$10:$BV$24,AY$6+8,FALSE),"")</f>
        <v/>
      </c>
      <c r="AZ13" s="12" t="str">
        <f ca="1">IF($A13&lt;&gt;"",VLOOKUP($B13,'Player Scoreboard'!$C$10:$BV$24,AZ$6+8,FALSE),"")</f>
        <v/>
      </c>
    </row>
    <row r="14" spans="1:52" ht="15" customHeight="1">
      <c r="A14" s="14">
        <f>IF('Player Name'!C11&lt;&gt;"",A13+1,"")</f>
        <v>6</v>
      </c>
      <c r="B14" s="15" t="str">
        <f ca="1">IF(A14&lt;&gt;"",VLOOKUP(A14,Dummy!$I$7:$N$106,6,FALSE),"")</f>
        <v>John 6</v>
      </c>
      <c r="C14" s="26">
        <f ca="1">IF($A14&lt;&gt;"",VLOOKUP($B14,'Player Scoreboard'!$C$10:$F$24,4,FALSE),"")</f>
        <v>0</v>
      </c>
      <c r="D14" s="14">
        <f ca="1">IF($A14&lt;&gt;"",VLOOKUP($B14,'Player Scoreboard'!$C$10:$G$24,5,FALSE),"")</f>
        <v>0</v>
      </c>
      <c r="E14" s="14" t="str">
        <f ca="1">IF($A14&lt;&gt;"",VLOOKUP($B14,'Player Scoreboard'!$C$10:$BV$24,E$6+8,FALSE),"")</f>
        <v/>
      </c>
      <c r="F14" s="14" t="str">
        <f ca="1">IF($A14&lt;&gt;"",VLOOKUP($B14,'Player Scoreboard'!$C$10:$BV$24,F$6+8,FALSE),"")</f>
        <v/>
      </c>
      <c r="G14" s="14" t="str">
        <f ca="1">IF($A14&lt;&gt;"",VLOOKUP($B14,'Player Scoreboard'!$C$10:$BV$24,G$6+8,FALSE),"")</f>
        <v/>
      </c>
      <c r="H14" s="14" t="str">
        <f ca="1">IF($A14&lt;&gt;"",VLOOKUP($B14,'Player Scoreboard'!$C$10:$BV$24,H$6+8,FALSE),"")</f>
        <v/>
      </c>
      <c r="I14" s="14" t="str">
        <f ca="1">IF($A14&lt;&gt;"",VLOOKUP($B14,'Player Scoreboard'!$C$10:$BV$24,I$6+8,FALSE),"")</f>
        <v/>
      </c>
      <c r="J14" s="14" t="str">
        <f ca="1">IF($A14&lt;&gt;"",VLOOKUP($B14,'Player Scoreboard'!$C$10:$BV$24,J$6+8,FALSE),"")</f>
        <v/>
      </c>
      <c r="K14" s="14" t="str">
        <f ca="1">IF($A14&lt;&gt;"",VLOOKUP($B14,'Player Scoreboard'!$C$10:$BV$24,K$6+8,FALSE),"")</f>
        <v/>
      </c>
      <c r="L14" s="14" t="str">
        <f ca="1">IF($A14&lt;&gt;"",VLOOKUP($B14,'Player Scoreboard'!$C$10:$BV$24,L$6+8,FALSE),"")</f>
        <v/>
      </c>
      <c r="M14" s="14" t="str">
        <f ca="1">IF($A14&lt;&gt;"",VLOOKUP($B14,'Player Scoreboard'!$C$10:$BV$24,M$6+8,FALSE),"")</f>
        <v/>
      </c>
      <c r="N14" s="14" t="str">
        <f ca="1">IF($A14&lt;&gt;"",VLOOKUP($B14,'Player Scoreboard'!$C$10:$BV$24,N$6+8,FALSE),"")</f>
        <v/>
      </c>
      <c r="O14" s="14" t="str">
        <f ca="1">IF($A14&lt;&gt;"",VLOOKUP($B14,'Player Scoreboard'!$C$10:$BV$24,O$6+8,FALSE),"")</f>
        <v/>
      </c>
      <c r="P14" s="14" t="str">
        <f ca="1">IF($A14&lt;&gt;"",VLOOKUP($B14,'Player Scoreboard'!$C$10:$BV$24,P$6+8,FALSE),"")</f>
        <v/>
      </c>
      <c r="Q14" s="14" t="str">
        <f ca="1">IF($A14&lt;&gt;"",VLOOKUP($B14,'Player Scoreboard'!$C$10:$BV$24,Q$6+8,FALSE),"")</f>
        <v/>
      </c>
      <c r="R14" s="14" t="str">
        <f ca="1">IF($A14&lt;&gt;"",VLOOKUP($B14,'Player Scoreboard'!$C$10:$BV$24,R$6+8,FALSE),"")</f>
        <v/>
      </c>
      <c r="S14" s="14" t="str">
        <f ca="1">IF($A14&lt;&gt;"",VLOOKUP($B14,'Player Scoreboard'!$C$10:$BV$24,S$6+8,FALSE),"")</f>
        <v/>
      </c>
      <c r="T14" s="14" t="str">
        <f ca="1">IF($A14&lt;&gt;"",VLOOKUP($B14,'Player Scoreboard'!$C$10:$BV$24,T$6+8,FALSE),"")</f>
        <v/>
      </c>
      <c r="U14" s="14" t="str">
        <f ca="1">IF($A14&lt;&gt;"",VLOOKUP($B14,'Player Scoreboard'!$C$10:$BV$24,U$6+8,FALSE),"")</f>
        <v/>
      </c>
      <c r="V14" s="14" t="str">
        <f ca="1">IF($A14&lt;&gt;"",VLOOKUP($B14,'Player Scoreboard'!$C$10:$BV$24,V$6+8,FALSE),"")</f>
        <v/>
      </c>
      <c r="W14" s="14" t="str">
        <f ca="1">IF($A14&lt;&gt;"",VLOOKUP($B14,'Player Scoreboard'!$C$10:$BV$24,W$6+8,FALSE),"")</f>
        <v/>
      </c>
      <c r="X14" s="14" t="str">
        <f ca="1">IF($A14&lt;&gt;"",VLOOKUP($B14,'Player Scoreboard'!$C$10:$BV$24,X$6+8,FALSE),"")</f>
        <v/>
      </c>
      <c r="Y14" s="14" t="str">
        <f ca="1">IF($A14&lt;&gt;"",VLOOKUP($B14,'Player Scoreboard'!$C$10:$BV$24,Y$6+8,FALSE),"")</f>
        <v/>
      </c>
      <c r="Z14" s="14" t="str">
        <f ca="1">IF($A14&lt;&gt;"",VLOOKUP($B14,'Player Scoreboard'!$C$10:$BV$24,Z$6+8,FALSE),"")</f>
        <v/>
      </c>
      <c r="AA14" s="14" t="str">
        <f ca="1">IF($A14&lt;&gt;"",VLOOKUP($B14,'Player Scoreboard'!$C$10:$BV$24,AA$6+8,FALSE),"")</f>
        <v/>
      </c>
      <c r="AB14" s="14" t="str">
        <f ca="1">IF($A14&lt;&gt;"",VLOOKUP($B14,'Player Scoreboard'!$C$10:$BV$24,AB$6+8,FALSE),"")</f>
        <v/>
      </c>
      <c r="AC14" s="14" t="str">
        <f ca="1">IF($A14&lt;&gt;"",VLOOKUP($B14,'Player Scoreboard'!$C$10:$BV$24,AC$6+8,FALSE),"")</f>
        <v/>
      </c>
      <c r="AD14" s="14" t="str">
        <f ca="1">IF($A14&lt;&gt;"",VLOOKUP($B14,'Player Scoreboard'!$C$10:$BV$24,AD$6+8,FALSE),"")</f>
        <v/>
      </c>
      <c r="AE14" s="14" t="str">
        <f ca="1">IF($A14&lt;&gt;"",VLOOKUP($B14,'Player Scoreboard'!$C$10:$BV$24,AE$6+8,FALSE),"")</f>
        <v/>
      </c>
      <c r="AF14" s="14" t="str">
        <f ca="1">IF($A14&lt;&gt;"",VLOOKUP($B14,'Player Scoreboard'!$C$10:$BV$24,AF$6+8,FALSE),"")</f>
        <v/>
      </c>
      <c r="AG14" s="14" t="str">
        <f ca="1">IF($A14&lt;&gt;"",VLOOKUP($B14,'Player Scoreboard'!$C$10:$BV$24,AG$6+8,FALSE),"")</f>
        <v/>
      </c>
      <c r="AH14" s="14" t="str">
        <f ca="1">IF($A14&lt;&gt;"",VLOOKUP($B14,'Player Scoreboard'!$C$10:$BV$24,AH$6+8,FALSE),"")</f>
        <v/>
      </c>
      <c r="AI14" s="14" t="str">
        <f ca="1">IF($A14&lt;&gt;"",VLOOKUP($B14,'Player Scoreboard'!$C$10:$BV$24,AI$6+8,FALSE),"")</f>
        <v/>
      </c>
      <c r="AJ14" s="14" t="str">
        <f ca="1">IF($A14&lt;&gt;"",VLOOKUP($B14,'Player Scoreboard'!$C$10:$BV$24,AJ$6+8,FALSE),"")</f>
        <v/>
      </c>
      <c r="AK14" s="14" t="str">
        <f ca="1">IF($A14&lt;&gt;"",VLOOKUP($B14,'Player Scoreboard'!$C$10:$BV$24,AK$6+8,FALSE),"")</f>
        <v/>
      </c>
      <c r="AL14" s="14" t="str">
        <f ca="1">IF($A14&lt;&gt;"",VLOOKUP($B14,'Player Scoreboard'!$C$10:$BV$24,AL$6+8,FALSE),"")</f>
        <v/>
      </c>
      <c r="AM14" s="14" t="str">
        <f ca="1">IF($A14&lt;&gt;"",VLOOKUP($B14,'Player Scoreboard'!$C$10:$BV$24,AM$6+8,FALSE),"")</f>
        <v/>
      </c>
      <c r="AN14" s="14" t="str">
        <f ca="1">IF($A14&lt;&gt;"",VLOOKUP($B14,'Player Scoreboard'!$C$10:$BV$24,AN$6+8,FALSE),"")</f>
        <v/>
      </c>
      <c r="AO14" s="14" t="str">
        <f ca="1">IF($A14&lt;&gt;"",VLOOKUP($B14,'Player Scoreboard'!$C$10:$BV$24,AO$6+8,FALSE),"")</f>
        <v/>
      </c>
      <c r="AP14" s="14" t="str">
        <f ca="1">IF($A14&lt;&gt;"",VLOOKUP($B14,'Player Scoreboard'!$C$10:$BV$24,AP$6+8,FALSE),"")</f>
        <v/>
      </c>
      <c r="AQ14" s="14" t="str">
        <f ca="1">IF($A14&lt;&gt;"",VLOOKUP($B14,'Player Scoreboard'!$C$10:$BV$24,AQ$6+8,FALSE),"")</f>
        <v/>
      </c>
      <c r="AR14" s="14" t="str">
        <f ca="1">IF($A14&lt;&gt;"",VLOOKUP($B14,'Player Scoreboard'!$C$10:$BV$24,AR$6+8,FALSE),"")</f>
        <v/>
      </c>
      <c r="AS14" s="14" t="str">
        <f ca="1">IF($A14&lt;&gt;"",VLOOKUP($B14,'Player Scoreboard'!$C$10:$BV$24,AS$6+8,FALSE),"")</f>
        <v/>
      </c>
      <c r="AT14" s="14" t="str">
        <f ca="1">IF($A14&lt;&gt;"",VLOOKUP($B14,'Player Scoreboard'!$C$10:$BV$24,AT$6+8,FALSE),"")</f>
        <v/>
      </c>
      <c r="AU14" s="14" t="str">
        <f ca="1">IF($A14&lt;&gt;"",VLOOKUP($B14,'Player Scoreboard'!$C$10:$BV$24,AU$6+8,FALSE),"")</f>
        <v/>
      </c>
      <c r="AV14" s="14" t="str">
        <f ca="1">IF($A14&lt;&gt;"",VLOOKUP($B14,'Player Scoreboard'!$C$10:$BV$24,AV$6+8,FALSE),"")</f>
        <v/>
      </c>
      <c r="AW14" s="14" t="str">
        <f ca="1">IF($A14&lt;&gt;"",VLOOKUP($B14,'Player Scoreboard'!$C$10:$BV$24,AW$6+8,FALSE),"")</f>
        <v/>
      </c>
      <c r="AX14" s="14" t="str">
        <f ca="1">IF($A14&lt;&gt;"",VLOOKUP($B14,'Player Scoreboard'!$C$10:$BV$24,AX$6+8,FALSE),"")</f>
        <v/>
      </c>
      <c r="AY14" s="14" t="str">
        <f ca="1">IF($A14&lt;&gt;"",VLOOKUP($B14,'Player Scoreboard'!$C$10:$BV$24,AY$6+8,FALSE),"")</f>
        <v/>
      </c>
      <c r="AZ14" s="14" t="str">
        <f ca="1">IF($A14&lt;&gt;"",VLOOKUP($B14,'Player Scoreboard'!$C$10:$BV$24,AZ$6+8,FALSE),"")</f>
        <v/>
      </c>
    </row>
    <row r="15" spans="1:52" ht="15" customHeight="1">
      <c r="A15" s="12">
        <f>IF('Player Name'!C12&lt;&gt;"",A14+1,"")</f>
        <v>7</v>
      </c>
      <c r="B15" s="13" t="str">
        <f ca="1">IF(A15&lt;&gt;"",VLOOKUP(A15,Dummy!$I$7:$N$106,6,FALSE),"")</f>
        <v>John 7</v>
      </c>
      <c r="C15" s="25">
        <f ca="1">IF($A15&lt;&gt;"",VLOOKUP($B15,'Player Scoreboard'!$C$10:$F$24,4,FALSE),"")</f>
        <v>0</v>
      </c>
      <c r="D15" s="12">
        <f ca="1">IF($A15&lt;&gt;"",VLOOKUP($B15,'Player Scoreboard'!$C$10:$G$24,5,FALSE),"")</f>
        <v>0</v>
      </c>
      <c r="E15" s="12" t="str">
        <f ca="1">IF($A15&lt;&gt;"",VLOOKUP($B15,'Player Scoreboard'!$C$10:$BV$24,E$6+8,FALSE),"")</f>
        <v/>
      </c>
      <c r="F15" s="12" t="str">
        <f ca="1">IF($A15&lt;&gt;"",VLOOKUP($B15,'Player Scoreboard'!$C$10:$BV$24,F$6+8,FALSE),"")</f>
        <v/>
      </c>
      <c r="G15" s="12" t="str">
        <f ca="1">IF($A15&lt;&gt;"",VLOOKUP($B15,'Player Scoreboard'!$C$10:$BV$24,G$6+8,FALSE),"")</f>
        <v/>
      </c>
      <c r="H15" s="12" t="str">
        <f ca="1">IF($A15&lt;&gt;"",VLOOKUP($B15,'Player Scoreboard'!$C$10:$BV$24,H$6+8,FALSE),"")</f>
        <v/>
      </c>
      <c r="I15" s="12" t="str">
        <f ca="1">IF($A15&lt;&gt;"",VLOOKUP($B15,'Player Scoreboard'!$C$10:$BV$24,I$6+8,FALSE),"")</f>
        <v/>
      </c>
      <c r="J15" s="12" t="str">
        <f ca="1">IF($A15&lt;&gt;"",VLOOKUP($B15,'Player Scoreboard'!$C$10:$BV$24,J$6+8,FALSE),"")</f>
        <v/>
      </c>
      <c r="K15" s="12" t="str">
        <f ca="1">IF($A15&lt;&gt;"",VLOOKUP($B15,'Player Scoreboard'!$C$10:$BV$24,K$6+8,FALSE),"")</f>
        <v/>
      </c>
      <c r="L15" s="12" t="str">
        <f ca="1">IF($A15&lt;&gt;"",VLOOKUP($B15,'Player Scoreboard'!$C$10:$BV$24,L$6+8,FALSE),"")</f>
        <v/>
      </c>
      <c r="M15" s="12" t="str">
        <f ca="1">IF($A15&lt;&gt;"",VLOOKUP($B15,'Player Scoreboard'!$C$10:$BV$24,M$6+8,FALSE),"")</f>
        <v/>
      </c>
      <c r="N15" s="12" t="str">
        <f ca="1">IF($A15&lt;&gt;"",VLOOKUP($B15,'Player Scoreboard'!$C$10:$BV$24,N$6+8,FALSE),"")</f>
        <v/>
      </c>
      <c r="O15" s="12" t="str">
        <f ca="1">IF($A15&lt;&gt;"",VLOOKUP($B15,'Player Scoreboard'!$C$10:$BV$24,O$6+8,FALSE),"")</f>
        <v/>
      </c>
      <c r="P15" s="12" t="str">
        <f ca="1">IF($A15&lt;&gt;"",VLOOKUP($B15,'Player Scoreboard'!$C$10:$BV$24,P$6+8,FALSE),"")</f>
        <v/>
      </c>
      <c r="Q15" s="12" t="str">
        <f ca="1">IF($A15&lt;&gt;"",VLOOKUP($B15,'Player Scoreboard'!$C$10:$BV$24,Q$6+8,FALSE),"")</f>
        <v/>
      </c>
      <c r="R15" s="12" t="str">
        <f ca="1">IF($A15&lt;&gt;"",VLOOKUP($B15,'Player Scoreboard'!$C$10:$BV$24,R$6+8,FALSE),"")</f>
        <v/>
      </c>
      <c r="S15" s="12" t="str">
        <f ca="1">IF($A15&lt;&gt;"",VLOOKUP($B15,'Player Scoreboard'!$C$10:$BV$24,S$6+8,FALSE),"")</f>
        <v/>
      </c>
      <c r="T15" s="12" t="str">
        <f ca="1">IF($A15&lt;&gt;"",VLOOKUP($B15,'Player Scoreboard'!$C$10:$BV$24,T$6+8,FALSE),"")</f>
        <v/>
      </c>
      <c r="U15" s="12" t="str">
        <f ca="1">IF($A15&lt;&gt;"",VLOOKUP($B15,'Player Scoreboard'!$C$10:$BV$24,U$6+8,FALSE),"")</f>
        <v/>
      </c>
      <c r="V15" s="12" t="str">
        <f ca="1">IF($A15&lt;&gt;"",VLOOKUP($B15,'Player Scoreboard'!$C$10:$BV$24,V$6+8,FALSE),"")</f>
        <v/>
      </c>
      <c r="W15" s="12" t="str">
        <f ca="1">IF($A15&lt;&gt;"",VLOOKUP($B15,'Player Scoreboard'!$C$10:$BV$24,W$6+8,FALSE),"")</f>
        <v/>
      </c>
      <c r="X15" s="12" t="str">
        <f ca="1">IF($A15&lt;&gt;"",VLOOKUP($B15,'Player Scoreboard'!$C$10:$BV$24,X$6+8,FALSE),"")</f>
        <v/>
      </c>
      <c r="Y15" s="12" t="str">
        <f ca="1">IF($A15&lt;&gt;"",VLOOKUP($B15,'Player Scoreboard'!$C$10:$BV$24,Y$6+8,FALSE),"")</f>
        <v/>
      </c>
      <c r="Z15" s="12" t="str">
        <f ca="1">IF($A15&lt;&gt;"",VLOOKUP($B15,'Player Scoreboard'!$C$10:$BV$24,Z$6+8,FALSE),"")</f>
        <v/>
      </c>
      <c r="AA15" s="12" t="str">
        <f ca="1">IF($A15&lt;&gt;"",VLOOKUP($B15,'Player Scoreboard'!$C$10:$BV$24,AA$6+8,FALSE),"")</f>
        <v/>
      </c>
      <c r="AB15" s="12" t="str">
        <f ca="1">IF($A15&lt;&gt;"",VLOOKUP($B15,'Player Scoreboard'!$C$10:$BV$24,AB$6+8,FALSE),"")</f>
        <v/>
      </c>
      <c r="AC15" s="12" t="str">
        <f ca="1">IF($A15&lt;&gt;"",VLOOKUP($B15,'Player Scoreboard'!$C$10:$BV$24,AC$6+8,FALSE),"")</f>
        <v/>
      </c>
      <c r="AD15" s="12" t="str">
        <f ca="1">IF($A15&lt;&gt;"",VLOOKUP($B15,'Player Scoreboard'!$C$10:$BV$24,AD$6+8,FALSE),"")</f>
        <v/>
      </c>
      <c r="AE15" s="12" t="str">
        <f ca="1">IF($A15&lt;&gt;"",VLOOKUP($B15,'Player Scoreboard'!$C$10:$BV$24,AE$6+8,FALSE),"")</f>
        <v/>
      </c>
      <c r="AF15" s="12" t="str">
        <f ca="1">IF($A15&lt;&gt;"",VLOOKUP($B15,'Player Scoreboard'!$C$10:$BV$24,AF$6+8,FALSE),"")</f>
        <v/>
      </c>
      <c r="AG15" s="12" t="str">
        <f ca="1">IF($A15&lt;&gt;"",VLOOKUP($B15,'Player Scoreboard'!$C$10:$BV$24,AG$6+8,FALSE),"")</f>
        <v/>
      </c>
      <c r="AH15" s="12" t="str">
        <f ca="1">IF($A15&lt;&gt;"",VLOOKUP($B15,'Player Scoreboard'!$C$10:$BV$24,AH$6+8,FALSE),"")</f>
        <v/>
      </c>
      <c r="AI15" s="12" t="str">
        <f ca="1">IF($A15&lt;&gt;"",VLOOKUP($B15,'Player Scoreboard'!$C$10:$BV$24,AI$6+8,FALSE),"")</f>
        <v/>
      </c>
      <c r="AJ15" s="12" t="str">
        <f ca="1">IF($A15&lt;&gt;"",VLOOKUP($B15,'Player Scoreboard'!$C$10:$BV$24,AJ$6+8,FALSE),"")</f>
        <v/>
      </c>
      <c r="AK15" s="12" t="str">
        <f ca="1">IF($A15&lt;&gt;"",VLOOKUP($B15,'Player Scoreboard'!$C$10:$BV$24,AK$6+8,FALSE),"")</f>
        <v/>
      </c>
      <c r="AL15" s="12" t="str">
        <f ca="1">IF($A15&lt;&gt;"",VLOOKUP($B15,'Player Scoreboard'!$C$10:$BV$24,AL$6+8,FALSE),"")</f>
        <v/>
      </c>
      <c r="AM15" s="12" t="str">
        <f ca="1">IF($A15&lt;&gt;"",VLOOKUP($B15,'Player Scoreboard'!$C$10:$BV$24,AM$6+8,FALSE),"")</f>
        <v/>
      </c>
      <c r="AN15" s="12" t="str">
        <f ca="1">IF($A15&lt;&gt;"",VLOOKUP($B15,'Player Scoreboard'!$C$10:$BV$24,AN$6+8,FALSE),"")</f>
        <v/>
      </c>
      <c r="AO15" s="12" t="str">
        <f ca="1">IF($A15&lt;&gt;"",VLOOKUP($B15,'Player Scoreboard'!$C$10:$BV$24,AO$6+8,FALSE),"")</f>
        <v/>
      </c>
      <c r="AP15" s="12" t="str">
        <f ca="1">IF($A15&lt;&gt;"",VLOOKUP($B15,'Player Scoreboard'!$C$10:$BV$24,AP$6+8,FALSE),"")</f>
        <v/>
      </c>
      <c r="AQ15" s="12" t="str">
        <f ca="1">IF($A15&lt;&gt;"",VLOOKUP($B15,'Player Scoreboard'!$C$10:$BV$24,AQ$6+8,FALSE),"")</f>
        <v/>
      </c>
      <c r="AR15" s="12" t="str">
        <f ca="1">IF($A15&lt;&gt;"",VLOOKUP($B15,'Player Scoreboard'!$C$10:$BV$24,AR$6+8,FALSE),"")</f>
        <v/>
      </c>
      <c r="AS15" s="12" t="str">
        <f ca="1">IF($A15&lt;&gt;"",VLOOKUP($B15,'Player Scoreboard'!$C$10:$BV$24,AS$6+8,FALSE),"")</f>
        <v/>
      </c>
      <c r="AT15" s="12" t="str">
        <f ca="1">IF($A15&lt;&gt;"",VLOOKUP($B15,'Player Scoreboard'!$C$10:$BV$24,AT$6+8,FALSE),"")</f>
        <v/>
      </c>
      <c r="AU15" s="12" t="str">
        <f ca="1">IF($A15&lt;&gt;"",VLOOKUP($B15,'Player Scoreboard'!$C$10:$BV$24,AU$6+8,FALSE),"")</f>
        <v/>
      </c>
      <c r="AV15" s="12" t="str">
        <f ca="1">IF($A15&lt;&gt;"",VLOOKUP($B15,'Player Scoreboard'!$C$10:$BV$24,AV$6+8,FALSE),"")</f>
        <v/>
      </c>
      <c r="AW15" s="12" t="str">
        <f ca="1">IF($A15&lt;&gt;"",VLOOKUP($B15,'Player Scoreboard'!$C$10:$BV$24,AW$6+8,FALSE),"")</f>
        <v/>
      </c>
      <c r="AX15" s="12" t="str">
        <f ca="1">IF($A15&lt;&gt;"",VLOOKUP($B15,'Player Scoreboard'!$C$10:$BV$24,AX$6+8,FALSE),"")</f>
        <v/>
      </c>
      <c r="AY15" s="12" t="str">
        <f ca="1">IF($A15&lt;&gt;"",VLOOKUP($B15,'Player Scoreboard'!$C$10:$BV$24,AY$6+8,FALSE),"")</f>
        <v/>
      </c>
      <c r="AZ15" s="12" t="str">
        <f ca="1">IF($A15&lt;&gt;"",VLOOKUP($B15,'Player Scoreboard'!$C$10:$BV$24,AZ$6+8,FALSE),"")</f>
        <v/>
      </c>
    </row>
    <row r="16" spans="1:52" ht="15" customHeight="1">
      <c r="A16" s="14">
        <f>IF('Player Name'!C13&lt;&gt;"",A15+1,"")</f>
        <v>8</v>
      </c>
      <c r="B16" s="15" t="str">
        <f ca="1">IF(A16&lt;&gt;"",VLOOKUP(A16,Dummy!$I$7:$N$106,6,FALSE),"")</f>
        <v>John 8</v>
      </c>
      <c r="C16" s="26">
        <f ca="1">IF($A16&lt;&gt;"",VLOOKUP($B16,'Player Scoreboard'!$C$10:$F$24,4,FALSE),"")</f>
        <v>0</v>
      </c>
      <c r="D16" s="14">
        <f ca="1">IF($A16&lt;&gt;"",VLOOKUP($B16,'Player Scoreboard'!$C$10:$G$24,5,FALSE),"")</f>
        <v>0</v>
      </c>
      <c r="E16" s="14" t="str">
        <f ca="1">IF($A16&lt;&gt;"",VLOOKUP($B16,'Player Scoreboard'!$C$10:$BV$24,E$6+8,FALSE),"")</f>
        <v/>
      </c>
      <c r="F16" s="14" t="str">
        <f ca="1">IF($A16&lt;&gt;"",VLOOKUP($B16,'Player Scoreboard'!$C$10:$BV$24,F$6+8,FALSE),"")</f>
        <v/>
      </c>
      <c r="G16" s="14" t="str">
        <f ca="1">IF($A16&lt;&gt;"",VLOOKUP($B16,'Player Scoreboard'!$C$10:$BV$24,G$6+8,FALSE),"")</f>
        <v/>
      </c>
      <c r="H16" s="14" t="str">
        <f ca="1">IF($A16&lt;&gt;"",VLOOKUP($B16,'Player Scoreboard'!$C$10:$BV$24,H$6+8,FALSE),"")</f>
        <v/>
      </c>
      <c r="I16" s="14" t="str">
        <f ca="1">IF($A16&lt;&gt;"",VLOOKUP($B16,'Player Scoreboard'!$C$10:$BV$24,I$6+8,FALSE),"")</f>
        <v/>
      </c>
      <c r="J16" s="14" t="str">
        <f ca="1">IF($A16&lt;&gt;"",VLOOKUP($B16,'Player Scoreboard'!$C$10:$BV$24,J$6+8,FALSE),"")</f>
        <v/>
      </c>
      <c r="K16" s="14" t="str">
        <f ca="1">IF($A16&lt;&gt;"",VLOOKUP($B16,'Player Scoreboard'!$C$10:$BV$24,K$6+8,FALSE),"")</f>
        <v/>
      </c>
      <c r="L16" s="14" t="str">
        <f ca="1">IF($A16&lt;&gt;"",VLOOKUP($B16,'Player Scoreboard'!$C$10:$BV$24,L$6+8,FALSE),"")</f>
        <v/>
      </c>
      <c r="M16" s="14" t="str">
        <f ca="1">IF($A16&lt;&gt;"",VLOOKUP($B16,'Player Scoreboard'!$C$10:$BV$24,M$6+8,FALSE),"")</f>
        <v/>
      </c>
      <c r="N16" s="14" t="str">
        <f ca="1">IF($A16&lt;&gt;"",VLOOKUP($B16,'Player Scoreboard'!$C$10:$BV$24,N$6+8,FALSE),"")</f>
        <v/>
      </c>
      <c r="O16" s="14" t="str">
        <f ca="1">IF($A16&lt;&gt;"",VLOOKUP($B16,'Player Scoreboard'!$C$10:$BV$24,O$6+8,FALSE),"")</f>
        <v/>
      </c>
      <c r="P16" s="14" t="str">
        <f ca="1">IF($A16&lt;&gt;"",VLOOKUP($B16,'Player Scoreboard'!$C$10:$BV$24,P$6+8,FALSE),"")</f>
        <v/>
      </c>
      <c r="Q16" s="14" t="str">
        <f ca="1">IF($A16&lt;&gt;"",VLOOKUP($B16,'Player Scoreboard'!$C$10:$BV$24,Q$6+8,FALSE),"")</f>
        <v/>
      </c>
      <c r="R16" s="14" t="str">
        <f ca="1">IF($A16&lt;&gt;"",VLOOKUP($B16,'Player Scoreboard'!$C$10:$BV$24,R$6+8,FALSE),"")</f>
        <v/>
      </c>
      <c r="S16" s="14" t="str">
        <f ca="1">IF($A16&lt;&gt;"",VLOOKUP($B16,'Player Scoreboard'!$C$10:$BV$24,S$6+8,FALSE),"")</f>
        <v/>
      </c>
      <c r="T16" s="14" t="str">
        <f ca="1">IF($A16&lt;&gt;"",VLOOKUP($B16,'Player Scoreboard'!$C$10:$BV$24,T$6+8,FALSE),"")</f>
        <v/>
      </c>
      <c r="U16" s="14" t="str">
        <f ca="1">IF($A16&lt;&gt;"",VLOOKUP($B16,'Player Scoreboard'!$C$10:$BV$24,U$6+8,FALSE),"")</f>
        <v/>
      </c>
      <c r="V16" s="14" t="str">
        <f ca="1">IF($A16&lt;&gt;"",VLOOKUP($B16,'Player Scoreboard'!$C$10:$BV$24,V$6+8,FALSE),"")</f>
        <v/>
      </c>
      <c r="W16" s="14" t="str">
        <f ca="1">IF($A16&lt;&gt;"",VLOOKUP($B16,'Player Scoreboard'!$C$10:$BV$24,W$6+8,FALSE),"")</f>
        <v/>
      </c>
      <c r="X16" s="14" t="str">
        <f ca="1">IF($A16&lt;&gt;"",VLOOKUP($B16,'Player Scoreboard'!$C$10:$BV$24,X$6+8,FALSE),"")</f>
        <v/>
      </c>
      <c r="Y16" s="14" t="str">
        <f ca="1">IF($A16&lt;&gt;"",VLOOKUP($B16,'Player Scoreboard'!$C$10:$BV$24,Y$6+8,FALSE),"")</f>
        <v/>
      </c>
      <c r="Z16" s="14" t="str">
        <f ca="1">IF($A16&lt;&gt;"",VLOOKUP($B16,'Player Scoreboard'!$C$10:$BV$24,Z$6+8,FALSE),"")</f>
        <v/>
      </c>
      <c r="AA16" s="14" t="str">
        <f ca="1">IF($A16&lt;&gt;"",VLOOKUP($B16,'Player Scoreboard'!$C$10:$BV$24,AA$6+8,FALSE),"")</f>
        <v/>
      </c>
      <c r="AB16" s="14" t="str">
        <f ca="1">IF($A16&lt;&gt;"",VLOOKUP($B16,'Player Scoreboard'!$C$10:$BV$24,AB$6+8,FALSE),"")</f>
        <v/>
      </c>
      <c r="AC16" s="14" t="str">
        <f ca="1">IF($A16&lt;&gt;"",VLOOKUP($B16,'Player Scoreboard'!$C$10:$BV$24,AC$6+8,FALSE),"")</f>
        <v/>
      </c>
      <c r="AD16" s="14" t="str">
        <f ca="1">IF($A16&lt;&gt;"",VLOOKUP($B16,'Player Scoreboard'!$C$10:$BV$24,AD$6+8,FALSE),"")</f>
        <v/>
      </c>
      <c r="AE16" s="14" t="str">
        <f ca="1">IF($A16&lt;&gt;"",VLOOKUP($B16,'Player Scoreboard'!$C$10:$BV$24,AE$6+8,FALSE),"")</f>
        <v/>
      </c>
      <c r="AF16" s="14" t="str">
        <f ca="1">IF($A16&lt;&gt;"",VLOOKUP($B16,'Player Scoreboard'!$C$10:$BV$24,AF$6+8,FALSE),"")</f>
        <v/>
      </c>
      <c r="AG16" s="14" t="str">
        <f ca="1">IF($A16&lt;&gt;"",VLOOKUP($B16,'Player Scoreboard'!$C$10:$BV$24,AG$6+8,FALSE),"")</f>
        <v/>
      </c>
      <c r="AH16" s="14" t="str">
        <f ca="1">IF($A16&lt;&gt;"",VLOOKUP($B16,'Player Scoreboard'!$C$10:$BV$24,AH$6+8,FALSE),"")</f>
        <v/>
      </c>
      <c r="AI16" s="14" t="str">
        <f ca="1">IF($A16&lt;&gt;"",VLOOKUP($B16,'Player Scoreboard'!$C$10:$BV$24,AI$6+8,FALSE),"")</f>
        <v/>
      </c>
      <c r="AJ16" s="14" t="str">
        <f ca="1">IF($A16&lt;&gt;"",VLOOKUP($B16,'Player Scoreboard'!$C$10:$BV$24,AJ$6+8,FALSE),"")</f>
        <v/>
      </c>
      <c r="AK16" s="14" t="str">
        <f ca="1">IF($A16&lt;&gt;"",VLOOKUP($B16,'Player Scoreboard'!$C$10:$BV$24,AK$6+8,FALSE),"")</f>
        <v/>
      </c>
      <c r="AL16" s="14" t="str">
        <f ca="1">IF($A16&lt;&gt;"",VLOOKUP($B16,'Player Scoreboard'!$C$10:$BV$24,AL$6+8,FALSE),"")</f>
        <v/>
      </c>
      <c r="AM16" s="14" t="str">
        <f ca="1">IF($A16&lt;&gt;"",VLOOKUP($B16,'Player Scoreboard'!$C$10:$BV$24,AM$6+8,FALSE),"")</f>
        <v/>
      </c>
      <c r="AN16" s="14" t="str">
        <f ca="1">IF($A16&lt;&gt;"",VLOOKUP($B16,'Player Scoreboard'!$C$10:$BV$24,AN$6+8,FALSE),"")</f>
        <v/>
      </c>
      <c r="AO16" s="14" t="str">
        <f ca="1">IF($A16&lt;&gt;"",VLOOKUP($B16,'Player Scoreboard'!$C$10:$BV$24,AO$6+8,FALSE),"")</f>
        <v/>
      </c>
      <c r="AP16" s="14" t="str">
        <f ca="1">IF($A16&lt;&gt;"",VLOOKUP($B16,'Player Scoreboard'!$C$10:$BV$24,AP$6+8,FALSE),"")</f>
        <v/>
      </c>
      <c r="AQ16" s="14" t="str">
        <f ca="1">IF($A16&lt;&gt;"",VLOOKUP($B16,'Player Scoreboard'!$C$10:$BV$24,AQ$6+8,FALSE),"")</f>
        <v/>
      </c>
      <c r="AR16" s="14" t="str">
        <f ca="1">IF($A16&lt;&gt;"",VLOOKUP($B16,'Player Scoreboard'!$C$10:$BV$24,AR$6+8,FALSE),"")</f>
        <v/>
      </c>
      <c r="AS16" s="14" t="str">
        <f ca="1">IF($A16&lt;&gt;"",VLOOKUP($B16,'Player Scoreboard'!$C$10:$BV$24,AS$6+8,FALSE),"")</f>
        <v/>
      </c>
      <c r="AT16" s="14" t="str">
        <f ca="1">IF($A16&lt;&gt;"",VLOOKUP($B16,'Player Scoreboard'!$C$10:$BV$24,AT$6+8,FALSE),"")</f>
        <v/>
      </c>
      <c r="AU16" s="14" t="str">
        <f ca="1">IF($A16&lt;&gt;"",VLOOKUP($B16,'Player Scoreboard'!$C$10:$BV$24,AU$6+8,FALSE),"")</f>
        <v/>
      </c>
      <c r="AV16" s="14" t="str">
        <f ca="1">IF($A16&lt;&gt;"",VLOOKUP($B16,'Player Scoreboard'!$C$10:$BV$24,AV$6+8,FALSE),"")</f>
        <v/>
      </c>
      <c r="AW16" s="14" t="str">
        <f ca="1">IF($A16&lt;&gt;"",VLOOKUP($B16,'Player Scoreboard'!$C$10:$BV$24,AW$6+8,FALSE),"")</f>
        <v/>
      </c>
      <c r="AX16" s="14" t="str">
        <f ca="1">IF($A16&lt;&gt;"",VLOOKUP($B16,'Player Scoreboard'!$C$10:$BV$24,AX$6+8,FALSE),"")</f>
        <v/>
      </c>
      <c r="AY16" s="14" t="str">
        <f ca="1">IF($A16&lt;&gt;"",VLOOKUP($B16,'Player Scoreboard'!$C$10:$BV$24,AY$6+8,FALSE),"")</f>
        <v/>
      </c>
      <c r="AZ16" s="14" t="str">
        <f ca="1">IF($A16&lt;&gt;"",VLOOKUP($B16,'Player Scoreboard'!$C$10:$BV$24,AZ$6+8,FALSE),"")</f>
        <v/>
      </c>
    </row>
    <row r="17" spans="1:52" ht="15" customHeight="1">
      <c r="A17" s="12">
        <f>IF('Player Name'!C14&lt;&gt;"",A16+1,"")</f>
        <v>9</v>
      </c>
      <c r="B17" s="13" t="str">
        <f ca="1">IF(A17&lt;&gt;"",VLOOKUP(A17,Dummy!$I$7:$N$106,6,FALSE),"")</f>
        <v>John 9</v>
      </c>
      <c r="C17" s="25">
        <f ca="1">IF($A17&lt;&gt;"",VLOOKUP($B17,'Player Scoreboard'!$C$10:$F$24,4,FALSE),"")</f>
        <v>0</v>
      </c>
      <c r="D17" s="12">
        <f ca="1">IF($A17&lt;&gt;"",VLOOKUP($B17,'Player Scoreboard'!$C$10:$G$24,5,FALSE),"")</f>
        <v>0</v>
      </c>
      <c r="E17" s="12" t="str">
        <f ca="1">IF($A17&lt;&gt;"",VLOOKUP($B17,'Player Scoreboard'!$C$10:$BV$24,E$6+8,FALSE),"")</f>
        <v/>
      </c>
      <c r="F17" s="12" t="str">
        <f ca="1">IF($A17&lt;&gt;"",VLOOKUP($B17,'Player Scoreboard'!$C$10:$BV$24,F$6+8,FALSE),"")</f>
        <v/>
      </c>
      <c r="G17" s="12" t="str">
        <f ca="1">IF($A17&lt;&gt;"",VLOOKUP($B17,'Player Scoreboard'!$C$10:$BV$24,G$6+8,FALSE),"")</f>
        <v/>
      </c>
      <c r="H17" s="12" t="str">
        <f ca="1">IF($A17&lt;&gt;"",VLOOKUP($B17,'Player Scoreboard'!$C$10:$BV$24,H$6+8,FALSE),"")</f>
        <v/>
      </c>
      <c r="I17" s="12" t="str">
        <f ca="1">IF($A17&lt;&gt;"",VLOOKUP($B17,'Player Scoreboard'!$C$10:$BV$24,I$6+8,FALSE),"")</f>
        <v/>
      </c>
      <c r="J17" s="12" t="str">
        <f ca="1">IF($A17&lt;&gt;"",VLOOKUP($B17,'Player Scoreboard'!$C$10:$BV$24,J$6+8,FALSE),"")</f>
        <v/>
      </c>
      <c r="K17" s="12" t="str">
        <f ca="1">IF($A17&lt;&gt;"",VLOOKUP($B17,'Player Scoreboard'!$C$10:$BV$24,K$6+8,FALSE),"")</f>
        <v/>
      </c>
      <c r="L17" s="12" t="str">
        <f ca="1">IF($A17&lt;&gt;"",VLOOKUP($B17,'Player Scoreboard'!$C$10:$BV$24,L$6+8,FALSE),"")</f>
        <v/>
      </c>
      <c r="M17" s="12" t="str">
        <f ca="1">IF($A17&lt;&gt;"",VLOOKUP($B17,'Player Scoreboard'!$C$10:$BV$24,M$6+8,FALSE),"")</f>
        <v/>
      </c>
      <c r="N17" s="12" t="str">
        <f ca="1">IF($A17&lt;&gt;"",VLOOKUP($B17,'Player Scoreboard'!$C$10:$BV$24,N$6+8,FALSE),"")</f>
        <v/>
      </c>
      <c r="O17" s="12" t="str">
        <f ca="1">IF($A17&lt;&gt;"",VLOOKUP($B17,'Player Scoreboard'!$C$10:$BV$24,O$6+8,FALSE),"")</f>
        <v/>
      </c>
      <c r="P17" s="12" t="str">
        <f ca="1">IF($A17&lt;&gt;"",VLOOKUP($B17,'Player Scoreboard'!$C$10:$BV$24,P$6+8,FALSE),"")</f>
        <v/>
      </c>
      <c r="Q17" s="12" t="str">
        <f ca="1">IF($A17&lt;&gt;"",VLOOKUP($B17,'Player Scoreboard'!$C$10:$BV$24,Q$6+8,FALSE),"")</f>
        <v/>
      </c>
      <c r="R17" s="12" t="str">
        <f ca="1">IF($A17&lt;&gt;"",VLOOKUP($B17,'Player Scoreboard'!$C$10:$BV$24,R$6+8,FALSE),"")</f>
        <v/>
      </c>
      <c r="S17" s="12" t="str">
        <f ca="1">IF($A17&lt;&gt;"",VLOOKUP($B17,'Player Scoreboard'!$C$10:$BV$24,S$6+8,FALSE),"")</f>
        <v/>
      </c>
      <c r="T17" s="12" t="str">
        <f ca="1">IF($A17&lt;&gt;"",VLOOKUP($B17,'Player Scoreboard'!$C$10:$BV$24,T$6+8,FALSE),"")</f>
        <v/>
      </c>
      <c r="U17" s="12" t="str">
        <f ca="1">IF($A17&lt;&gt;"",VLOOKUP($B17,'Player Scoreboard'!$C$10:$BV$24,U$6+8,FALSE),"")</f>
        <v/>
      </c>
      <c r="V17" s="12" t="str">
        <f ca="1">IF($A17&lt;&gt;"",VLOOKUP($B17,'Player Scoreboard'!$C$10:$BV$24,V$6+8,FALSE),"")</f>
        <v/>
      </c>
      <c r="W17" s="12" t="str">
        <f ca="1">IF($A17&lt;&gt;"",VLOOKUP($B17,'Player Scoreboard'!$C$10:$BV$24,W$6+8,FALSE),"")</f>
        <v/>
      </c>
      <c r="X17" s="12" t="str">
        <f ca="1">IF($A17&lt;&gt;"",VLOOKUP($B17,'Player Scoreboard'!$C$10:$BV$24,X$6+8,FALSE),"")</f>
        <v/>
      </c>
      <c r="Y17" s="12" t="str">
        <f ca="1">IF($A17&lt;&gt;"",VLOOKUP($B17,'Player Scoreboard'!$C$10:$BV$24,Y$6+8,FALSE),"")</f>
        <v/>
      </c>
      <c r="Z17" s="12" t="str">
        <f ca="1">IF($A17&lt;&gt;"",VLOOKUP($B17,'Player Scoreboard'!$C$10:$BV$24,Z$6+8,FALSE),"")</f>
        <v/>
      </c>
      <c r="AA17" s="12" t="str">
        <f ca="1">IF($A17&lt;&gt;"",VLOOKUP($B17,'Player Scoreboard'!$C$10:$BV$24,AA$6+8,FALSE),"")</f>
        <v/>
      </c>
      <c r="AB17" s="12" t="str">
        <f ca="1">IF($A17&lt;&gt;"",VLOOKUP($B17,'Player Scoreboard'!$C$10:$BV$24,AB$6+8,FALSE),"")</f>
        <v/>
      </c>
      <c r="AC17" s="12" t="str">
        <f ca="1">IF($A17&lt;&gt;"",VLOOKUP($B17,'Player Scoreboard'!$C$10:$BV$24,AC$6+8,FALSE),"")</f>
        <v/>
      </c>
      <c r="AD17" s="12" t="str">
        <f ca="1">IF($A17&lt;&gt;"",VLOOKUP($B17,'Player Scoreboard'!$C$10:$BV$24,AD$6+8,FALSE),"")</f>
        <v/>
      </c>
      <c r="AE17" s="12" t="str">
        <f ca="1">IF($A17&lt;&gt;"",VLOOKUP($B17,'Player Scoreboard'!$C$10:$BV$24,AE$6+8,FALSE),"")</f>
        <v/>
      </c>
      <c r="AF17" s="12" t="str">
        <f ca="1">IF($A17&lt;&gt;"",VLOOKUP($B17,'Player Scoreboard'!$C$10:$BV$24,AF$6+8,FALSE),"")</f>
        <v/>
      </c>
      <c r="AG17" s="12" t="str">
        <f ca="1">IF($A17&lt;&gt;"",VLOOKUP($B17,'Player Scoreboard'!$C$10:$BV$24,AG$6+8,FALSE),"")</f>
        <v/>
      </c>
      <c r="AH17" s="12" t="str">
        <f ca="1">IF($A17&lt;&gt;"",VLOOKUP($B17,'Player Scoreboard'!$C$10:$BV$24,AH$6+8,FALSE),"")</f>
        <v/>
      </c>
      <c r="AI17" s="12" t="str">
        <f ca="1">IF($A17&lt;&gt;"",VLOOKUP($B17,'Player Scoreboard'!$C$10:$BV$24,AI$6+8,FALSE),"")</f>
        <v/>
      </c>
      <c r="AJ17" s="12" t="str">
        <f ca="1">IF($A17&lt;&gt;"",VLOOKUP($B17,'Player Scoreboard'!$C$10:$BV$24,AJ$6+8,FALSE),"")</f>
        <v/>
      </c>
      <c r="AK17" s="12" t="str">
        <f ca="1">IF($A17&lt;&gt;"",VLOOKUP($B17,'Player Scoreboard'!$C$10:$BV$24,AK$6+8,FALSE),"")</f>
        <v/>
      </c>
      <c r="AL17" s="12" t="str">
        <f ca="1">IF($A17&lt;&gt;"",VLOOKUP($B17,'Player Scoreboard'!$C$10:$BV$24,AL$6+8,FALSE),"")</f>
        <v/>
      </c>
      <c r="AM17" s="12" t="str">
        <f ca="1">IF($A17&lt;&gt;"",VLOOKUP($B17,'Player Scoreboard'!$C$10:$BV$24,AM$6+8,FALSE),"")</f>
        <v/>
      </c>
      <c r="AN17" s="12" t="str">
        <f ca="1">IF($A17&lt;&gt;"",VLOOKUP($B17,'Player Scoreboard'!$C$10:$BV$24,AN$6+8,FALSE),"")</f>
        <v/>
      </c>
      <c r="AO17" s="12" t="str">
        <f ca="1">IF($A17&lt;&gt;"",VLOOKUP($B17,'Player Scoreboard'!$C$10:$BV$24,AO$6+8,FALSE),"")</f>
        <v/>
      </c>
      <c r="AP17" s="12" t="str">
        <f ca="1">IF($A17&lt;&gt;"",VLOOKUP($B17,'Player Scoreboard'!$C$10:$BV$24,AP$6+8,FALSE),"")</f>
        <v/>
      </c>
      <c r="AQ17" s="12" t="str">
        <f ca="1">IF($A17&lt;&gt;"",VLOOKUP($B17,'Player Scoreboard'!$C$10:$BV$24,AQ$6+8,FALSE),"")</f>
        <v/>
      </c>
      <c r="AR17" s="12" t="str">
        <f ca="1">IF($A17&lt;&gt;"",VLOOKUP($B17,'Player Scoreboard'!$C$10:$BV$24,AR$6+8,FALSE),"")</f>
        <v/>
      </c>
      <c r="AS17" s="12" t="str">
        <f ca="1">IF($A17&lt;&gt;"",VLOOKUP($B17,'Player Scoreboard'!$C$10:$BV$24,AS$6+8,FALSE),"")</f>
        <v/>
      </c>
      <c r="AT17" s="12" t="str">
        <f ca="1">IF($A17&lt;&gt;"",VLOOKUP($B17,'Player Scoreboard'!$C$10:$BV$24,AT$6+8,FALSE),"")</f>
        <v/>
      </c>
      <c r="AU17" s="12" t="str">
        <f ca="1">IF($A17&lt;&gt;"",VLOOKUP($B17,'Player Scoreboard'!$C$10:$BV$24,AU$6+8,FALSE),"")</f>
        <v/>
      </c>
      <c r="AV17" s="12" t="str">
        <f ca="1">IF($A17&lt;&gt;"",VLOOKUP($B17,'Player Scoreboard'!$C$10:$BV$24,AV$6+8,FALSE),"")</f>
        <v/>
      </c>
      <c r="AW17" s="12" t="str">
        <f ca="1">IF($A17&lt;&gt;"",VLOOKUP($B17,'Player Scoreboard'!$C$10:$BV$24,AW$6+8,FALSE),"")</f>
        <v/>
      </c>
      <c r="AX17" s="12" t="str">
        <f ca="1">IF($A17&lt;&gt;"",VLOOKUP($B17,'Player Scoreboard'!$C$10:$BV$24,AX$6+8,FALSE),"")</f>
        <v/>
      </c>
      <c r="AY17" s="12" t="str">
        <f ca="1">IF($A17&lt;&gt;"",VLOOKUP($B17,'Player Scoreboard'!$C$10:$BV$24,AY$6+8,FALSE),"")</f>
        <v/>
      </c>
      <c r="AZ17" s="12" t="str">
        <f ca="1">IF($A17&lt;&gt;"",VLOOKUP($B17,'Player Scoreboard'!$C$10:$BV$24,AZ$6+8,FALSE),"")</f>
        <v/>
      </c>
    </row>
    <row r="18" spans="1:52" ht="15" customHeight="1">
      <c r="A18" s="14">
        <f>IF('Player Name'!C15&lt;&gt;"",A17+1,"")</f>
        <v>10</v>
      </c>
      <c r="B18" s="15" t="str">
        <f ca="1">IF(A18&lt;&gt;"",VLOOKUP(A18,Dummy!$I$7:$N$106,6,FALSE),"")</f>
        <v>John 10</v>
      </c>
      <c r="C18" s="26">
        <f ca="1">IF($A18&lt;&gt;"",VLOOKUP($B18,'Player Scoreboard'!$C$10:$F$24,4,FALSE),"")</f>
        <v>0</v>
      </c>
      <c r="D18" s="14">
        <f ca="1">IF($A18&lt;&gt;"",VLOOKUP($B18,'Player Scoreboard'!$C$10:$G$24,5,FALSE),"")</f>
        <v>0</v>
      </c>
      <c r="E18" s="14" t="str">
        <f ca="1">IF($A18&lt;&gt;"",VLOOKUP($B18,'Player Scoreboard'!$C$10:$BV$24,E$6+8,FALSE),"")</f>
        <v/>
      </c>
      <c r="F18" s="14" t="str">
        <f ca="1">IF($A18&lt;&gt;"",VLOOKUP($B18,'Player Scoreboard'!$C$10:$BV$24,F$6+8,FALSE),"")</f>
        <v/>
      </c>
      <c r="G18" s="14" t="str">
        <f ca="1">IF($A18&lt;&gt;"",VLOOKUP($B18,'Player Scoreboard'!$C$10:$BV$24,G$6+8,FALSE),"")</f>
        <v/>
      </c>
      <c r="H18" s="14" t="str">
        <f ca="1">IF($A18&lt;&gt;"",VLOOKUP($B18,'Player Scoreboard'!$C$10:$BV$24,H$6+8,FALSE),"")</f>
        <v/>
      </c>
      <c r="I18" s="14" t="str">
        <f ca="1">IF($A18&lt;&gt;"",VLOOKUP($B18,'Player Scoreboard'!$C$10:$BV$24,I$6+8,FALSE),"")</f>
        <v/>
      </c>
      <c r="J18" s="14" t="str">
        <f ca="1">IF($A18&lt;&gt;"",VLOOKUP($B18,'Player Scoreboard'!$C$10:$BV$24,J$6+8,FALSE),"")</f>
        <v/>
      </c>
      <c r="K18" s="14" t="str">
        <f ca="1">IF($A18&lt;&gt;"",VLOOKUP($B18,'Player Scoreboard'!$C$10:$BV$24,K$6+8,FALSE),"")</f>
        <v/>
      </c>
      <c r="L18" s="14" t="str">
        <f ca="1">IF($A18&lt;&gt;"",VLOOKUP($B18,'Player Scoreboard'!$C$10:$BV$24,L$6+8,FALSE),"")</f>
        <v/>
      </c>
      <c r="M18" s="14" t="str">
        <f ca="1">IF($A18&lt;&gt;"",VLOOKUP($B18,'Player Scoreboard'!$C$10:$BV$24,M$6+8,FALSE),"")</f>
        <v/>
      </c>
      <c r="N18" s="14" t="str">
        <f ca="1">IF($A18&lt;&gt;"",VLOOKUP($B18,'Player Scoreboard'!$C$10:$BV$24,N$6+8,FALSE),"")</f>
        <v/>
      </c>
      <c r="O18" s="14" t="str">
        <f ca="1">IF($A18&lt;&gt;"",VLOOKUP($B18,'Player Scoreboard'!$C$10:$BV$24,O$6+8,FALSE),"")</f>
        <v/>
      </c>
      <c r="P18" s="14" t="str">
        <f ca="1">IF($A18&lt;&gt;"",VLOOKUP($B18,'Player Scoreboard'!$C$10:$BV$24,P$6+8,FALSE),"")</f>
        <v/>
      </c>
      <c r="Q18" s="14" t="str">
        <f ca="1">IF($A18&lt;&gt;"",VLOOKUP($B18,'Player Scoreboard'!$C$10:$BV$24,Q$6+8,FALSE),"")</f>
        <v/>
      </c>
      <c r="R18" s="14" t="str">
        <f ca="1">IF($A18&lt;&gt;"",VLOOKUP($B18,'Player Scoreboard'!$C$10:$BV$24,R$6+8,FALSE),"")</f>
        <v/>
      </c>
      <c r="S18" s="14" t="str">
        <f ca="1">IF($A18&lt;&gt;"",VLOOKUP($B18,'Player Scoreboard'!$C$10:$BV$24,S$6+8,FALSE),"")</f>
        <v/>
      </c>
      <c r="T18" s="14" t="str">
        <f ca="1">IF($A18&lt;&gt;"",VLOOKUP($B18,'Player Scoreboard'!$C$10:$BV$24,T$6+8,FALSE),"")</f>
        <v/>
      </c>
      <c r="U18" s="14" t="str">
        <f ca="1">IF($A18&lt;&gt;"",VLOOKUP($B18,'Player Scoreboard'!$C$10:$BV$24,U$6+8,FALSE),"")</f>
        <v/>
      </c>
      <c r="V18" s="14" t="str">
        <f ca="1">IF($A18&lt;&gt;"",VLOOKUP($B18,'Player Scoreboard'!$C$10:$BV$24,V$6+8,FALSE),"")</f>
        <v/>
      </c>
      <c r="W18" s="14" t="str">
        <f ca="1">IF($A18&lt;&gt;"",VLOOKUP($B18,'Player Scoreboard'!$C$10:$BV$24,W$6+8,FALSE),"")</f>
        <v/>
      </c>
      <c r="X18" s="14" t="str">
        <f ca="1">IF($A18&lt;&gt;"",VLOOKUP($B18,'Player Scoreboard'!$C$10:$BV$24,X$6+8,FALSE),"")</f>
        <v/>
      </c>
      <c r="Y18" s="14" t="str">
        <f ca="1">IF($A18&lt;&gt;"",VLOOKUP($B18,'Player Scoreboard'!$C$10:$BV$24,Y$6+8,FALSE),"")</f>
        <v/>
      </c>
      <c r="Z18" s="14" t="str">
        <f ca="1">IF($A18&lt;&gt;"",VLOOKUP($B18,'Player Scoreboard'!$C$10:$BV$24,Z$6+8,FALSE),"")</f>
        <v/>
      </c>
      <c r="AA18" s="14" t="str">
        <f ca="1">IF($A18&lt;&gt;"",VLOOKUP($B18,'Player Scoreboard'!$C$10:$BV$24,AA$6+8,FALSE),"")</f>
        <v/>
      </c>
      <c r="AB18" s="14" t="str">
        <f ca="1">IF($A18&lt;&gt;"",VLOOKUP($B18,'Player Scoreboard'!$C$10:$BV$24,AB$6+8,FALSE),"")</f>
        <v/>
      </c>
      <c r="AC18" s="14" t="str">
        <f ca="1">IF($A18&lt;&gt;"",VLOOKUP($B18,'Player Scoreboard'!$C$10:$BV$24,AC$6+8,FALSE),"")</f>
        <v/>
      </c>
      <c r="AD18" s="14" t="str">
        <f ca="1">IF($A18&lt;&gt;"",VLOOKUP($B18,'Player Scoreboard'!$C$10:$BV$24,AD$6+8,FALSE),"")</f>
        <v/>
      </c>
      <c r="AE18" s="14" t="str">
        <f ca="1">IF($A18&lt;&gt;"",VLOOKUP($B18,'Player Scoreboard'!$C$10:$BV$24,AE$6+8,FALSE),"")</f>
        <v/>
      </c>
      <c r="AF18" s="14" t="str">
        <f ca="1">IF($A18&lt;&gt;"",VLOOKUP($B18,'Player Scoreboard'!$C$10:$BV$24,AF$6+8,FALSE),"")</f>
        <v/>
      </c>
      <c r="AG18" s="14" t="str">
        <f ca="1">IF($A18&lt;&gt;"",VLOOKUP($B18,'Player Scoreboard'!$C$10:$BV$24,AG$6+8,FALSE),"")</f>
        <v/>
      </c>
      <c r="AH18" s="14" t="str">
        <f ca="1">IF($A18&lt;&gt;"",VLOOKUP($B18,'Player Scoreboard'!$C$10:$BV$24,AH$6+8,FALSE),"")</f>
        <v/>
      </c>
      <c r="AI18" s="14" t="str">
        <f ca="1">IF($A18&lt;&gt;"",VLOOKUP($B18,'Player Scoreboard'!$C$10:$BV$24,AI$6+8,FALSE),"")</f>
        <v/>
      </c>
      <c r="AJ18" s="14" t="str">
        <f ca="1">IF($A18&lt;&gt;"",VLOOKUP($B18,'Player Scoreboard'!$C$10:$BV$24,AJ$6+8,FALSE),"")</f>
        <v/>
      </c>
      <c r="AK18" s="14" t="str">
        <f ca="1">IF($A18&lt;&gt;"",VLOOKUP($B18,'Player Scoreboard'!$C$10:$BV$24,AK$6+8,FALSE),"")</f>
        <v/>
      </c>
      <c r="AL18" s="14" t="str">
        <f ca="1">IF($A18&lt;&gt;"",VLOOKUP($B18,'Player Scoreboard'!$C$10:$BV$24,AL$6+8,FALSE),"")</f>
        <v/>
      </c>
      <c r="AM18" s="14" t="str">
        <f ca="1">IF($A18&lt;&gt;"",VLOOKUP($B18,'Player Scoreboard'!$C$10:$BV$24,AM$6+8,FALSE),"")</f>
        <v/>
      </c>
      <c r="AN18" s="14" t="str">
        <f ca="1">IF($A18&lt;&gt;"",VLOOKUP($B18,'Player Scoreboard'!$C$10:$BV$24,AN$6+8,FALSE),"")</f>
        <v/>
      </c>
      <c r="AO18" s="14" t="str">
        <f ca="1">IF($A18&lt;&gt;"",VLOOKUP($B18,'Player Scoreboard'!$C$10:$BV$24,AO$6+8,FALSE),"")</f>
        <v/>
      </c>
      <c r="AP18" s="14" t="str">
        <f ca="1">IF($A18&lt;&gt;"",VLOOKUP($B18,'Player Scoreboard'!$C$10:$BV$24,AP$6+8,FALSE),"")</f>
        <v/>
      </c>
      <c r="AQ18" s="14" t="str">
        <f ca="1">IF($A18&lt;&gt;"",VLOOKUP($B18,'Player Scoreboard'!$C$10:$BV$24,AQ$6+8,FALSE),"")</f>
        <v/>
      </c>
      <c r="AR18" s="14" t="str">
        <f ca="1">IF($A18&lt;&gt;"",VLOOKUP($B18,'Player Scoreboard'!$C$10:$BV$24,AR$6+8,FALSE),"")</f>
        <v/>
      </c>
      <c r="AS18" s="14" t="str">
        <f ca="1">IF($A18&lt;&gt;"",VLOOKUP($B18,'Player Scoreboard'!$C$10:$BV$24,AS$6+8,FALSE),"")</f>
        <v/>
      </c>
      <c r="AT18" s="14" t="str">
        <f ca="1">IF($A18&lt;&gt;"",VLOOKUP($B18,'Player Scoreboard'!$C$10:$BV$24,AT$6+8,FALSE),"")</f>
        <v/>
      </c>
      <c r="AU18" s="14" t="str">
        <f ca="1">IF($A18&lt;&gt;"",VLOOKUP($B18,'Player Scoreboard'!$C$10:$BV$24,AU$6+8,FALSE),"")</f>
        <v/>
      </c>
      <c r="AV18" s="14" t="str">
        <f ca="1">IF($A18&lt;&gt;"",VLOOKUP($B18,'Player Scoreboard'!$C$10:$BV$24,AV$6+8,FALSE),"")</f>
        <v/>
      </c>
      <c r="AW18" s="14" t="str">
        <f ca="1">IF($A18&lt;&gt;"",VLOOKUP($B18,'Player Scoreboard'!$C$10:$BV$24,AW$6+8,FALSE),"")</f>
        <v/>
      </c>
      <c r="AX18" s="14" t="str">
        <f ca="1">IF($A18&lt;&gt;"",VLOOKUP($B18,'Player Scoreboard'!$C$10:$BV$24,AX$6+8,FALSE),"")</f>
        <v/>
      </c>
      <c r="AY18" s="14" t="str">
        <f ca="1">IF($A18&lt;&gt;"",VLOOKUP($B18,'Player Scoreboard'!$C$10:$BV$24,AY$6+8,FALSE),"")</f>
        <v/>
      </c>
      <c r="AZ18" s="14" t="str">
        <f ca="1">IF($A18&lt;&gt;"",VLOOKUP($B18,'Player Scoreboard'!$C$10:$BV$24,AZ$6+8,FALSE),"")</f>
        <v/>
      </c>
    </row>
    <row r="19" spans="1:52" ht="15" customHeight="1">
      <c r="A19" s="12">
        <f>IF('Player Name'!C16&lt;&gt;"",A18+1,"")</f>
        <v>11</v>
      </c>
      <c r="B19" s="13" t="str">
        <f ca="1">IF(A19&lt;&gt;"",VLOOKUP(A19,Dummy!$I$7:$N$106,6,FALSE),"")</f>
        <v>John 11</v>
      </c>
      <c r="C19" s="25">
        <f ca="1">IF($A19&lt;&gt;"",VLOOKUP($B19,'Player Scoreboard'!$C$10:$F$24,4,FALSE),"")</f>
        <v>0</v>
      </c>
      <c r="D19" s="12">
        <f ca="1">IF($A19&lt;&gt;"",VLOOKUP($B19,'Player Scoreboard'!$C$10:$G$24,5,FALSE),"")</f>
        <v>0</v>
      </c>
      <c r="E19" s="12" t="str">
        <f ca="1">IF($A19&lt;&gt;"",VLOOKUP($B19,'Player Scoreboard'!$C$10:$BV$24,E$6+8,FALSE),"")</f>
        <v/>
      </c>
      <c r="F19" s="12" t="str">
        <f ca="1">IF($A19&lt;&gt;"",VLOOKUP($B19,'Player Scoreboard'!$C$10:$BV$24,F$6+8,FALSE),"")</f>
        <v/>
      </c>
      <c r="G19" s="12" t="str">
        <f ca="1">IF($A19&lt;&gt;"",VLOOKUP($B19,'Player Scoreboard'!$C$10:$BV$24,G$6+8,FALSE),"")</f>
        <v/>
      </c>
      <c r="H19" s="12" t="str">
        <f ca="1">IF($A19&lt;&gt;"",VLOOKUP($B19,'Player Scoreboard'!$C$10:$BV$24,H$6+8,FALSE),"")</f>
        <v/>
      </c>
      <c r="I19" s="12" t="str">
        <f ca="1">IF($A19&lt;&gt;"",VLOOKUP($B19,'Player Scoreboard'!$C$10:$BV$24,I$6+8,FALSE),"")</f>
        <v/>
      </c>
      <c r="J19" s="12" t="str">
        <f ca="1">IF($A19&lt;&gt;"",VLOOKUP($B19,'Player Scoreboard'!$C$10:$BV$24,J$6+8,FALSE),"")</f>
        <v/>
      </c>
      <c r="K19" s="12" t="str">
        <f ca="1">IF($A19&lt;&gt;"",VLOOKUP($B19,'Player Scoreboard'!$C$10:$BV$24,K$6+8,FALSE),"")</f>
        <v/>
      </c>
      <c r="L19" s="12" t="str">
        <f ca="1">IF($A19&lt;&gt;"",VLOOKUP($B19,'Player Scoreboard'!$C$10:$BV$24,L$6+8,FALSE),"")</f>
        <v/>
      </c>
      <c r="M19" s="12" t="str">
        <f ca="1">IF($A19&lt;&gt;"",VLOOKUP($B19,'Player Scoreboard'!$C$10:$BV$24,M$6+8,FALSE),"")</f>
        <v/>
      </c>
      <c r="N19" s="12" t="str">
        <f ca="1">IF($A19&lt;&gt;"",VLOOKUP($B19,'Player Scoreboard'!$C$10:$BV$24,N$6+8,FALSE),"")</f>
        <v/>
      </c>
      <c r="O19" s="12" t="str">
        <f ca="1">IF($A19&lt;&gt;"",VLOOKUP($B19,'Player Scoreboard'!$C$10:$BV$24,O$6+8,FALSE),"")</f>
        <v/>
      </c>
      <c r="P19" s="12" t="str">
        <f ca="1">IF($A19&lt;&gt;"",VLOOKUP($B19,'Player Scoreboard'!$C$10:$BV$24,P$6+8,FALSE),"")</f>
        <v/>
      </c>
      <c r="Q19" s="12" t="str">
        <f ca="1">IF($A19&lt;&gt;"",VLOOKUP($B19,'Player Scoreboard'!$C$10:$BV$24,Q$6+8,FALSE),"")</f>
        <v/>
      </c>
      <c r="R19" s="12" t="str">
        <f ca="1">IF($A19&lt;&gt;"",VLOOKUP($B19,'Player Scoreboard'!$C$10:$BV$24,R$6+8,FALSE),"")</f>
        <v/>
      </c>
      <c r="S19" s="12" t="str">
        <f ca="1">IF($A19&lt;&gt;"",VLOOKUP($B19,'Player Scoreboard'!$C$10:$BV$24,S$6+8,FALSE),"")</f>
        <v/>
      </c>
      <c r="T19" s="12" t="str">
        <f ca="1">IF($A19&lt;&gt;"",VLOOKUP($B19,'Player Scoreboard'!$C$10:$BV$24,T$6+8,FALSE),"")</f>
        <v/>
      </c>
      <c r="U19" s="12" t="str">
        <f ca="1">IF($A19&lt;&gt;"",VLOOKUP($B19,'Player Scoreboard'!$C$10:$BV$24,U$6+8,FALSE),"")</f>
        <v/>
      </c>
      <c r="V19" s="12" t="str">
        <f ca="1">IF($A19&lt;&gt;"",VLOOKUP($B19,'Player Scoreboard'!$C$10:$BV$24,V$6+8,FALSE),"")</f>
        <v/>
      </c>
      <c r="W19" s="12" t="str">
        <f ca="1">IF($A19&lt;&gt;"",VLOOKUP($B19,'Player Scoreboard'!$C$10:$BV$24,W$6+8,FALSE),"")</f>
        <v/>
      </c>
      <c r="X19" s="12" t="str">
        <f ca="1">IF($A19&lt;&gt;"",VLOOKUP($B19,'Player Scoreboard'!$C$10:$BV$24,X$6+8,FALSE),"")</f>
        <v/>
      </c>
      <c r="Y19" s="12" t="str">
        <f ca="1">IF($A19&lt;&gt;"",VLOOKUP($B19,'Player Scoreboard'!$C$10:$BV$24,Y$6+8,FALSE),"")</f>
        <v/>
      </c>
      <c r="Z19" s="12" t="str">
        <f ca="1">IF($A19&lt;&gt;"",VLOOKUP($B19,'Player Scoreboard'!$C$10:$BV$24,Z$6+8,FALSE),"")</f>
        <v/>
      </c>
      <c r="AA19" s="12" t="str">
        <f ca="1">IF($A19&lt;&gt;"",VLOOKUP($B19,'Player Scoreboard'!$C$10:$BV$24,AA$6+8,FALSE),"")</f>
        <v/>
      </c>
      <c r="AB19" s="12" t="str">
        <f ca="1">IF($A19&lt;&gt;"",VLOOKUP($B19,'Player Scoreboard'!$C$10:$BV$24,AB$6+8,FALSE),"")</f>
        <v/>
      </c>
      <c r="AC19" s="12" t="str">
        <f ca="1">IF($A19&lt;&gt;"",VLOOKUP($B19,'Player Scoreboard'!$C$10:$BV$24,AC$6+8,FALSE),"")</f>
        <v/>
      </c>
      <c r="AD19" s="12" t="str">
        <f ca="1">IF($A19&lt;&gt;"",VLOOKUP($B19,'Player Scoreboard'!$C$10:$BV$24,AD$6+8,FALSE),"")</f>
        <v/>
      </c>
      <c r="AE19" s="12" t="str">
        <f ca="1">IF($A19&lt;&gt;"",VLOOKUP($B19,'Player Scoreboard'!$C$10:$BV$24,AE$6+8,FALSE),"")</f>
        <v/>
      </c>
      <c r="AF19" s="12" t="str">
        <f ca="1">IF($A19&lt;&gt;"",VLOOKUP($B19,'Player Scoreboard'!$C$10:$BV$24,AF$6+8,FALSE),"")</f>
        <v/>
      </c>
      <c r="AG19" s="12" t="str">
        <f ca="1">IF($A19&lt;&gt;"",VLOOKUP($B19,'Player Scoreboard'!$C$10:$BV$24,AG$6+8,FALSE),"")</f>
        <v/>
      </c>
      <c r="AH19" s="12" t="str">
        <f ca="1">IF($A19&lt;&gt;"",VLOOKUP($B19,'Player Scoreboard'!$C$10:$BV$24,AH$6+8,FALSE),"")</f>
        <v/>
      </c>
      <c r="AI19" s="12" t="str">
        <f ca="1">IF($A19&lt;&gt;"",VLOOKUP($B19,'Player Scoreboard'!$C$10:$BV$24,AI$6+8,FALSE),"")</f>
        <v/>
      </c>
      <c r="AJ19" s="12" t="str">
        <f ca="1">IF($A19&lt;&gt;"",VLOOKUP($B19,'Player Scoreboard'!$C$10:$BV$24,AJ$6+8,FALSE),"")</f>
        <v/>
      </c>
      <c r="AK19" s="12" t="str">
        <f ca="1">IF($A19&lt;&gt;"",VLOOKUP($B19,'Player Scoreboard'!$C$10:$BV$24,AK$6+8,FALSE),"")</f>
        <v/>
      </c>
      <c r="AL19" s="12" t="str">
        <f ca="1">IF($A19&lt;&gt;"",VLOOKUP($B19,'Player Scoreboard'!$C$10:$BV$24,AL$6+8,FALSE),"")</f>
        <v/>
      </c>
      <c r="AM19" s="12" t="str">
        <f ca="1">IF($A19&lt;&gt;"",VLOOKUP($B19,'Player Scoreboard'!$C$10:$BV$24,AM$6+8,FALSE),"")</f>
        <v/>
      </c>
      <c r="AN19" s="12" t="str">
        <f ca="1">IF($A19&lt;&gt;"",VLOOKUP($B19,'Player Scoreboard'!$C$10:$BV$24,AN$6+8,FALSE),"")</f>
        <v/>
      </c>
      <c r="AO19" s="12" t="str">
        <f ca="1">IF($A19&lt;&gt;"",VLOOKUP($B19,'Player Scoreboard'!$C$10:$BV$24,AO$6+8,FALSE),"")</f>
        <v/>
      </c>
      <c r="AP19" s="12" t="str">
        <f ca="1">IF($A19&lt;&gt;"",VLOOKUP($B19,'Player Scoreboard'!$C$10:$BV$24,AP$6+8,FALSE),"")</f>
        <v/>
      </c>
      <c r="AQ19" s="12" t="str">
        <f ca="1">IF($A19&lt;&gt;"",VLOOKUP($B19,'Player Scoreboard'!$C$10:$BV$24,AQ$6+8,FALSE),"")</f>
        <v/>
      </c>
      <c r="AR19" s="12" t="str">
        <f ca="1">IF($A19&lt;&gt;"",VLOOKUP($B19,'Player Scoreboard'!$C$10:$BV$24,AR$6+8,FALSE),"")</f>
        <v/>
      </c>
      <c r="AS19" s="12" t="str">
        <f ca="1">IF($A19&lt;&gt;"",VLOOKUP($B19,'Player Scoreboard'!$C$10:$BV$24,AS$6+8,FALSE),"")</f>
        <v/>
      </c>
      <c r="AT19" s="12" t="str">
        <f ca="1">IF($A19&lt;&gt;"",VLOOKUP($B19,'Player Scoreboard'!$C$10:$BV$24,AT$6+8,FALSE),"")</f>
        <v/>
      </c>
      <c r="AU19" s="12" t="str">
        <f ca="1">IF($A19&lt;&gt;"",VLOOKUP($B19,'Player Scoreboard'!$C$10:$BV$24,AU$6+8,FALSE),"")</f>
        <v/>
      </c>
      <c r="AV19" s="12" t="str">
        <f ca="1">IF($A19&lt;&gt;"",VLOOKUP($B19,'Player Scoreboard'!$C$10:$BV$24,AV$6+8,FALSE),"")</f>
        <v/>
      </c>
      <c r="AW19" s="12" t="str">
        <f ca="1">IF($A19&lt;&gt;"",VLOOKUP($B19,'Player Scoreboard'!$C$10:$BV$24,AW$6+8,FALSE),"")</f>
        <v/>
      </c>
      <c r="AX19" s="12" t="str">
        <f ca="1">IF($A19&lt;&gt;"",VLOOKUP($B19,'Player Scoreboard'!$C$10:$BV$24,AX$6+8,FALSE),"")</f>
        <v/>
      </c>
      <c r="AY19" s="12" t="str">
        <f ca="1">IF($A19&lt;&gt;"",VLOOKUP($B19,'Player Scoreboard'!$C$10:$BV$24,AY$6+8,FALSE),"")</f>
        <v/>
      </c>
      <c r="AZ19" s="12" t="str">
        <f ca="1">IF($A19&lt;&gt;"",VLOOKUP($B19,'Player Scoreboard'!$C$10:$BV$24,AZ$6+8,FALSE),"")</f>
        <v/>
      </c>
    </row>
    <row r="20" spans="1:52" ht="15" customHeight="1">
      <c r="A20" s="14">
        <f>IF('Player Name'!C17&lt;&gt;"",A19+1,"")</f>
        <v>12</v>
      </c>
      <c r="B20" s="15" t="str">
        <f ca="1">IF(A20&lt;&gt;"",VLOOKUP(A20,Dummy!$I$7:$N$106,6,FALSE),"")</f>
        <v>John 12</v>
      </c>
      <c r="C20" s="26">
        <f ca="1">IF($A20&lt;&gt;"",VLOOKUP($B20,'Player Scoreboard'!$C$10:$F$24,4,FALSE),"")</f>
        <v>0</v>
      </c>
      <c r="D20" s="14">
        <f ca="1">IF($A20&lt;&gt;"",VLOOKUP($B20,'Player Scoreboard'!$C$10:$G$24,5,FALSE),"")</f>
        <v>0</v>
      </c>
      <c r="E20" s="14" t="str">
        <f ca="1">IF($A20&lt;&gt;"",VLOOKUP($B20,'Player Scoreboard'!$C$10:$BV$24,E$6+8,FALSE),"")</f>
        <v/>
      </c>
      <c r="F20" s="14" t="str">
        <f ca="1">IF($A20&lt;&gt;"",VLOOKUP($B20,'Player Scoreboard'!$C$10:$BV$24,F$6+8,FALSE),"")</f>
        <v/>
      </c>
      <c r="G20" s="14" t="str">
        <f ca="1">IF($A20&lt;&gt;"",VLOOKUP($B20,'Player Scoreboard'!$C$10:$BV$24,G$6+8,FALSE),"")</f>
        <v/>
      </c>
      <c r="H20" s="14" t="str">
        <f ca="1">IF($A20&lt;&gt;"",VLOOKUP($B20,'Player Scoreboard'!$C$10:$BV$24,H$6+8,FALSE),"")</f>
        <v/>
      </c>
      <c r="I20" s="14" t="str">
        <f ca="1">IF($A20&lt;&gt;"",VLOOKUP($B20,'Player Scoreboard'!$C$10:$BV$24,I$6+8,FALSE),"")</f>
        <v/>
      </c>
      <c r="J20" s="14" t="str">
        <f ca="1">IF($A20&lt;&gt;"",VLOOKUP($B20,'Player Scoreboard'!$C$10:$BV$24,J$6+8,FALSE),"")</f>
        <v/>
      </c>
      <c r="K20" s="14" t="str">
        <f ca="1">IF($A20&lt;&gt;"",VLOOKUP($B20,'Player Scoreboard'!$C$10:$BV$24,K$6+8,FALSE),"")</f>
        <v/>
      </c>
      <c r="L20" s="14" t="str">
        <f ca="1">IF($A20&lt;&gt;"",VLOOKUP($B20,'Player Scoreboard'!$C$10:$BV$24,L$6+8,FALSE),"")</f>
        <v/>
      </c>
      <c r="M20" s="14" t="str">
        <f ca="1">IF($A20&lt;&gt;"",VLOOKUP($B20,'Player Scoreboard'!$C$10:$BV$24,M$6+8,FALSE),"")</f>
        <v/>
      </c>
      <c r="N20" s="14" t="str">
        <f ca="1">IF($A20&lt;&gt;"",VLOOKUP($B20,'Player Scoreboard'!$C$10:$BV$24,N$6+8,FALSE),"")</f>
        <v/>
      </c>
      <c r="O20" s="14" t="str">
        <f ca="1">IF($A20&lt;&gt;"",VLOOKUP($B20,'Player Scoreboard'!$C$10:$BV$24,O$6+8,FALSE),"")</f>
        <v/>
      </c>
      <c r="P20" s="14" t="str">
        <f ca="1">IF($A20&lt;&gt;"",VLOOKUP($B20,'Player Scoreboard'!$C$10:$BV$24,P$6+8,FALSE),"")</f>
        <v/>
      </c>
      <c r="Q20" s="14" t="str">
        <f ca="1">IF($A20&lt;&gt;"",VLOOKUP($B20,'Player Scoreboard'!$C$10:$BV$24,Q$6+8,FALSE),"")</f>
        <v/>
      </c>
      <c r="R20" s="14" t="str">
        <f ca="1">IF($A20&lt;&gt;"",VLOOKUP($B20,'Player Scoreboard'!$C$10:$BV$24,R$6+8,FALSE),"")</f>
        <v/>
      </c>
      <c r="S20" s="14" t="str">
        <f ca="1">IF($A20&lt;&gt;"",VLOOKUP($B20,'Player Scoreboard'!$C$10:$BV$24,S$6+8,FALSE),"")</f>
        <v/>
      </c>
      <c r="T20" s="14" t="str">
        <f ca="1">IF($A20&lt;&gt;"",VLOOKUP($B20,'Player Scoreboard'!$C$10:$BV$24,T$6+8,FALSE),"")</f>
        <v/>
      </c>
      <c r="U20" s="14" t="str">
        <f ca="1">IF($A20&lt;&gt;"",VLOOKUP($B20,'Player Scoreboard'!$C$10:$BV$24,U$6+8,FALSE),"")</f>
        <v/>
      </c>
      <c r="V20" s="14" t="str">
        <f ca="1">IF($A20&lt;&gt;"",VLOOKUP($B20,'Player Scoreboard'!$C$10:$BV$24,V$6+8,FALSE),"")</f>
        <v/>
      </c>
      <c r="W20" s="14" t="str">
        <f ca="1">IF($A20&lt;&gt;"",VLOOKUP($B20,'Player Scoreboard'!$C$10:$BV$24,W$6+8,FALSE),"")</f>
        <v/>
      </c>
      <c r="X20" s="14" t="str">
        <f ca="1">IF($A20&lt;&gt;"",VLOOKUP($B20,'Player Scoreboard'!$C$10:$BV$24,X$6+8,FALSE),"")</f>
        <v/>
      </c>
      <c r="Y20" s="14" t="str">
        <f ca="1">IF($A20&lt;&gt;"",VLOOKUP($B20,'Player Scoreboard'!$C$10:$BV$24,Y$6+8,FALSE),"")</f>
        <v/>
      </c>
      <c r="Z20" s="14" t="str">
        <f ca="1">IF($A20&lt;&gt;"",VLOOKUP($B20,'Player Scoreboard'!$C$10:$BV$24,Z$6+8,FALSE),"")</f>
        <v/>
      </c>
      <c r="AA20" s="14" t="str">
        <f ca="1">IF($A20&lt;&gt;"",VLOOKUP($B20,'Player Scoreboard'!$C$10:$BV$24,AA$6+8,FALSE),"")</f>
        <v/>
      </c>
      <c r="AB20" s="14" t="str">
        <f ca="1">IF($A20&lt;&gt;"",VLOOKUP($B20,'Player Scoreboard'!$C$10:$BV$24,AB$6+8,FALSE),"")</f>
        <v/>
      </c>
      <c r="AC20" s="14" t="str">
        <f ca="1">IF($A20&lt;&gt;"",VLOOKUP($B20,'Player Scoreboard'!$C$10:$BV$24,AC$6+8,FALSE),"")</f>
        <v/>
      </c>
      <c r="AD20" s="14" t="str">
        <f ca="1">IF($A20&lt;&gt;"",VLOOKUP($B20,'Player Scoreboard'!$C$10:$BV$24,AD$6+8,FALSE),"")</f>
        <v/>
      </c>
      <c r="AE20" s="14" t="str">
        <f ca="1">IF($A20&lt;&gt;"",VLOOKUP($B20,'Player Scoreboard'!$C$10:$BV$24,AE$6+8,FALSE),"")</f>
        <v/>
      </c>
      <c r="AF20" s="14" t="str">
        <f ca="1">IF($A20&lt;&gt;"",VLOOKUP($B20,'Player Scoreboard'!$C$10:$BV$24,AF$6+8,FALSE),"")</f>
        <v/>
      </c>
      <c r="AG20" s="14" t="str">
        <f ca="1">IF($A20&lt;&gt;"",VLOOKUP($B20,'Player Scoreboard'!$C$10:$BV$24,AG$6+8,FALSE),"")</f>
        <v/>
      </c>
      <c r="AH20" s="14" t="str">
        <f ca="1">IF($A20&lt;&gt;"",VLOOKUP($B20,'Player Scoreboard'!$C$10:$BV$24,AH$6+8,FALSE),"")</f>
        <v/>
      </c>
      <c r="AI20" s="14" t="str">
        <f ca="1">IF($A20&lt;&gt;"",VLOOKUP($B20,'Player Scoreboard'!$C$10:$BV$24,AI$6+8,FALSE),"")</f>
        <v/>
      </c>
      <c r="AJ20" s="14" t="str">
        <f ca="1">IF($A20&lt;&gt;"",VLOOKUP($B20,'Player Scoreboard'!$C$10:$BV$24,AJ$6+8,FALSE),"")</f>
        <v/>
      </c>
      <c r="AK20" s="14" t="str">
        <f ca="1">IF($A20&lt;&gt;"",VLOOKUP($B20,'Player Scoreboard'!$C$10:$BV$24,AK$6+8,FALSE),"")</f>
        <v/>
      </c>
      <c r="AL20" s="14" t="str">
        <f ca="1">IF($A20&lt;&gt;"",VLOOKUP($B20,'Player Scoreboard'!$C$10:$BV$24,AL$6+8,FALSE),"")</f>
        <v/>
      </c>
      <c r="AM20" s="14" t="str">
        <f ca="1">IF($A20&lt;&gt;"",VLOOKUP($B20,'Player Scoreboard'!$C$10:$BV$24,AM$6+8,FALSE),"")</f>
        <v/>
      </c>
      <c r="AN20" s="14" t="str">
        <f ca="1">IF($A20&lt;&gt;"",VLOOKUP($B20,'Player Scoreboard'!$C$10:$BV$24,AN$6+8,FALSE),"")</f>
        <v/>
      </c>
      <c r="AO20" s="14" t="str">
        <f ca="1">IF($A20&lt;&gt;"",VLOOKUP($B20,'Player Scoreboard'!$C$10:$BV$24,AO$6+8,FALSE),"")</f>
        <v/>
      </c>
      <c r="AP20" s="14" t="str">
        <f ca="1">IF($A20&lt;&gt;"",VLOOKUP($B20,'Player Scoreboard'!$C$10:$BV$24,AP$6+8,FALSE),"")</f>
        <v/>
      </c>
      <c r="AQ20" s="14" t="str">
        <f ca="1">IF($A20&lt;&gt;"",VLOOKUP($B20,'Player Scoreboard'!$C$10:$BV$24,AQ$6+8,FALSE),"")</f>
        <v/>
      </c>
      <c r="AR20" s="14" t="str">
        <f ca="1">IF($A20&lt;&gt;"",VLOOKUP($B20,'Player Scoreboard'!$C$10:$BV$24,AR$6+8,FALSE),"")</f>
        <v/>
      </c>
      <c r="AS20" s="14" t="str">
        <f ca="1">IF($A20&lt;&gt;"",VLOOKUP($B20,'Player Scoreboard'!$C$10:$BV$24,AS$6+8,FALSE),"")</f>
        <v/>
      </c>
      <c r="AT20" s="14" t="str">
        <f ca="1">IF($A20&lt;&gt;"",VLOOKUP($B20,'Player Scoreboard'!$C$10:$BV$24,AT$6+8,FALSE),"")</f>
        <v/>
      </c>
      <c r="AU20" s="14" t="str">
        <f ca="1">IF($A20&lt;&gt;"",VLOOKUP($B20,'Player Scoreboard'!$C$10:$BV$24,AU$6+8,FALSE),"")</f>
        <v/>
      </c>
      <c r="AV20" s="14" t="str">
        <f ca="1">IF($A20&lt;&gt;"",VLOOKUP($B20,'Player Scoreboard'!$C$10:$BV$24,AV$6+8,FALSE),"")</f>
        <v/>
      </c>
      <c r="AW20" s="14" t="str">
        <f ca="1">IF($A20&lt;&gt;"",VLOOKUP($B20,'Player Scoreboard'!$C$10:$BV$24,AW$6+8,FALSE),"")</f>
        <v/>
      </c>
      <c r="AX20" s="14" t="str">
        <f ca="1">IF($A20&lt;&gt;"",VLOOKUP($B20,'Player Scoreboard'!$C$10:$BV$24,AX$6+8,FALSE),"")</f>
        <v/>
      </c>
      <c r="AY20" s="14" t="str">
        <f ca="1">IF($A20&lt;&gt;"",VLOOKUP($B20,'Player Scoreboard'!$C$10:$BV$24,AY$6+8,FALSE),"")</f>
        <v/>
      </c>
      <c r="AZ20" s="14" t="str">
        <f ca="1">IF($A20&lt;&gt;"",VLOOKUP($B20,'Player Scoreboard'!$C$10:$BV$24,AZ$6+8,FALSE),"")</f>
        <v/>
      </c>
    </row>
    <row r="21" spans="1:52" ht="15" customHeight="1">
      <c r="A21" s="12">
        <f>IF('Player Name'!C18&lt;&gt;"",A20+1,"")</f>
        <v>13</v>
      </c>
      <c r="B21" s="13" t="str">
        <f ca="1">IF(A21&lt;&gt;"",VLOOKUP(A21,Dummy!$I$7:$N$106,6,FALSE),"")</f>
        <v>John 13</v>
      </c>
      <c r="C21" s="25">
        <f ca="1">IF($A21&lt;&gt;"",VLOOKUP($B21,'Player Scoreboard'!$C$10:$F$24,4,FALSE),"")</f>
        <v>0</v>
      </c>
      <c r="D21" s="12">
        <f ca="1">IF($A21&lt;&gt;"",VLOOKUP($B21,'Player Scoreboard'!$C$10:$G$24,5,FALSE),"")</f>
        <v>0</v>
      </c>
      <c r="E21" s="12" t="str">
        <f ca="1">IF($A21&lt;&gt;"",VLOOKUP($B21,'Player Scoreboard'!$C$10:$BV$24,E$6+8,FALSE),"")</f>
        <v/>
      </c>
      <c r="F21" s="12" t="str">
        <f ca="1">IF($A21&lt;&gt;"",VLOOKUP($B21,'Player Scoreboard'!$C$10:$BV$24,F$6+8,FALSE),"")</f>
        <v/>
      </c>
      <c r="G21" s="12" t="str">
        <f ca="1">IF($A21&lt;&gt;"",VLOOKUP($B21,'Player Scoreboard'!$C$10:$BV$24,G$6+8,FALSE),"")</f>
        <v/>
      </c>
      <c r="H21" s="12" t="str">
        <f ca="1">IF($A21&lt;&gt;"",VLOOKUP($B21,'Player Scoreboard'!$C$10:$BV$24,H$6+8,FALSE),"")</f>
        <v/>
      </c>
      <c r="I21" s="12" t="str">
        <f ca="1">IF($A21&lt;&gt;"",VLOOKUP($B21,'Player Scoreboard'!$C$10:$BV$24,I$6+8,FALSE),"")</f>
        <v/>
      </c>
      <c r="J21" s="12" t="str">
        <f ca="1">IF($A21&lt;&gt;"",VLOOKUP($B21,'Player Scoreboard'!$C$10:$BV$24,J$6+8,FALSE),"")</f>
        <v/>
      </c>
      <c r="K21" s="12" t="str">
        <f ca="1">IF($A21&lt;&gt;"",VLOOKUP($B21,'Player Scoreboard'!$C$10:$BV$24,K$6+8,FALSE),"")</f>
        <v/>
      </c>
      <c r="L21" s="12" t="str">
        <f ca="1">IF($A21&lt;&gt;"",VLOOKUP($B21,'Player Scoreboard'!$C$10:$BV$24,L$6+8,FALSE),"")</f>
        <v/>
      </c>
      <c r="M21" s="12" t="str">
        <f ca="1">IF($A21&lt;&gt;"",VLOOKUP($B21,'Player Scoreboard'!$C$10:$BV$24,M$6+8,FALSE),"")</f>
        <v/>
      </c>
      <c r="N21" s="12" t="str">
        <f ca="1">IF($A21&lt;&gt;"",VLOOKUP($B21,'Player Scoreboard'!$C$10:$BV$24,N$6+8,FALSE),"")</f>
        <v/>
      </c>
      <c r="O21" s="12" t="str">
        <f ca="1">IF($A21&lt;&gt;"",VLOOKUP($B21,'Player Scoreboard'!$C$10:$BV$24,O$6+8,FALSE),"")</f>
        <v/>
      </c>
      <c r="P21" s="12" t="str">
        <f ca="1">IF($A21&lt;&gt;"",VLOOKUP($B21,'Player Scoreboard'!$C$10:$BV$24,P$6+8,FALSE),"")</f>
        <v/>
      </c>
      <c r="Q21" s="12" t="str">
        <f ca="1">IF($A21&lt;&gt;"",VLOOKUP($B21,'Player Scoreboard'!$C$10:$BV$24,Q$6+8,FALSE),"")</f>
        <v/>
      </c>
      <c r="R21" s="12" t="str">
        <f ca="1">IF($A21&lt;&gt;"",VLOOKUP($B21,'Player Scoreboard'!$C$10:$BV$24,R$6+8,FALSE),"")</f>
        <v/>
      </c>
      <c r="S21" s="12" t="str">
        <f ca="1">IF($A21&lt;&gt;"",VLOOKUP($B21,'Player Scoreboard'!$C$10:$BV$24,S$6+8,FALSE),"")</f>
        <v/>
      </c>
      <c r="T21" s="12" t="str">
        <f ca="1">IF($A21&lt;&gt;"",VLOOKUP($B21,'Player Scoreboard'!$C$10:$BV$24,T$6+8,FALSE),"")</f>
        <v/>
      </c>
      <c r="U21" s="12" t="str">
        <f ca="1">IF($A21&lt;&gt;"",VLOOKUP($B21,'Player Scoreboard'!$C$10:$BV$24,U$6+8,FALSE),"")</f>
        <v/>
      </c>
      <c r="V21" s="12" t="str">
        <f ca="1">IF($A21&lt;&gt;"",VLOOKUP($B21,'Player Scoreboard'!$C$10:$BV$24,V$6+8,FALSE),"")</f>
        <v/>
      </c>
      <c r="W21" s="12" t="str">
        <f ca="1">IF($A21&lt;&gt;"",VLOOKUP($B21,'Player Scoreboard'!$C$10:$BV$24,W$6+8,FALSE),"")</f>
        <v/>
      </c>
      <c r="X21" s="12" t="str">
        <f ca="1">IF($A21&lt;&gt;"",VLOOKUP($B21,'Player Scoreboard'!$C$10:$BV$24,X$6+8,FALSE),"")</f>
        <v/>
      </c>
      <c r="Y21" s="12" t="str">
        <f ca="1">IF($A21&lt;&gt;"",VLOOKUP($B21,'Player Scoreboard'!$C$10:$BV$24,Y$6+8,FALSE),"")</f>
        <v/>
      </c>
      <c r="Z21" s="12" t="str">
        <f ca="1">IF($A21&lt;&gt;"",VLOOKUP($B21,'Player Scoreboard'!$C$10:$BV$24,Z$6+8,FALSE),"")</f>
        <v/>
      </c>
      <c r="AA21" s="12" t="str">
        <f ca="1">IF($A21&lt;&gt;"",VLOOKUP($B21,'Player Scoreboard'!$C$10:$BV$24,AA$6+8,FALSE),"")</f>
        <v/>
      </c>
      <c r="AB21" s="12" t="str">
        <f ca="1">IF($A21&lt;&gt;"",VLOOKUP($B21,'Player Scoreboard'!$C$10:$BV$24,AB$6+8,FALSE),"")</f>
        <v/>
      </c>
      <c r="AC21" s="12" t="str">
        <f ca="1">IF($A21&lt;&gt;"",VLOOKUP($B21,'Player Scoreboard'!$C$10:$BV$24,AC$6+8,FALSE),"")</f>
        <v/>
      </c>
      <c r="AD21" s="12" t="str">
        <f ca="1">IF($A21&lt;&gt;"",VLOOKUP($B21,'Player Scoreboard'!$C$10:$BV$24,AD$6+8,FALSE),"")</f>
        <v/>
      </c>
      <c r="AE21" s="12" t="str">
        <f ca="1">IF($A21&lt;&gt;"",VLOOKUP($B21,'Player Scoreboard'!$C$10:$BV$24,AE$6+8,FALSE),"")</f>
        <v/>
      </c>
      <c r="AF21" s="12" t="str">
        <f ca="1">IF($A21&lt;&gt;"",VLOOKUP($B21,'Player Scoreboard'!$C$10:$BV$24,AF$6+8,FALSE),"")</f>
        <v/>
      </c>
      <c r="AG21" s="12" t="str">
        <f ca="1">IF($A21&lt;&gt;"",VLOOKUP($B21,'Player Scoreboard'!$C$10:$BV$24,AG$6+8,FALSE),"")</f>
        <v/>
      </c>
      <c r="AH21" s="12" t="str">
        <f ca="1">IF($A21&lt;&gt;"",VLOOKUP($B21,'Player Scoreboard'!$C$10:$BV$24,AH$6+8,FALSE),"")</f>
        <v/>
      </c>
      <c r="AI21" s="12" t="str">
        <f ca="1">IF($A21&lt;&gt;"",VLOOKUP($B21,'Player Scoreboard'!$C$10:$BV$24,AI$6+8,FALSE),"")</f>
        <v/>
      </c>
      <c r="AJ21" s="12" t="str">
        <f ca="1">IF($A21&lt;&gt;"",VLOOKUP($B21,'Player Scoreboard'!$C$10:$BV$24,AJ$6+8,FALSE),"")</f>
        <v/>
      </c>
      <c r="AK21" s="12" t="str">
        <f ca="1">IF($A21&lt;&gt;"",VLOOKUP($B21,'Player Scoreboard'!$C$10:$BV$24,AK$6+8,FALSE),"")</f>
        <v/>
      </c>
      <c r="AL21" s="12" t="str">
        <f ca="1">IF($A21&lt;&gt;"",VLOOKUP($B21,'Player Scoreboard'!$C$10:$BV$24,AL$6+8,FALSE),"")</f>
        <v/>
      </c>
      <c r="AM21" s="12" t="str">
        <f ca="1">IF($A21&lt;&gt;"",VLOOKUP($B21,'Player Scoreboard'!$C$10:$BV$24,AM$6+8,FALSE),"")</f>
        <v/>
      </c>
      <c r="AN21" s="12" t="str">
        <f ca="1">IF($A21&lt;&gt;"",VLOOKUP($B21,'Player Scoreboard'!$C$10:$BV$24,AN$6+8,FALSE),"")</f>
        <v/>
      </c>
      <c r="AO21" s="12" t="str">
        <f ca="1">IF($A21&lt;&gt;"",VLOOKUP($B21,'Player Scoreboard'!$C$10:$BV$24,AO$6+8,FALSE),"")</f>
        <v/>
      </c>
      <c r="AP21" s="12" t="str">
        <f ca="1">IF($A21&lt;&gt;"",VLOOKUP($B21,'Player Scoreboard'!$C$10:$BV$24,AP$6+8,FALSE),"")</f>
        <v/>
      </c>
      <c r="AQ21" s="12" t="str">
        <f ca="1">IF($A21&lt;&gt;"",VLOOKUP($B21,'Player Scoreboard'!$C$10:$BV$24,AQ$6+8,FALSE),"")</f>
        <v/>
      </c>
      <c r="AR21" s="12" t="str">
        <f ca="1">IF($A21&lt;&gt;"",VLOOKUP($B21,'Player Scoreboard'!$C$10:$BV$24,AR$6+8,FALSE),"")</f>
        <v/>
      </c>
      <c r="AS21" s="12" t="str">
        <f ca="1">IF($A21&lt;&gt;"",VLOOKUP($B21,'Player Scoreboard'!$C$10:$BV$24,AS$6+8,FALSE),"")</f>
        <v/>
      </c>
      <c r="AT21" s="12" t="str">
        <f ca="1">IF($A21&lt;&gt;"",VLOOKUP($B21,'Player Scoreboard'!$C$10:$BV$24,AT$6+8,FALSE),"")</f>
        <v/>
      </c>
      <c r="AU21" s="12" t="str">
        <f ca="1">IF($A21&lt;&gt;"",VLOOKUP($B21,'Player Scoreboard'!$C$10:$BV$24,AU$6+8,FALSE),"")</f>
        <v/>
      </c>
      <c r="AV21" s="12" t="str">
        <f ca="1">IF($A21&lt;&gt;"",VLOOKUP($B21,'Player Scoreboard'!$C$10:$BV$24,AV$6+8,FALSE),"")</f>
        <v/>
      </c>
      <c r="AW21" s="12" t="str">
        <f ca="1">IF($A21&lt;&gt;"",VLOOKUP($B21,'Player Scoreboard'!$C$10:$BV$24,AW$6+8,FALSE),"")</f>
        <v/>
      </c>
      <c r="AX21" s="12" t="str">
        <f ca="1">IF($A21&lt;&gt;"",VLOOKUP($B21,'Player Scoreboard'!$C$10:$BV$24,AX$6+8,FALSE),"")</f>
        <v/>
      </c>
      <c r="AY21" s="12" t="str">
        <f ca="1">IF($A21&lt;&gt;"",VLOOKUP($B21,'Player Scoreboard'!$C$10:$BV$24,AY$6+8,FALSE),"")</f>
        <v/>
      </c>
      <c r="AZ21" s="12" t="str">
        <f ca="1">IF($A21&lt;&gt;"",VLOOKUP($B21,'Player Scoreboard'!$C$10:$BV$24,AZ$6+8,FALSE),"")</f>
        <v/>
      </c>
    </row>
    <row r="22" spans="1:52" ht="15" customHeight="1">
      <c r="A22" s="14">
        <f>IF('Player Name'!C19&lt;&gt;"",A21+1,"")</f>
        <v>14</v>
      </c>
      <c r="B22" s="15" t="str">
        <f ca="1">IF(A22&lt;&gt;"",VLOOKUP(A22,Dummy!$I$7:$N$106,6,FALSE),"")</f>
        <v>John 14</v>
      </c>
      <c r="C22" s="26">
        <f ca="1">IF($A22&lt;&gt;"",VLOOKUP($B22,'Player Scoreboard'!$C$10:$F$24,4,FALSE),"")</f>
        <v>0</v>
      </c>
      <c r="D22" s="14">
        <f ca="1">IF($A22&lt;&gt;"",VLOOKUP($B22,'Player Scoreboard'!$C$10:$G$24,5,FALSE),"")</f>
        <v>0</v>
      </c>
      <c r="E22" s="14" t="str">
        <f ca="1">IF($A22&lt;&gt;"",VLOOKUP($B22,'Player Scoreboard'!$C$10:$BV$24,E$6+8,FALSE),"")</f>
        <v/>
      </c>
      <c r="F22" s="14" t="str">
        <f ca="1">IF($A22&lt;&gt;"",VLOOKUP($B22,'Player Scoreboard'!$C$10:$BV$24,F$6+8,FALSE),"")</f>
        <v/>
      </c>
      <c r="G22" s="14" t="str">
        <f ca="1">IF($A22&lt;&gt;"",VLOOKUP($B22,'Player Scoreboard'!$C$10:$BV$24,G$6+8,FALSE),"")</f>
        <v/>
      </c>
      <c r="H22" s="14" t="str">
        <f ca="1">IF($A22&lt;&gt;"",VLOOKUP($B22,'Player Scoreboard'!$C$10:$BV$24,H$6+8,FALSE),"")</f>
        <v/>
      </c>
      <c r="I22" s="14" t="str">
        <f ca="1">IF($A22&lt;&gt;"",VLOOKUP($B22,'Player Scoreboard'!$C$10:$BV$24,I$6+8,FALSE),"")</f>
        <v/>
      </c>
      <c r="J22" s="14" t="str">
        <f ca="1">IF($A22&lt;&gt;"",VLOOKUP($B22,'Player Scoreboard'!$C$10:$BV$24,J$6+8,FALSE),"")</f>
        <v/>
      </c>
      <c r="K22" s="14" t="str">
        <f ca="1">IF($A22&lt;&gt;"",VLOOKUP($B22,'Player Scoreboard'!$C$10:$BV$24,K$6+8,FALSE),"")</f>
        <v/>
      </c>
      <c r="L22" s="14" t="str">
        <f ca="1">IF($A22&lt;&gt;"",VLOOKUP($B22,'Player Scoreboard'!$C$10:$BV$24,L$6+8,FALSE),"")</f>
        <v/>
      </c>
      <c r="M22" s="14" t="str">
        <f ca="1">IF($A22&lt;&gt;"",VLOOKUP($B22,'Player Scoreboard'!$C$10:$BV$24,M$6+8,FALSE),"")</f>
        <v/>
      </c>
      <c r="N22" s="14" t="str">
        <f ca="1">IF($A22&lt;&gt;"",VLOOKUP($B22,'Player Scoreboard'!$C$10:$BV$24,N$6+8,FALSE),"")</f>
        <v/>
      </c>
      <c r="O22" s="14" t="str">
        <f ca="1">IF($A22&lt;&gt;"",VLOOKUP($B22,'Player Scoreboard'!$C$10:$BV$24,O$6+8,FALSE),"")</f>
        <v/>
      </c>
      <c r="P22" s="14" t="str">
        <f ca="1">IF($A22&lt;&gt;"",VLOOKUP($B22,'Player Scoreboard'!$C$10:$BV$24,P$6+8,FALSE),"")</f>
        <v/>
      </c>
      <c r="Q22" s="14" t="str">
        <f ca="1">IF($A22&lt;&gt;"",VLOOKUP($B22,'Player Scoreboard'!$C$10:$BV$24,Q$6+8,FALSE),"")</f>
        <v/>
      </c>
      <c r="R22" s="14" t="str">
        <f ca="1">IF($A22&lt;&gt;"",VLOOKUP($B22,'Player Scoreboard'!$C$10:$BV$24,R$6+8,FALSE),"")</f>
        <v/>
      </c>
      <c r="S22" s="14" t="str">
        <f ca="1">IF($A22&lt;&gt;"",VLOOKUP($B22,'Player Scoreboard'!$C$10:$BV$24,S$6+8,FALSE),"")</f>
        <v/>
      </c>
      <c r="T22" s="14" t="str">
        <f ca="1">IF($A22&lt;&gt;"",VLOOKUP($B22,'Player Scoreboard'!$C$10:$BV$24,T$6+8,FALSE),"")</f>
        <v/>
      </c>
      <c r="U22" s="14" t="str">
        <f ca="1">IF($A22&lt;&gt;"",VLOOKUP($B22,'Player Scoreboard'!$C$10:$BV$24,U$6+8,FALSE),"")</f>
        <v/>
      </c>
      <c r="V22" s="14" t="str">
        <f ca="1">IF($A22&lt;&gt;"",VLOOKUP($B22,'Player Scoreboard'!$C$10:$BV$24,V$6+8,FALSE),"")</f>
        <v/>
      </c>
      <c r="W22" s="14" t="str">
        <f ca="1">IF($A22&lt;&gt;"",VLOOKUP($B22,'Player Scoreboard'!$C$10:$BV$24,W$6+8,FALSE),"")</f>
        <v/>
      </c>
      <c r="X22" s="14" t="str">
        <f ca="1">IF($A22&lt;&gt;"",VLOOKUP($B22,'Player Scoreboard'!$C$10:$BV$24,X$6+8,FALSE),"")</f>
        <v/>
      </c>
      <c r="Y22" s="14" t="str">
        <f ca="1">IF($A22&lt;&gt;"",VLOOKUP($B22,'Player Scoreboard'!$C$10:$BV$24,Y$6+8,FALSE),"")</f>
        <v/>
      </c>
      <c r="Z22" s="14" t="str">
        <f ca="1">IF($A22&lt;&gt;"",VLOOKUP($B22,'Player Scoreboard'!$C$10:$BV$24,Z$6+8,FALSE),"")</f>
        <v/>
      </c>
      <c r="AA22" s="14" t="str">
        <f ca="1">IF($A22&lt;&gt;"",VLOOKUP($B22,'Player Scoreboard'!$C$10:$BV$24,AA$6+8,FALSE),"")</f>
        <v/>
      </c>
      <c r="AB22" s="14" t="str">
        <f ca="1">IF($A22&lt;&gt;"",VLOOKUP($B22,'Player Scoreboard'!$C$10:$BV$24,AB$6+8,FALSE),"")</f>
        <v/>
      </c>
      <c r="AC22" s="14" t="str">
        <f ca="1">IF($A22&lt;&gt;"",VLOOKUP($B22,'Player Scoreboard'!$C$10:$BV$24,AC$6+8,FALSE),"")</f>
        <v/>
      </c>
      <c r="AD22" s="14" t="str">
        <f ca="1">IF($A22&lt;&gt;"",VLOOKUP($B22,'Player Scoreboard'!$C$10:$BV$24,AD$6+8,FALSE),"")</f>
        <v/>
      </c>
      <c r="AE22" s="14" t="str">
        <f ca="1">IF($A22&lt;&gt;"",VLOOKUP($B22,'Player Scoreboard'!$C$10:$BV$24,AE$6+8,FALSE),"")</f>
        <v/>
      </c>
      <c r="AF22" s="14" t="str">
        <f ca="1">IF($A22&lt;&gt;"",VLOOKUP($B22,'Player Scoreboard'!$C$10:$BV$24,AF$6+8,FALSE),"")</f>
        <v/>
      </c>
      <c r="AG22" s="14" t="str">
        <f ca="1">IF($A22&lt;&gt;"",VLOOKUP($B22,'Player Scoreboard'!$C$10:$BV$24,AG$6+8,FALSE),"")</f>
        <v/>
      </c>
      <c r="AH22" s="14" t="str">
        <f ca="1">IF($A22&lt;&gt;"",VLOOKUP($B22,'Player Scoreboard'!$C$10:$BV$24,AH$6+8,FALSE),"")</f>
        <v/>
      </c>
      <c r="AI22" s="14" t="str">
        <f ca="1">IF($A22&lt;&gt;"",VLOOKUP($B22,'Player Scoreboard'!$C$10:$BV$24,AI$6+8,FALSE),"")</f>
        <v/>
      </c>
      <c r="AJ22" s="14" t="str">
        <f ca="1">IF($A22&lt;&gt;"",VLOOKUP($B22,'Player Scoreboard'!$C$10:$BV$24,AJ$6+8,FALSE),"")</f>
        <v/>
      </c>
      <c r="AK22" s="14" t="str">
        <f ca="1">IF($A22&lt;&gt;"",VLOOKUP($B22,'Player Scoreboard'!$C$10:$BV$24,AK$6+8,FALSE),"")</f>
        <v/>
      </c>
      <c r="AL22" s="14" t="str">
        <f ca="1">IF($A22&lt;&gt;"",VLOOKUP($B22,'Player Scoreboard'!$C$10:$BV$24,AL$6+8,FALSE),"")</f>
        <v/>
      </c>
      <c r="AM22" s="14" t="str">
        <f ca="1">IF($A22&lt;&gt;"",VLOOKUP($B22,'Player Scoreboard'!$C$10:$BV$24,AM$6+8,FALSE),"")</f>
        <v/>
      </c>
      <c r="AN22" s="14" t="str">
        <f ca="1">IF($A22&lt;&gt;"",VLOOKUP($B22,'Player Scoreboard'!$C$10:$BV$24,AN$6+8,FALSE),"")</f>
        <v/>
      </c>
      <c r="AO22" s="14" t="str">
        <f ca="1">IF($A22&lt;&gt;"",VLOOKUP($B22,'Player Scoreboard'!$C$10:$BV$24,AO$6+8,FALSE),"")</f>
        <v/>
      </c>
      <c r="AP22" s="14" t="str">
        <f ca="1">IF($A22&lt;&gt;"",VLOOKUP($B22,'Player Scoreboard'!$C$10:$BV$24,AP$6+8,FALSE),"")</f>
        <v/>
      </c>
      <c r="AQ22" s="14" t="str">
        <f ca="1">IF($A22&lt;&gt;"",VLOOKUP($B22,'Player Scoreboard'!$C$10:$BV$24,AQ$6+8,FALSE),"")</f>
        <v/>
      </c>
      <c r="AR22" s="14" t="str">
        <f ca="1">IF($A22&lt;&gt;"",VLOOKUP($B22,'Player Scoreboard'!$C$10:$BV$24,AR$6+8,FALSE),"")</f>
        <v/>
      </c>
      <c r="AS22" s="14" t="str">
        <f ca="1">IF($A22&lt;&gt;"",VLOOKUP($B22,'Player Scoreboard'!$C$10:$BV$24,AS$6+8,FALSE),"")</f>
        <v/>
      </c>
      <c r="AT22" s="14" t="str">
        <f ca="1">IF($A22&lt;&gt;"",VLOOKUP($B22,'Player Scoreboard'!$C$10:$BV$24,AT$6+8,FALSE),"")</f>
        <v/>
      </c>
      <c r="AU22" s="14" t="str">
        <f ca="1">IF($A22&lt;&gt;"",VLOOKUP($B22,'Player Scoreboard'!$C$10:$BV$24,AU$6+8,FALSE),"")</f>
        <v/>
      </c>
      <c r="AV22" s="14" t="str">
        <f ca="1">IF($A22&lt;&gt;"",VLOOKUP($B22,'Player Scoreboard'!$C$10:$BV$24,AV$6+8,FALSE),"")</f>
        <v/>
      </c>
      <c r="AW22" s="14" t="str">
        <f ca="1">IF($A22&lt;&gt;"",VLOOKUP($B22,'Player Scoreboard'!$C$10:$BV$24,AW$6+8,FALSE),"")</f>
        <v/>
      </c>
      <c r="AX22" s="14" t="str">
        <f ca="1">IF($A22&lt;&gt;"",VLOOKUP($B22,'Player Scoreboard'!$C$10:$BV$24,AX$6+8,FALSE),"")</f>
        <v/>
      </c>
      <c r="AY22" s="14" t="str">
        <f ca="1">IF($A22&lt;&gt;"",VLOOKUP($B22,'Player Scoreboard'!$C$10:$BV$24,AY$6+8,FALSE),"")</f>
        <v/>
      </c>
      <c r="AZ22" s="14" t="str">
        <f ca="1">IF($A22&lt;&gt;"",VLOOKUP($B22,'Player Scoreboard'!$C$10:$BV$24,AZ$6+8,FALSE),"")</f>
        <v/>
      </c>
    </row>
    <row r="23" spans="1:52" ht="15" customHeight="1">
      <c r="A23" s="12">
        <f>IF('Player Name'!C20&lt;&gt;"",A22+1,"")</f>
        <v>15</v>
      </c>
      <c r="B23" s="13" t="str">
        <f ca="1">IF(A23&lt;&gt;"",VLOOKUP(A23,Dummy!$I$7:$N$106,6,FALSE),"")</f>
        <v>John 15</v>
      </c>
      <c r="C23" s="25">
        <f ca="1">IF($A23&lt;&gt;"",VLOOKUP($B23,'Player Scoreboard'!$C$10:$F$24,4,FALSE),"")</f>
        <v>0</v>
      </c>
      <c r="D23" s="12">
        <f ca="1">IF($A23&lt;&gt;"",VLOOKUP($B23,'Player Scoreboard'!$C$10:$G$24,5,FALSE),"")</f>
        <v>0</v>
      </c>
      <c r="E23" s="12" t="str">
        <f ca="1">IF($A23&lt;&gt;"",VLOOKUP($B23,'Player Scoreboard'!$C$10:$BV$24,E$6+8,FALSE),"")</f>
        <v/>
      </c>
      <c r="F23" s="12" t="str">
        <f ca="1">IF($A23&lt;&gt;"",VLOOKUP($B23,'Player Scoreboard'!$C$10:$BV$24,F$6+8,FALSE),"")</f>
        <v/>
      </c>
      <c r="G23" s="12" t="str">
        <f ca="1">IF($A23&lt;&gt;"",VLOOKUP($B23,'Player Scoreboard'!$C$10:$BV$24,G$6+8,FALSE),"")</f>
        <v/>
      </c>
      <c r="H23" s="12" t="str">
        <f ca="1">IF($A23&lt;&gt;"",VLOOKUP($B23,'Player Scoreboard'!$C$10:$BV$24,H$6+8,FALSE),"")</f>
        <v/>
      </c>
      <c r="I23" s="12" t="str">
        <f ca="1">IF($A23&lt;&gt;"",VLOOKUP($B23,'Player Scoreboard'!$C$10:$BV$24,I$6+8,FALSE),"")</f>
        <v/>
      </c>
      <c r="J23" s="12" t="str">
        <f ca="1">IF($A23&lt;&gt;"",VLOOKUP($B23,'Player Scoreboard'!$C$10:$BV$24,J$6+8,FALSE),"")</f>
        <v/>
      </c>
      <c r="K23" s="12" t="str">
        <f ca="1">IF($A23&lt;&gt;"",VLOOKUP($B23,'Player Scoreboard'!$C$10:$BV$24,K$6+8,FALSE),"")</f>
        <v/>
      </c>
      <c r="L23" s="12" t="str">
        <f ca="1">IF($A23&lt;&gt;"",VLOOKUP($B23,'Player Scoreboard'!$C$10:$BV$24,L$6+8,FALSE),"")</f>
        <v/>
      </c>
      <c r="M23" s="12" t="str">
        <f ca="1">IF($A23&lt;&gt;"",VLOOKUP($B23,'Player Scoreboard'!$C$10:$BV$24,M$6+8,FALSE),"")</f>
        <v/>
      </c>
      <c r="N23" s="12" t="str">
        <f ca="1">IF($A23&lt;&gt;"",VLOOKUP($B23,'Player Scoreboard'!$C$10:$BV$24,N$6+8,FALSE),"")</f>
        <v/>
      </c>
      <c r="O23" s="12" t="str">
        <f ca="1">IF($A23&lt;&gt;"",VLOOKUP($B23,'Player Scoreboard'!$C$10:$BV$24,O$6+8,FALSE),"")</f>
        <v/>
      </c>
      <c r="P23" s="12" t="str">
        <f ca="1">IF($A23&lt;&gt;"",VLOOKUP($B23,'Player Scoreboard'!$C$10:$BV$24,P$6+8,FALSE),"")</f>
        <v/>
      </c>
      <c r="Q23" s="12" t="str">
        <f ca="1">IF($A23&lt;&gt;"",VLOOKUP($B23,'Player Scoreboard'!$C$10:$BV$24,Q$6+8,FALSE),"")</f>
        <v/>
      </c>
      <c r="R23" s="12" t="str">
        <f ca="1">IF($A23&lt;&gt;"",VLOOKUP($B23,'Player Scoreboard'!$C$10:$BV$24,R$6+8,FALSE),"")</f>
        <v/>
      </c>
      <c r="S23" s="12" t="str">
        <f ca="1">IF($A23&lt;&gt;"",VLOOKUP($B23,'Player Scoreboard'!$C$10:$BV$24,S$6+8,FALSE),"")</f>
        <v/>
      </c>
      <c r="T23" s="12" t="str">
        <f ca="1">IF($A23&lt;&gt;"",VLOOKUP($B23,'Player Scoreboard'!$C$10:$BV$24,T$6+8,FALSE),"")</f>
        <v/>
      </c>
      <c r="U23" s="12" t="str">
        <f ca="1">IF($A23&lt;&gt;"",VLOOKUP($B23,'Player Scoreboard'!$C$10:$BV$24,U$6+8,FALSE),"")</f>
        <v/>
      </c>
      <c r="V23" s="12" t="str">
        <f ca="1">IF($A23&lt;&gt;"",VLOOKUP($B23,'Player Scoreboard'!$C$10:$BV$24,V$6+8,FALSE),"")</f>
        <v/>
      </c>
      <c r="W23" s="12" t="str">
        <f ca="1">IF($A23&lt;&gt;"",VLOOKUP($B23,'Player Scoreboard'!$C$10:$BV$24,W$6+8,FALSE),"")</f>
        <v/>
      </c>
      <c r="X23" s="12" t="str">
        <f ca="1">IF($A23&lt;&gt;"",VLOOKUP($B23,'Player Scoreboard'!$C$10:$BV$24,X$6+8,FALSE),"")</f>
        <v/>
      </c>
      <c r="Y23" s="12" t="str">
        <f ca="1">IF($A23&lt;&gt;"",VLOOKUP($B23,'Player Scoreboard'!$C$10:$BV$24,Y$6+8,FALSE),"")</f>
        <v/>
      </c>
      <c r="Z23" s="12" t="str">
        <f ca="1">IF($A23&lt;&gt;"",VLOOKUP($B23,'Player Scoreboard'!$C$10:$BV$24,Z$6+8,FALSE),"")</f>
        <v/>
      </c>
      <c r="AA23" s="12" t="str">
        <f ca="1">IF($A23&lt;&gt;"",VLOOKUP($B23,'Player Scoreboard'!$C$10:$BV$24,AA$6+8,FALSE),"")</f>
        <v/>
      </c>
      <c r="AB23" s="12" t="str">
        <f ca="1">IF($A23&lt;&gt;"",VLOOKUP($B23,'Player Scoreboard'!$C$10:$BV$24,AB$6+8,FALSE),"")</f>
        <v/>
      </c>
      <c r="AC23" s="12" t="str">
        <f ca="1">IF($A23&lt;&gt;"",VLOOKUP($B23,'Player Scoreboard'!$C$10:$BV$24,AC$6+8,FALSE),"")</f>
        <v/>
      </c>
      <c r="AD23" s="12" t="str">
        <f ca="1">IF($A23&lt;&gt;"",VLOOKUP($B23,'Player Scoreboard'!$C$10:$BV$24,AD$6+8,FALSE),"")</f>
        <v/>
      </c>
      <c r="AE23" s="12" t="str">
        <f ca="1">IF($A23&lt;&gt;"",VLOOKUP($B23,'Player Scoreboard'!$C$10:$BV$24,AE$6+8,FALSE),"")</f>
        <v/>
      </c>
      <c r="AF23" s="12" t="str">
        <f ca="1">IF($A23&lt;&gt;"",VLOOKUP($B23,'Player Scoreboard'!$C$10:$BV$24,AF$6+8,FALSE),"")</f>
        <v/>
      </c>
      <c r="AG23" s="12" t="str">
        <f ca="1">IF($A23&lt;&gt;"",VLOOKUP($B23,'Player Scoreboard'!$C$10:$BV$24,AG$6+8,FALSE),"")</f>
        <v/>
      </c>
      <c r="AH23" s="12" t="str">
        <f ca="1">IF($A23&lt;&gt;"",VLOOKUP($B23,'Player Scoreboard'!$C$10:$BV$24,AH$6+8,FALSE),"")</f>
        <v/>
      </c>
      <c r="AI23" s="12" t="str">
        <f ca="1">IF($A23&lt;&gt;"",VLOOKUP($B23,'Player Scoreboard'!$C$10:$BV$24,AI$6+8,FALSE),"")</f>
        <v/>
      </c>
      <c r="AJ23" s="12" t="str">
        <f ca="1">IF($A23&lt;&gt;"",VLOOKUP($B23,'Player Scoreboard'!$C$10:$BV$24,AJ$6+8,FALSE),"")</f>
        <v/>
      </c>
      <c r="AK23" s="12" t="str">
        <f ca="1">IF($A23&lt;&gt;"",VLOOKUP($B23,'Player Scoreboard'!$C$10:$BV$24,AK$6+8,FALSE),"")</f>
        <v/>
      </c>
      <c r="AL23" s="12" t="str">
        <f ca="1">IF($A23&lt;&gt;"",VLOOKUP($B23,'Player Scoreboard'!$C$10:$BV$24,AL$6+8,FALSE),"")</f>
        <v/>
      </c>
      <c r="AM23" s="12" t="str">
        <f ca="1">IF($A23&lt;&gt;"",VLOOKUP($B23,'Player Scoreboard'!$C$10:$BV$24,AM$6+8,FALSE),"")</f>
        <v/>
      </c>
      <c r="AN23" s="12" t="str">
        <f ca="1">IF($A23&lt;&gt;"",VLOOKUP($B23,'Player Scoreboard'!$C$10:$BV$24,AN$6+8,FALSE),"")</f>
        <v/>
      </c>
      <c r="AO23" s="12" t="str">
        <f ca="1">IF($A23&lt;&gt;"",VLOOKUP($B23,'Player Scoreboard'!$C$10:$BV$24,AO$6+8,FALSE),"")</f>
        <v/>
      </c>
      <c r="AP23" s="12" t="str">
        <f ca="1">IF($A23&lt;&gt;"",VLOOKUP($B23,'Player Scoreboard'!$C$10:$BV$24,AP$6+8,FALSE),"")</f>
        <v/>
      </c>
      <c r="AQ23" s="12" t="str">
        <f ca="1">IF($A23&lt;&gt;"",VLOOKUP($B23,'Player Scoreboard'!$C$10:$BV$24,AQ$6+8,FALSE),"")</f>
        <v/>
      </c>
      <c r="AR23" s="12" t="str">
        <f ca="1">IF($A23&lt;&gt;"",VLOOKUP($B23,'Player Scoreboard'!$C$10:$BV$24,AR$6+8,FALSE),"")</f>
        <v/>
      </c>
      <c r="AS23" s="12" t="str">
        <f ca="1">IF($A23&lt;&gt;"",VLOOKUP($B23,'Player Scoreboard'!$C$10:$BV$24,AS$6+8,FALSE),"")</f>
        <v/>
      </c>
      <c r="AT23" s="12" t="str">
        <f ca="1">IF($A23&lt;&gt;"",VLOOKUP($B23,'Player Scoreboard'!$C$10:$BV$24,AT$6+8,FALSE),"")</f>
        <v/>
      </c>
      <c r="AU23" s="12" t="str">
        <f ca="1">IF($A23&lt;&gt;"",VLOOKUP($B23,'Player Scoreboard'!$C$10:$BV$24,AU$6+8,FALSE),"")</f>
        <v/>
      </c>
      <c r="AV23" s="12" t="str">
        <f ca="1">IF($A23&lt;&gt;"",VLOOKUP($B23,'Player Scoreboard'!$C$10:$BV$24,AV$6+8,FALSE),"")</f>
        <v/>
      </c>
      <c r="AW23" s="12" t="str">
        <f ca="1">IF($A23&lt;&gt;"",VLOOKUP($B23,'Player Scoreboard'!$C$10:$BV$24,AW$6+8,FALSE),"")</f>
        <v/>
      </c>
      <c r="AX23" s="12" t="str">
        <f ca="1">IF($A23&lt;&gt;"",VLOOKUP($B23,'Player Scoreboard'!$C$10:$BV$24,AX$6+8,FALSE),"")</f>
        <v/>
      </c>
      <c r="AY23" s="12" t="str">
        <f ca="1">IF($A23&lt;&gt;"",VLOOKUP($B23,'Player Scoreboard'!$C$10:$BV$24,AY$6+8,FALSE),"")</f>
        <v/>
      </c>
      <c r="AZ23" s="12" t="str">
        <f ca="1">IF($A23&lt;&gt;"",VLOOKUP($B23,'Player Scoreboard'!$C$10:$BV$24,AZ$6+8,FALSE),"")</f>
        <v/>
      </c>
    </row>
  </sheetData>
  <sheetProtection password="CE4F" sheet="1" objects="1" scenarios="1"/>
  <mergeCells count="5">
    <mergeCell ref="A6:A8"/>
    <mergeCell ref="B6:B8"/>
    <mergeCell ref="A5:D5"/>
    <mergeCell ref="C6:C8"/>
    <mergeCell ref="D6:D8"/>
  </mergeCells>
  <conditionalFormatting sqref="E7 F8">
    <cfRule type="cellIs" dxfId="580" priority="11" stopIfTrue="1" operator="equal">
      <formula>25</formula>
    </cfRule>
  </conditionalFormatting>
  <conditionalFormatting sqref="E8">
    <cfRule type="cellIs" dxfId="579" priority="10" stopIfTrue="1" operator="equal">
      <formula>25</formula>
    </cfRule>
  </conditionalFormatting>
  <conditionalFormatting sqref="E9:AZ23">
    <cfRule type="expression" dxfId="578" priority="9">
      <formula>E9=E$7</formula>
    </cfRule>
  </conditionalFormatting>
  <conditionalFormatting sqref="F7:AZ7">
    <cfRule type="cellIs" dxfId="577" priority="3" stopIfTrue="1" operator="equal">
      <formula>25</formula>
    </cfRule>
  </conditionalFormatting>
  <conditionalFormatting sqref="G8:AZ8">
    <cfRule type="cellIs" dxfId="576" priority="2" stopIfTrue="1" operator="equal">
      <formula>25</formula>
    </cfRule>
  </conditionalFormatting>
  <conditionalFormatting sqref="A9:AZ23">
    <cfRule type="expression" dxfId="575" priority="1">
      <formula>$A9=""</formula>
    </cfRule>
  </conditionalFormatting>
  <pageMargins left="0.75" right="0.75" top="1" bottom="1" header="0.5" footer="0.5"/>
  <pageSetup orientation="portrait" horizontalDpi="300" verticalDpi="300" r:id="rId1"/>
  <headerFooter alignWithMargins="0"/>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23"/>
  <sheetViews>
    <sheetView showGridLines="0" workbookViewId="0">
      <selection activeCell="A5" sqref="A5:D5"/>
    </sheetView>
  </sheetViews>
  <sheetFormatPr defaultColWidth="0" defaultRowHeight="12.6"/>
  <cols>
    <col min="1" max="1" width="10.33203125" style="1" customWidth="1"/>
    <col min="2" max="2" width="23.33203125" style="1" customWidth="1"/>
    <col min="3" max="4" width="10.77734375" style="1" customWidth="1"/>
    <col min="5" max="20" width="9.109375" style="1" customWidth="1"/>
    <col min="21" max="21" width="3.21875" style="1" customWidth="1"/>
    <col min="22" max="16384" width="9.109375" style="1" hidden="1"/>
  </cols>
  <sheetData>
    <row r="1" spans="1:20" ht="15" customHeight="1"/>
    <row r="2" spans="1:20" ht="15" customHeight="1"/>
    <row r="3" spans="1:20" ht="15" customHeight="1"/>
    <row r="4" spans="1:20" ht="15" customHeight="1"/>
    <row r="5" spans="1:20" ht="15" customHeight="1">
      <c r="A5" s="272" t="s">
        <v>3544</v>
      </c>
      <c r="B5" s="272"/>
      <c r="C5" s="272"/>
      <c r="D5" s="272"/>
      <c r="E5" s="10" t="s">
        <v>3526</v>
      </c>
      <c r="F5" s="10"/>
      <c r="G5" s="10"/>
      <c r="H5" s="10"/>
      <c r="I5" s="10"/>
      <c r="J5" s="10"/>
      <c r="K5" s="10"/>
      <c r="L5" s="10"/>
      <c r="M5" s="10"/>
      <c r="N5" s="10"/>
      <c r="O5" s="10"/>
      <c r="P5" s="10"/>
      <c r="Q5" s="10"/>
      <c r="R5" s="10"/>
      <c r="S5" s="10"/>
      <c r="T5" s="10"/>
    </row>
    <row r="6" spans="1:20" ht="15" customHeight="1">
      <c r="A6" s="272" t="s">
        <v>3525</v>
      </c>
      <c r="B6" s="272" t="s">
        <v>1149</v>
      </c>
      <c r="C6" s="271" t="s">
        <v>3522</v>
      </c>
      <c r="D6" s="271" t="s">
        <v>3545</v>
      </c>
      <c r="E6" s="57">
        <v>49</v>
      </c>
      <c r="F6" s="57">
        <f t="shared" ref="F6:T6" si="0">E6+1</f>
        <v>50</v>
      </c>
      <c r="G6" s="57">
        <f t="shared" si="0"/>
        <v>51</v>
      </c>
      <c r="H6" s="57">
        <f t="shared" si="0"/>
        <v>52</v>
      </c>
      <c r="I6" s="57">
        <f t="shared" si="0"/>
        <v>53</v>
      </c>
      <c r="J6" s="57">
        <f t="shared" si="0"/>
        <v>54</v>
      </c>
      <c r="K6" s="57">
        <f t="shared" si="0"/>
        <v>55</v>
      </c>
      <c r="L6" s="57">
        <f t="shared" si="0"/>
        <v>56</v>
      </c>
      <c r="M6" s="57">
        <f t="shared" si="0"/>
        <v>57</v>
      </c>
      <c r="N6" s="57">
        <f t="shared" si="0"/>
        <v>58</v>
      </c>
      <c r="O6" s="57">
        <f t="shared" si="0"/>
        <v>59</v>
      </c>
      <c r="P6" s="57">
        <f t="shared" si="0"/>
        <v>60</v>
      </c>
      <c r="Q6" s="57">
        <f t="shared" si="0"/>
        <v>61</v>
      </c>
      <c r="R6" s="57">
        <f t="shared" si="0"/>
        <v>62</v>
      </c>
      <c r="S6" s="57">
        <f t="shared" si="0"/>
        <v>63</v>
      </c>
      <c r="T6" s="57">
        <f t="shared" si="0"/>
        <v>64</v>
      </c>
    </row>
    <row r="7" spans="1:20" ht="15" customHeight="1">
      <c r="A7" s="272"/>
      <c r="B7" s="272"/>
      <c r="C7" s="271"/>
      <c r="D7" s="271"/>
      <c r="E7" s="12">
        <f>'Player Scoreboard'!BG7</f>
        <v>200</v>
      </c>
      <c r="F7" s="12">
        <f>'Player Scoreboard'!BH7</f>
        <v>200</v>
      </c>
      <c r="G7" s="12">
        <f>'Player Scoreboard'!BI7</f>
        <v>200</v>
      </c>
      <c r="H7" s="12">
        <f>'Player Scoreboard'!BJ7</f>
        <v>200</v>
      </c>
      <c r="I7" s="12">
        <f>'Player Scoreboard'!BK7</f>
        <v>200</v>
      </c>
      <c r="J7" s="12">
        <f>'Player Scoreboard'!BL7</f>
        <v>200</v>
      </c>
      <c r="K7" s="12">
        <f>'Player Scoreboard'!BM7</f>
        <v>200</v>
      </c>
      <c r="L7" s="12">
        <f>'Player Scoreboard'!BN7</f>
        <v>200</v>
      </c>
      <c r="M7" s="12">
        <f>'Player Scoreboard'!BO7</f>
        <v>400</v>
      </c>
      <c r="N7" s="12">
        <f>'Player Scoreboard'!BP7</f>
        <v>400</v>
      </c>
      <c r="O7" s="12">
        <f>'Player Scoreboard'!BQ7</f>
        <v>400</v>
      </c>
      <c r="P7" s="12">
        <f>'Player Scoreboard'!BR7</f>
        <v>400</v>
      </c>
      <c r="Q7" s="12">
        <f>'Player Scoreboard'!BS7</f>
        <v>800</v>
      </c>
      <c r="R7" s="12">
        <f>'Player Scoreboard'!BT7</f>
        <v>800</v>
      </c>
      <c r="S7" s="12">
        <f>'Player Scoreboard'!BU7</f>
        <v>800</v>
      </c>
      <c r="T7" s="12">
        <f>'Player Scoreboard'!BV7</f>
        <v>1600</v>
      </c>
    </row>
    <row r="8" spans="1:20" ht="15" customHeight="1">
      <c r="A8" s="272"/>
      <c r="B8" s="272"/>
      <c r="C8" s="271"/>
      <c r="D8" s="271"/>
      <c r="E8" s="14">
        <f>SUM(E7:T7)-E7</f>
        <v>7000</v>
      </c>
      <c r="F8" s="14">
        <f t="shared" ref="F8:T8" si="1">E8-F7</f>
        <v>6800</v>
      </c>
      <c r="G8" s="14">
        <f t="shared" si="1"/>
        <v>6600</v>
      </c>
      <c r="H8" s="14">
        <f t="shared" si="1"/>
        <v>6400</v>
      </c>
      <c r="I8" s="14">
        <f t="shared" si="1"/>
        <v>6200</v>
      </c>
      <c r="J8" s="14">
        <f t="shared" si="1"/>
        <v>6000</v>
      </c>
      <c r="K8" s="14">
        <f t="shared" si="1"/>
        <v>5800</v>
      </c>
      <c r="L8" s="14">
        <f t="shared" si="1"/>
        <v>5600</v>
      </c>
      <c r="M8" s="14">
        <f t="shared" si="1"/>
        <v>5200</v>
      </c>
      <c r="N8" s="14">
        <f t="shared" si="1"/>
        <v>4800</v>
      </c>
      <c r="O8" s="14">
        <f t="shared" si="1"/>
        <v>4400</v>
      </c>
      <c r="P8" s="14">
        <f t="shared" si="1"/>
        <v>4000</v>
      </c>
      <c r="Q8" s="14">
        <f t="shared" si="1"/>
        <v>3200</v>
      </c>
      <c r="R8" s="14">
        <f t="shared" si="1"/>
        <v>2400</v>
      </c>
      <c r="S8" s="14">
        <f t="shared" si="1"/>
        <v>1600</v>
      </c>
      <c r="T8" s="14">
        <f t="shared" si="1"/>
        <v>0</v>
      </c>
    </row>
    <row r="9" spans="1:20" ht="15" customHeight="1">
      <c r="A9" s="12">
        <f>IF('Player Name'!C6&lt;&gt;"",1,"")</f>
        <v>1</v>
      </c>
      <c r="B9" s="13" t="str">
        <f ca="1">IF(A9&lt;&gt;"",VLOOKUP(A9,Dummy!$M$7:$N$106,2,FALSE),"")</f>
        <v>John 1</v>
      </c>
      <c r="C9" s="25">
        <f ca="1">IF($A9&lt;&gt;"",VLOOKUP($B9,'Player Scoreboard'!$C$10:$H$24,6,FALSE),"")</f>
        <v>0</v>
      </c>
      <c r="D9" s="12">
        <f ca="1">IF($A9&lt;&gt;"",VLOOKUP($B9,'Player Scoreboard'!$C$10:$I$24,7,FALSE),"")</f>
        <v>0</v>
      </c>
      <c r="E9" s="12" t="str">
        <f ca="1">IF($A9&lt;&gt;"",VLOOKUP($B9,'Player Scoreboard'!$C$10:$BV$24,E$6+8,FALSE),"")</f>
        <v/>
      </c>
      <c r="F9" s="12" t="str">
        <f ca="1">IF($A9&lt;&gt;"",VLOOKUP($B9,'Player Scoreboard'!$C$10:$BV$24,F$6+8,FALSE),"")</f>
        <v/>
      </c>
      <c r="G9" s="12" t="str">
        <f ca="1">IF($A9&lt;&gt;"",VLOOKUP($B9,'Player Scoreboard'!$C$10:$BV$24,G$6+8,FALSE),"")</f>
        <v/>
      </c>
      <c r="H9" s="12" t="str">
        <f ca="1">IF($A9&lt;&gt;"",VLOOKUP($B9,'Player Scoreboard'!$C$10:$BV$24,H$6+8,FALSE),"")</f>
        <v/>
      </c>
      <c r="I9" s="12" t="str">
        <f ca="1">IF($A9&lt;&gt;"",VLOOKUP($B9,'Player Scoreboard'!$C$10:$BV$24,I$6+8,FALSE),"")</f>
        <v/>
      </c>
      <c r="J9" s="12" t="str">
        <f ca="1">IF($A9&lt;&gt;"",VLOOKUP($B9,'Player Scoreboard'!$C$10:$BV$24,J$6+8,FALSE),"")</f>
        <v/>
      </c>
      <c r="K9" s="12" t="str">
        <f ca="1">IF($A9&lt;&gt;"",VLOOKUP($B9,'Player Scoreboard'!$C$10:$BV$24,K$6+8,FALSE),"")</f>
        <v/>
      </c>
      <c r="L9" s="12" t="str">
        <f ca="1">IF($A9&lt;&gt;"",VLOOKUP($B9,'Player Scoreboard'!$C$10:$BV$24,L$6+8,FALSE),"")</f>
        <v/>
      </c>
      <c r="M9" s="12" t="str">
        <f ca="1">IF($A9&lt;&gt;"",VLOOKUP($B9,'Player Scoreboard'!$C$10:$BV$24,M$6+8,FALSE),"")</f>
        <v/>
      </c>
      <c r="N9" s="12" t="str">
        <f ca="1">IF($A9&lt;&gt;"",VLOOKUP($B9,'Player Scoreboard'!$C$10:$BV$24,N$6+8,FALSE),"")</f>
        <v/>
      </c>
      <c r="O9" s="12" t="str">
        <f ca="1">IF($A9&lt;&gt;"",VLOOKUP($B9,'Player Scoreboard'!$C$10:$BV$24,O$6+8,FALSE),"")</f>
        <v/>
      </c>
      <c r="P9" s="12" t="str">
        <f ca="1">IF($A9&lt;&gt;"",VLOOKUP($B9,'Player Scoreboard'!$C$10:$BV$24,P$6+8,FALSE),"")</f>
        <v/>
      </c>
      <c r="Q9" s="12" t="str">
        <f ca="1">IF($A9&lt;&gt;"",VLOOKUP($B9,'Player Scoreboard'!$C$10:$BV$24,Q$6+8,FALSE),"")</f>
        <v/>
      </c>
      <c r="R9" s="12" t="str">
        <f ca="1">IF($A9&lt;&gt;"",VLOOKUP($B9,'Player Scoreboard'!$C$10:$BV$24,R$6+8,FALSE),"")</f>
        <v/>
      </c>
      <c r="S9" s="12" t="str">
        <f ca="1">IF($A9&lt;&gt;"",VLOOKUP($B9,'Player Scoreboard'!$C$10:$BV$24,S$6+8,FALSE),"")</f>
        <v/>
      </c>
      <c r="T9" s="12" t="str">
        <f ca="1">IF($A9&lt;&gt;"",VLOOKUP($B9,'Player Scoreboard'!$C$10:$BV$24,T$6+8,FALSE),"")</f>
        <v/>
      </c>
    </row>
    <row r="10" spans="1:20" ht="15" customHeight="1">
      <c r="A10" s="14">
        <f>IF('Player Name'!C7&lt;&gt;"",A9+1,"")</f>
        <v>2</v>
      </c>
      <c r="B10" s="15" t="str">
        <f ca="1">IF(A10&lt;&gt;"",VLOOKUP(A10,Dummy!$M$7:$N$106,2,FALSE),"")</f>
        <v>John 2</v>
      </c>
      <c r="C10" s="26">
        <f ca="1">IF($A10&lt;&gt;"",VLOOKUP($B10,'Player Scoreboard'!$C$10:$H$24,6,FALSE),"")</f>
        <v>0</v>
      </c>
      <c r="D10" s="14">
        <f ca="1">IF($A10&lt;&gt;"",VLOOKUP($B10,'Player Scoreboard'!$C$10:$I$24,7,FALSE),"")</f>
        <v>0</v>
      </c>
      <c r="E10" s="14" t="str">
        <f ca="1">IF($A10&lt;&gt;"",VLOOKUP($B10,'Player Scoreboard'!$C$10:$BV$24,E$6+8,FALSE),"")</f>
        <v/>
      </c>
      <c r="F10" s="14" t="str">
        <f ca="1">IF($A10&lt;&gt;"",VLOOKUP($B10,'Player Scoreboard'!$C$10:$BV$24,F$6+8,FALSE),"")</f>
        <v/>
      </c>
      <c r="G10" s="14" t="str">
        <f ca="1">IF($A10&lt;&gt;"",VLOOKUP($B10,'Player Scoreboard'!$C$10:$BV$24,G$6+8,FALSE),"")</f>
        <v/>
      </c>
      <c r="H10" s="14" t="str">
        <f ca="1">IF($A10&lt;&gt;"",VLOOKUP($B10,'Player Scoreboard'!$C$10:$BV$24,H$6+8,FALSE),"")</f>
        <v/>
      </c>
      <c r="I10" s="14" t="str">
        <f ca="1">IF($A10&lt;&gt;"",VLOOKUP($B10,'Player Scoreboard'!$C$10:$BV$24,I$6+8,FALSE),"")</f>
        <v/>
      </c>
      <c r="J10" s="14" t="str">
        <f ca="1">IF($A10&lt;&gt;"",VLOOKUP($B10,'Player Scoreboard'!$C$10:$BV$24,J$6+8,FALSE),"")</f>
        <v/>
      </c>
      <c r="K10" s="14" t="str">
        <f ca="1">IF($A10&lt;&gt;"",VLOOKUP($B10,'Player Scoreboard'!$C$10:$BV$24,K$6+8,FALSE),"")</f>
        <v/>
      </c>
      <c r="L10" s="14" t="str">
        <f ca="1">IF($A10&lt;&gt;"",VLOOKUP($B10,'Player Scoreboard'!$C$10:$BV$24,L$6+8,FALSE),"")</f>
        <v/>
      </c>
      <c r="M10" s="14" t="str">
        <f ca="1">IF($A10&lt;&gt;"",VLOOKUP($B10,'Player Scoreboard'!$C$10:$BV$24,M$6+8,FALSE),"")</f>
        <v/>
      </c>
      <c r="N10" s="14" t="str">
        <f ca="1">IF($A10&lt;&gt;"",VLOOKUP($B10,'Player Scoreboard'!$C$10:$BV$24,N$6+8,FALSE),"")</f>
        <v/>
      </c>
      <c r="O10" s="14" t="str">
        <f ca="1">IF($A10&lt;&gt;"",VLOOKUP($B10,'Player Scoreboard'!$C$10:$BV$24,O$6+8,FALSE),"")</f>
        <v/>
      </c>
      <c r="P10" s="14" t="str">
        <f ca="1">IF($A10&lt;&gt;"",VLOOKUP($B10,'Player Scoreboard'!$C$10:$BV$24,P$6+8,FALSE),"")</f>
        <v/>
      </c>
      <c r="Q10" s="14" t="str">
        <f ca="1">IF($A10&lt;&gt;"",VLOOKUP($B10,'Player Scoreboard'!$C$10:$BV$24,Q$6+8,FALSE),"")</f>
        <v/>
      </c>
      <c r="R10" s="14" t="str">
        <f ca="1">IF($A10&lt;&gt;"",VLOOKUP($B10,'Player Scoreboard'!$C$10:$BV$24,R$6+8,FALSE),"")</f>
        <v/>
      </c>
      <c r="S10" s="14" t="str">
        <f ca="1">IF($A10&lt;&gt;"",VLOOKUP($B10,'Player Scoreboard'!$C$10:$BV$24,S$6+8,FALSE),"")</f>
        <v/>
      </c>
      <c r="T10" s="14" t="str">
        <f ca="1">IF($A10&lt;&gt;"",VLOOKUP($B10,'Player Scoreboard'!$C$10:$BV$24,T$6+8,FALSE),"")</f>
        <v/>
      </c>
    </row>
    <row r="11" spans="1:20" ht="15" customHeight="1">
      <c r="A11" s="12">
        <f>IF('Player Name'!C8&lt;&gt;"",A10+1,"")</f>
        <v>3</v>
      </c>
      <c r="B11" s="13" t="str">
        <f ca="1">IF(A11&lt;&gt;"",VLOOKUP(A11,Dummy!$M$7:$N$106,2,FALSE),"")</f>
        <v>John 3</v>
      </c>
      <c r="C11" s="25">
        <f ca="1">IF($A11&lt;&gt;"",VLOOKUP($B11,'Player Scoreboard'!$C$10:$H$24,6,FALSE),"")</f>
        <v>0</v>
      </c>
      <c r="D11" s="12">
        <f ca="1">IF($A11&lt;&gt;"",VLOOKUP($B11,'Player Scoreboard'!$C$10:$I$24,7,FALSE),"")</f>
        <v>0</v>
      </c>
      <c r="E11" s="12" t="str">
        <f ca="1">IF($A11&lt;&gt;"",VLOOKUP($B11,'Player Scoreboard'!$C$10:$BV$24,E$6+8,FALSE),"")</f>
        <v/>
      </c>
      <c r="F11" s="12" t="str">
        <f ca="1">IF($A11&lt;&gt;"",VLOOKUP($B11,'Player Scoreboard'!$C$10:$BV$24,F$6+8,FALSE),"")</f>
        <v/>
      </c>
      <c r="G11" s="12" t="str">
        <f ca="1">IF($A11&lt;&gt;"",VLOOKUP($B11,'Player Scoreboard'!$C$10:$BV$24,G$6+8,FALSE),"")</f>
        <v/>
      </c>
      <c r="H11" s="12" t="str">
        <f ca="1">IF($A11&lt;&gt;"",VLOOKUP($B11,'Player Scoreboard'!$C$10:$BV$24,H$6+8,FALSE),"")</f>
        <v/>
      </c>
      <c r="I11" s="12" t="str">
        <f ca="1">IF($A11&lt;&gt;"",VLOOKUP($B11,'Player Scoreboard'!$C$10:$BV$24,I$6+8,FALSE),"")</f>
        <v/>
      </c>
      <c r="J11" s="12" t="str">
        <f ca="1">IF($A11&lt;&gt;"",VLOOKUP($B11,'Player Scoreboard'!$C$10:$BV$24,J$6+8,FALSE),"")</f>
        <v/>
      </c>
      <c r="K11" s="12" t="str">
        <f ca="1">IF($A11&lt;&gt;"",VLOOKUP($B11,'Player Scoreboard'!$C$10:$BV$24,K$6+8,FALSE),"")</f>
        <v/>
      </c>
      <c r="L11" s="12" t="str">
        <f ca="1">IF($A11&lt;&gt;"",VLOOKUP($B11,'Player Scoreboard'!$C$10:$BV$24,L$6+8,FALSE),"")</f>
        <v/>
      </c>
      <c r="M11" s="12" t="str">
        <f ca="1">IF($A11&lt;&gt;"",VLOOKUP($B11,'Player Scoreboard'!$C$10:$BV$24,M$6+8,FALSE),"")</f>
        <v/>
      </c>
      <c r="N11" s="12" t="str">
        <f ca="1">IF($A11&lt;&gt;"",VLOOKUP($B11,'Player Scoreboard'!$C$10:$BV$24,N$6+8,FALSE),"")</f>
        <v/>
      </c>
      <c r="O11" s="12" t="str">
        <f ca="1">IF($A11&lt;&gt;"",VLOOKUP($B11,'Player Scoreboard'!$C$10:$BV$24,O$6+8,FALSE),"")</f>
        <v/>
      </c>
      <c r="P11" s="12" t="str">
        <f ca="1">IF($A11&lt;&gt;"",VLOOKUP($B11,'Player Scoreboard'!$C$10:$BV$24,P$6+8,FALSE),"")</f>
        <v/>
      </c>
      <c r="Q11" s="12" t="str">
        <f ca="1">IF($A11&lt;&gt;"",VLOOKUP($B11,'Player Scoreboard'!$C$10:$BV$24,Q$6+8,FALSE),"")</f>
        <v/>
      </c>
      <c r="R11" s="12" t="str">
        <f ca="1">IF($A11&lt;&gt;"",VLOOKUP($B11,'Player Scoreboard'!$C$10:$BV$24,R$6+8,FALSE),"")</f>
        <v/>
      </c>
      <c r="S11" s="12" t="str">
        <f ca="1">IF($A11&lt;&gt;"",VLOOKUP($B11,'Player Scoreboard'!$C$10:$BV$24,S$6+8,FALSE),"")</f>
        <v/>
      </c>
      <c r="T11" s="12" t="str">
        <f ca="1">IF($A11&lt;&gt;"",VLOOKUP($B11,'Player Scoreboard'!$C$10:$BV$24,T$6+8,FALSE),"")</f>
        <v/>
      </c>
    </row>
    <row r="12" spans="1:20" ht="15" customHeight="1">
      <c r="A12" s="14">
        <f>IF('Player Name'!C9&lt;&gt;"",A11+1,"")</f>
        <v>4</v>
      </c>
      <c r="B12" s="15" t="str">
        <f ca="1">IF(A12&lt;&gt;"",VLOOKUP(A12,Dummy!$M$7:$N$106,2,FALSE),"")</f>
        <v>John 4</v>
      </c>
      <c r="C12" s="26">
        <f ca="1">IF($A12&lt;&gt;"",VLOOKUP($B12,'Player Scoreboard'!$C$10:$H$24,6,FALSE),"")</f>
        <v>0</v>
      </c>
      <c r="D12" s="14">
        <f ca="1">IF($A12&lt;&gt;"",VLOOKUP($B12,'Player Scoreboard'!$C$10:$I$24,7,FALSE),"")</f>
        <v>0</v>
      </c>
      <c r="E12" s="14" t="str">
        <f ca="1">IF($A12&lt;&gt;"",VLOOKUP($B12,'Player Scoreboard'!$C$10:$BV$24,E$6+8,FALSE),"")</f>
        <v/>
      </c>
      <c r="F12" s="14" t="str">
        <f ca="1">IF($A12&lt;&gt;"",VLOOKUP($B12,'Player Scoreboard'!$C$10:$BV$24,F$6+8,FALSE),"")</f>
        <v/>
      </c>
      <c r="G12" s="14" t="str">
        <f ca="1">IF($A12&lt;&gt;"",VLOOKUP($B12,'Player Scoreboard'!$C$10:$BV$24,G$6+8,FALSE),"")</f>
        <v/>
      </c>
      <c r="H12" s="14" t="str">
        <f ca="1">IF($A12&lt;&gt;"",VLOOKUP($B12,'Player Scoreboard'!$C$10:$BV$24,H$6+8,FALSE),"")</f>
        <v/>
      </c>
      <c r="I12" s="14" t="str">
        <f ca="1">IF($A12&lt;&gt;"",VLOOKUP($B12,'Player Scoreboard'!$C$10:$BV$24,I$6+8,FALSE),"")</f>
        <v/>
      </c>
      <c r="J12" s="14" t="str">
        <f ca="1">IF($A12&lt;&gt;"",VLOOKUP($B12,'Player Scoreboard'!$C$10:$BV$24,J$6+8,FALSE),"")</f>
        <v/>
      </c>
      <c r="K12" s="14" t="str">
        <f ca="1">IF($A12&lt;&gt;"",VLOOKUP($B12,'Player Scoreboard'!$C$10:$BV$24,K$6+8,FALSE),"")</f>
        <v/>
      </c>
      <c r="L12" s="14" t="str">
        <f ca="1">IF($A12&lt;&gt;"",VLOOKUP($B12,'Player Scoreboard'!$C$10:$BV$24,L$6+8,FALSE),"")</f>
        <v/>
      </c>
      <c r="M12" s="14" t="str">
        <f ca="1">IF($A12&lt;&gt;"",VLOOKUP($B12,'Player Scoreboard'!$C$10:$BV$24,M$6+8,FALSE),"")</f>
        <v/>
      </c>
      <c r="N12" s="14" t="str">
        <f ca="1">IF($A12&lt;&gt;"",VLOOKUP($B12,'Player Scoreboard'!$C$10:$BV$24,N$6+8,FALSE),"")</f>
        <v/>
      </c>
      <c r="O12" s="14" t="str">
        <f ca="1">IF($A12&lt;&gt;"",VLOOKUP($B12,'Player Scoreboard'!$C$10:$BV$24,O$6+8,FALSE),"")</f>
        <v/>
      </c>
      <c r="P12" s="14" t="str">
        <f ca="1">IF($A12&lt;&gt;"",VLOOKUP($B12,'Player Scoreboard'!$C$10:$BV$24,P$6+8,FALSE),"")</f>
        <v/>
      </c>
      <c r="Q12" s="14" t="str">
        <f ca="1">IF($A12&lt;&gt;"",VLOOKUP($B12,'Player Scoreboard'!$C$10:$BV$24,Q$6+8,FALSE),"")</f>
        <v/>
      </c>
      <c r="R12" s="14" t="str">
        <f ca="1">IF($A12&lt;&gt;"",VLOOKUP($B12,'Player Scoreboard'!$C$10:$BV$24,R$6+8,FALSE),"")</f>
        <v/>
      </c>
      <c r="S12" s="14" t="str">
        <f ca="1">IF($A12&lt;&gt;"",VLOOKUP($B12,'Player Scoreboard'!$C$10:$BV$24,S$6+8,FALSE),"")</f>
        <v/>
      </c>
      <c r="T12" s="14" t="str">
        <f ca="1">IF($A12&lt;&gt;"",VLOOKUP($B12,'Player Scoreboard'!$C$10:$BV$24,T$6+8,FALSE),"")</f>
        <v/>
      </c>
    </row>
    <row r="13" spans="1:20" ht="15" customHeight="1">
      <c r="A13" s="12">
        <f>IF('Player Name'!C10&lt;&gt;"",A12+1,"")</f>
        <v>5</v>
      </c>
      <c r="B13" s="13" t="str">
        <f ca="1">IF(A13&lt;&gt;"",VLOOKUP(A13,Dummy!$M$7:$N$106,2,FALSE),"")</f>
        <v>John 5</v>
      </c>
      <c r="C13" s="25">
        <f ca="1">IF($A13&lt;&gt;"",VLOOKUP($B13,'Player Scoreboard'!$C$10:$H$24,6,FALSE),"")</f>
        <v>0</v>
      </c>
      <c r="D13" s="12">
        <f ca="1">IF($A13&lt;&gt;"",VLOOKUP($B13,'Player Scoreboard'!$C$10:$I$24,7,FALSE),"")</f>
        <v>0</v>
      </c>
      <c r="E13" s="12" t="str">
        <f ca="1">IF($A13&lt;&gt;"",VLOOKUP($B13,'Player Scoreboard'!$C$10:$BV$24,E$6+8,FALSE),"")</f>
        <v/>
      </c>
      <c r="F13" s="12" t="str">
        <f ca="1">IF($A13&lt;&gt;"",VLOOKUP($B13,'Player Scoreboard'!$C$10:$BV$24,F$6+8,FALSE),"")</f>
        <v/>
      </c>
      <c r="G13" s="12" t="str">
        <f ca="1">IF($A13&lt;&gt;"",VLOOKUP($B13,'Player Scoreboard'!$C$10:$BV$24,G$6+8,FALSE),"")</f>
        <v/>
      </c>
      <c r="H13" s="12" t="str">
        <f ca="1">IF($A13&lt;&gt;"",VLOOKUP($B13,'Player Scoreboard'!$C$10:$BV$24,H$6+8,FALSE),"")</f>
        <v/>
      </c>
      <c r="I13" s="12" t="str">
        <f ca="1">IF($A13&lt;&gt;"",VLOOKUP($B13,'Player Scoreboard'!$C$10:$BV$24,I$6+8,FALSE),"")</f>
        <v/>
      </c>
      <c r="J13" s="12" t="str">
        <f ca="1">IF($A13&lt;&gt;"",VLOOKUP($B13,'Player Scoreboard'!$C$10:$BV$24,J$6+8,FALSE),"")</f>
        <v/>
      </c>
      <c r="K13" s="12" t="str">
        <f ca="1">IF($A13&lt;&gt;"",VLOOKUP($B13,'Player Scoreboard'!$C$10:$BV$24,K$6+8,FALSE),"")</f>
        <v/>
      </c>
      <c r="L13" s="12" t="str">
        <f ca="1">IF($A13&lt;&gt;"",VLOOKUP($B13,'Player Scoreboard'!$C$10:$BV$24,L$6+8,FALSE),"")</f>
        <v/>
      </c>
      <c r="M13" s="12" t="str">
        <f ca="1">IF($A13&lt;&gt;"",VLOOKUP($B13,'Player Scoreboard'!$C$10:$BV$24,M$6+8,FALSE),"")</f>
        <v/>
      </c>
      <c r="N13" s="12" t="str">
        <f ca="1">IF($A13&lt;&gt;"",VLOOKUP($B13,'Player Scoreboard'!$C$10:$BV$24,N$6+8,FALSE),"")</f>
        <v/>
      </c>
      <c r="O13" s="12" t="str">
        <f ca="1">IF($A13&lt;&gt;"",VLOOKUP($B13,'Player Scoreboard'!$C$10:$BV$24,O$6+8,FALSE),"")</f>
        <v/>
      </c>
      <c r="P13" s="12" t="str">
        <f ca="1">IF($A13&lt;&gt;"",VLOOKUP($B13,'Player Scoreboard'!$C$10:$BV$24,P$6+8,FALSE),"")</f>
        <v/>
      </c>
      <c r="Q13" s="12" t="str">
        <f ca="1">IF($A13&lt;&gt;"",VLOOKUP($B13,'Player Scoreboard'!$C$10:$BV$24,Q$6+8,FALSE),"")</f>
        <v/>
      </c>
      <c r="R13" s="12" t="str">
        <f ca="1">IF($A13&lt;&gt;"",VLOOKUP($B13,'Player Scoreboard'!$C$10:$BV$24,R$6+8,FALSE),"")</f>
        <v/>
      </c>
      <c r="S13" s="12" t="str">
        <f ca="1">IF($A13&lt;&gt;"",VLOOKUP($B13,'Player Scoreboard'!$C$10:$BV$24,S$6+8,FALSE),"")</f>
        <v/>
      </c>
      <c r="T13" s="12" t="str">
        <f ca="1">IF($A13&lt;&gt;"",VLOOKUP($B13,'Player Scoreboard'!$C$10:$BV$24,T$6+8,FALSE),"")</f>
        <v/>
      </c>
    </row>
    <row r="14" spans="1:20" ht="15" customHeight="1">
      <c r="A14" s="14">
        <f>IF('Player Name'!C11&lt;&gt;"",A13+1,"")</f>
        <v>6</v>
      </c>
      <c r="B14" s="15" t="str">
        <f ca="1">IF(A14&lt;&gt;"",VLOOKUP(A14,Dummy!$M$7:$N$106,2,FALSE),"")</f>
        <v>John 6</v>
      </c>
      <c r="C14" s="26">
        <f ca="1">IF($A14&lt;&gt;"",VLOOKUP($B14,'Player Scoreboard'!$C$10:$H$24,6,FALSE),"")</f>
        <v>0</v>
      </c>
      <c r="D14" s="14">
        <f ca="1">IF($A14&lt;&gt;"",VLOOKUP($B14,'Player Scoreboard'!$C$10:$I$24,7,FALSE),"")</f>
        <v>0</v>
      </c>
      <c r="E14" s="14" t="str">
        <f ca="1">IF($A14&lt;&gt;"",VLOOKUP($B14,'Player Scoreboard'!$C$10:$BV$24,E$6+8,FALSE),"")</f>
        <v/>
      </c>
      <c r="F14" s="14" t="str">
        <f ca="1">IF($A14&lt;&gt;"",VLOOKUP($B14,'Player Scoreboard'!$C$10:$BV$24,F$6+8,FALSE),"")</f>
        <v/>
      </c>
      <c r="G14" s="14" t="str">
        <f ca="1">IF($A14&lt;&gt;"",VLOOKUP($B14,'Player Scoreboard'!$C$10:$BV$24,G$6+8,FALSE),"")</f>
        <v/>
      </c>
      <c r="H14" s="14" t="str">
        <f ca="1">IF($A14&lt;&gt;"",VLOOKUP($B14,'Player Scoreboard'!$C$10:$BV$24,H$6+8,FALSE),"")</f>
        <v/>
      </c>
      <c r="I14" s="14" t="str">
        <f ca="1">IF($A14&lt;&gt;"",VLOOKUP($B14,'Player Scoreboard'!$C$10:$BV$24,I$6+8,FALSE),"")</f>
        <v/>
      </c>
      <c r="J14" s="14" t="str">
        <f ca="1">IF($A14&lt;&gt;"",VLOOKUP($B14,'Player Scoreboard'!$C$10:$BV$24,J$6+8,FALSE),"")</f>
        <v/>
      </c>
      <c r="K14" s="14" t="str">
        <f ca="1">IF($A14&lt;&gt;"",VLOOKUP($B14,'Player Scoreboard'!$C$10:$BV$24,K$6+8,FALSE),"")</f>
        <v/>
      </c>
      <c r="L14" s="14" t="str">
        <f ca="1">IF($A14&lt;&gt;"",VLOOKUP($B14,'Player Scoreboard'!$C$10:$BV$24,L$6+8,FALSE),"")</f>
        <v/>
      </c>
      <c r="M14" s="14" t="str">
        <f ca="1">IF($A14&lt;&gt;"",VLOOKUP($B14,'Player Scoreboard'!$C$10:$BV$24,M$6+8,FALSE),"")</f>
        <v/>
      </c>
      <c r="N14" s="14" t="str">
        <f ca="1">IF($A14&lt;&gt;"",VLOOKUP($B14,'Player Scoreboard'!$C$10:$BV$24,N$6+8,FALSE),"")</f>
        <v/>
      </c>
      <c r="O14" s="14" t="str">
        <f ca="1">IF($A14&lt;&gt;"",VLOOKUP($B14,'Player Scoreboard'!$C$10:$BV$24,O$6+8,FALSE),"")</f>
        <v/>
      </c>
      <c r="P14" s="14" t="str">
        <f ca="1">IF($A14&lt;&gt;"",VLOOKUP($B14,'Player Scoreboard'!$C$10:$BV$24,P$6+8,FALSE),"")</f>
        <v/>
      </c>
      <c r="Q14" s="14" t="str">
        <f ca="1">IF($A14&lt;&gt;"",VLOOKUP($B14,'Player Scoreboard'!$C$10:$BV$24,Q$6+8,FALSE),"")</f>
        <v/>
      </c>
      <c r="R14" s="14" t="str">
        <f ca="1">IF($A14&lt;&gt;"",VLOOKUP($B14,'Player Scoreboard'!$C$10:$BV$24,R$6+8,FALSE),"")</f>
        <v/>
      </c>
      <c r="S14" s="14" t="str">
        <f ca="1">IF($A14&lt;&gt;"",VLOOKUP($B14,'Player Scoreboard'!$C$10:$BV$24,S$6+8,FALSE),"")</f>
        <v/>
      </c>
      <c r="T14" s="14" t="str">
        <f ca="1">IF($A14&lt;&gt;"",VLOOKUP($B14,'Player Scoreboard'!$C$10:$BV$24,T$6+8,FALSE),"")</f>
        <v/>
      </c>
    </row>
    <row r="15" spans="1:20" ht="15" customHeight="1">
      <c r="A15" s="12">
        <f>IF('Player Name'!C12&lt;&gt;"",A14+1,"")</f>
        <v>7</v>
      </c>
      <c r="B15" s="13" t="str">
        <f ca="1">IF(A15&lt;&gt;"",VLOOKUP(A15,Dummy!$M$7:$N$106,2,FALSE),"")</f>
        <v>John 7</v>
      </c>
      <c r="C15" s="25">
        <f ca="1">IF($A15&lt;&gt;"",VLOOKUP($B15,'Player Scoreboard'!$C$10:$H$24,6,FALSE),"")</f>
        <v>0</v>
      </c>
      <c r="D15" s="12">
        <f ca="1">IF($A15&lt;&gt;"",VLOOKUP($B15,'Player Scoreboard'!$C$10:$I$24,7,FALSE),"")</f>
        <v>0</v>
      </c>
      <c r="E15" s="12" t="str">
        <f ca="1">IF($A15&lt;&gt;"",VLOOKUP($B15,'Player Scoreboard'!$C$10:$BV$24,E$6+8,FALSE),"")</f>
        <v/>
      </c>
      <c r="F15" s="12" t="str">
        <f ca="1">IF($A15&lt;&gt;"",VLOOKUP($B15,'Player Scoreboard'!$C$10:$BV$24,F$6+8,FALSE),"")</f>
        <v/>
      </c>
      <c r="G15" s="12" t="str">
        <f ca="1">IF($A15&lt;&gt;"",VLOOKUP($B15,'Player Scoreboard'!$C$10:$BV$24,G$6+8,FALSE),"")</f>
        <v/>
      </c>
      <c r="H15" s="12" t="str">
        <f ca="1">IF($A15&lt;&gt;"",VLOOKUP($B15,'Player Scoreboard'!$C$10:$BV$24,H$6+8,FALSE),"")</f>
        <v/>
      </c>
      <c r="I15" s="12" t="str">
        <f ca="1">IF($A15&lt;&gt;"",VLOOKUP($B15,'Player Scoreboard'!$C$10:$BV$24,I$6+8,FALSE),"")</f>
        <v/>
      </c>
      <c r="J15" s="12" t="str">
        <f ca="1">IF($A15&lt;&gt;"",VLOOKUP($B15,'Player Scoreboard'!$C$10:$BV$24,J$6+8,FALSE),"")</f>
        <v/>
      </c>
      <c r="K15" s="12" t="str">
        <f ca="1">IF($A15&lt;&gt;"",VLOOKUP($B15,'Player Scoreboard'!$C$10:$BV$24,K$6+8,FALSE),"")</f>
        <v/>
      </c>
      <c r="L15" s="12" t="str">
        <f ca="1">IF($A15&lt;&gt;"",VLOOKUP($B15,'Player Scoreboard'!$C$10:$BV$24,L$6+8,FALSE),"")</f>
        <v/>
      </c>
      <c r="M15" s="12" t="str">
        <f ca="1">IF($A15&lt;&gt;"",VLOOKUP($B15,'Player Scoreboard'!$C$10:$BV$24,M$6+8,FALSE),"")</f>
        <v/>
      </c>
      <c r="N15" s="12" t="str">
        <f ca="1">IF($A15&lt;&gt;"",VLOOKUP($B15,'Player Scoreboard'!$C$10:$BV$24,N$6+8,FALSE),"")</f>
        <v/>
      </c>
      <c r="O15" s="12" t="str">
        <f ca="1">IF($A15&lt;&gt;"",VLOOKUP($B15,'Player Scoreboard'!$C$10:$BV$24,O$6+8,FALSE),"")</f>
        <v/>
      </c>
      <c r="P15" s="12" t="str">
        <f ca="1">IF($A15&lt;&gt;"",VLOOKUP($B15,'Player Scoreboard'!$C$10:$BV$24,P$6+8,FALSE),"")</f>
        <v/>
      </c>
      <c r="Q15" s="12" t="str">
        <f ca="1">IF($A15&lt;&gt;"",VLOOKUP($B15,'Player Scoreboard'!$C$10:$BV$24,Q$6+8,FALSE),"")</f>
        <v/>
      </c>
      <c r="R15" s="12" t="str">
        <f ca="1">IF($A15&lt;&gt;"",VLOOKUP($B15,'Player Scoreboard'!$C$10:$BV$24,R$6+8,FALSE),"")</f>
        <v/>
      </c>
      <c r="S15" s="12" t="str">
        <f ca="1">IF($A15&lt;&gt;"",VLOOKUP($B15,'Player Scoreboard'!$C$10:$BV$24,S$6+8,FALSE),"")</f>
        <v/>
      </c>
      <c r="T15" s="12" t="str">
        <f ca="1">IF($A15&lt;&gt;"",VLOOKUP($B15,'Player Scoreboard'!$C$10:$BV$24,T$6+8,FALSE),"")</f>
        <v/>
      </c>
    </row>
    <row r="16" spans="1:20" ht="15" customHeight="1">
      <c r="A16" s="14">
        <f>IF('Player Name'!C13&lt;&gt;"",A15+1,"")</f>
        <v>8</v>
      </c>
      <c r="B16" s="15" t="str">
        <f ca="1">IF(A16&lt;&gt;"",VLOOKUP(A16,Dummy!$M$7:$N$106,2,FALSE),"")</f>
        <v>John 8</v>
      </c>
      <c r="C16" s="26">
        <f ca="1">IF($A16&lt;&gt;"",VLOOKUP($B16,'Player Scoreboard'!$C$10:$H$24,6,FALSE),"")</f>
        <v>0</v>
      </c>
      <c r="D16" s="14">
        <f ca="1">IF($A16&lt;&gt;"",VLOOKUP($B16,'Player Scoreboard'!$C$10:$I$24,7,FALSE),"")</f>
        <v>0</v>
      </c>
      <c r="E16" s="14" t="str">
        <f ca="1">IF($A16&lt;&gt;"",VLOOKUP($B16,'Player Scoreboard'!$C$10:$BV$24,E$6+8,FALSE),"")</f>
        <v/>
      </c>
      <c r="F16" s="14" t="str">
        <f ca="1">IF($A16&lt;&gt;"",VLOOKUP($B16,'Player Scoreboard'!$C$10:$BV$24,F$6+8,FALSE),"")</f>
        <v/>
      </c>
      <c r="G16" s="14" t="str">
        <f ca="1">IF($A16&lt;&gt;"",VLOOKUP($B16,'Player Scoreboard'!$C$10:$BV$24,G$6+8,FALSE),"")</f>
        <v/>
      </c>
      <c r="H16" s="14" t="str">
        <f ca="1">IF($A16&lt;&gt;"",VLOOKUP($B16,'Player Scoreboard'!$C$10:$BV$24,H$6+8,FALSE),"")</f>
        <v/>
      </c>
      <c r="I16" s="14" t="str">
        <f ca="1">IF($A16&lt;&gt;"",VLOOKUP($B16,'Player Scoreboard'!$C$10:$BV$24,I$6+8,FALSE),"")</f>
        <v/>
      </c>
      <c r="J16" s="14" t="str">
        <f ca="1">IF($A16&lt;&gt;"",VLOOKUP($B16,'Player Scoreboard'!$C$10:$BV$24,J$6+8,FALSE),"")</f>
        <v/>
      </c>
      <c r="K16" s="14" t="str">
        <f ca="1">IF($A16&lt;&gt;"",VLOOKUP($B16,'Player Scoreboard'!$C$10:$BV$24,K$6+8,FALSE),"")</f>
        <v/>
      </c>
      <c r="L16" s="14" t="str">
        <f ca="1">IF($A16&lt;&gt;"",VLOOKUP($B16,'Player Scoreboard'!$C$10:$BV$24,L$6+8,FALSE),"")</f>
        <v/>
      </c>
      <c r="M16" s="14" t="str">
        <f ca="1">IF($A16&lt;&gt;"",VLOOKUP($B16,'Player Scoreboard'!$C$10:$BV$24,M$6+8,FALSE),"")</f>
        <v/>
      </c>
      <c r="N16" s="14" t="str">
        <f ca="1">IF($A16&lt;&gt;"",VLOOKUP($B16,'Player Scoreboard'!$C$10:$BV$24,N$6+8,FALSE),"")</f>
        <v/>
      </c>
      <c r="O16" s="14" t="str">
        <f ca="1">IF($A16&lt;&gt;"",VLOOKUP($B16,'Player Scoreboard'!$C$10:$BV$24,O$6+8,FALSE),"")</f>
        <v/>
      </c>
      <c r="P16" s="14" t="str">
        <f ca="1">IF($A16&lt;&gt;"",VLOOKUP($B16,'Player Scoreboard'!$C$10:$BV$24,P$6+8,FALSE),"")</f>
        <v/>
      </c>
      <c r="Q16" s="14" t="str">
        <f ca="1">IF($A16&lt;&gt;"",VLOOKUP($B16,'Player Scoreboard'!$C$10:$BV$24,Q$6+8,FALSE),"")</f>
        <v/>
      </c>
      <c r="R16" s="14" t="str">
        <f ca="1">IF($A16&lt;&gt;"",VLOOKUP($B16,'Player Scoreboard'!$C$10:$BV$24,R$6+8,FALSE),"")</f>
        <v/>
      </c>
      <c r="S16" s="14" t="str">
        <f ca="1">IF($A16&lt;&gt;"",VLOOKUP($B16,'Player Scoreboard'!$C$10:$BV$24,S$6+8,FALSE),"")</f>
        <v/>
      </c>
      <c r="T16" s="14" t="str">
        <f ca="1">IF($A16&lt;&gt;"",VLOOKUP($B16,'Player Scoreboard'!$C$10:$BV$24,T$6+8,FALSE),"")</f>
        <v/>
      </c>
    </row>
    <row r="17" spans="1:20" ht="15" customHeight="1">
      <c r="A17" s="12">
        <f>IF('Player Name'!C14&lt;&gt;"",A16+1,"")</f>
        <v>9</v>
      </c>
      <c r="B17" s="13" t="str">
        <f ca="1">IF(A17&lt;&gt;"",VLOOKUP(A17,Dummy!$M$7:$N$106,2,FALSE),"")</f>
        <v>John 9</v>
      </c>
      <c r="C17" s="25">
        <f ca="1">IF($A17&lt;&gt;"",VLOOKUP($B17,'Player Scoreboard'!$C$10:$H$24,6,FALSE),"")</f>
        <v>0</v>
      </c>
      <c r="D17" s="12">
        <f ca="1">IF($A17&lt;&gt;"",VLOOKUP($B17,'Player Scoreboard'!$C$10:$I$24,7,FALSE),"")</f>
        <v>0</v>
      </c>
      <c r="E17" s="12" t="str">
        <f ca="1">IF($A17&lt;&gt;"",VLOOKUP($B17,'Player Scoreboard'!$C$10:$BV$24,E$6+8,FALSE),"")</f>
        <v/>
      </c>
      <c r="F17" s="12" t="str">
        <f ca="1">IF($A17&lt;&gt;"",VLOOKUP($B17,'Player Scoreboard'!$C$10:$BV$24,F$6+8,FALSE),"")</f>
        <v/>
      </c>
      <c r="G17" s="12" t="str">
        <f ca="1">IF($A17&lt;&gt;"",VLOOKUP($B17,'Player Scoreboard'!$C$10:$BV$24,G$6+8,FALSE),"")</f>
        <v/>
      </c>
      <c r="H17" s="12" t="str">
        <f ca="1">IF($A17&lt;&gt;"",VLOOKUP($B17,'Player Scoreboard'!$C$10:$BV$24,H$6+8,FALSE),"")</f>
        <v/>
      </c>
      <c r="I17" s="12" t="str">
        <f ca="1">IF($A17&lt;&gt;"",VLOOKUP($B17,'Player Scoreboard'!$C$10:$BV$24,I$6+8,FALSE),"")</f>
        <v/>
      </c>
      <c r="J17" s="12" t="str">
        <f ca="1">IF($A17&lt;&gt;"",VLOOKUP($B17,'Player Scoreboard'!$C$10:$BV$24,J$6+8,FALSE),"")</f>
        <v/>
      </c>
      <c r="K17" s="12" t="str">
        <f ca="1">IF($A17&lt;&gt;"",VLOOKUP($B17,'Player Scoreboard'!$C$10:$BV$24,K$6+8,FALSE),"")</f>
        <v/>
      </c>
      <c r="L17" s="12" t="str">
        <f ca="1">IF($A17&lt;&gt;"",VLOOKUP($B17,'Player Scoreboard'!$C$10:$BV$24,L$6+8,FALSE),"")</f>
        <v/>
      </c>
      <c r="M17" s="12" t="str">
        <f ca="1">IF($A17&lt;&gt;"",VLOOKUP($B17,'Player Scoreboard'!$C$10:$BV$24,M$6+8,FALSE),"")</f>
        <v/>
      </c>
      <c r="N17" s="12" t="str">
        <f ca="1">IF($A17&lt;&gt;"",VLOOKUP($B17,'Player Scoreboard'!$C$10:$BV$24,N$6+8,FALSE),"")</f>
        <v/>
      </c>
      <c r="O17" s="12" t="str">
        <f ca="1">IF($A17&lt;&gt;"",VLOOKUP($B17,'Player Scoreboard'!$C$10:$BV$24,O$6+8,FALSE),"")</f>
        <v/>
      </c>
      <c r="P17" s="12" t="str">
        <f ca="1">IF($A17&lt;&gt;"",VLOOKUP($B17,'Player Scoreboard'!$C$10:$BV$24,P$6+8,FALSE),"")</f>
        <v/>
      </c>
      <c r="Q17" s="12" t="str">
        <f ca="1">IF($A17&lt;&gt;"",VLOOKUP($B17,'Player Scoreboard'!$C$10:$BV$24,Q$6+8,FALSE),"")</f>
        <v/>
      </c>
      <c r="R17" s="12" t="str">
        <f ca="1">IF($A17&lt;&gt;"",VLOOKUP($B17,'Player Scoreboard'!$C$10:$BV$24,R$6+8,FALSE),"")</f>
        <v/>
      </c>
      <c r="S17" s="12" t="str">
        <f ca="1">IF($A17&lt;&gt;"",VLOOKUP($B17,'Player Scoreboard'!$C$10:$BV$24,S$6+8,FALSE),"")</f>
        <v/>
      </c>
      <c r="T17" s="12" t="str">
        <f ca="1">IF($A17&lt;&gt;"",VLOOKUP($B17,'Player Scoreboard'!$C$10:$BV$24,T$6+8,FALSE),"")</f>
        <v/>
      </c>
    </row>
    <row r="18" spans="1:20" ht="15" customHeight="1">
      <c r="A18" s="14">
        <f>IF('Player Name'!C15&lt;&gt;"",A17+1,"")</f>
        <v>10</v>
      </c>
      <c r="B18" s="15" t="str">
        <f ca="1">IF(A18&lt;&gt;"",VLOOKUP(A18,Dummy!$M$7:$N$106,2,FALSE),"")</f>
        <v>John 10</v>
      </c>
      <c r="C18" s="26">
        <f ca="1">IF($A18&lt;&gt;"",VLOOKUP($B18,'Player Scoreboard'!$C$10:$H$24,6,FALSE),"")</f>
        <v>0</v>
      </c>
      <c r="D18" s="14">
        <f ca="1">IF($A18&lt;&gt;"",VLOOKUP($B18,'Player Scoreboard'!$C$10:$I$24,7,FALSE),"")</f>
        <v>0</v>
      </c>
      <c r="E18" s="14" t="str">
        <f ca="1">IF($A18&lt;&gt;"",VLOOKUP($B18,'Player Scoreboard'!$C$10:$BV$24,E$6+8,FALSE),"")</f>
        <v/>
      </c>
      <c r="F18" s="14" t="str">
        <f ca="1">IF($A18&lt;&gt;"",VLOOKUP($B18,'Player Scoreboard'!$C$10:$BV$24,F$6+8,FALSE),"")</f>
        <v/>
      </c>
      <c r="G18" s="14" t="str">
        <f ca="1">IF($A18&lt;&gt;"",VLOOKUP($B18,'Player Scoreboard'!$C$10:$BV$24,G$6+8,FALSE),"")</f>
        <v/>
      </c>
      <c r="H18" s="14" t="str">
        <f ca="1">IF($A18&lt;&gt;"",VLOOKUP($B18,'Player Scoreboard'!$C$10:$BV$24,H$6+8,FALSE),"")</f>
        <v/>
      </c>
      <c r="I18" s="14" t="str">
        <f ca="1">IF($A18&lt;&gt;"",VLOOKUP($B18,'Player Scoreboard'!$C$10:$BV$24,I$6+8,FALSE),"")</f>
        <v/>
      </c>
      <c r="J18" s="14" t="str">
        <f ca="1">IF($A18&lt;&gt;"",VLOOKUP($B18,'Player Scoreboard'!$C$10:$BV$24,J$6+8,FALSE),"")</f>
        <v/>
      </c>
      <c r="K18" s="14" t="str">
        <f ca="1">IF($A18&lt;&gt;"",VLOOKUP($B18,'Player Scoreboard'!$C$10:$BV$24,K$6+8,FALSE),"")</f>
        <v/>
      </c>
      <c r="L18" s="14" t="str">
        <f ca="1">IF($A18&lt;&gt;"",VLOOKUP($B18,'Player Scoreboard'!$C$10:$BV$24,L$6+8,FALSE),"")</f>
        <v/>
      </c>
      <c r="M18" s="14" t="str">
        <f ca="1">IF($A18&lt;&gt;"",VLOOKUP($B18,'Player Scoreboard'!$C$10:$BV$24,M$6+8,FALSE),"")</f>
        <v/>
      </c>
      <c r="N18" s="14" t="str">
        <f ca="1">IF($A18&lt;&gt;"",VLOOKUP($B18,'Player Scoreboard'!$C$10:$BV$24,N$6+8,FALSE),"")</f>
        <v/>
      </c>
      <c r="O18" s="14" t="str">
        <f ca="1">IF($A18&lt;&gt;"",VLOOKUP($B18,'Player Scoreboard'!$C$10:$BV$24,O$6+8,FALSE),"")</f>
        <v/>
      </c>
      <c r="P18" s="14" t="str">
        <f ca="1">IF($A18&lt;&gt;"",VLOOKUP($B18,'Player Scoreboard'!$C$10:$BV$24,P$6+8,FALSE),"")</f>
        <v/>
      </c>
      <c r="Q18" s="14" t="str">
        <f ca="1">IF($A18&lt;&gt;"",VLOOKUP($B18,'Player Scoreboard'!$C$10:$BV$24,Q$6+8,FALSE),"")</f>
        <v/>
      </c>
      <c r="R18" s="14" t="str">
        <f ca="1">IF($A18&lt;&gt;"",VLOOKUP($B18,'Player Scoreboard'!$C$10:$BV$24,R$6+8,FALSE),"")</f>
        <v/>
      </c>
      <c r="S18" s="14" t="str">
        <f ca="1">IF($A18&lt;&gt;"",VLOOKUP($B18,'Player Scoreboard'!$C$10:$BV$24,S$6+8,FALSE),"")</f>
        <v/>
      </c>
      <c r="T18" s="14" t="str">
        <f ca="1">IF($A18&lt;&gt;"",VLOOKUP($B18,'Player Scoreboard'!$C$10:$BV$24,T$6+8,FALSE),"")</f>
        <v/>
      </c>
    </row>
    <row r="19" spans="1:20" ht="15" customHeight="1">
      <c r="A19" s="12">
        <f>IF('Player Name'!C16&lt;&gt;"",A18+1,"")</f>
        <v>11</v>
      </c>
      <c r="B19" s="13" t="str">
        <f ca="1">IF(A19&lt;&gt;"",VLOOKUP(A19,Dummy!$M$7:$N$106,2,FALSE),"")</f>
        <v>John 11</v>
      </c>
      <c r="C19" s="25">
        <f ca="1">IF($A19&lt;&gt;"",VLOOKUP($B19,'Player Scoreboard'!$C$10:$H$24,6,FALSE),"")</f>
        <v>0</v>
      </c>
      <c r="D19" s="12">
        <f ca="1">IF($A19&lt;&gt;"",VLOOKUP($B19,'Player Scoreboard'!$C$10:$I$24,7,FALSE),"")</f>
        <v>0</v>
      </c>
      <c r="E19" s="12" t="str">
        <f ca="1">IF($A19&lt;&gt;"",VLOOKUP($B19,'Player Scoreboard'!$C$10:$BV$24,E$6+8,FALSE),"")</f>
        <v/>
      </c>
      <c r="F19" s="12" t="str">
        <f ca="1">IF($A19&lt;&gt;"",VLOOKUP($B19,'Player Scoreboard'!$C$10:$BV$24,F$6+8,FALSE),"")</f>
        <v/>
      </c>
      <c r="G19" s="12" t="str">
        <f ca="1">IF($A19&lt;&gt;"",VLOOKUP($B19,'Player Scoreboard'!$C$10:$BV$24,G$6+8,FALSE),"")</f>
        <v/>
      </c>
      <c r="H19" s="12" t="str">
        <f ca="1">IF($A19&lt;&gt;"",VLOOKUP($B19,'Player Scoreboard'!$C$10:$BV$24,H$6+8,FALSE),"")</f>
        <v/>
      </c>
      <c r="I19" s="12" t="str">
        <f ca="1">IF($A19&lt;&gt;"",VLOOKUP($B19,'Player Scoreboard'!$C$10:$BV$24,I$6+8,FALSE),"")</f>
        <v/>
      </c>
      <c r="J19" s="12" t="str">
        <f ca="1">IF($A19&lt;&gt;"",VLOOKUP($B19,'Player Scoreboard'!$C$10:$BV$24,J$6+8,FALSE),"")</f>
        <v/>
      </c>
      <c r="K19" s="12" t="str">
        <f ca="1">IF($A19&lt;&gt;"",VLOOKUP($B19,'Player Scoreboard'!$C$10:$BV$24,K$6+8,FALSE),"")</f>
        <v/>
      </c>
      <c r="L19" s="12" t="str">
        <f ca="1">IF($A19&lt;&gt;"",VLOOKUP($B19,'Player Scoreboard'!$C$10:$BV$24,L$6+8,FALSE),"")</f>
        <v/>
      </c>
      <c r="M19" s="12" t="str">
        <f ca="1">IF($A19&lt;&gt;"",VLOOKUP($B19,'Player Scoreboard'!$C$10:$BV$24,M$6+8,FALSE),"")</f>
        <v/>
      </c>
      <c r="N19" s="12" t="str">
        <f ca="1">IF($A19&lt;&gt;"",VLOOKUP($B19,'Player Scoreboard'!$C$10:$BV$24,N$6+8,FALSE),"")</f>
        <v/>
      </c>
      <c r="O19" s="12" t="str">
        <f ca="1">IF($A19&lt;&gt;"",VLOOKUP($B19,'Player Scoreboard'!$C$10:$BV$24,O$6+8,FALSE),"")</f>
        <v/>
      </c>
      <c r="P19" s="12" t="str">
        <f ca="1">IF($A19&lt;&gt;"",VLOOKUP($B19,'Player Scoreboard'!$C$10:$BV$24,P$6+8,FALSE),"")</f>
        <v/>
      </c>
      <c r="Q19" s="12" t="str">
        <f ca="1">IF($A19&lt;&gt;"",VLOOKUP($B19,'Player Scoreboard'!$C$10:$BV$24,Q$6+8,FALSE),"")</f>
        <v/>
      </c>
      <c r="R19" s="12" t="str">
        <f ca="1">IF($A19&lt;&gt;"",VLOOKUP($B19,'Player Scoreboard'!$C$10:$BV$24,R$6+8,FALSE),"")</f>
        <v/>
      </c>
      <c r="S19" s="12" t="str">
        <f ca="1">IF($A19&lt;&gt;"",VLOOKUP($B19,'Player Scoreboard'!$C$10:$BV$24,S$6+8,FALSE),"")</f>
        <v/>
      </c>
      <c r="T19" s="12" t="str">
        <f ca="1">IF($A19&lt;&gt;"",VLOOKUP($B19,'Player Scoreboard'!$C$10:$BV$24,T$6+8,FALSE),"")</f>
        <v/>
      </c>
    </row>
    <row r="20" spans="1:20" ht="15" customHeight="1">
      <c r="A20" s="14">
        <f>IF('Player Name'!C17&lt;&gt;"",A19+1,"")</f>
        <v>12</v>
      </c>
      <c r="B20" s="15" t="str">
        <f ca="1">IF(A20&lt;&gt;"",VLOOKUP(A20,Dummy!$M$7:$N$106,2,FALSE),"")</f>
        <v>John 12</v>
      </c>
      <c r="C20" s="26">
        <f ca="1">IF($A20&lt;&gt;"",VLOOKUP($B20,'Player Scoreboard'!$C$10:$H$24,6,FALSE),"")</f>
        <v>0</v>
      </c>
      <c r="D20" s="14">
        <f ca="1">IF($A20&lt;&gt;"",VLOOKUP($B20,'Player Scoreboard'!$C$10:$I$24,7,FALSE),"")</f>
        <v>0</v>
      </c>
      <c r="E20" s="14" t="str">
        <f ca="1">IF($A20&lt;&gt;"",VLOOKUP($B20,'Player Scoreboard'!$C$10:$BV$24,E$6+8,FALSE),"")</f>
        <v/>
      </c>
      <c r="F20" s="14" t="str">
        <f ca="1">IF($A20&lt;&gt;"",VLOOKUP($B20,'Player Scoreboard'!$C$10:$BV$24,F$6+8,FALSE),"")</f>
        <v/>
      </c>
      <c r="G20" s="14" t="str">
        <f ca="1">IF($A20&lt;&gt;"",VLOOKUP($B20,'Player Scoreboard'!$C$10:$BV$24,G$6+8,FALSE),"")</f>
        <v/>
      </c>
      <c r="H20" s="14" t="str">
        <f ca="1">IF($A20&lt;&gt;"",VLOOKUP($B20,'Player Scoreboard'!$C$10:$BV$24,H$6+8,FALSE),"")</f>
        <v/>
      </c>
      <c r="I20" s="14" t="str">
        <f ca="1">IF($A20&lt;&gt;"",VLOOKUP($B20,'Player Scoreboard'!$C$10:$BV$24,I$6+8,FALSE),"")</f>
        <v/>
      </c>
      <c r="J20" s="14" t="str">
        <f ca="1">IF($A20&lt;&gt;"",VLOOKUP($B20,'Player Scoreboard'!$C$10:$BV$24,J$6+8,FALSE),"")</f>
        <v/>
      </c>
      <c r="K20" s="14" t="str">
        <f ca="1">IF($A20&lt;&gt;"",VLOOKUP($B20,'Player Scoreboard'!$C$10:$BV$24,K$6+8,FALSE),"")</f>
        <v/>
      </c>
      <c r="L20" s="14" t="str">
        <f ca="1">IF($A20&lt;&gt;"",VLOOKUP($B20,'Player Scoreboard'!$C$10:$BV$24,L$6+8,FALSE),"")</f>
        <v/>
      </c>
      <c r="M20" s="14" t="str">
        <f ca="1">IF($A20&lt;&gt;"",VLOOKUP($B20,'Player Scoreboard'!$C$10:$BV$24,M$6+8,FALSE),"")</f>
        <v/>
      </c>
      <c r="N20" s="14" t="str">
        <f ca="1">IF($A20&lt;&gt;"",VLOOKUP($B20,'Player Scoreboard'!$C$10:$BV$24,N$6+8,FALSE),"")</f>
        <v/>
      </c>
      <c r="O20" s="14" t="str">
        <f ca="1">IF($A20&lt;&gt;"",VLOOKUP($B20,'Player Scoreboard'!$C$10:$BV$24,O$6+8,FALSE),"")</f>
        <v/>
      </c>
      <c r="P20" s="14" t="str">
        <f ca="1">IF($A20&lt;&gt;"",VLOOKUP($B20,'Player Scoreboard'!$C$10:$BV$24,P$6+8,FALSE),"")</f>
        <v/>
      </c>
      <c r="Q20" s="14" t="str">
        <f ca="1">IF($A20&lt;&gt;"",VLOOKUP($B20,'Player Scoreboard'!$C$10:$BV$24,Q$6+8,FALSE),"")</f>
        <v/>
      </c>
      <c r="R20" s="14" t="str">
        <f ca="1">IF($A20&lt;&gt;"",VLOOKUP($B20,'Player Scoreboard'!$C$10:$BV$24,R$6+8,FALSE),"")</f>
        <v/>
      </c>
      <c r="S20" s="14" t="str">
        <f ca="1">IF($A20&lt;&gt;"",VLOOKUP($B20,'Player Scoreboard'!$C$10:$BV$24,S$6+8,FALSE),"")</f>
        <v/>
      </c>
      <c r="T20" s="14" t="str">
        <f ca="1">IF($A20&lt;&gt;"",VLOOKUP($B20,'Player Scoreboard'!$C$10:$BV$24,T$6+8,FALSE),"")</f>
        <v/>
      </c>
    </row>
    <row r="21" spans="1:20" ht="15" customHeight="1">
      <c r="A21" s="12">
        <f>IF('Player Name'!C18&lt;&gt;"",A20+1,"")</f>
        <v>13</v>
      </c>
      <c r="B21" s="13" t="str">
        <f ca="1">IF(A21&lt;&gt;"",VLOOKUP(A21,Dummy!$M$7:$N$106,2,FALSE),"")</f>
        <v>John 13</v>
      </c>
      <c r="C21" s="25">
        <f ca="1">IF($A21&lt;&gt;"",VLOOKUP($B21,'Player Scoreboard'!$C$10:$H$24,6,FALSE),"")</f>
        <v>0</v>
      </c>
      <c r="D21" s="12">
        <f ca="1">IF($A21&lt;&gt;"",VLOOKUP($B21,'Player Scoreboard'!$C$10:$I$24,7,FALSE),"")</f>
        <v>0</v>
      </c>
      <c r="E21" s="12" t="str">
        <f ca="1">IF($A21&lt;&gt;"",VLOOKUP($B21,'Player Scoreboard'!$C$10:$BV$24,E$6+8,FALSE),"")</f>
        <v/>
      </c>
      <c r="F21" s="12" t="str">
        <f ca="1">IF($A21&lt;&gt;"",VLOOKUP($B21,'Player Scoreboard'!$C$10:$BV$24,F$6+8,FALSE),"")</f>
        <v/>
      </c>
      <c r="G21" s="12" t="str">
        <f ca="1">IF($A21&lt;&gt;"",VLOOKUP($B21,'Player Scoreboard'!$C$10:$BV$24,G$6+8,FALSE),"")</f>
        <v/>
      </c>
      <c r="H21" s="12" t="str">
        <f ca="1">IF($A21&lt;&gt;"",VLOOKUP($B21,'Player Scoreboard'!$C$10:$BV$24,H$6+8,FALSE),"")</f>
        <v/>
      </c>
      <c r="I21" s="12" t="str">
        <f ca="1">IF($A21&lt;&gt;"",VLOOKUP($B21,'Player Scoreboard'!$C$10:$BV$24,I$6+8,FALSE),"")</f>
        <v/>
      </c>
      <c r="J21" s="12" t="str">
        <f ca="1">IF($A21&lt;&gt;"",VLOOKUP($B21,'Player Scoreboard'!$C$10:$BV$24,J$6+8,FALSE),"")</f>
        <v/>
      </c>
      <c r="K21" s="12" t="str">
        <f ca="1">IF($A21&lt;&gt;"",VLOOKUP($B21,'Player Scoreboard'!$C$10:$BV$24,K$6+8,FALSE),"")</f>
        <v/>
      </c>
      <c r="L21" s="12" t="str">
        <f ca="1">IF($A21&lt;&gt;"",VLOOKUP($B21,'Player Scoreboard'!$C$10:$BV$24,L$6+8,FALSE),"")</f>
        <v/>
      </c>
      <c r="M21" s="12" t="str">
        <f ca="1">IF($A21&lt;&gt;"",VLOOKUP($B21,'Player Scoreboard'!$C$10:$BV$24,M$6+8,FALSE),"")</f>
        <v/>
      </c>
      <c r="N21" s="12" t="str">
        <f ca="1">IF($A21&lt;&gt;"",VLOOKUP($B21,'Player Scoreboard'!$C$10:$BV$24,N$6+8,FALSE),"")</f>
        <v/>
      </c>
      <c r="O21" s="12" t="str">
        <f ca="1">IF($A21&lt;&gt;"",VLOOKUP($B21,'Player Scoreboard'!$C$10:$BV$24,O$6+8,FALSE),"")</f>
        <v/>
      </c>
      <c r="P21" s="12" t="str">
        <f ca="1">IF($A21&lt;&gt;"",VLOOKUP($B21,'Player Scoreboard'!$C$10:$BV$24,P$6+8,FALSE),"")</f>
        <v/>
      </c>
      <c r="Q21" s="12" t="str">
        <f ca="1">IF($A21&lt;&gt;"",VLOOKUP($B21,'Player Scoreboard'!$C$10:$BV$24,Q$6+8,FALSE),"")</f>
        <v/>
      </c>
      <c r="R21" s="12" t="str">
        <f ca="1">IF($A21&lt;&gt;"",VLOOKUP($B21,'Player Scoreboard'!$C$10:$BV$24,R$6+8,FALSE),"")</f>
        <v/>
      </c>
      <c r="S21" s="12" t="str">
        <f ca="1">IF($A21&lt;&gt;"",VLOOKUP($B21,'Player Scoreboard'!$C$10:$BV$24,S$6+8,FALSE),"")</f>
        <v/>
      </c>
      <c r="T21" s="12" t="str">
        <f ca="1">IF($A21&lt;&gt;"",VLOOKUP($B21,'Player Scoreboard'!$C$10:$BV$24,T$6+8,FALSE),"")</f>
        <v/>
      </c>
    </row>
    <row r="22" spans="1:20" ht="15" customHeight="1">
      <c r="A22" s="14">
        <f>IF('Player Name'!C19&lt;&gt;"",A21+1,"")</f>
        <v>14</v>
      </c>
      <c r="B22" s="15" t="str">
        <f ca="1">IF(A22&lt;&gt;"",VLOOKUP(A22,Dummy!$M$7:$N$106,2,FALSE),"")</f>
        <v>John 14</v>
      </c>
      <c r="C22" s="26">
        <f ca="1">IF($A22&lt;&gt;"",VLOOKUP($B22,'Player Scoreboard'!$C$10:$H$24,6,FALSE),"")</f>
        <v>0</v>
      </c>
      <c r="D22" s="14">
        <f ca="1">IF($A22&lt;&gt;"",VLOOKUP($B22,'Player Scoreboard'!$C$10:$I$24,7,FALSE),"")</f>
        <v>0</v>
      </c>
      <c r="E22" s="14" t="str">
        <f ca="1">IF($A22&lt;&gt;"",VLOOKUP($B22,'Player Scoreboard'!$C$10:$BV$24,E$6+8,FALSE),"")</f>
        <v/>
      </c>
      <c r="F22" s="14" t="str">
        <f ca="1">IF($A22&lt;&gt;"",VLOOKUP($B22,'Player Scoreboard'!$C$10:$BV$24,F$6+8,FALSE),"")</f>
        <v/>
      </c>
      <c r="G22" s="14" t="str">
        <f ca="1">IF($A22&lt;&gt;"",VLOOKUP($B22,'Player Scoreboard'!$C$10:$BV$24,G$6+8,FALSE),"")</f>
        <v/>
      </c>
      <c r="H22" s="14" t="str">
        <f ca="1">IF($A22&lt;&gt;"",VLOOKUP($B22,'Player Scoreboard'!$C$10:$BV$24,H$6+8,FALSE),"")</f>
        <v/>
      </c>
      <c r="I22" s="14" t="str">
        <f ca="1">IF($A22&lt;&gt;"",VLOOKUP($B22,'Player Scoreboard'!$C$10:$BV$24,I$6+8,FALSE),"")</f>
        <v/>
      </c>
      <c r="J22" s="14" t="str">
        <f ca="1">IF($A22&lt;&gt;"",VLOOKUP($B22,'Player Scoreboard'!$C$10:$BV$24,J$6+8,FALSE),"")</f>
        <v/>
      </c>
      <c r="K22" s="14" t="str">
        <f ca="1">IF($A22&lt;&gt;"",VLOOKUP($B22,'Player Scoreboard'!$C$10:$BV$24,K$6+8,FALSE),"")</f>
        <v/>
      </c>
      <c r="L22" s="14" t="str">
        <f ca="1">IF($A22&lt;&gt;"",VLOOKUP($B22,'Player Scoreboard'!$C$10:$BV$24,L$6+8,FALSE),"")</f>
        <v/>
      </c>
      <c r="M22" s="14" t="str">
        <f ca="1">IF($A22&lt;&gt;"",VLOOKUP($B22,'Player Scoreboard'!$C$10:$BV$24,M$6+8,FALSE),"")</f>
        <v/>
      </c>
      <c r="N22" s="14" t="str">
        <f ca="1">IF($A22&lt;&gt;"",VLOOKUP($B22,'Player Scoreboard'!$C$10:$BV$24,N$6+8,FALSE),"")</f>
        <v/>
      </c>
      <c r="O22" s="14" t="str">
        <f ca="1">IF($A22&lt;&gt;"",VLOOKUP($B22,'Player Scoreboard'!$C$10:$BV$24,O$6+8,FALSE),"")</f>
        <v/>
      </c>
      <c r="P22" s="14" t="str">
        <f ca="1">IF($A22&lt;&gt;"",VLOOKUP($B22,'Player Scoreboard'!$C$10:$BV$24,P$6+8,FALSE),"")</f>
        <v/>
      </c>
      <c r="Q22" s="14" t="str">
        <f ca="1">IF($A22&lt;&gt;"",VLOOKUP($B22,'Player Scoreboard'!$C$10:$BV$24,Q$6+8,FALSE),"")</f>
        <v/>
      </c>
      <c r="R22" s="14" t="str">
        <f ca="1">IF($A22&lt;&gt;"",VLOOKUP($B22,'Player Scoreboard'!$C$10:$BV$24,R$6+8,FALSE),"")</f>
        <v/>
      </c>
      <c r="S22" s="14" t="str">
        <f ca="1">IF($A22&lt;&gt;"",VLOOKUP($B22,'Player Scoreboard'!$C$10:$BV$24,S$6+8,FALSE),"")</f>
        <v/>
      </c>
      <c r="T22" s="14" t="str">
        <f ca="1">IF($A22&lt;&gt;"",VLOOKUP($B22,'Player Scoreboard'!$C$10:$BV$24,T$6+8,FALSE),"")</f>
        <v/>
      </c>
    </row>
    <row r="23" spans="1:20" ht="15" customHeight="1">
      <c r="A23" s="12">
        <f>IF('Player Name'!C20&lt;&gt;"",A22+1,"")</f>
        <v>15</v>
      </c>
      <c r="B23" s="13" t="str">
        <f ca="1">IF(A23&lt;&gt;"",VLOOKUP(A23,Dummy!$M$7:$N$106,2,FALSE),"")</f>
        <v>John 15</v>
      </c>
      <c r="C23" s="25">
        <f ca="1">IF($A23&lt;&gt;"",VLOOKUP($B23,'Player Scoreboard'!$C$10:$H$24,6,FALSE),"")</f>
        <v>0</v>
      </c>
      <c r="D23" s="12">
        <f ca="1">IF($A23&lt;&gt;"",VLOOKUP($B23,'Player Scoreboard'!$C$10:$I$24,7,FALSE),"")</f>
        <v>0</v>
      </c>
      <c r="E23" s="12" t="str">
        <f ca="1">IF($A23&lt;&gt;"",VLOOKUP($B23,'Player Scoreboard'!$C$10:$BV$24,E$6+8,FALSE),"")</f>
        <v/>
      </c>
      <c r="F23" s="12" t="str">
        <f ca="1">IF($A23&lt;&gt;"",VLOOKUP($B23,'Player Scoreboard'!$C$10:$BV$24,F$6+8,FALSE),"")</f>
        <v/>
      </c>
      <c r="G23" s="12" t="str">
        <f ca="1">IF($A23&lt;&gt;"",VLOOKUP($B23,'Player Scoreboard'!$C$10:$BV$24,G$6+8,FALSE),"")</f>
        <v/>
      </c>
      <c r="H23" s="12" t="str">
        <f ca="1">IF($A23&lt;&gt;"",VLOOKUP($B23,'Player Scoreboard'!$C$10:$BV$24,H$6+8,FALSE),"")</f>
        <v/>
      </c>
      <c r="I23" s="12" t="str">
        <f ca="1">IF($A23&lt;&gt;"",VLOOKUP($B23,'Player Scoreboard'!$C$10:$BV$24,I$6+8,FALSE),"")</f>
        <v/>
      </c>
      <c r="J23" s="12" t="str">
        <f ca="1">IF($A23&lt;&gt;"",VLOOKUP($B23,'Player Scoreboard'!$C$10:$BV$24,J$6+8,FALSE),"")</f>
        <v/>
      </c>
      <c r="K23" s="12" t="str">
        <f ca="1">IF($A23&lt;&gt;"",VLOOKUP($B23,'Player Scoreboard'!$C$10:$BV$24,K$6+8,FALSE),"")</f>
        <v/>
      </c>
      <c r="L23" s="12" t="str">
        <f ca="1">IF($A23&lt;&gt;"",VLOOKUP($B23,'Player Scoreboard'!$C$10:$BV$24,L$6+8,FALSE),"")</f>
        <v/>
      </c>
      <c r="M23" s="12" t="str">
        <f ca="1">IF($A23&lt;&gt;"",VLOOKUP($B23,'Player Scoreboard'!$C$10:$BV$24,M$6+8,FALSE),"")</f>
        <v/>
      </c>
      <c r="N23" s="12" t="str">
        <f ca="1">IF($A23&lt;&gt;"",VLOOKUP($B23,'Player Scoreboard'!$C$10:$BV$24,N$6+8,FALSE),"")</f>
        <v/>
      </c>
      <c r="O23" s="12" t="str">
        <f ca="1">IF($A23&lt;&gt;"",VLOOKUP($B23,'Player Scoreboard'!$C$10:$BV$24,O$6+8,FALSE),"")</f>
        <v/>
      </c>
      <c r="P23" s="12" t="str">
        <f ca="1">IF($A23&lt;&gt;"",VLOOKUP($B23,'Player Scoreboard'!$C$10:$BV$24,P$6+8,FALSE),"")</f>
        <v/>
      </c>
      <c r="Q23" s="12" t="str">
        <f ca="1">IF($A23&lt;&gt;"",VLOOKUP($B23,'Player Scoreboard'!$C$10:$BV$24,Q$6+8,FALSE),"")</f>
        <v/>
      </c>
      <c r="R23" s="12" t="str">
        <f ca="1">IF($A23&lt;&gt;"",VLOOKUP($B23,'Player Scoreboard'!$C$10:$BV$24,R$6+8,FALSE),"")</f>
        <v/>
      </c>
      <c r="S23" s="12" t="str">
        <f ca="1">IF($A23&lt;&gt;"",VLOOKUP($B23,'Player Scoreboard'!$C$10:$BV$24,S$6+8,FALSE),"")</f>
        <v/>
      </c>
      <c r="T23" s="12" t="str">
        <f ca="1">IF($A23&lt;&gt;"",VLOOKUP($B23,'Player Scoreboard'!$C$10:$BV$24,T$6+8,FALSE),"")</f>
        <v/>
      </c>
    </row>
  </sheetData>
  <sheetProtection password="CE4F" sheet="1" objects="1" scenarios="1"/>
  <mergeCells count="5">
    <mergeCell ref="A6:A8"/>
    <mergeCell ref="B6:B8"/>
    <mergeCell ref="A5:D5"/>
    <mergeCell ref="C6:C8"/>
    <mergeCell ref="D6:D8"/>
  </mergeCells>
  <conditionalFormatting sqref="E7:T8">
    <cfRule type="cellIs" dxfId="574" priority="11" stopIfTrue="1" operator="equal">
      <formula>25</formula>
    </cfRule>
  </conditionalFormatting>
  <conditionalFormatting sqref="E9:T23">
    <cfRule type="expression" dxfId="573" priority="9">
      <formula>E9=E$7</formula>
    </cfRule>
  </conditionalFormatting>
  <conditionalFormatting sqref="A9:T23">
    <cfRule type="expression" dxfId="572" priority="1">
      <formula>$A9=""</formula>
    </cfRule>
  </conditionalFormatting>
  <pageMargins left="0.75" right="0.75" top="1" bottom="1" header="0.5" footer="0.5"/>
  <pageSetup orientation="portrait" horizontalDpi="300" verticalDpi="300" r:id="rId1"/>
  <headerFooter alignWithMargins="0"/>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pageSetUpPr fitToPage="1"/>
  </sheetPr>
  <dimension ref="A1:DH165"/>
  <sheetViews>
    <sheetView showGridLines="0" zoomScaleNormal="100" workbookViewId="0">
      <selection activeCell="L21" sqref="L21"/>
    </sheetView>
  </sheetViews>
  <sheetFormatPr defaultColWidth="0" defaultRowHeight="13.8" zeroHeight="1"/>
  <cols>
    <col min="1" max="3" width="2.44140625" style="58" customWidth="1"/>
    <col min="4" max="5" width="7.5546875" style="58" customWidth="1"/>
    <col min="6" max="6" width="10" style="58" customWidth="1"/>
    <col min="7" max="7" width="10.33203125" style="59" customWidth="1"/>
    <col min="8" max="8" width="20.6640625" style="58" customWidth="1"/>
    <col min="9" max="9" width="1.6640625" style="58" customWidth="1"/>
    <col min="10" max="10" width="4.6640625" style="58" customWidth="1"/>
    <col min="11" max="11" width="2.6640625" style="60" customWidth="1"/>
    <col min="12" max="12" width="4.6640625" style="58" customWidth="1"/>
    <col min="13" max="13" width="1.6640625" style="58" customWidth="1"/>
    <col min="14" max="14" width="20.6640625" style="58" customWidth="1"/>
    <col min="15" max="18" width="2.44140625" style="58" customWidth="1"/>
    <col min="19" max="19" width="4.33203125" style="58" customWidth="1"/>
    <col min="20" max="20" width="10" style="58" customWidth="1"/>
    <col min="21" max="21" width="10.33203125" style="58" customWidth="1"/>
    <col min="22" max="25" width="5.6640625" style="58" customWidth="1"/>
    <col min="26" max="26" width="2.6640625" style="58" customWidth="1"/>
    <col min="27" max="27" width="4.6640625" style="58" customWidth="1"/>
    <col min="28" max="28" width="2.6640625" style="58" customWidth="1"/>
    <col min="29" max="29" width="4.88671875" style="61" customWidth="1"/>
    <col min="30" max="31" width="2.6640625" style="61" customWidth="1"/>
    <col min="32" max="32" width="20.6640625" style="63" customWidth="1"/>
    <col min="33" max="33" width="2.6640625" style="60" customWidth="1"/>
    <col min="34" max="34" width="2.6640625" style="58" customWidth="1"/>
    <col min="35" max="35" width="2.5546875" style="58" customWidth="1"/>
    <col min="36" max="36" width="20.6640625" style="58" hidden="1" customWidth="1"/>
    <col min="37" max="37" width="12.88671875" style="58" hidden="1" customWidth="1"/>
    <col min="38" max="105" width="0" style="58" hidden="1" customWidth="1"/>
    <col min="106" max="109" width="0" style="61" hidden="1" customWidth="1"/>
    <col min="110" max="112" width="0" style="58" hidden="1" customWidth="1"/>
    <col min="113" max="16384" width="9.109375" style="58" hidden="1"/>
  </cols>
  <sheetData>
    <row r="1" spans="2:112">
      <c r="AD1" s="62"/>
      <c r="AE1" s="62"/>
      <c r="AG1" s="64"/>
    </row>
    <row r="2" spans="2:112">
      <c r="AD2" s="62"/>
      <c r="AE2" s="62"/>
      <c r="AG2" s="64"/>
    </row>
    <row r="3" spans="2:112">
      <c r="AD3" s="62"/>
      <c r="AE3" s="62"/>
      <c r="AG3" s="64"/>
    </row>
    <row r="4" spans="2:112" ht="15" customHeight="1">
      <c r="B4" s="65"/>
      <c r="C4" s="65" t="str">
        <f>INDEX(Language!$A$1:$AV$115,MATCH("Language",Language!$B$1:$B$115,0),MATCH($G$4,Language!$A$1:$AU$1,0))</f>
        <v>Language</v>
      </c>
      <c r="E4" s="60"/>
      <c r="F4" s="60" t="s">
        <v>3116</v>
      </c>
      <c r="G4" s="282" t="s">
        <v>3109</v>
      </c>
      <c r="H4" s="282"/>
      <c r="I4" s="282"/>
      <c r="J4" s="282"/>
      <c r="K4" s="282"/>
      <c r="N4" s="284" t="str">
        <f>INDEX(Language!$A$1:$AV$115,MATCH("Visit exceltemplate.net for more templates and updates",Language!$B$1:$B$115,0),MATCH($G$4,Language!$A$1:$AU$1,0))</f>
        <v>Visit exceltemplate.net for more templates and updates</v>
      </c>
      <c r="O4" s="284"/>
      <c r="P4" s="284"/>
      <c r="Q4" s="284"/>
      <c r="R4" s="284"/>
      <c r="S4" s="284"/>
      <c r="T4" s="284"/>
      <c r="U4" s="284"/>
      <c r="V4" s="284"/>
      <c r="W4" s="284"/>
      <c r="X4" s="284"/>
      <c r="Y4" s="284"/>
      <c r="Z4" s="284"/>
      <c r="AA4" s="284"/>
      <c r="AB4" s="284"/>
      <c r="AC4" s="284"/>
      <c r="AD4" s="284"/>
      <c r="AE4" s="284"/>
      <c r="AF4" s="284"/>
      <c r="AG4" s="284"/>
      <c r="AH4" s="284"/>
    </row>
    <row r="5" spans="2:112" ht="8.25" customHeight="1">
      <c r="E5" s="60"/>
      <c r="F5" s="60"/>
      <c r="G5" s="58"/>
      <c r="N5" s="284"/>
      <c r="O5" s="284"/>
      <c r="P5" s="284"/>
      <c r="Q5" s="284"/>
      <c r="R5" s="284"/>
      <c r="S5" s="284"/>
      <c r="T5" s="284"/>
      <c r="U5" s="284"/>
      <c r="V5" s="284"/>
      <c r="W5" s="284"/>
      <c r="X5" s="284"/>
      <c r="Y5" s="284"/>
      <c r="Z5" s="284"/>
      <c r="AA5" s="284"/>
      <c r="AB5" s="284"/>
      <c r="AC5" s="284"/>
      <c r="AD5" s="284"/>
      <c r="AE5" s="284"/>
      <c r="AF5" s="284"/>
      <c r="AG5" s="284"/>
      <c r="AH5" s="284"/>
      <c r="DC5" s="62" t="s">
        <v>823</v>
      </c>
    </row>
    <row r="6" spans="2:112" ht="15" customHeight="1">
      <c r="B6" s="65"/>
      <c r="C6" s="65" t="str">
        <f>INDEX(Language!$A$1:$AV$115,MATCH("Timezone",Language!$B$1:$B$115,0),MATCH($G$4,Language!$A$1:$AU$1,0))</f>
        <v>Timezone</v>
      </c>
      <c r="E6" s="60"/>
      <c r="F6" s="60" t="s">
        <v>3116</v>
      </c>
      <c r="G6" s="283" t="s">
        <v>1398</v>
      </c>
      <c r="H6" s="283"/>
      <c r="I6" s="283"/>
      <c r="J6" s="283"/>
      <c r="K6" s="283"/>
      <c r="N6" s="284"/>
      <c r="O6" s="284"/>
      <c r="P6" s="284"/>
      <c r="Q6" s="284"/>
      <c r="R6" s="284"/>
      <c r="S6" s="284"/>
      <c r="T6" s="284"/>
      <c r="U6" s="284"/>
      <c r="V6" s="284"/>
      <c r="W6" s="284"/>
      <c r="X6" s="284"/>
      <c r="Y6" s="284"/>
      <c r="Z6" s="284"/>
      <c r="AA6" s="284"/>
      <c r="AB6" s="284"/>
      <c r="AC6" s="284"/>
      <c r="AD6" s="284"/>
      <c r="AE6" s="284"/>
      <c r="AF6" s="284"/>
      <c r="AG6" s="284"/>
      <c r="AH6" s="284"/>
    </row>
    <row r="7" spans="2:112"/>
    <row r="8" spans="2:112" s="66" customFormat="1" ht="25.5" customHeight="1">
      <c r="B8" s="285" t="str">
        <f>INDEX(Language!$A$1:$AV$115,MATCH("World Cup 2014 Schedule and Scoresheet",Language!$B$1:$B$115,0),MATCH($G$4,Language!$A$1:$AU$1,0))</f>
        <v>World Cup 2014 Schedule and Scoresheet</v>
      </c>
      <c r="C8" s="285"/>
      <c r="D8" s="285"/>
      <c r="E8" s="285"/>
      <c r="F8" s="285"/>
      <c r="G8" s="285"/>
      <c r="H8" s="285"/>
      <c r="I8" s="285"/>
      <c r="J8" s="285"/>
      <c r="K8" s="285"/>
      <c r="L8" s="285"/>
      <c r="M8" s="285"/>
      <c r="N8" s="285"/>
      <c r="O8" s="285"/>
      <c r="P8" s="285"/>
      <c r="Q8" s="285"/>
      <c r="R8" s="285"/>
      <c r="S8" s="285"/>
      <c r="T8" s="285"/>
      <c r="U8" s="285"/>
      <c r="V8" s="285"/>
      <c r="W8" s="285"/>
      <c r="X8" s="285"/>
      <c r="Y8" s="285"/>
      <c r="Z8" s="285"/>
      <c r="AA8" s="285"/>
      <c r="AB8" s="285"/>
      <c r="AC8" s="285"/>
      <c r="AD8" s="285"/>
      <c r="AE8" s="285"/>
      <c r="AF8" s="285"/>
      <c r="AG8" s="285"/>
      <c r="AH8" s="285"/>
      <c r="DB8" s="67"/>
      <c r="DC8" s="67"/>
      <c r="DD8" s="67"/>
      <c r="DE8" s="67"/>
    </row>
    <row r="9" spans="2:112"/>
    <row r="10" spans="2:112" s="66" customFormat="1" ht="15" customHeight="1">
      <c r="B10" s="289" t="str">
        <f>INDEX(Language!$A$1:$AV$115,MATCH("Group Stages",Language!$B$1:$B$115,0),MATCH($G$4,Language!$A$1:$AU$1,0))</f>
        <v>Group Stages</v>
      </c>
      <c r="C10" s="290"/>
      <c r="D10" s="290"/>
      <c r="E10" s="290"/>
      <c r="F10" s="290"/>
      <c r="G10" s="290"/>
      <c r="H10" s="290"/>
      <c r="I10" s="290"/>
      <c r="J10" s="290"/>
      <c r="K10" s="290"/>
      <c r="L10" s="290"/>
      <c r="M10" s="290"/>
      <c r="N10" s="290"/>
      <c r="O10" s="290"/>
      <c r="P10" s="290"/>
      <c r="Q10" s="290"/>
      <c r="R10" s="290"/>
      <c r="S10" s="290"/>
      <c r="T10" s="290"/>
      <c r="U10" s="290"/>
      <c r="V10" s="290"/>
      <c r="W10" s="290"/>
      <c r="X10" s="290"/>
      <c r="Y10" s="290"/>
      <c r="Z10" s="290"/>
      <c r="AA10" s="290"/>
      <c r="AB10" s="290"/>
      <c r="AC10" s="290"/>
      <c r="AD10" s="290"/>
      <c r="AE10" s="290"/>
      <c r="AF10" s="290"/>
      <c r="AG10" s="290"/>
      <c r="AH10" s="291"/>
      <c r="DB10" s="67"/>
      <c r="DC10" s="67"/>
      <c r="DD10" s="67"/>
      <c r="DE10" s="67"/>
    </row>
    <row r="11" spans="2:112" s="66" customFormat="1" ht="15" customHeight="1">
      <c r="B11" s="68"/>
      <c r="C11" s="69"/>
      <c r="D11" s="69"/>
      <c r="E11" s="69"/>
      <c r="F11" s="69"/>
      <c r="G11" s="69"/>
      <c r="H11" s="69"/>
      <c r="I11" s="69"/>
      <c r="J11" s="69"/>
      <c r="K11" s="70"/>
      <c r="L11" s="69"/>
      <c r="M11" s="69"/>
      <c r="N11" s="69"/>
      <c r="O11" s="69"/>
      <c r="P11" s="71"/>
      <c r="Q11" s="69"/>
      <c r="R11" s="69"/>
      <c r="S11" s="69"/>
      <c r="T11" s="69"/>
      <c r="U11" s="69"/>
      <c r="V11" s="69"/>
      <c r="W11" s="69"/>
      <c r="X11" s="69"/>
      <c r="Y11" s="69"/>
      <c r="Z11" s="69"/>
      <c r="AA11" s="69"/>
      <c r="AB11" s="69"/>
      <c r="AC11" s="72"/>
      <c r="AD11" s="69"/>
      <c r="AF11" s="73"/>
      <c r="AG11" s="74"/>
      <c r="AH11" s="75"/>
      <c r="DB11" s="67"/>
      <c r="DC11" s="67"/>
      <c r="DD11" s="67"/>
      <c r="DE11" s="67"/>
    </row>
    <row r="12" spans="2:112" s="66" customFormat="1" ht="15" customHeight="1">
      <c r="B12" s="68"/>
      <c r="C12" s="286" t="str">
        <f>INDEX(Language!$A$1:$AV$115,MATCH("Matches",Language!$B$1:$B$115,0),MATCH($G$4,Language!$A$1:$AU$1,0))</f>
        <v>Matches</v>
      </c>
      <c r="D12" s="287"/>
      <c r="E12" s="287"/>
      <c r="F12" s="287"/>
      <c r="G12" s="287"/>
      <c r="H12" s="287"/>
      <c r="I12" s="287"/>
      <c r="J12" s="287"/>
      <c r="K12" s="287"/>
      <c r="L12" s="287"/>
      <c r="M12" s="287"/>
      <c r="N12" s="287"/>
      <c r="O12" s="288"/>
      <c r="P12" s="76"/>
      <c r="Q12" s="69"/>
      <c r="R12" s="279" t="str">
        <f>INDEX(Language!$A$1:$AV$115,MATCH("Standings",Language!$B$1:$B$115,0),MATCH(Tournament!$G$4,Language!$A$1:$AU$1,0))</f>
        <v>Standings</v>
      </c>
      <c r="S12" s="280"/>
      <c r="T12" s="280"/>
      <c r="U12" s="280"/>
      <c r="V12" s="280"/>
      <c r="W12" s="280"/>
      <c r="X12" s="280"/>
      <c r="Y12" s="280"/>
      <c r="Z12" s="280"/>
      <c r="AA12" s="280"/>
      <c r="AB12" s="280"/>
      <c r="AC12" s="280"/>
      <c r="AD12" s="280"/>
      <c r="AE12" s="280"/>
      <c r="AF12" s="280"/>
      <c r="AG12" s="281"/>
      <c r="AH12" s="77"/>
      <c r="DB12" s="67"/>
      <c r="DC12" s="67"/>
      <c r="DD12" s="67"/>
      <c r="DE12" s="67"/>
    </row>
    <row r="13" spans="2:112" s="66" customFormat="1" ht="15" customHeight="1">
      <c r="B13" s="68"/>
      <c r="C13" s="68"/>
      <c r="D13" s="69"/>
      <c r="E13" s="69"/>
      <c r="F13" s="69"/>
      <c r="G13" s="69"/>
      <c r="H13" s="69"/>
      <c r="I13" s="69"/>
      <c r="J13" s="69"/>
      <c r="K13" s="70"/>
      <c r="L13" s="69"/>
      <c r="M13" s="69"/>
      <c r="N13" s="69"/>
      <c r="O13" s="78"/>
      <c r="P13" s="71"/>
      <c r="Q13" s="69"/>
      <c r="R13" s="68"/>
      <c r="S13" s="69"/>
      <c r="T13" s="69"/>
      <c r="U13" s="69"/>
      <c r="V13" s="69"/>
      <c r="W13" s="69"/>
      <c r="X13" s="69"/>
      <c r="Y13" s="69"/>
      <c r="Z13" s="69"/>
      <c r="AA13" s="69"/>
      <c r="AB13" s="69"/>
      <c r="AC13" s="72"/>
      <c r="AD13" s="69"/>
      <c r="AE13" s="69"/>
      <c r="AF13" s="79"/>
      <c r="AG13" s="80"/>
      <c r="AH13" s="78"/>
      <c r="DB13" s="67"/>
      <c r="DC13" s="67"/>
      <c r="DD13" s="67"/>
      <c r="DE13" s="67"/>
    </row>
    <row r="14" spans="2:112" s="66" customFormat="1" ht="15" customHeight="1">
      <c r="B14" s="68"/>
      <c r="C14" s="68"/>
      <c r="D14" s="81" t="str">
        <f>INDEX(Language!$A$1:$AV$115,MATCH("Match #",Language!$B$1:$B$115,0),MATCH($G$4,Language!$A$1:$AU$1,0))</f>
        <v>Match #</v>
      </c>
      <c r="E14" s="81" t="str">
        <f>INDEX(Language!$A$1:$AV$115,MATCH("Group",Language!$B$1:$B$115,0),MATCH($G$4,Language!$A$1:$AU$1,0))</f>
        <v>Group</v>
      </c>
      <c r="F14" s="81" t="str">
        <f>INDEX(Language!$A$1:$AV$115,MATCH("Date",Language!$B$1:$B$115,0),MATCH($G$4,Language!$A$1:$AU$1,0))</f>
        <v>Date</v>
      </c>
      <c r="G14" s="81" t="str">
        <f>INDEX(Language!$A$1:$AV$115,MATCH("Time",Language!$B$1:$B$115,0),MATCH($G$4,Language!$A$1:$AU$1,0))</f>
        <v>Time</v>
      </c>
      <c r="H14" s="81" t="str">
        <f>INDEX(Language!$A$1:$AV$115,MATCH("Country",Language!$B$1:$B$115,0),MATCH($G$4,Language!$A$1:$AU$1,0))</f>
        <v>Country</v>
      </c>
      <c r="I14" s="81"/>
      <c r="J14" s="278" t="str">
        <f>INDEX(Language!$A$1:$AV$115,MATCH("Score",Language!$B$1:$B$115,0),MATCH($G$4,Language!$A$1:$AU$1,0))</f>
        <v>Score</v>
      </c>
      <c r="K14" s="278"/>
      <c r="L14" s="278"/>
      <c r="M14" s="81"/>
      <c r="N14" s="81" t="str">
        <f>INDEX(Language!$A$1:$AV$115,MATCH("Country",Language!$B$1:$B$115,0),MATCH($G$4,Language!$A$1:$AU$1,0))</f>
        <v>Country</v>
      </c>
      <c r="O14" s="78"/>
      <c r="P14" s="71"/>
      <c r="Q14" s="69"/>
      <c r="R14" s="68"/>
      <c r="S14" s="292" t="str">
        <f>INDEX(Language!$A$1:$AV$115,MATCH("Group A",Language!$B$1:$B$115,0),MATCH(Tournament!$G$4,Language!$A$1:$AU$1,0))</f>
        <v>Group A</v>
      </c>
      <c r="T14" s="293"/>
      <c r="U14" s="293"/>
      <c r="V14" s="83" t="s">
        <v>1372</v>
      </c>
      <c r="W14" s="83" t="s">
        <v>3098</v>
      </c>
      <c r="X14" s="83" t="s">
        <v>3099</v>
      </c>
      <c r="Y14" s="83" t="s">
        <v>3100</v>
      </c>
      <c r="Z14" s="83"/>
      <c r="AA14" s="83" t="s">
        <v>3101</v>
      </c>
      <c r="AB14" s="83"/>
      <c r="AC14" s="83" t="s">
        <v>1373</v>
      </c>
      <c r="AD14" s="84"/>
      <c r="AE14" s="69"/>
      <c r="AF14" s="277" t="s">
        <v>3106</v>
      </c>
      <c r="AG14" s="85"/>
      <c r="AH14" s="78"/>
      <c r="AJ14" s="86" t="s">
        <v>3107</v>
      </c>
      <c r="AK14" s="87" t="s">
        <v>285</v>
      </c>
      <c r="DE14" s="67"/>
      <c r="DF14" s="72"/>
      <c r="DG14" s="88"/>
      <c r="DH14" s="67"/>
    </row>
    <row r="15" spans="2:112" s="66" customFormat="1" ht="15" customHeight="1">
      <c r="B15" s="68"/>
      <c r="C15" s="68"/>
      <c r="D15" s="69"/>
      <c r="E15" s="69"/>
      <c r="F15" s="69"/>
      <c r="G15" s="69"/>
      <c r="H15" s="69"/>
      <c r="I15" s="69"/>
      <c r="J15" s="69"/>
      <c r="K15" s="69"/>
      <c r="L15" s="69"/>
      <c r="M15" s="69"/>
      <c r="N15" s="69"/>
      <c r="O15" s="78"/>
      <c r="P15" s="71"/>
      <c r="Q15" s="69"/>
      <c r="R15" s="68"/>
      <c r="S15" s="89">
        <v>1</v>
      </c>
      <c r="T15" s="262" t="str">
        <f>VLOOKUP(1,'Dummy Table'!O4:P7,2,FALSE)</f>
        <v>Brazil</v>
      </c>
      <c r="U15" s="90"/>
      <c r="V15" s="91">
        <f>SUM(W15:Y15)</f>
        <v>1</v>
      </c>
      <c r="W15" s="91">
        <f>SUMIF('Dummy Table'!B$4:B$7,Tournament!T15,'Dummy Table'!C$4:C$7)</f>
        <v>1</v>
      </c>
      <c r="X15" s="91">
        <f>SUMIF('Dummy Table'!B$4:B$7,Tournament!T15,'Dummy Table'!D$4:D$7)</f>
        <v>0</v>
      </c>
      <c r="Y15" s="91">
        <f>SUMIF('Dummy Table'!B$4:B$7,Tournament!T15,'Dummy Table'!E$4:E$7)</f>
        <v>0</v>
      </c>
      <c r="Z15" s="91"/>
      <c r="AA15" s="91" t="str">
        <f>CONCATENATE(SUMIF('Dummy Table'!B$4:B$7,Tournament!T15,'Dummy Table'!F$4:F$7)," - ",SUMIF('Dummy Table'!B$4:B$7,Tournament!T15,'Dummy Table'!G$4:G$7))</f>
        <v>3 - 1</v>
      </c>
      <c r="AB15" s="91"/>
      <c r="AC15" s="91">
        <f>SUMIF('Dummy Table'!B$4:B$7,Tournament!T15,'Dummy Table'!I$4:I$7)</f>
        <v>3</v>
      </c>
      <c r="AD15" s="84"/>
      <c r="AE15" s="69"/>
      <c r="AF15" s="277"/>
      <c r="AG15" s="85"/>
      <c r="AH15" s="78"/>
      <c r="AJ15" s="86" t="str">
        <f>IF(SUM('Dummy Table'!AM$4:AM$7)&gt;0,IF(ISNA(VLOOKUP(1,'Dummy Table'!AM$4:AN$7,2,FALSE)),"",VLOOKUP(1,'Dummy Table'!AM$4:AN$7,2,FALSE)),"")</f>
        <v/>
      </c>
      <c r="AK15" s="87"/>
      <c r="DE15" s="67"/>
      <c r="DF15" s="72"/>
      <c r="DG15" s="88"/>
      <c r="DH15" s="67"/>
    </row>
    <row r="16" spans="2:112" s="66" customFormat="1" ht="15" customHeight="1">
      <c r="B16" s="68"/>
      <c r="C16" s="68"/>
      <c r="D16" s="70">
        <v>1</v>
      </c>
      <c r="E16" s="70" t="s">
        <v>3106</v>
      </c>
      <c r="F16" s="92">
        <f>G16</f>
        <v>41802.708333333336</v>
      </c>
      <c r="G16" s="93">
        <f>'Countries and Timezone'!R2</f>
        <v>41802.708333333336</v>
      </c>
      <c r="H16" s="94" t="str">
        <f>INDEX(Language!$A$1:$AX$115,MATCH('Countries and Timezone'!$AG$7,Language!$B$1:$B$115,0),MATCH($G$4,Language!$A$1:$AW$1,0))</f>
        <v>Brazil</v>
      </c>
      <c r="I16" s="69"/>
      <c r="J16" s="95">
        <v>3</v>
      </c>
      <c r="K16" s="265" t="s">
        <v>3088</v>
      </c>
      <c r="L16" s="95">
        <v>1</v>
      </c>
      <c r="M16" s="69"/>
      <c r="N16" s="69" t="str">
        <f>INDEX(Language!$A$1:$AX$115,MATCH('Countries and Timezone'!$AG$8,Language!$B$1:$B$115,0),MATCH($G$4,Language!$A$1:$AW$1,0))</f>
        <v>Croatia</v>
      </c>
      <c r="O16" s="78"/>
      <c r="P16" s="97"/>
      <c r="Q16" s="69"/>
      <c r="R16" s="68"/>
      <c r="S16" s="68">
        <v>2</v>
      </c>
      <c r="T16" s="263" t="str">
        <f>VLOOKUP(2,'Dummy Table'!O4:P7,2,FALSE)</f>
        <v>Mexico</v>
      </c>
      <c r="U16" s="98"/>
      <c r="V16" s="70">
        <f>SUM(W16:Y16)</f>
        <v>1</v>
      </c>
      <c r="W16" s="70">
        <f>SUMIF('Dummy Table'!B$4:B$7,Tournament!T16,'Dummy Table'!C$4:C$7)</f>
        <v>1</v>
      </c>
      <c r="X16" s="70">
        <f>SUMIF('Dummy Table'!B$4:B$7,Tournament!T16,'Dummy Table'!D$4:D$7)</f>
        <v>0</v>
      </c>
      <c r="Y16" s="70">
        <f>SUMIF('Dummy Table'!B$4:B$7,Tournament!T16,'Dummy Table'!E$4:E$7)</f>
        <v>0</v>
      </c>
      <c r="Z16" s="70"/>
      <c r="AA16" s="70" t="str">
        <f>CONCATENATE(SUMIF('Dummy Table'!B$4:B$7,Tournament!T16,'Dummy Table'!F$4:F$7)," - ",SUMIF('Dummy Table'!B$4:B$7,Tournament!T16,'Dummy Table'!G$4:G$7))</f>
        <v>1 - 0</v>
      </c>
      <c r="AB16" s="70"/>
      <c r="AC16" s="70">
        <f>SUMIF('Dummy Table'!B$4:B$7,Tournament!T16,'Dummy Table'!I$4:I$7)</f>
        <v>3</v>
      </c>
      <c r="AD16" s="78"/>
      <c r="AE16" s="69"/>
      <c r="AF16" s="277"/>
      <c r="AG16" s="85"/>
      <c r="AH16" s="78"/>
      <c r="AJ16" s="86" t="str">
        <f>IF(SUM('Dummy Table'!AM$4:AM$7)&gt;0,IF(ISNA(VLOOKUP(2,'Dummy Table'!AM$4:AN$7,2,FALSE)),"",VLOOKUP(2,'Dummy Table'!AM$4:AN$7,2,FALSE)),"")</f>
        <v/>
      </c>
      <c r="AK16" s="87" t="s">
        <v>3904</v>
      </c>
      <c r="DE16" s="67"/>
      <c r="DF16" s="72"/>
      <c r="DG16" s="88"/>
      <c r="DH16" s="67"/>
    </row>
    <row r="17" spans="2:112" s="66" customFormat="1" ht="15" customHeight="1">
      <c r="B17" s="68"/>
      <c r="C17" s="68"/>
      <c r="D17" s="70">
        <v>2</v>
      </c>
      <c r="E17" s="70" t="s">
        <v>3106</v>
      </c>
      <c r="F17" s="92">
        <f t="shared" ref="F17:F63" si="0">G17</f>
        <v>41803.541666666664</v>
      </c>
      <c r="G17" s="93">
        <f>'Countries and Timezone'!R3</f>
        <v>41803.541666666664</v>
      </c>
      <c r="H17" s="94" t="str">
        <f>INDEX(Language!$A$1:$AX$115,MATCH('Countries and Timezone'!$AG$9,Language!$B$1:$B$115,0),MATCH($G$4,Language!$A$1:$AW$1,0))</f>
        <v>Mexico</v>
      </c>
      <c r="I17" s="69"/>
      <c r="J17" s="95">
        <v>1</v>
      </c>
      <c r="K17" s="265" t="s">
        <v>3088</v>
      </c>
      <c r="L17" s="95">
        <v>0</v>
      </c>
      <c r="M17" s="69"/>
      <c r="N17" s="69" t="str">
        <f>INDEX(Language!$A$1:$AX$115,MATCH('Countries and Timezone'!$AG$10,Language!$B$1:$B$115,0),MATCH($G$4,Language!$A$1:$AW$1,0))</f>
        <v>Cameroon</v>
      </c>
      <c r="O17" s="78"/>
      <c r="P17" s="71"/>
      <c r="Q17" s="69"/>
      <c r="R17" s="68"/>
      <c r="S17" s="68">
        <v>3</v>
      </c>
      <c r="T17" s="263" t="str">
        <f>VLOOKUP(3,'Dummy Table'!O4:P7,2,FALSE)</f>
        <v>Cameroon</v>
      </c>
      <c r="U17" s="98"/>
      <c r="V17" s="70">
        <f>SUM(W17:Y17)</f>
        <v>1</v>
      </c>
      <c r="W17" s="70">
        <f>SUMIF('Dummy Table'!B$4:B$7,Tournament!T17,'Dummy Table'!C$4:C$7)</f>
        <v>0</v>
      </c>
      <c r="X17" s="70">
        <f>SUMIF('Dummy Table'!B$4:B$7,Tournament!T17,'Dummy Table'!D$4:D$7)</f>
        <v>0</v>
      </c>
      <c r="Y17" s="70">
        <f>SUMIF('Dummy Table'!B$4:B$7,Tournament!T17,'Dummy Table'!E$4:E$7)</f>
        <v>1</v>
      </c>
      <c r="Z17" s="70"/>
      <c r="AA17" s="70" t="str">
        <f>CONCATENATE(SUMIF('Dummy Table'!B$4:B$7,Tournament!T17,'Dummy Table'!F$4:F$7)," - ",SUMIF('Dummy Table'!B$4:B$7,Tournament!T17,'Dummy Table'!G$4:G$7))</f>
        <v>0 - 1</v>
      </c>
      <c r="AB17" s="70"/>
      <c r="AC17" s="70">
        <f>SUMIF('Dummy Table'!B$4:B$7,Tournament!T17,'Dummy Table'!I$4:I$7)</f>
        <v>0</v>
      </c>
      <c r="AD17" s="78"/>
      <c r="AE17" s="69"/>
      <c r="AF17" s="277"/>
      <c r="AG17" s="85"/>
      <c r="AH17" s="78"/>
      <c r="AJ17" s="86" t="str">
        <f>IF(SUM('Dummy Table'!AM$4:AM$7)&gt;0,IF(ISNA(VLOOKUP(3,'Dummy Table'!AM$4:AN$7,2,FALSE)),"",VLOOKUP(3,'Dummy Table'!AM$4:AN$7,2,FALSE)),"")</f>
        <v/>
      </c>
      <c r="AK17" s="87"/>
      <c r="DE17" s="67"/>
      <c r="DF17" s="72"/>
      <c r="DG17" s="88"/>
      <c r="DH17" s="67"/>
    </row>
    <row r="18" spans="2:112" s="66" customFormat="1" ht="15" customHeight="1">
      <c r="B18" s="68"/>
      <c r="C18" s="68"/>
      <c r="D18" s="70">
        <v>3</v>
      </c>
      <c r="E18" s="70" t="s">
        <v>849</v>
      </c>
      <c r="F18" s="92">
        <f t="shared" si="0"/>
        <v>41803.666666666664</v>
      </c>
      <c r="G18" s="93">
        <f>'Countries and Timezone'!R4</f>
        <v>41803.666666666664</v>
      </c>
      <c r="H18" s="94" t="str">
        <f>INDEX(Language!$A$1:$AX$115,MATCH('Countries and Timezone'!$AG$11,Language!$B$1:$B$115,0),MATCH($G$4,Language!$A$1:$AW$1,0))</f>
        <v>Spain</v>
      </c>
      <c r="I18" s="69"/>
      <c r="J18" s="95">
        <v>1</v>
      </c>
      <c r="K18" s="265" t="s">
        <v>3088</v>
      </c>
      <c r="L18" s="95">
        <v>5</v>
      </c>
      <c r="M18" s="69"/>
      <c r="N18" s="69" t="str">
        <f>INDEX(Language!$A$1:$AX$115,MATCH('Countries and Timezone'!$AG$12,Language!$B$1:$B$115,0),MATCH($G$4,Language!$A$1:$AW$1,0))</f>
        <v>Netherlands</v>
      </c>
      <c r="O18" s="78"/>
      <c r="P18" s="71"/>
      <c r="Q18" s="69"/>
      <c r="R18" s="68"/>
      <c r="S18" s="99">
        <v>4</v>
      </c>
      <c r="T18" s="264" t="str">
        <f>VLOOKUP(4,'Dummy Table'!O4:P7,2,FALSE)</f>
        <v>Croatia</v>
      </c>
      <c r="U18" s="100"/>
      <c r="V18" s="101">
        <f>SUM(W18:Y18)</f>
        <v>1</v>
      </c>
      <c r="W18" s="101">
        <f>SUMIF('Dummy Table'!B$4:B$7,Tournament!T18,'Dummy Table'!C$4:C$7)</f>
        <v>0</v>
      </c>
      <c r="X18" s="101">
        <f>SUMIF('Dummy Table'!B$4:B$7,Tournament!T18,'Dummy Table'!D$4:D$7)</f>
        <v>0</v>
      </c>
      <c r="Y18" s="101">
        <f>SUMIF('Dummy Table'!B$4:B$7,Tournament!T18,'Dummy Table'!E$4:E$7)</f>
        <v>1</v>
      </c>
      <c r="Z18" s="101"/>
      <c r="AA18" s="101" t="str">
        <f>CONCATENATE(SUMIF('Dummy Table'!B$4:B$7,Tournament!T18,'Dummy Table'!F$4:F$7)," - ",SUMIF('Dummy Table'!B$4:B$7,Tournament!T18,'Dummy Table'!G$4:G$7))</f>
        <v>1 - 3</v>
      </c>
      <c r="AB18" s="101"/>
      <c r="AC18" s="101">
        <f>SUMIF('Dummy Table'!B$4:B$7,Tournament!T18,'Dummy Table'!I$4:I$7)</f>
        <v>0</v>
      </c>
      <c r="AD18" s="102"/>
      <c r="AE18" s="69"/>
      <c r="AF18" s="277"/>
      <c r="AG18" s="85"/>
      <c r="AH18" s="78"/>
      <c r="AJ18" s="86" t="str">
        <f>IF(SUM('Dummy Table'!AM$4:AM$7)&gt;0,IF(ISNA(VLOOKUP(4,'Dummy Table'!AM$4:AN$7,2,FALSE)),"",VLOOKUP(4,'Dummy Table'!AM$4:AN$7,2,FALSE)),"")</f>
        <v/>
      </c>
      <c r="AK18" s="87"/>
      <c r="DE18" s="67"/>
      <c r="DF18" s="72"/>
      <c r="DG18" s="88"/>
      <c r="DH18" s="67"/>
    </row>
    <row r="19" spans="2:112" s="66" customFormat="1" ht="15" customHeight="1">
      <c r="B19" s="68"/>
      <c r="C19" s="68"/>
      <c r="D19" s="70">
        <v>4</v>
      </c>
      <c r="E19" s="70" t="s">
        <v>849</v>
      </c>
      <c r="F19" s="92">
        <f t="shared" si="0"/>
        <v>41803.791666666664</v>
      </c>
      <c r="G19" s="93">
        <f>'Countries and Timezone'!R5</f>
        <v>41803.791666666664</v>
      </c>
      <c r="H19" s="94" t="str">
        <f>INDEX(Language!$A$1:$AX$115,MATCH('Countries and Timezone'!$AG$13,Language!$B$1:$B$115,0),MATCH($G$4,Language!$A$1:$AW$1,0))</f>
        <v>Chile</v>
      </c>
      <c r="I19" s="69"/>
      <c r="J19" s="95">
        <v>3</v>
      </c>
      <c r="K19" s="265" t="s">
        <v>3088</v>
      </c>
      <c r="L19" s="95">
        <v>1</v>
      </c>
      <c r="M19" s="69"/>
      <c r="N19" s="69" t="str">
        <f>INDEX(Language!$A$1:$AX$115,MATCH('Countries and Timezone'!$AG$14,Language!$B$1:$B$115,0),MATCH($G$4,Language!$A$1:$AW$1,0))</f>
        <v>Australia</v>
      </c>
      <c r="O19" s="78"/>
      <c r="P19" s="71"/>
      <c r="Q19" s="69"/>
      <c r="R19" s="68"/>
      <c r="S19" s="103"/>
      <c r="T19" s="69"/>
      <c r="U19" s="69"/>
      <c r="V19" s="69"/>
      <c r="W19" s="69"/>
      <c r="X19" s="69"/>
      <c r="Y19" s="69"/>
      <c r="Z19" s="69"/>
      <c r="AA19" s="69"/>
      <c r="AB19" s="69"/>
      <c r="AC19" s="69"/>
      <c r="AD19" s="69"/>
      <c r="AE19" s="69"/>
      <c r="AF19" s="69"/>
      <c r="AG19" s="85"/>
      <c r="AH19" s="78"/>
      <c r="AJ19" s="104"/>
      <c r="AK19" s="74"/>
      <c r="DE19" s="67"/>
      <c r="DF19" s="72"/>
      <c r="DG19" s="88"/>
      <c r="DH19" s="67"/>
    </row>
    <row r="20" spans="2:112" s="66" customFormat="1" ht="15" customHeight="1">
      <c r="B20" s="68"/>
      <c r="C20" s="68"/>
      <c r="D20" s="70">
        <v>5</v>
      </c>
      <c r="E20" s="70" t="s">
        <v>850</v>
      </c>
      <c r="F20" s="92">
        <f t="shared" si="0"/>
        <v>41804.541666666664</v>
      </c>
      <c r="G20" s="93">
        <f>'Countries and Timezone'!R6</f>
        <v>41804.541666666664</v>
      </c>
      <c r="H20" s="94" t="str">
        <f>INDEX(Language!$A$1:$AX$115,MATCH('Countries and Timezone'!$AG$15,Language!$B$1:$B$115,0),MATCH($G$4,Language!$A$1:$AW$1,0))</f>
        <v>Colombia</v>
      </c>
      <c r="I20" s="69"/>
      <c r="J20" s="95"/>
      <c r="K20" s="265" t="s">
        <v>3088</v>
      </c>
      <c r="L20" s="95"/>
      <c r="M20" s="69"/>
      <c r="N20" s="69" t="str">
        <f>INDEX(Language!$A$1:$AX$115,MATCH('Countries and Timezone'!$AG$16,Language!$B$1:$B$115,0),MATCH($G$4,Language!$A$1:$AW$1,0))</f>
        <v>Greece</v>
      </c>
      <c r="O20" s="78"/>
      <c r="P20" s="71"/>
      <c r="Q20" s="69"/>
      <c r="R20" s="68"/>
      <c r="S20" s="82" t="str">
        <f>INDEX(Language!$A$1:$AV$115,MATCH("Group B",Language!$B$1:$B$115,0),MATCH(Tournament!$G$4,Language!$A$1:$AU$1,0))</f>
        <v>Group B</v>
      </c>
      <c r="T20" s="83"/>
      <c r="U20" s="83"/>
      <c r="V20" s="83" t="s">
        <v>1372</v>
      </c>
      <c r="W20" s="83" t="s">
        <v>3098</v>
      </c>
      <c r="X20" s="83" t="s">
        <v>3099</v>
      </c>
      <c r="Y20" s="83" t="s">
        <v>3100</v>
      </c>
      <c r="Z20" s="83"/>
      <c r="AA20" s="83" t="s">
        <v>3101</v>
      </c>
      <c r="AB20" s="83"/>
      <c r="AC20" s="83" t="s">
        <v>1373</v>
      </c>
      <c r="AD20" s="84"/>
      <c r="AE20" s="69"/>
      <c r="AF20" s="277" t="s">
        <v>849</v>
      </c>
      <c r="AG20" s="85"/>
      <c r="AH20" s="78"/>
      <c r="AJ20" s="86" t="s">
        <v>3107</v>
      </c>
      <c r="AK20" s="87" t="s">
        <v>285</v>
      </c>
      <c r="DE20" s="67"/>
      <c r="DF20" s="72"/>
      <c r="DG20" s="88"/>
      <c r="DH20" s="67"/>
    </row>
    <row r="21" spans="2:112" s="66" customFormat="1" ht="15" customHeight="1">
      <c r="B21" s="68"/>
      <c r="C21" s="68"/>
      <c r="D21" s="70">
        <v>6</v>
      </c>
      <c r="E21" s="70" t="s">
        <v>850</v>
      </c>
      <c r="F21" s="92">
        <f t="shared" si="0"/>
        <v>41804.916666666664</v>
      </c>
      <c r="G21" s="93">
        <f>'Countries and Timezone'!R7</f>
        <v>41804.916666666664</v>
      </c>
      <c r="H21" s="94" t="str">
        <f>INDEX(Language!$A$1:$AX$115,MATCH('Countries and Timezone'!$AG$17,Language!$B$1:$B$115,0),MATCH($G$4,Language!$A$1:$AW$1,0))</f>
        <v>Ivory Coast</v>
      </c>
      <c r="I21" s="69"/>
      <c r="J21" s="95"/>
      <c r="K21" s="265" t="s">
        <v>3088</v>
      </c>
      <c r="L21" s="95"/>
      <c r="M21" s="69"/>
      <c r="N21" s="69" t="str">
        <f>INDEX(Language!$A$1:$AX$115,MATCH('Countries and Timezone'!$AG$18,Language!$B$1:$B$115,0),MATCH($G$4,Language!$A$1:$AW$1,0))</f>
        <v>Japan</v>
      </c>
      <c r="O21" s="78"/>
      <c r="P21" s="71"/>
      <c r="Q21" s="69"/>
      <c r="R21" s="68"/>
      <c r="S21" s="89">
        <v>1</v>
      </c>
      <c r="T21" s="262" t="str">
        <f>VLOOKUP(1,'Dummy Table'!O11:P14,2,FALSE)</f>
        <v>Netherlands</v>
      </c>
      <c r="U21" s="90"/>
      <c r="V21" s="91">
        <f>SUM(W21:Y21)</f>
        <v>1</v>
      </c>
      <c r="W21" s="91">
        <f>SUMIF('Dummy Table'!B$11:B$14,Tournament!T21,'Dummy Table'!C$11:C$14)</f>
        <v>1</v>
      </c>
      <c r="X21" s="91">
        <f>SUMIF('Dummy Table'!B$11:B$14,Tournament!T21,'Dummy Table'!D$11:D$14)</f>
        <v>0</v>
      </c>
      <c r="Y21" s="91">
        <f>SUMIF('Dummy Table'!B$11:B$14,Tournament!T21,'Dummy Table'!E$11:E$14)</f>
        <v>0</v>
      </c>
      <c r="Z21" s="91"/>
      <c r="AA21" s="91" t="str">
        <f>CONCATENATE(SUMIF('Dummy Table'!B$11:B$14,Tournament!T21,'Dummy Table'!F$11:F$14)," - ",SUMIF('Dummy Table'!B$11:B$14,Tournament!T21,'Dummy Table'!G$11:G$14))</f>
        <v>5 - 1</v>
      </c>
      <c r="AB21" s="91"/>
      <c r="AC21" s="91">
        <f>SUMIF('Dummy Table'!B$11:B$14,Tournament!T21,'Dummy Table'!I$11:I$14)</f>
        <v>3</v>
      </c>
      <c r="AD21" s="84"/>
      <c r="AE21" s="69"/>
      <c r="AF21" s="277"/>
      <c r="AG21" s="85"/>
      <c r="AH21" s="78"/>
      <c r="AJ21" s="86" t="str">
        <f>IF(SUM('Dummy Table'!AM$11:AM$14)&gt;0,IF(ISNA(VLOOKUP(1,'Dummy Table'!AM$11:AN$14,2,FALSE)),"",VLOOKUP(1,'Dummy Table'!AM$11:AN$14,2,FALSE)),"")</f>
        <v/>
      </c>
      <c r="AK21" s="87"/>
      <c r="DE21" s="67"/>
      <c r="DF21" s="72"/>
      <c r="DG21" s="88"/>
      <c r="DH21" s="67"/>
    </row>
    <row r="22" spans="2:112" s="66" customFormat="1" ht="15" customHeight="1">
      <c r="B22" s="68"/>
      <c r="C22" s="68"/>
      <c r="D22" s="70">
        <v>7</v>
      </c>
      <c r="E22" s="70" t="s">
        <v>3099</v>
      </c>
      <c r="F22" s="92">
        <f t="shared" si="0"/>
        <v>41804.666666666664</v>
      </c>
      <c r="G22" s="93">
        <f>'Countries and Timezone'!R8</f>
        <v>41804.666666666664</v>
      </c>
      <c r="H22" s="94" t="str">
        <f>INDEX(Language!$A$1:$AX$115,MATCH('Countries and Timezone'!$AG$19,Language!$B$1:$B$115,0),MATCH($G$4,Language!$A$1:$AW$1,0))</f>
        <v>Uruguay</v>
      </c>
      <c r="I22" s="69"/>
      <c r="J22" s="95"/>
      <c r="K22" s="265" t="s">
        <v>3088</v>
      </c>
      <c r="L22" s="95"/>
      <c r="M22" s="69"/>
      <c r="N22" s="69" t="str">
        <f>INDEX(Language!$A$1:$AX$115,MATCH('Countries and Timezone'!$AG$20,Language!$B$1:$B$115,0),MATCH($G$4,Language!$A$1:$AW$1,0))</f>
        <v>Costa Rica</v>
      </c>
      <c r="O22" s="78"/>
      <c r="P22" s="71"/>
      <c r="Q22" s="69"/>
      <c r="R22" s="68"/>
      <c r="S22" s="68">
        <v>2</v>
      </c>
      <c r="T22" s="263" t="str">
        <f>VLOOKUP(2,'Dummy Table'!O11:P14,2,FALSE)</f>
        <v>Chile</v>
      </c>
      <c r="U22" s="98"/>
      <c r="V22" s="70">
        <f>SUM(W22:Y22)</f>
        <v>1</v>
      </c>
      <c r="W22" s="70">
        <f>SUMIF('Dummy Table'!B$11:B$14,Tournament!T22,'Dummy Table'!C$11:C$14)</f>
        <v>1</v>
      </c>
      <c r="X22" s="70">
        <f>SUMIF('Dummy Table'!B$11:B$14,Tournament!T22,'Dummy Table'!D$11:D$14)</f>
        <v>0</v>
      </c>
      <c r="Y22" s="70">
        <f>SUMIF('Dummy Table'!B$11:B$14,Tournament!T22,'Dummy Table'!E$11:E$14)</f>
        <v>0</v>
      </c>
      <c r="Z22" s="70"/>
      <c r="AA22" s="70" t="str">
        <f>CONCATENATE(SUMIF('Dummy Table'!B$11:B$14,Tournament!T22,'Dummy Table'!F$11:F$14)," - ",SUMIF('Dummy Table'!B$11:B$14,Tournament!T22,'Dummy Table'!G$11:G$14))</f>
        <v>3 - 1</v>
      </c>
      <c r="AB22" s="70"/>
      <c r="AC22" s="70">
        <f>SUMIF('Dummy Table'!B$11:B$14,Tournament!T22,'Dummy Table'!I$11:I$14)</f>
        <v>3</v>
      </c>
      <c r="AD22" s="78"/>
      <c r="AE22" s="69"/>
      <c r="AF22" s="277"/>
      <c r="AG22" s="85"/>
      <c r="AH22" s="78"/>
      <c r="AJ22" s="86" t="str">
        <f>IF(SUM('Dummy Table'!AM$11:AM$14)&gt;0,IF(ISNA(VLOOKUP(2,'Dummy Table'!AM$11:AN$14,2,FALSE)),"",VLOOKUP(2,'Dummy Table'!AM$11:AN$14,2,FALSE)),"")</f>
        <v/>
      </c>
      <c r="AK22" s="87"/>
      <c r="DE22" s="67"/>
      <c r="DF22" s="105"/>
      <c r="DG22" s="88"/>
      <c r="DH22" s="67"/>
    </row>
    <row r="23" spans="2:112" s="66" customFormat="1" ht="15" customHeight="1">
      <c r="B23" s="68"/>
      <c r="C23" s="68"/>
      <c r="D23" s="70">
        <v>8</v>
      </c>
      <c r="E23" s="70" t="s">
        <v>3099</v>
      </c>
      <c r="F23" s="92">
        <f t="shared" si="0"/>
        <v>41804.791666666664</v>
      </c>
      <c r="G23" s="93">
        <f>'Countries and Timezone'!R9</f>
        <v>41804.791666666664</v>
      </c>
      <c r="H23" s="94" t="str">
        <f>INDEX(Language!$A$1:$AX$115,MATCH('Countries and Timezone'!$AG$21,Language!$B$1:$B$115,0),MATCH($G$4,Language!$A$1:$AW$1,0))</f>
        <v>England</v>
      </c>
      <c r="I23" s="69"/>
      <c r="J23" s="95"/>
      <c r="K23" s="265" t="s">
        <v>3088</v>
      </c>
      <c r="L23" s="95"/>
      <c r="M23" s="69"/>
      <c r="N23" s="69" t="str">
        <f>INDEX(Language!$A$1:$AX$115,MATCH('Countries and Timezone'!$AG$22,Language!$B$1:$B$115,0),MATCH($G$4,Language!$A$1:$AW$1,0))</f>
        <v>Italy</v>
      </c>
      <c r="O23" s="78"/>
      <c r="P23" s="71"/>
      <c r="Q23" s="69"/>
      <c r="R23" s="68"/>
      <c r="S23" s="68">
        <v>3</v>
      </c>
      <c r="T23" s="263" t="str">
        <f>VLOOKUP(3,'Dummy Table'!O11:P14,2,FALSE)</f>
        <v>Australia</v>
      </c>
      <c r="U23" s="98"/>
      <c r="V23" s="70">
        <f>SUM(W23:Y23)</f>
        <v>1</v>
      </c>
      <c r="W23" s="70">
        <f>SUMIF('Dummy Table'!B$11:B$14,Tournament!T23,'Dummy Table'!C$11:C$14)</f>
        <v>0</v>
      </c>
      <c r="X23" s="70">
        <f>SUMIF('Dummy Table'!B$11:B$14,Tournament!T23,'Dummy Table'!D$11:D$14)</f>
        <v>0</v>
      </c>
      <c r="Y23" s="70">
        <f>SUMIF('Dummy Table'!B$11:B$14,Tournament!T23,'Dummy Table'!E$11:E$14)</f>
        <v>1</v>
      </c>
      <c r="Z23" s="70"/>
      <c r="AA23" s="70" t="str">
        <f>CONCATENATE(SUMIF('Dummy Table'!B$11:B$14,Tournament!T23,'Dummy Table'!F$11:F$14)," - ",SUMIF('Dummy Table'!B$11:B$14,Tournament!T23,'Dummy Table'!G$11:G$14))</f>
        <v>1 - 3</v>
      </c>
      <c r="AB23" s="70"/>
      <c r="AC23" s="70">
        <f>SUMIF('Dummy Table'!B$11:B$14,Tournament!T23,'Dummy Table'!I$11:I$14)</f>
        <v>0</v>
      </c>
      <c r="AD23" s="78"/>
      <c r="AE23" s="69"/>
      <c r="AF23" s="277"/>
      <c r="AG23" s="85"/>
      <c r="AH23" s="78"/>
      <c r="AJ23" s="86" t="str">
        <f>IF(SUM('Dummy Table'!AM$11:AM$14)&gt;0,IF(ISNA(VLOOKUP(3,'Dummy Table'!AM$11:AN$14,2,FALSE)),"",VLOOKUP(3,'Dummy Table'!AM$11:AN$14,2,FALSE)),"")</f>
        <v/>
      </c>
      <c r="AK23" s="87"/>
      <c r="DE23" s="67"/>
      <c r="DF23" s="72"/>
      <c r="DG23" s="88"/>
      <c r="DH23" s="67"/>
    </row>
    <row r="24" spans="2:112" s="66" customFormat="1" ht="15" customHeight="1">
      <c r="B24" s="68"/>
      <c r="C24" s="68"/>
      <c r="D24" s="70">
        <v>9</v>
      </c>
      <c r="E24" s="70" t="s">
        <v>851</v>
      </c>
      <c r="F24" s="92">
        <f t="shared" si="0"/>
        <v>41805.541666666664</v>
      </c>
      <c r="G24" s="93">
        <f>'Countries and Timezone'!R10</f>
        <v>41805.541666666664</v>
      </c>
      <c r="H24" s="94" t="str">
        <f>INDEX(Language!$A$1:$AX$115,MATCH('Countries and Timezone'!$AG$23,Language!$B$1:$B$115,0),MATCH($G$4,Language!$A$1:$AW$1,0))</f>
        <v>Switzerland</v>
      </c>
      <c r="I24" s="69"/>
      <c r="J24" s="95"/>
      <c r="K24" s="265" t="s">
        <v>3088</v>
      </c>
      <c r="L24" s="95"/>
      <c r="M24" s="69"/>
      <c r="N24" s="69" t="str">
        <f>INDEX(Language!$A$1:$AX$115,MATCH('Countries and Timezone'!$AG$24,Language!$B$1:$B$115,0),MATCH($G$4,Language!$A$1:$AW$1,0))</f>
        <v>Ecuador</v>
      </c>
      <c r="O24" s="78"/>
      <c r="P24" s="71"/>
      <c r="Q24" s="69"/>
      <c r="R24" s="68"/>
      <c r="S24" s="99">
        <v>4</v>
      </c>
      <c r="T24" s="264" t="str">
        <f>VLOOKUP(4,'Dummy Table'!O11:P14,2,FALSE)</f>
        <v>Spain</v>
      </c>
      <c r="U24" s="100"/>
      <c r="V24" s="101">
        <f>SUM(W24:Y24)</f>
        <v>1</v>
      </c>
      <c r="W24" s="101">
        <f>SUMIF('Dummy Table'!B$11:B$14,Tournament!T24,'Dummy Table'!C$11:C$14)</f>
        <v>0</v>
      </c>
      <c r="X24" s="101">
        <f>SUMIF('Dummy Table'!B$11:B$14,Tournament!T24,'Dummy Table'!D$11:D$14)</f>
        <v>0</v>
      </c>
      <c r="Y24" s="101">
        <f>SUMIF('Dummy Table'!B$11:B$14,Tournament!T24,'Dummy Table'!E$11:E$14)</f>
        <v>1</v>
      </c>
      <c r="Z24" s="101"/>
      <c r="AA24" s="101" t="str">
        <f>CONCATENATE(SUMIF('Dummy Table'!B$11:B$14,Tournament!T24,'Dummy Table'!F$11:F$14)," - ",SUMIF('Dummy Table'!B$11:B$14,Tournament!T24,'Dummy Table'!G$11:G$14))</f>
        <v>1 - 5</v>
      </c>
      <c r="AB24" s="101"/>
      <c r="AC24" s="101">
        <f>SUMIF('Dummy Table'!B$11:B$14,Tournament!T24,'Dummy Table'!I$11:I$14)</f>
        <v>0</v>
      </c>
      <c r="AD24" s="102"/>
      <c r="AE24" s="69"/>
      <c r="AF24" s="277"/>
      <c r="AG24" s="85"/>
      <c r="AH24" s="78"/>
      <c r="AJ24" s="86" t="str">
        <f>IF(SUM('Dummy Table'!AM$11:AM$14)&gt;0,IF(ISNA(VLOOKUP(4,'Dummy Table'!AM$11:AN$14,2,FALSE)),"",VLOOKUP(4,'Dummy Table'!AM$11:AN$14,2,FALSE)),"")</f>
        <v/>
      </c>
      <c r="AK24" s="87"/>
      <c r="DE24" s="67"/>
      <c r="DF24" s="72"/>
      <c r="DG24" s="88"/>
      <c r="DH24" s="67"/>
    </row>
    <row r="25" spans="2:112" s="66" customFormat="1" ht="15" customHeight="1">
      <c r="B25" s="68"/>
      <c r="C25" s="68"/>
      <c r="D25" s="70">
        <v>10</v>
      </c>
      <c r="E25" s="70" t="s">
        <v>851</v>
      </c>
      <c r="F25" s="92">
        <f t="shared" si="0"/>
        <v>41805.666666666664</v>
      </c>
      <c r="G25" s="93">
        <f>'Countries and Timezone'!R11</f>
        <v>41805.666666666664</v>
      </c>
      <c r="H25" s="94" t="str">
        <f>INDEX(Language!$A$1:$AX$115,MATCH('Countries and Timezone'!$AG$25,Language!$B$1:$B$115,0),MATCH($G$4,Language!$A$1:$AW$1,0))</f>
        <v>France</v>
      </c>
      <c r="I25" s="69"/>
      <c r="J25" s="95"/>
      <c r="K25" s="265" t="s">
        <v>3088</v>
      </c>
      <c r="L25" s="95"/>
      <c r="M25" s="69"/>
      <c r="N25" s="69" t="str">
        <f>INDEX(Language!$A$1:$AX$115,MATCH('Countries and Timezone'!$AG$26,Language!$B$1:$B$115,0),MATCH($G$4,Language!$A$1:$AW$1,0))</f>
        <v>Honduras</v>
      </c>
      <c r="O25" s="78"/>
      <c r="P25" s="71"/>
      <c r="Q25" s="69"/>
      <c r="R25" s="68"/>
      <c r="S25" s="103"/>
      <c r="T25" s="98"/>
      <c r="U25" s="98"/>
      <c r="V25" s="69"/>
      <c r="W25" s="69"/>
      <c r="X25" s="69"/>
      <c r="Y25" s="69"/>
      <c r="Z25" s="69"/>
      <c r="AA25" s="69"/>
      <c r="AB25" s="69"/>
      <c r="AC25" s="69"/>
      <c r="AD25" s="69"/>
      <c r="AE25" s="69"/>
      <c r="AF25" s="69"/>
      <c r="AG25" s="85"/>
      <c r="AH25" s="78"/>
      <c r="AJ25" s="104"/>
      <c r="AK25" s="74"/>
      <c r="DE25" s="67"/>
      <c r="DF25" s="72"/>
      <c r="DG25" s="88"/>
      <c r="DH25" s="67"/>
    </row>
    <row r="26" spans="2:112" s="66" customFormat="1" ht="15" customHeight="1">
      <c r="B26" s="68"/>
      <c r="C26" s="68"/>
      <c r="D26" s="70">
        <v>11</v>
      </c>
      <c r="E26" s="70" t="s">
        <v>3105</v>
      </c>
      <c r="F26" s="92">
        <f t="shared" si="0"/>
        <v>41805.791666666664</v>
      </c>
      <c r="G26" s="93">
        <f>'Countries and Timezone'!R12</f>
        <v>41805.791666666664</v>
      </c>
      <c r="H26" s="94" t="str">
        <f>INDEX(Language!$A$1:$AX$115,MATCH('Countries and Timezone'!$AG$27,Language!$B$1:$B$115,0),MATCH($G$4,Language!$A$1:$AW$1,0))</f>
        <v>Argentina</v>
      </c>
      <c r="I26" s="69"/>
      <c r="J26" s="95"/>
      <c r="K26" s="265" t="s">
        <v>3088</v>
      </c>
      <c r="L26" s="95"/>
      <c r="M26" s="69"/>
      <c r="N26" s="69" t="str">
        <f>INDEX(Language!$A$1:$AX$115,MATCH('Countries and Timezone'!$AG$28,Language!$B$1:$B$115,0),MATCH($G$4,Language!$A$1:$AW$1,0))</f>
        <v>Bosnia-Herzegovina</v>
      </c>
      <c r="O26" s="78"/>
      <c r="P26" s="71"/>
      <c r="Q26" s="69"/>
      <c r="R26" s="68"/>
      <c r="S26" s="106" t="str">
        <f>INDEX(Language!$A$1:$AV$115,MATCH("Group C",Language!$B$1:$B$115,0),MATCH(Tournament!$G$4,Language!$A$1:$AU$1,0))</f>
        <v>Group C</v>
      </c>
      <c r="T26" s="107"/>
      <c r="U26" s="107"/>
      <c r="V26" s="107" t="s">
        <v>1372</v>
      </c>
      <c r="W26" s="107" t="s">
        <v>3098</v>
      </c>
      <c r="X26" s="107" t="s">
        <v>3099</v>
      </c>
      <c r="Y26" s="107" t="s">
        <v>3100</v>
      </c>
      <c r="Z26" s="107"/>
      <c r="AA26" s="107" t="s">
        <v>3101</v>
      </c>
      <c r="AB26" s="107"/>
      <c r="AC26" s="107" t="s">
        <v>1373</v>
      </c>
      <c r="AD26" s="108"/>
      <c r="AE26" s="69"/>
      <c r="AF26" s="277" t="s">
        <v>850</v>
      </c>
      <c r="AG26" s="85"/>
      <c r="AH26" s="78"/>
      <c r="AJ26" s="86" t="s">
        <v>3107</v>
      </c>
      <c r="AK26" s="87" t="s">
        <v>285</v>
      </c>
      <c r="DE26" s="67"/>
      <c r="DF26" s="72"/>
      <c r="DG26" s="88"/>
      <c r="DH26" s="67"/>
    </row>
    <row r="27" spans="2:112" s="66" customFormat="1" ht="15" customHeight="1">
      <c r="B27" s="68"/>
      <c r="C27" s="68"/>
      <c r="D27" s="70">
        <v>12</v>
      </c>
      <c r="E27" s="70" t="s">
        <v>3105</v>
      </c>
      <c r="F27" s="92">
        <f t="shared" si="0"/>
        <v>41806.666666666664</v>
      </c>
      <c r="G27" s="93">
        <f>'Countries and Timezone'!R13</f>
        <v>41806.666666666664</v>
      </c>
      <c r="H27" s="94" t="str">
        <f>INDEX(Language!$A$1:$AX$115,MATCH('Countries and Timezone'!$AG$29,Language!$B$1:$B$115,0),MATCH($G$4,Language!$A$1:$AW$1,0))</f>
        <v>Iran</v>
      </c>
      <c r="I27" s="69"/>
      <c r="J27" s="95"/>
      <c r="K27" s="265" t="s">
        <v>3088</v>
      </c>
      <c r="L27" s="95"/>
      <c r="M27" s="69"/>
      <c r="N27" s="69" t="str">
        <f>INDEX(Language!$A$1:$AX$115,MATCH('Countries and Timezone'!$AG$30,Language!$B$1:$B$115,0),MATCH($G$4,Language!$A$1:$AW$1,0))</f>
        <v>Nigeria</v>
      </c>
      <c r="O27" s="78"/>
      <c r="P27" s="71"/>
      <c r="Q27" s="69"/>
      <c r="R27" s="68"/>
      <c r="S27" s="68">
        <v>1</v>
      </c>
      <c r="T27" s="263" t="str">
        <f>VLOOKUP(1,'Dummy Table'!O18:P21,2,FALSE)</f>
        <v>Colombia</v>
      </c>
      <c r="U27" s="98"/>
      <c r="V27" s="70">
        <f>SUM(W27:Y27)</f>
        <v>0</v>
      </c>
      <c r="W27" s="70">
        <f>SUMIF('Dummy Table'!B$18:B$21,Tournament!T27,'Dummy Table'!C$18:C$21)</f>
        <v>0</v>
      </c>
      <c r="X27" s="70">
        <f>SUMIF('Dummy Table'!B$18:B$21,Tournament!T27,'Dummy Table'!D$18:D$21)</f>
        <v>0</v>
      </c>
      <c r="Y27" s="70">
        <f>SUMIF('Dummy Table'!B$18:B$21,Tournament!T27,'Dummy Table'!E$18:E$21)</f>
        <v>0</v>
      </c>
      <c r="Z27" s="70"/>
      <c r="AA27" s="70" t="str">
        <f>CONCATENATE(SUMIF('Dummy Table'!B$18:B$21,Tournament!T27,'Dummy Table'!F$18:F$21)," - ",SUMIF('Dummy Table'!B$18:B$21,Tournament!T27,'Dummy Table'!G$18:G$21))</f>
        <v>0 - 0</v>
      </c>
      <c r="AB27" s="70"/>
      <c r="AC27" s="70">
        <f>SUMIF('Dummy Table'!B$18:B$21,Tournament!T27,'Dummy Table'!I$18:I$21)</f>
        <v>0</v>
      </c>
      <c r="AD27" s="78"/>
      <c r="AE27" s="69"/>
      <c r="AF27" s="277"/>
      <c r="AG27" s="85"/>
      <c r="AH27" s="78"/>
      <c r="AJ27" s="86" t="str">
        <f>IF(SUM('Dummy Table'!AM$18:AM$21)&gt;0,IF(ISNA(VLOOKUP(1,'Dummy Table'!AM$18:AN$21,2,FALSE)),"",VLOOKUP(1,'Dummy Table'!AM$18:AN$21,2,FALSE)),"")</f>
        <v>Colombia</v>
      </c>
      <c r="AK27" s="87"/>
      <c r="DE27" s="67"/>
      <c r="DF27" s="72"/>
      <c r="DG27" s="88"/>
      <c r="DH27" s="67"/>
    </row>
    <row r="28" spans="2:112" s="66" customFormat="1" ht="15" customHeight="1">
      <c r="B28" s="68"/>
      <c r="C28" s="68"/>
      <c r="D28" s="70">
        <v>13</v>
      </c>
      <c r="E28" s="70" t="s">
        <v>852</v>
      </c>
      <c r="F28" s="92">
        <f t="shared" si="0"/>
        <v>41806.541666666664</v>
      </c>
      <c r="G28" s="93">
        <f>'Countries and Timezone'!R14</f>
        <v>41806.541666666664</v>
      </c>
      <c r="H28" s="94" t="str">
        <f>INDEX(Language!$A$1:$AX$115,MATCH('Countries and Timezone'!$AG$31,Language!$B$1:$B$115,0),MATCH($G$4,Language!$A$1:$AW$1,0))</f>
        <v>Germany</v>
      </c>
      <c r="I28" s="69"/>
      <c r="J28" s="95"/>
      <c r="K28" s="265" t="s">
        <v>3088</v>
      </c>
      <c r="L28" s="95"/>
      <c r="M28" s="69"/>
      <c r="N28" s="69" t="str">
        <f>INDEX(Language!$A$1:$AX$115,MATCH('Countries and Timezone'!$AG$32,Language!$B$1:$B$115,0),MATCH($G$4,Language!$A$1:$AW$1,0))</f>
        <v>Portugal</v>
      </c>
      <c r="O28" s="78"/>
      <c r="P28" s="71"/>
      <c r="Q28" s="69"/>
      <c r="R28" s="68"/>
      <c r="S28" s="68">
        <v>2</v>
      </c>
      <c r="T28" s="263" t="str">
        <f>VLOOKUP(2,'Dummy Table'!O18:P21,2,FALSE)</f>
        <v>Greece</v>
      </c>
      <c r="U28" s="98"/>
      <c r="V28" s="70">
        <f>SUM(W28:Y28)</f>
        <v>0</v>
      </c>
      <c r="W28" s="70">
        <f>SUMIF('Dummy Table'!B$18:B$21,Tournament!T28,'Dummy Table'!C$18:C$21)</f>
        <v>0</v>
      </c>
      <c r="X28" s="70">
        <f>SUMIF('Dummy Table'!B$18:B$21,Tournament!T28,'Dummy Table'!D$18:D$21)</f>
        <v>0</v>
      </c>
      <c r="Y28" s="70">
        <f>SUMIF('Dummy Table'!B$18:B$21,Tournament!T28,'Dummy Table'!E$18:E$21)</f>
        <v>0</v>
      </c>
      <c r="Z28" s="70"/>
      <c r="AA28" s="70" t="str">
        <f>CONCATENATE(SUMIF('Dummy Table'!B$18:B$21,Tournament!T28,'Dummy Table'!F$18:F$21)," - ",SUMIF('Dummy Table'!B$18:B$21,Tournament!T28,'Dummy Table'!G$18:G$21))</f>
        <v>0 - 0</v>
      </c>
      <c r="AB28" s="70"/>
      <c r="AC28" s="70">
        <f>SUMIF('Dummy Table'!B$18:B$21,Tournament!T28,'Dummy Table'!I$18:I$21)</f>
        <v>0</v>
      </c>
      <c r="AD28" s="78"/>
      <c r="AE28" s="69"/>
      <c r="AF28" s="277"/>
      <c r="AG28" s="85"/>
      <c r="AH28" s="78"/>
      <c r="AJ28" s="86" t="str">
        <f>IF(SUM('Dummy Table'!AM$18:AM$21)&gt;0,IF(ISNA(VLOOKUP(2,'Dummy Table'!AM$18:AN$21,2,FALSE)),"",VLOOKUP(2,'Dummy Table'!AM$18:AN$21,2,FALSE)),"")</f>
        <v>Greece</v>
      </c>
      <c r="AK28" s="87"/>
      <c r="DE28" s="67"/>
      <c r="DF28" s="72"/>
      <c r="DG28" s="88"/>
      <c r="DH28" s="67"/>
    </row>
    <row r="29" spans="2:112" s="66" customFormat="1" ht="15" customHeight="1">
      <c r="B29" s="68"/>
      <c r="C29" s="68"/>
      <c r="D29" s="70">
        <v>14</v>
      </c>
      <c r="E29" s="70" t="s">
        <v>852</v>
      </c>
      <c r="F29" s="92">
        <f t="shared" si="0"/>
        <v>41806.791666666664</v>
      </c>
      <c r="G29" s="93">
        <f>'Countries and Timezone'!R15</f>
        <v>41806.791666666664</v>
      </c>
      <c r="H29" s="94" t="str">
        <f>INDEX(Language!$A$1:$AX$115,MATCH('Countries and Timezone'!$AG$33,Language!$B$1:$B$115,0),MATCH($G$4,Language!$A$1:$AW$1,0))</f>
        <v>Ghana</v>
      </c>
      <c r="I29" s="69"/>
      <c r="J29" s="95"/>
      <c r="K29" s="265" t="s">
        <v>3088</v>
      </c>
      <c r="L29" s="95"/>
      <c r="M29" s="69"/>
      <c r="N29" s="69" t="str">
        <f>INDEX(Language!$A$1:$AX$115,MATCH('Countries and Timezone'!$AG$34,Language!$B$1:$B$115,0),MATCH($G$4,Language!$A$1:$AW$1,0))</f>
        <v>USA</v>
      </c>
      <c r="O29" s="78"/>
      <c r="P29" s="71"/>
      <c r="Q29" s="69"/>
      <c r="R29" s="68"/>
      <c r="S29" s="68">
        <v>3</v>
      </c>
      <c r="T29" s="263" t="str">
        <f>VLOOKUP(3,'Dummy Table'!O18:P21,2,FALSE)</f>
        <v>Ivory Coast</v>
      </c>
      <c r="U29" s="98"/>
      <c r="V29" s="70">
        <f>SUM(W29:Y29)</f>
        <v>0</v>
      </c>
      <c r="W29" s="70">
        <f>SUMIF('Dummy Table'!B$18:B$21,Tournament!T29,'Dummy Table'!C$18:C$21)</f>
        <v>0</v>
      </c>
      <c r="X29" s="70">
        <f>SUMIF('Dummy Table'!B$18:B$21,Tournament!T29,'Dummy Table'!D$18:D$21)</f>
        <v>0</v>
      </c>
      <c r="Y29" s="70">
        <f>SUMIF('Dummy Table'!B$18:B$21,Tournament!T29,'Dummy Table'!E$18:E$21)</f>
        <v>0</v>
      </c>
      <c r="Z29" s="70"/>
      <c r="AA29" s="70" t="str">
        <f>CONCATENATE(SUMIF('Dummy Table'!B$18:B$21,Tournament!T29,'Dummy Table'!F$18:F$21)," - ",SUMIF('Dummy Table'!B$18:B$21,Tournament!T29,'Dummy Table'!G$18:G$21))</f>
        <v>0 - 0</v>
      </c>
      <c r="AB29" s="70"/>
      <c r="AC29" s="70">
        <f>SUMIF('Dummy Table'!B$18:B$21,Tournament!T29,'Dummy Table'!I$18:I$21)</f>
        <v>0</v>
      </c>
      <c r="AD29" s="78"/>
      <c r="AE29" s="69"/>
      <c r="AF29" s="277"/>
      <c r="AG29" s="85"/>
      <c r="AH29" s="78"/>
      <c r="AJ29" s="86" t="str">
        <f>IF(SUM('Dummy Table'!AM$18:AM$21)&gt;0,IF(ISNA(VLOOKUP(3,'Dummy Table'!AM$18:AN$21,2,FALSE)),"",VLOOKUP(3,'Dummy Table'!AM$18:AN$21,2,FALSE)),"")</f>
        <v>Ivory Coast</v>
      </c>
      <c r="AK29" s="87"/>
      <c r="DE29" s="67"/>
      <c r="DF29" s="72"/>
      <c r="DG29" s="88"/>
      <c r="DH29" s="67"/>
    </row>
    <row r="30" spans="2:112" s="66" customFormat="1" ht="15" customHeight="1">
      <c r="B30" s="68"/>
      <c r="C30" s="68"/>
      <c r="D30" s="70">
        <v>15</v>
      </c>
      <c r="E30" s="70" t="s">
        <v>853</v>
      </c>
      <c r="F30" s="92">
        <f t="shared" si="0"/>
        <v>41807.541666666664</v>
      </c>
      <c r="G30" s="93">
        <f>'Countries and Timezone'!R16</f>
        <v>41807.541666666664</v>
      </c>
      <c r="H30" s="94" t="str">
        <f>INDEX(Language!$A$1:$AX$115,MATCH('Countries and Timezone'!$AG$35,Language!$B$1:$B$115,0),MATCH($G$4,Language!$A$1:$AW$1,0))</f>
        <v>Belgium</v>
      </c>
      <c r="I30" s="69"/>
      <c r="J30" s="95"/>
      <c r="K30" s="265" t="s">
        <v>3088</v>
      </c>
      <c r="L30" s="95"/>
      <c r="M30" s="69"/>
      <c r="N30" s="69" t="str">
        <f>INDEX(Language!$A$1:$AX$115,MATCH('Countries and Timezone'!$AG$36,Language!$B$1:$B$115,0),MATCH($G$4,Language!$A$1:$AW$1,0))</f>
        <v>Algeria</v>
      </c>
      <c r="O30" s="78"/>
      <c r="P30" s="71"/>
      <c r="Q30" s="69"/>
      <c r="R30" s="68"/>
      <c r="S30" s="99">
        <v>4</v>
      </c>
      <c r="T30" s="264" t="str">
        <f>VLOOKUP(4,'Dummy Table'!O18:P21,2,FALSE)</f>
        <v>Japan</v>
      </c>
      <c r="U30" s="100"/>
      <c r="V30" s="101">
        <f>SUM(W30:Y30)</f>
        <v>0</v>
      </c>
      <c r="W30" s="101">
        <f>SUMIF('Dummy Table'!B$18:B$21,Tournament!T30,'Dummy Table'!C$18:C$21)</f>
        <v>0</v>
      </c>
      <c r="X30" s="101">
        <f>SUMIF('Dummy Table'!B$18:B$21,Tournament!T30,'Dummy Table'!D$18:D$21)</f>
        <v>0</v>
      </c>
      <c r="Y30" s="101">
        <f>SUMIF('Dummy Table'!B$18:B$21,Tournament!T30,'Dummy Table'!E$18:E$21)</f>
        <v>0</v>
      </c>
      <c r="Z30" s="101"/>
      <c r="AA30" s="101" t="str">
        <f>CONCATENATE(SUMIF('Dummy Table'!B$18:B$21,Tournament!T30,'Dummy Table'!F$18:F$21)," - ",SUMIF('Dummy Table'!B$18:B$21,Tournament!T30,'Dummy Table'!G$18:G$21))</f>
        <v>0 - 0</v>
      </c>
      <c r="AB30" s="101"/>
      <c r="AC30" s="101">
        <f>SUMIF('Dummy Table'!B$18:B$21,Tournament!T30,'Dummy Table'!I$18:I$21)</f>
        <v>0</v>
      </c>
      <c r="AD30" s="102"/>
      <c r="AE30" s="69"/>
      <c r="AF30" s="277"/>
      <c r="AG30" s="85"/>
      <c r="AH30" s="78"/>
      <c r="AJ30" s="86" t="str">
        <f>IF(SUM('Dummy Table'!AM$18:AM$21)&gt;0,IF(ISNA(VLOOKUP(4,'Dummy Table'!AM$18:AN$21,2,FALSE)),"",VLOOKUP(4,'Dummy Table'!AM$18:AN$21,2,FALSE)),"")</f>
        <v>Japan</v>
      </c>
      <c r="AK30" s="87"/>
      <c r="DE30" s="67"/>
      <c r="DF30" s="72"/>
      <c r="DG30" s="88"/>
      <c r="DH30" s="67"/>
    </row>
    <row r="31" spans="2:112" s="66" customFormat="1" ht="15" customHeight="1">
      <c r="B31" s="68"/>
      <c r="C31" s="68"/>
      <c r="D31" s="70">
        <v>16</v>
      </c>
      <c r="E31" s="70" t="s">
        <v>853</v>
      </c>
      <c r="F31" s="92">
        <f t="shared" si="0"/>
        <v>41807.791666666664</v>
      </c>
      <c r="G31" s="93">
        <f>'Countries and Timezone'!R17</f>
        <v>41807.791666666664</v>
      </c>
      <c r="H31" s="94" t="str">
        <f>INDEX(Language!$A$1:$AX$115,MATCH('Countries and Timezone'!$AG$37,Language!$B$1:$B$115,0),MATCH($G$4,Language!$A$1:$AW$1,0))</f>
        <v>Russia</v>
      </c>
      <c r="I31" s="69"/>
      <c r="J31" s="95"/>
      <c r="K31" s="265" t="s">
        <v>3088</v>
      </c>
      <c r="L31" s="95"/>
      <c r="M31" s="69"/>
      <c r="N31" s="69" t="str">
        <f>INDEX(Language!$A$1:$AX$115,MATCH('Countries and Timezone'!$AG$38,Language!$B$1:$B$115,0),MATCH($G$4,Language!$A$1:$AW$1,0))</f>
        <v>South Korea</v>
      </c>
      <c r="O31" s="78"/>
      <c r="P31" s="71"/>
      <c r="Q31" s="69"/>
      <c r="R31" s="68"/>
      <c r="S31" s="103"/>
      <c r="T31" s="98"/>
      <c r="U31" s="98"/>
      <c r="V31" s="69"/>
      <c r="W31" s="69"/>
      <c r="X31" s="69"/>
      <c r="Y31" s="69"/>
      <c r="Z31" s="69"/>
      <c r="AA31" s="69"/>
      <c r="AB31" s="69"/>
      <c r="AC31" s="69"/>
      <c r="AD31" s="69"/>
      <c r="AE31" s="69"/>
      <c r="AF31" s="69"/>
      <c r="AG31" s="85"/>
      <c r="AH31" s="78"/>
      <c r="AJ31" s="109"/>
      <c r="AK31" s="110"/>
      <c r="DE31" s="67"/>
      <c r="DF31" s="72"/>
      <c r="DG31" s="88"/>
      <c r="DH31" s="67"/>
    </row>
    <row r="32" spans="2:112" s="66" customFormat="1" ht="15" customHeight="1">
      <c r="B32" s="68"/>
      <c r="C32" s="68"/>
      <c r="D32" s="70">
        <v>17</v>
      </c>
      <c r="E32" s="70" t="s">
        <v>3106</v>
      </c>
      <c r="F32" s="92">
        <f t="shared" si="0"/>
        <v>41807.666666666664</v>
      </c>
      <c r="G32" s="93">
        <f>'Countries and Timezone'!R18</f>
        <v>41807.666666666664</v>
      </c>
      <c r="H32" s="94" t="str">
        <f>H16</f>
        <v>Brazil</v>
      </c>
      <c r="I32" s="69"/>
      <c r="J32" s="95"/>
      <c r="K32" s="265" t="s">
        <v>3088</v>
      </c>
      <c r="L32" s="95"/>
      <c r="M32" s="69"/>
      <c r="N32" s="69" t="str">
        <f>H17</f>
        <v>Mexico</v>
      </c>
      <c r="O32" s="78"/>
      <c r="P32" s="71"/>
      <c r="Q32" s="69"/>
      <c r="R32" s="68"/>
      <c r="S32" s="82" t="str">
        <f>INDEX(Language!$A$1:$AV$115,MATCH("Group D",Language!$B$1:$B$115,0),MATCH(Tournament!$G$4,Language!$A$1:$AU$1,0))</f>
        <v>Group D</v>
      </c>
      <c r="T32" s="83"/>
      <c r="U32" s="83"/>
      <c r="V32" s="83" t="s">
        <v>1372</v>
      </c>
      <c r="W32" s="83" t="s">
        <v>3098</v>
      </c>
      <c r="X32" s="83" t="s">
        <v>3099</v>
      </c>
      <c r="Y32" s="83" t="s">
        <v>3100</v>
      </c>
      <c r="Z32" s="83"/>
      <c r="AA32" s="83" t="s">
        <v>3101</v>
      </c>
      <c r="AB32" s="83"/>
      <c r="AC32" s="83" t="s">
        <v>1373</v>
      </c>
      <c r="AD32" s="84"/>
      <c r="AE32" s="69"/>
      <c r="AF32" s="277" t="s">
        <v>3099</v>
      </c>
      <c r="AG32" s="85"/>
      <c r="AH32" s="78"/>
      <c r="AJ32" s="86" t="s">
        <v>3107</v>
      </c>
      <c r="AK32" s="87" t="s">
        <v>285</v>
      </c>
      <c r="DE32" s="67"/>
      <c r="DF32" s="72"/>
      <c r="DG32" s="88"/>
      <c r="DH32" s="67"/>
    </row>
    <row r="33" spans="2:112" s="66" customFormat="1" ht="15" customHeight="1">
      <c r="B33" s="68"/>
      <c r="C33" s="68"/>
      <c r="D33" s="70">
        <v>18</v>
      </c>
      <c r="E33" s="70" t="s">
        <v>3106</v>
      </c>
      <c r="F33" s="92">
        <f t="shared" si="0"/>
        <v>41808.791666666664</v>
      </c>
      <c r="G33" s="93">
        <f>'Countries and Timezone'!R19</f>
        <v>41808.791666666664</v>
      </c>
      <c r="H33" s="94" t="str">
        <f>N17</f>
        <v>Cameroon</v>
      </c>
      <c r="I33" s="69"/>
      <c r="J33" s="95"/>
      <c r="K33" s="265" t="s">
        <v>3088</v>
      </c>
      <c r="L33" s="95"/>
      <c r="M33" s="69"/>
      <c r="N33" s="69" t="str">
        <f>N16</f>
        <v>Croatia</v>
      </c>
      <c r="O33" s="78"/>
      <c r="P33" s="71"/>
      <c r="Q33" s="69"/>
      <c r="R33" s="68"/>
      <c r="S33" s="89">
        <v>1</v>
      </c>
      <c r="T33" s="262" t="str">
        <f>VLOOKUP(1,'Dummy Table'!O25:P28,2,FALSE)</f>
        <v>Uruguay</v>
      </c>
      <c r="U33" s="90"/>
      <c r="V33" s="91">
        <f>SUM(W33:Y33)</f>
        <v>0</v>
      </c>
      <c r="W33" s="91">
        <f>SUMIF('Dummy Table'!B$25:B$28,Tournament!T33,'Dummy Table'!C$25:C$28)</f>
        <v>0</v>
      </c>
      <c r="X33" s="91">
        <f>SUMIF('Dummy Table'!B$25:B$28,Tournament!T33,'Dummy Table'!D$25:D$28)</f>
        <v>0</v>
      </c>
      <c r="Y33" s="91">
        <f>SUMIF('Dummy Table'!B$25:B$28,Tournament!T33,'Dummy Table'!E$25:E$28)</f>
        <v>0</v>
      </c>
      <c r="Z33" s="91"/>
      <c r="AA33" s="91" t="str">
        <f>CONCATENATE(SUMIF('Dummy Table'!B$25:B$28,Tournament!T33,'Dummy Table'!F$25:F$28)," - ",SUMIF('Dummy Table'!B$25:B$28,Tournament!T33,'Dummy Table'!G$25:G$28))</f>
        <v>0 - 0</v>
      </c>
      <c r="AB33" s="91"/>
      <c r="AC33" s="91">
        <f>SUMIF('Dummy Table'!B$25:B$28,Tournament!T33,'Dummy Table'!I$25:I$28)</f>
        <v>0</v>
      </c>
      <c r="AD33" s="84"/>
      <c r="AE33" s="69"/>
      <c r="AF33" s="277"/>
      <c r="AG33" s="85"/>
      <c r="AH33" s="78"/>
      <c r="AJ33" s="86" t="str">
        <f>IF(SUM('Dummy Table'!AM$25:AM$28)&gt;0,IF(ISNA(VLOOKUP(1,'Dummy Table'!AM$25:AN$28,2,FALSE)),"",VLOOKUP(1,'Dummy Table'!AM$25:AN$28,2,FALSE)),"")</f>
        <v>Uruguay</v>
      </c>
      <c r="AK33" s="87"/>
      <c r="DE33" s="67"/>
      <c r="DF33" s="72"/>
      <c r="DG33" s="88"/>
      <c r="DH33" s="67"/>
    </row>
    <row r="34" spans="2:112" s="66" customFormat="1" ht="15" customHeight="1">
      <c r="B34" s="68"/>
      <c r="C34" s="68"/>
      <c r="D34" s="70">
        <v>19</v>
      </c>
      <c r="E34" s="70" t="s">
        <v>849</v>
      </c>
      <c r="F34" s="92">
        <f t="shared" si="0"/>
        <v>41808.666666666664</v>
      </c>
      <c r="G34" s="93">
        <f>'Countries and Timezone'!R20</f>
        <v>41808.666666666664</v>
      </c>
      <c r="H34" s="94" t="str">
        <f>H18</f>
        <v>Spain</v>
      </c>
      <c r="I34" s="69"/>
      <c r="J34" s="95"/>
      <c r="K34" s="265" t="s">
        <v>3088</v>
      </c>
      <c r="L34" s="95"/>
      <c r="M34" s="69"/>
      <c r="N34" s="69" t="str">
        <f>H19</f>
        <v>Chile</v>
      </c>
      <c r="O34" s="78"/>
      <c r="P34" s="71"/>
      <c r="Q34" s="69"/>
      <c r="R34" s="68"/>
      <c r="S34" s="68">
        <v>2</v>
      </c>
      <c r="T34" s="263" t="str">
        <f>VLOOKUP(2,'Dummy Table'!O25:P28,2,FALSE)</f>
        <v>Italy</v>
      </c>
      <c r="U34" s="98"/>
      <c r="V34" s="70">
        <f>SUM(W34:Y34)</f>
        <v>0</v>
      </c>
      <c r="W34" s="70">
        <f>SUMIF('Dummy Table'!B$25:B$28,Tournament!T34,'Dummy Table'!C$25:C$28)</f>
        <v>0</v>
      </c>
      <c r="X34" s="70">
        <f>SUMIF('Dummy Table'!B$25:B$28,Tournament!T34,'Dummy Table'!D$25:D$28)</f>
        <v>0</v>
      </c>
      <c r="Y34" s="70">
        <f>SUMIF('Dummy Table'!B$25:B$28,Tournament!T34,'Dummy Table'!E$25:E$28)</f>
        <v>0</v>
      </c>
      <c r="Z34" s="70"/>
      <c r="AA34" s="70" t="str">
        <f>CONCATENATE(SUMIF('Dummy Table'!B$25:B$28,Tournament!T34,'Dummy Table'!F$25:F$28)," - ",SUMIF('Dummy Table'!B$25:B$28,Tournament!T34,'Dummy Table'!G$25:G$28))</f>
        <v>0 - 0</v>
      </c>
      <c r="AB34" s="70"/>
      <c r="AC34" s="70">
        <f>SUMIF('Dummy Table'!B$25:B$28,Tournament!T34,'Dummy Table'!I$25:I$28)</f>
        <v>0</v>
      </c>
      <c r="AD34" s="78"/>
      <c r="AE34" s="69"/>
      <c r="AF34" s="277"/>
      <c r="AG34" s="85"/>
      <c r="AH34" s="78"/>
      <c r="AJ34" s="86" t="str">
        <f>IF(SUM('Dummy Table'!AM$25:AM$28)&gt;0,IF(ISNA(VLOOKUP(2,'Dummy Table'!AM$25:AN$28,2,FALSE)),"",VLOOKUP(2,'Dummy Table'!AM$25:AN$28,2,FALSE)),"")</f>
        <v>Italy</v>
      </c>
      <c r="AK34" s="87"/>
      <c r="DE34" s="67"/>
      <c r="DF34" s="72"/>
      <c r="DG34" s="88"/>
      <c r="DH34" s="67"/>
    </row>
    <row r="35" spans="2:112" s="66" customFormat="1" ht="15" customHeight="1">
      <c r="B35" s="68"/>
      <c r="C35" s="68"/>
      <c r="D35" s="70">
        <v>20</v>
      </c>
      <c r="E35" s="70" t="s">
        <v>849</v>
      </c>
      <c r="F35" s="92">
        <f t="shared" si="0"/>
        <v>41808.541666666664</v>
      </c>
      <c r="G35" s="93">
        <f>'Countries and Timezone'!R21</f>
        <v>41808.541666666664</v>
      </c>
      <c r="H35" s="94" t="str">
        <f>N19</f>
        <v>Australia</v>
      </c>
      <c r="I35" s="69"/>
      <c r="J35" s="95"/>
      <c r="K35" s="265" t="s">
        <v>3088</v>
      </c>
      <c r="L35" s="95"/>
      <c r="M35" s="69"/>
      <c r="N35" s="69" t="str">
        <f>N18</f>
        <v>Netherlands</v>
      </c>
      <c r="O35" s="78"/>
      <c r="P35" s="71"/>
      <c r="Q35" s="69"/>
      <c r="R35" s="68"/>
      <c r="S35" s="68">
        <v>3</v>
      </c>
      <c r="T35" s="263" t="str">
        <f>VLOOKUP(3,'Dummy Table'!O25:P28,2,FALSE)</f>
        <v>England</v>
      </c>
      <c r="U35" s="98"/>
      <c r="V35" s="70">
        <f>SUM(W35:Y35)</f>
        <v>0</v>
      </c>
      <c r="W35" s="70">
        <f>SUMIF('Dummy Table'!B$25:B$28,Tournament!T35,'Dummy Table'!C$25:C$28)</f>
        <v>0</v>
      </c>
      <c r="X35" s="70">
        <f>SUMIF('Dummy Table'!B$25:B$28,Tournament!T35,'Dummy Table'!D$25:D$28)</f>
        <v>0</v>
      </c>
      <c r="Y35" s="70">
        <f>SUMIF('Dummy Table'!B$25:B$28,Tournament!T35,'Dummy Table'!E$25:E$28)</f>
        <v>0</v>
      </c>
      <c r="Z35" s="70"/>
      <c r="AA35" s="70" t="str">
        <f>CONCATENATE(SUMIF('Dummy Table'!B$25:B$28,Tournament!T35,'Dummy Table'!F$25:F$28)," - ",SUMIF('Dummy Table'!B$25:B$28,Tournament!T35,'Dummy Table'!G$25:G$28))</f>
        <v>0 - 0</v>
      </c>
      <c r="AB35" s="70"/>
      <c r="AC35" s="70">
        <f>SUMIF('Dummy Table'!B$25:B$28,Tournament!T35,'Dummy Table'!I$25:I$28)</f>
        <v>0</v>
      </c>
      <c r="AD35" s="78"/>
      <c r="AE35" s="69"/>
      <c r="AF35" s="277"/>
      <c r="AG35" s="85"/>
      <c r="AH35" s="78"/>
      <c r="AJ35" s="86" t="str">
        <f>IF(SUM('Dummy Table'!AM$25:AM$28)&gt;0,IF(ISNA(VLOOKUP(3,'Dummy Table'!AM$25:AN$28,2,FALSE)),"",VLOOKUP(3,'Dummy Table'!AM$25:AN$28,2,FALSE)),"")</f>
        <v>England</v>
      </c>
      <c r="AK35" s="87"/>
      <c r="DE35" s="67"/>
      <c r="DF35" s="72"/>
      <c r="DG35" s="88"/>
      <c r="DH35" s="67"/>
    </row>
    <row r="36" spans="2:112" s="66" customFormat="1" ht="15" customHeight="1">
      <c r="B36" s="68"/>
      <c r="C36" s="68"/>
      <c r="D36" s="70">
        <v>21</v>
      </c>
      <c r="E36" s="70" t="s">
        <v>850</v>
      </c>
      <c r="F36" s="92">
        <f t="shared" si="0"/>
        <v>41809.541666666664</v>
      </c>
      <c r="G36" s="93">
        <f>'Countries and Timezone'!R22</f>
        <v>41809.541666666664</v>
      </c>
      <c r="H36" s="94" t="str">
        <f>H20</f>
        <v>Colombia</v>
      </c>
      <c r="I36" s="69"/>
      <c r="J36" s="95"/>
      <c r="K36" s="265" t="s">
        <v>3088</v>
      </c>
      <c r="L36" s="95"/>
      <c r="M36" s="69"/>
      <c r="N36" s="69" t="str">
        <f>H21</f>
        <v>Ivory Coast</v>
      </c>
      <c r="O36" s="78"/>
      <c r="P36" s="71"/>
      <c r="Q36" s="69"/>
      <c r="R36" s="68"/>
      <c r="S36" s="99">
        <v>4</v>
      </c>
      <c r="T36" s="264" t="str">
        <f>VLOOKUP(4,'Dummy Table'!O25:P28,2,FALSE)</f>
        <v>Costa Rica</v>
      </c>
      <c r="U36" s="100"/>
      <c r="V36" s="101">
        <f>SUM(W36:Y36)</f>
        <v>0</v>
      </c>
      <c r="W36" s="101">
        <f>SUMIF('Dummy Table'!B$25:B$28,Tournament!T36,'Dummy Table'!C$25:C$28)</f>
        <v>0</v>
      </c>
      <c r="X36" s="101">
        <f>SUMIF('Dummy Table'!B$25:B$28,Tournament!T36,'Dummy Table'!D$25:D$28)</f>
        <v>0</v>
      </c>
      <c r="Y36" s="101">
        <f>SUMIF('Dummy Table'!B$25:B$28,Tournament!T36,'Dummy Table'!E$25:E$28)</f>
        <v>0</v>
      </c>
      <c r="Z36" s="101"/>
      <c r="AA36" s="101" t="str">
        <f>CONCATENATE(SUMIF('Dummy Table'!B$25:B$28,Tournament!T36,'Dummy Table'!F$25:F$28)," - ",SUMIF('Dummy Table'!B$25:B$28,Tournament!T36,'Dummy Table'!G$25:G$28))</f>
        <v>0 - 0</v>
      </c>
      <c r="AB36" s="101"/>
      <c r="AC36" s="101">
        <f>SUMIF('Dummy Table'!B$25:B$28,Tournament!T36,'Dummy Table'!I$25:I$28)</f>
        <v>0</v>
      </c>
      <c r="AD36" s="102"/>
      <c r="AE36" s="69"/>
      <c r="AF36" s="277"/>
      <c r="AG36" s="85"/>
      <c r="AH36" s="78"/>
      <c r="AJ36" s="86" t="str">
        <f>IF(SUM('Dummy Table'!AM$25:AM$28)&gt;0,IF(ISNA(VLOOKUP(4,'Dummy Table'!AM$25:AN$28,2,FALSE)),"",VLOOKUP(4,'Dummy Table'!AM$25:AN$28,2,FALSE)),"")</f>
        <v>Costa Rica</v>
      </c>
      <c r="AK36" s="87"/>
      <c r="DE36" s="67"/>
      <c r="DF36" s="72"/>
      <c r="DG36" s="88"/>
      <c r="DH36" s="67"/>
    </row>
    <row r="37" spans="2:112" s="66" customFormat="1" ht="15" customHeight="1">
      <c r="B37" s="68"/>
      <c r="C37" s="68"/>
      <c r="D37" s="70">
        <v>22</v>
      </c>
      <c r="E37" s="70" t="s">
        <v>850</v>
      </c>
      <c r="F37" s="92">
        <f t="shared" si="0"/>
        <v>41809.791666666664</v>
      </c>
      <c r="G37" s="93">
        <f>'Countries and Timezone'!R23</f>
        <v>41809.791666666664</v>
      </c>
      <c r="H37" s="94" t="str">
        <f>N21</f>
        <v>Japan</v>
      </c>
      <c r="I37" s="69"/>
      <c r="J37" s="95"/>
      <c r="K37" s="265" t="s">
        <v>3088</v>
      </c>
      <c r="L37" s="95"/>
      <c r="M37" s="69"/>
      <c r="N37" s="69" t="str">
        <f>N20</f>
        <v>Greece</v>
      </c>
      <c r="O37" s="78"/>
      <c r="P37" s="71"/>
      <c r="Q37" s="69"/>
      <c r="R37" s="68"/>
      <c r="S37" s="103"/>
      <c r="T37" s="98"/>
      <c r="U37" s="98"/>
      <c r="V37" s="69"/>
      <c r="W37" s="69"/>
      <c r="X37" s="69"/>
      <c r="Y37" s="69"/>
      <c r="Z37" s="69"/>
      <c r="AA37" s="69"/>
      <c r="AB37" s="69"/>
      <c r="AC37" s="69"/>
      <c r="AD37" s="69"/>
      <c r="AE37" s="69"/>
      <c r="AF37" s="69"/>
      <c r="AG37" s="85"/>
      <c r="AH37" s="78"/>
      <c r="AJ37" s="109"/>
      <c r="AK37" s="110"/>
      <c r="DE37" s="67"/>
      <c r="DF37" s="72"/>
      <c r="DG37" s="88"/>
      <c r="DH37" s="67"/>
    </row>
    <row r="38" spans="2:112" s="66" customFormat="1" ht="15" customHeight="1">
      <c r="B38" s="68"/>
      <c r="C38" s="68"/>
      <c r="D38" s="70">
        <v>23</v>
      </c>
      <c r="E38" s="70" t="s">
        <v>3099</v>
      </c>
      <c r="F38" s="92">
        <f t="shared" si="0"/>
        <v>41809.666666666664</v>
      </c>
      <c r="G38" s="93">
        <f>'Countries and Timezone'!R24</f>
        <v>41809.666666666664</v>
      </c>
      <c r="H38" s="94" t="str">
        <f>H22</f>
        <v>Uruguay</v>
      </c>
      <c r="I38" s="69"/>
      <c r="J38" s="95"/>
      <c r="K38" s="265" t="s">
        <v>3088</v>
      </c>
      <c r="L38" s="95"/>
      <c r="M38" s="69"/>
      <c r="N38" s="69" t="str">
        <f>H23</f>
        <v>England</v>
      </c>
      <c r="O38" s="78"/>
      <c r="P38" s="71"/>
      <c r="Q38" s="69"/>
      <c r="R38" s="68"/>
      <c r="S38" s="82" t="str">
        <f>INDEX(Language!$A$1:$AV$115,MATCH("Group E",Language!$B$1:$B$115,0),MATCH(Tournament!$G$4,Language!$A$1:$AU$1,0))</f>
        <v>Group E</v>
      </c>
      <c r="T38" s="83"/>
      <c r="U38" s="83"/>
      <c r="V38" s="83" t="s">
        <v>1372</v>
      </c>
      <c r="W38" s="83" t="s">
        <v>3098</v>
      </c>
      <c r="X38" s="83" t="s">
        <v>3099</v>
      </c>
      <c r="Y38" s="83" t="s">
        <v>3100</v>
      </c>
      <c r="Z38" s="83"/>
      <c r="AA38" s="83" t="s">
        <v>3101</v>
      </c>
      <c r="AB38" s="83"/>
      <c r="AC38" s="83" t="s">
        <v>1373</v>
      </c>
      <c r="AD38" s="84"/>
      <c r="AE38" s="69"/>
      <c r="AF38" s="277" t="s">
        <v>851</v>
      </c>
      <c r="AG38" s="85"/>
      <c r="AH38" s="78"/>
      <c r="AJ38" s="86" t="s">
        <v>3107</v>
      </c>
      <c r="AK38" s="87" t="s">
        <v>285</v>
      </c>
      <c r="DE38" s="67"/>
      <c r="DF38" s="72"/>
      <c r="DG38" s="88"/>
      <c r="DH38" s="67"/>
    </row>
    <row r="39" spans="2:112" s="66" customFormat="1" ht="15" customHeight="1">
      <c r="B39" s="68"/>
      <c r="C39" s="68"/>
      <c r="D39" s="70">
        <v>24</v>
      </c>
      <c r="E39" s="70" t="s">
        <v>3099</v>
      </c>
      <c r="F39" s="92">
        <f t="shared" si="0"/>
        <v>41810.541666666664</v>
      </c>
      <c r="G39" s="93">
        <f>'Countries and Timezone'!R25</f>
        <v>41810.541666666664</v>
      </c>
      <c r="H39" s="94" t="str">
        <f>N23</f>
        <v>Italy</v>
      </c>
      <c r="I39" s="69"/>
      <c r="J39" s="95"/>
      <c r="K39" s="265" t="s">
        <v>3088</v>
      </c>
      <c r="L39" s="95"/>
      <c r="M39" s="69"/>
      <c r="N39" s="69" t="str">
        <f>N22</f>
        <v>Costa Rica</v>
      </c>
      <c r="O39" s="78"/>
      <c r="P39" s="71"/>
      <c r="Q39" s="69"/>
      <c r="R39" s="68"/>
      <c r="S39" s="89">
        <v>1</v>
      </c>
      <c r="T39" s="262" t="str">
        <f>VLOOKUP(1,'Dummy Table'!O32:P35,2,FALSE)</f>
        <v>Switzerland</v>
      </c>
      <c r="U39" s="90"/>
      <c r="V39" s="91">
        <f>SUM(W39:Y39)</f>
        <v>0</v>
      </c>
      <c r="W39" s="91">
        <f>SUMIF('Dummy Table'!B$32:B$35,Tournament!T39,'Dummy Table'!C$32:C$35)</f>
        <v>0</v>
      </c>
      <c r="X39" s="91">
        <f>SUMIF('Dummy Table'!B$32:B$35,Tournament!T39,'Dummy Table'!D$32:D$35)</f>
        <v>0</v>
      </c>
      <c r="Y39" s="91">
        <f>SUMIF('Dummy Table'!B$32:B$35,Tournament!T39,'Dummy Table'!E$32:E$35)</f>
        <v>0</v>
      </c>
      <c r="Z39" s="91"/>
      <c r="AA39" s="91" t="str">
        <f>CONCATENATE(SUMIF('Dummy Table'!B$32:B$35,Tournament!T39,'Dummy Table'!F$32:F$35)," - ",SUMIF('Dummy Table'!B$32:B$35,Tournament!T39,'Dummy Table'!G$32:G$35))</f>
        <v>0 - 0</v>
      </c>
      <c r="AB39" s="91"/>
      <c r="AC39" s="91">
        <f>SUMIF('Dummy Table'!B$32:B$35,Tournament!T39,'Dummy Table'!I$32:I$35)</f>
        <v>0</v>
      </c>
      <c r="AD39" s="84"/>
      <c r="AE39" s="69"/>
      <c r="AF39" s="277"/>
      <c r="AG39" s="85"/>
      <c r="AH39" s="78"/>
      <c r="AJ39" s="86" t="str">
        <f>IF(SUM('Dummy Table'!AM$32:AM$35)&gt;0,IF(ISNA(VLOOKUP(1,'Dummy Table'!AM$32:AN$35,2,FALSE)),"",VLOOKUP(1,'Dummy Table'!AM$32:AN$35,2,FALSE)),"")</f>
        <v>Switzerland</v>
      </c>
      <c r="AK39" s="87"/>
      <c r="DE39" s="67"/>
      <c r="DF39" s="72"/>
      <c r="DG39" s="88"/>
      <c r="DH39" s="67"/>
    </row>
    <row r="40" spans="2:112" s="66" customFormat="1" ht="15" customHeight="1">
      <c r="B40" s="68"/>
      <c r="C40" s="68"/>
      <c r="D40" s="70">
        <v>25</v>
      </c>
      <c r="E40" s="70" t="s">
        <v>851</v>
      </c>
      <c r="F40" s="92">
        <f t="shared" si="0"/>
        <v>41810.666666666664</v>
      </c>
      <c r="G40" s="93">
        <f>'Countries and Timezone'!R26</f>
        <v>41810.666666666664</v>
      </c>
      <c r="H40" s="94" t="str">
        <f>H24</f>
        <v>Switzerland</v>
      </c>
      <c r="I40" s="69"/>
      <c r="J40" s="95"/>
      <c r="K40" s="265" t="s">
        <v>3088</v>
      </c>
      <c r="L40" s="95"/>
      <c r="M40" s="69"/>
      <c r="N40" s="69" t="str">
        <f>H25</f>
        <v>France</v>
      </c>
      <c r="O40" s="78"/>
      <c r="P40" s="71"/>
      <c r="Q40" s="69"/>
      <c r="R40" s="68"/>
      <c r="S40" s="68">
        <v>2</v>
      </c>
      <c r="T40" s="263" t="str">
        <f>VLOOKUP(2,'Dummy Table'!O32:P35,2,FALSE)</f>
        <v>France</v>
      </c>
      <c r="U40" s="98"/>
      <c r="V40" s="70">
        <f>SUM(W40:Y40)</f>
        <v>0</v>
      </c>
      <c r="W40" s="70">
        <f>SUMIF('Dummy Table'!B$32:B$35,Tournament!T40,'Dummy Table'!C$32:C$35)</f>
        <v>0</v>
      </c>
      <c r="X40" s="70">
        <f>SUMIF('Dummy Table'!B$32:B$35,Tournament!T40,'Dummy Table'!D$32:D$35)</f>
        <v>0</v>
      </c>
      <c r="Y40" s="70">
        <f>SUMIF('Dummy Table'!B$32:B$35,Tournament!T40,'Dummy Table'!E$32:E$35)</f>
        <v>0</v>
      </c>
      <c r="Z40" s="70"/>
      <c r="AA40" s="70" t="str">
        <f>CONCATENATE(SUMIF('Dummy Table'!B$32:B$35,Tournament!T40,'Dummy Table'!F$32:F$35)," - ",SUMIF('Dummy Table'!B$32:B$35,Tournament!T40,'Dummy Table'!G$32:G$35))</f>
        <v>0 - 0</v>
      </c>
      <c r="AB40" s="70"/>
      <c r="AC40" s="70">
        <f>SUMIF('Dummy Table'!B$32:B$35,Tournament!T40,'Dummy Table'!I$32:I$35)</f>
        <v>0</v>
      </c>
      <c r="AD40" s="78"/>
      <c r="AE40" s="69"/>
      <c r="AF40" s="277"/>
      <c r="AG40" s="85"/>
      <c r="AH40" s="78"/>
      <c r="AJ40" s="86" t="str">
        <f>IF(SUM('Dummy Table'!AM$32:AM$35)&gt;0,IF(ISNA(VLOOKUP(2,'Dummy Table'!AM$32:AN$35,2,FALSE)),"",VLOOKUP(2,'Dummy Table'!AM$32:AN$35,2,FALSE)),"")</f>
        <v>France</v>
      </c>
      <c r="AK40" s="87"/>
      <c r="DE40" s="67"/>
      <c r="DF40" s="72"/>
      <c r="DG40" s="88"/>
      <c r="DH40" s="67"/>
    </row>
    <row r="41" spans="2:112" s="66" customFormat="1" ht="15" customHeight="1">
      <c r="B41" s="68"/>
      <c r="C41" s="68"/>
      <c r="D41" s="70">
        <v>26</v>
      </c>
      <c r="E41" s="70" t="s">
        <v>851</v>
      </c>
      <c r="F41" s="92">
        <f t="shared" si="0"/>
        <v>41810.791666666664</v>
      </c>
      <c r="G41" s="93">
        <f>'Countries and Timezone'!R27</f>
        <v>41810.791666666664</v>
      </c>
      <c r="H41" s="94" t="str">
        <f>N25</f>
        <v>Honduras</v>
      </c>
      <c r="I41" s="69"/>
      <c r="J41" s="95"/>
      <c r="K41" s="265" t="s">
        <v>3088</v>
      </c>
      <c r="L41" s="95"/>
      <c r="M41" s="69"/>
      <c r="N41" s="69" t="str">
        <f>N24</f>
        <v>Ecuador</v>
      </c>
      <c r="O41" s="78"/>
      <c r="P41" s="71"/>
      <c r="Q41" s="69"/>
      <c r="R41" s="68"/>
      <c r="S41" s="68">
        <v>3</v>
      </c>
      <c r="T41" s="263" t="str">
        <f>VLOOKUP(3,'Dummy Table'!O32:P35,2,FALSE)</f>
        <v>Ecuador</v>
      </c>
      <c r="U41" s="98"/>
      <c r="V41" s="70">
        <f>SUM(W41:Y41)</f>
        <v>0</v>
      </c>
      <c r="W41" s="70">
        <f>SUMIF('Dummy Table'!B$32:B$35,Tournament!T41,'Dummy Table'!C$32:C$35)</f>
        <v>0</v>
      </c>
      <c r="X41" s="70">
        <f>SUMIF('Dummy Table'!B$32:B$35,Tournament!T41,'Dummy Table'!D$32:D$35)</f>
        <v>0</v>
      </c>
      <c r="Y41" s="70">
        <f>SUMIF('Dummy Table'!B$32:B$35,Tournament!T41,'Dummy Table'!E$32:E$35)</f>
        <v>0</v>
      </c>
      <c r="Z41" s="70"/>
      <c r="AA41" s="70" t="str">
        <f>CONCATENATE(SUMIF('Dummy Table'!B$32:B$35,Tournament!T41,'Dummy Table'!F$32:F$35)," - ",SUMIF('Dummy Table'!B$32:B$35,Tournament!T41,'Dummy Table'!G$32:G$35))</f>
        <v>0 - 0</v>
      </c>
      <c r="AB41" s="70"/>
      <c r="AC41" s="70">
        <f>SUMIF('Dummy Table'!B$32:B$35,Tournament!T41,'Dummy Table'!I$32:I$35)</f>
        <v>0</v>
      </c>
      <c r="AD41" s="78"/>
      <c r="AE41" s="69"/>
      <c r="AF41" s="277"/>
      <c r="AG41" s="85"/>
      <c r="AH41" s="78"/>
      <c r="AJ41" s="86" t="str">
        <f>IF(SUM('Dummy Table'!AM$32:AM$35)&gt;0,IF(ISNA(VLOOKUP(3,'Dummy Table'!AM$32:AN$35,2,FALSE)),"",VLOOKUP(3,'Dummy Table'!AM$32:AN$35,2,FALSE)),"")</f>
        <v>Ecuador</v>
      </c>
      <c r="AK41" s="87"/>
      <c r="DE41" s="67"/>
      <c r="DF41" s="105"/>
      <c r="DG41" s="88"/>
      <c r="DH41" s="67"/>
    </row>
    <row r="42" spans="2:112" s="66" customFormat="1" ht="15" customHeight="1">
      <c r="B42" s="68"/>
      <c r="C42" s="68"/>
      <c r="D42" s="70">
        <v>27</v>
      </c>
      <c r="E42" s="70" t="s">
        <v>3105</v>
      </c>
      <c r="F42" s="92">
        <f t="shared" si="0"/>
        <v>41811.541666666664</v>
      </c>
      <c r="G42" s="93">
        <f>'Countries and Timezone'!R28</f>
        <v>41811.541666666664</v>
      </c>
      <c r="H42" s="94" t="str">
        <f>H26</f>
        <v>Argentina</v>
      </c>
      <c r="I42" s="69"/>
      <c r="J42" s="95"/>
      <c r="K42" s="265" t="s">
        <v>3088</v>
      </c>
      <c r="L42" s="95"/>
      <c r="M42" s="69"/>
      <c r="N42" s="69" t="str">
        <f>H27</f>
        <v>Iran</v>
      </c>
      <c r="O42" s="78"/>
      <c r="P42" s="71"/>
      <c r="Q42" s="69"/>
      <c r="R42" s="68"/>
      <c r="S42" s="99">
        <v>4</v>
      </c>
      <c r="T42" s="264" t="str">
        <f>VLOOKUP(4,'Dummy Table'!O32:P35,2,FALSE)</f>
        <v>Honduras</v>
      </c>
      <c r="U42" s="100"/>
      <c r="V42" s="101">
        <f>SUM(W42:Y42)</f>
        <v>0</v>
      </c>
      <c r="W42" s="101">
        <f>SUMIF('Dummy Table'!B$32:B$35,Tournament!T42,'Dummy Table'!C$32:C$35)</f>
        <v>0</v>
      </c>
      <c r="X42" s="101">
        <f>SUMIF('Dummy Table'!B$32:B$35,Tournament!T42,'Dummy Table'!D$32:D$35)</f>
        <v>0</v>
      </c>
      <c r="Y42" s="101">
        <f>SUMIF('Dummy Table'!B$32:B$35,Tournament!T42,'Dummy Table'!E$32:E$35)</f>
        <v>0</v>
      </c>
      <c r="Z42" s="101"/>
      <c r="AA42" s="101" t="str">
        <f>CONCATENATE(SUMIF('Dummy Table'!B$32:B$35,Tournament!T42,'Dummy Table'!F$32:F$35)," - ",SUMIF('Dummy Table'!B$32:B$35,Tournament!T42,'Dummy Table'!G$32:G$35))</f>
        <v>0 - 0</v>
      </c>
      <c r="AB42" s="101"/>
      <c r="AC42" s="101">
        <f>SUMIF('Dummy Table'!B$32:B$35,Tournament!T42,'Dummy Table'!I$32:I$35)</f>
        <v>0</v>
      </c>
      <c r="AD42" s="102"/>
      <c r="AE42" s="69"/>
      <c r="AF42" s="277"/>
      <c r="AG42" s="85"/>
      <c r="AH42" s="78"/>
      <c r="AJ42" s="86" t="str">
        <f>IF(SUM('Dummy Table'!AM$32:AM$35)&gt;0,IF(ISNA(VLOOKUP(4,'Dummy Table'!AM$32:AN$35,2,FALSE)),"",VLOOKUP(4,'Dummy Table'!AM$32:AN$35,2,FALSE)),"")</f>
        <v>Honduras</v>
      </c>
      <c r="AK42" s="87"/>
      <c r="DE42" s="67"/>
      <c r="DF42" s="105"/>
      <c r="DG42" s="88"/>
      <c r="DH42" s="67"/>
    </row>
    <row r="43" spans="2:112" s="66" customFormat="1" ht="15" customHeight="1">
      <c r="B43" s="68"/>
      <c r="C43" s="68"/>
      <c r="D43" s="70">
        <v>28</v>
      </c>
      <c r="E43" s="70" t="s">
        <v>3105</v>
      </c>
      <c r="F43" s="92">
        <f t="shared" si="0"/>
        <v>41811.791666666664</v>
      </c>
      <c r="G43" s="93">
        <f>'Countries and Timezone'!R29</f>
        <v>41811.791666666664</v>
      </c>
      <c r="H43" s="94" t="str">
        <f>N27</f>
        <v>Nigeria</v>
      </c>
      <c r="I43" s="69"/>
      <c r="J43" s="95"/>
      <c r="K43" s="265" t="s">
        <v>3088</v>
      </c>
      <c r="L43" s="95"/>
      <c r="M43" s="69"/>
      <c r="N43" s="69" t="str">
        <f>N26</f>
        <v>Bosnia-Herzegovina</v>
      </c>
      <c r="O43" s="78"/>
      <c r="P43" s="71"/>
      <c r="Q43" s="69"/>
      <c r="R43" s="68"/>
      <c r="S43" s="103"/>
      <c r="T43" s="98"/>
      <c r="U43" s="98"/>
      <c r="V43" s="69"/>
      <c r="W43" s="69"/>
      <c r="X43" s="69"/>
      <c r="Y43" s="69"/>
      <c r="Z43" s="69"/>
      <c r="AA43" s="69"/>
      <c r="AB43" s="69"/>
      <c r="AC43" s="69"/>
      <c r="AD43" s="69"/>
      <c r="AE43" s="69"/>
      <c r="AF43" s="69"/>
      <c r="AG43" s="85"/>
      <c r="AH43" s="78"/>
      <c r="AJ43" s="111"/>
      <c r="AK43" s="110"/>
      <c r="DE43" s="67"/>
      <c r="DF43" s="67"/>
      <c r="DG43" s="88"/>
      <c r="DH43" s="67"/>
    </row>
    <row r="44" spans="2:112" s="66" customFormat="1" ht="15" customHeight="1">
      <c r="B44" s="68"/>
      <c r="C44" s="68"/>
      <c r="D44" s="70">
        <v>29</v>
      </c>
      <c r="E44" s="70" t="s">
        <v>852</v>
      </c>
      <c r="F44" s="92">
        <f t="shared" si="0"/>
        <v>41811.666666666664</v>
      </c>
      <c r="G44" s="93">
        <f>'Countries and Timezone'!R30</f>
        <v>41811.666666666664</v>
      </c>
      <c r="H44" s="94" t="str">
        <f>H28</f>
        <v>Germany</v>
      </c>
      <c r="I44" s="69"/>
      <c r="J44" s="95"/>
      <c r="K44" s="265" t="s">
        <v>3088</v>
      </c>
      <c r="L44" s="95"/>
      <c r="M44" s="69"/>
      <c r="N44" s="69" t="str">
        <f>H29</f>
        <v>Ghana</v>
      </c>
      <c r="O44" s="78"/>
      <c r="P44" s="71"/>
      <c r="Q44" s="69"/>
      <c r="R44" s="68"/>
      <c r="S44" s="82" t="str">
        <f>INDEX(Language!$A$1:$AV$115,MATCH("Group F",Language!$B$1:$B$115,0),MATCH(Tournament!$G$4,Language!$A$1:$AU$1,0))</f>
        <v>Group F</v>
      </c>
      <c r="T44" s="83"/>
      <c r="U44" s="83"/>
      <c r="V44" s="83" t="s">
        <v>1372</v>
      </c>
      <c r="W44" s="83" t="s">
        <v>3098</v>
      </c>
      <c r="X44" s="83" t="s">
        <v>3099</v>
      </c>
      <c r="Y44" s="83" t="s">
        <v>3100</v>
      </c>
      <c r="Z44" s="83"/>
      <c r="AA44" s="83" t="s">
        <v>3101</v>
      </c>
      <c r="AB44" s="83"/>
      <c r="AC44" s="83" t="s">
        <v>1373</v>
      </c>
      <c r="AD44" s="84"/>
      <c r="AE44" s="69"/>
      <c r="AF44" s="277" t="s">
        <v>3105</v>
      </c>
      <c r="AG44" s="85"/>
      <c r="AH44" s="78"/>
      <c r="AJ44" s="86" t="s">
        <v>3107</v>
      </c>
      <c r="AK44" s="87" t="s">
        <v>285</v>
      </c>
      <c r="DE44" s="67"/>
      <c r="DF44" s="67"/>
      <c r="DG44" s="88"/>
      <c r="DH44" s="67"/>
    </row>
    <row r="45" spans="2:112" s="66" customFormat="1" ht="15" customHeight="1">
      <c r="B45" s="68"/>
      <c r="C45" s="68"/>
      <c r="D45" s="70">
        <v>30</v>
      </c>
      <c r="E45" s="70" t="s">
        <v>852</v>
      </c>
      <c r="F45" s="92">
        <f t="shared" si="0"/>
        <v>41812.791666666664</v>
      </c>
      <c r="G45" s="93">
        <f>'Countries and Timezone'!R31</f>
        <v>41812.791666666664</v>
      </c>
      <c r="H45" s="94" t="str">
        <f>N29</f>
        <v>USA</v>
      </c>
      <c r="I45" s="69"/>
      <c r="J45" s="95"/>
      <c r="K45" s="265" t="s">
        <v>3088</v>
      </c>
      <c r="L45" s="95"/>
      <c r="M45" s="69"/>
      <c r="N45" s="69" t="str">
        <f>N28</f>
        <v>Portugal</v>
      </c>
      <c r="O45" s="78"/>
      <c r="P45" s="71"/>
      <c r="Q45" s="69"/>
      <c r="R45" s="68"/>
      <c r="S45" s="89">
        <v>1</v>
      </c>
      <c r="T45" s="262" t="str">
        <f>VLOOKUP(1,'Dummy Table'!O39:P42,2,FALSE)</f>
        <v>Argentina</v>
      </c>
      <c r="U45" s="90"/>
      <c r="V45" s="91">
        <f>SUM(W45:Y45)</f>
        <v>0</v>
      </c>
      <c r="W45" s="91">
        <f>SUMIF('Dummy Table'!B$39:B$42,Tournament!T45,'Dummy Table'!C$39:C$42)</f>
        <v>0</v>
      </c>
      <c r="X45" s="91">
        <f>SUMIF('Dummy Table'!B$39:B$42,Tournament!T45,'Dummy Table'!D$39:D$42)</f>
        <v>0</v>
      </c>
      <c r="Y45" s="91">
        <f>SUMIF('Dummy Table'!B$39:B$42,Tournament!T45,'Dummy Table'!E$39:E$42)</f>
        <v>0</v>
      </c>
      <c r="Z45" s="91"/>
      <c r="AA45" s="91" t="str">
        <f>CONCATENATE(SUMIF('Dummy Table'!B$39:B$42,Tournament!T45,'Dummy Table'!F$39:F$42)," - ",SUMIF('Dummy Table'!B$39:B$42,Tournament!T45,'Dummy Table'!G$39:G$42))</f>
        <v>0 - 0</v>
      </c>
      <c r="AB45" s="91"/>
      <c r="AC45" s="91">
        <f>SUMIF('Dummy Table'!B$39:B$42,Tournament!T45,'Dummy Table'!I$39:I$42)</f>
        <v>0</v>
      </c>
      <c r="AD45" s="84"/>
      <c r="AE45" s="69"/>
      <c r="AF45" s="277"/>
      <c r="AG45" s="85"/>
      <c r="AH45" s="78"/>
      <c r="AJ45" s="86" t="str">
        <f>IF(SUM('Dummy Table'!AM$39:AM$42)&gt;0,IF(ISNA(VLOOKUP(1,'Dummy Table'!AM$39:AN$42,2,FALSE)),"",VLOOKUP(1,'Dummy Table'!AM$39:AN$42,2,FALSE)),"")</f>
        <v>Argentina</v>
      </c>
      <c r="AK45" s="87"/>
      <c r="DE45" s="67"/>
      <c r="DF45" s="67"/>
      <c r="DG45" s="88"/>
      <c r="DH45" s="67"/>
    </row>
    <row r="46" spans="2:112" s="66" customFormat="1" ht="15" customHeight="1">
      <c r="B46" s="68"/>
      <c r="C46" s="68"/>
      <c r="D46" s="70">
        <v>31</v>
      </c>
      <c r="E46" s="70" t="s">
        <v>853</v>
      </c>
      <c r="F46" s="92">
        <f t="shared" si="0"/>
        <v>41812.541666666664</v>
      </c>
      <c r="G46" s="93">
        <f>'Countries and Timezone'!R32</f>
        <v>41812.541666666664</v>
      </c>
      <c r="H46" s="94" t="str">
        <f>H30</f>
        <v>Belgium</v>
      </c>
      <c r="I46" s="69"/>
      <c r="J46" s="95"/>
      <c r="K46" s="265" t="s">
        <v>3088</v>
      </c>
      <c r="L46" s="95"/>
      <c r="M46" s="69"/>
      <c r="N46" s="69" t="str">
        <f>H31</f>
        <v>Russia</v>
      </c>
      <c r="O46" s="78"/>
      <c r="P46" s="71"/>
      <c r="Q46" s="69"/>
      <c r="R46" s="68"/>
      <c r="S46" s="68">
        <v>2</v>
      </c>
      <c r="T46" s="263" t="str">
        <f>VLOOKUP(2,'Dummy Table'!O39:P42,2,FALSE)</f>
        <v>Bosnia-Herzegovina</v>
      </c>
      <c r="U46" s="98"/>
      <c r="V46" s="70">
        <f>SUM(W46:Y46)</f>
        <v>0</v>
      </c>
      <c r="W46" s="70">
        <f>SUMIF('Dummy Table'!B$39:B$42,Tournament!T46,'Dummy Table'!C$39:C$42)</f>
        <v>0</v>
      </c>
      <c r="X46" s="70">
        <f>SUMIF('Dummy Table'!B$39:B$42,Tournament!T46,'Dummy Table'!D$39:D$42)</f>
        <v>0</v>
      </c>
      <c r="Y46" s="70">
        <f>SUMIF('Dummy Table'!B$39:B$42,Tournament!T46,'Dummy Table'!E$39:E$42)</f>
        <v>0</v>
      </c>
      <c r="Z46" s="70"/>
      <c r="AA46" s="70" t="str">
        <f>CONCATENATE(SUMIF('Dummy Table'!B$39:B$42,Tournament!T46,'Dummy Table'!F$39:F$42)," - ",SUMIF('Dummy Table'!B$39:B$42,Tournament!T46,'Dummy Table'!G$39:G$42))</f>
        <v>0 - 0</v>
      </c>
      <c r="AB46" s="70"/>
      <c r="AC46" s="70">
        <f>SUMIF('Dummy Table'!B$39:B$42,Tournament!T46,'Dummy Table'!I$39:I$42)</f>
        <v>0</v>
      </c>
      <c r="AD46" s="78"/>
      <c r="AE46" s="69"/>
      <c r="AF46" s="277"/>
      <c r="AG46" s="85"/>
      <c r="AH46" s="78"/>
      <c r="AJ46" s="86" t="str">
        <f>IF(SUM('Dummy Table'!AM$39:AM$42)&gt;0,IF(ISNA(VLOOKUP(2,'Dummy Table'!AM$39:AN$42,2,FALSE)),"",VLOOKUP(2,'Dummy Table'!AM$39:AN$42,2,FALSE)),"")</f>
        <v>Bosnia-Herzegovina</v>
      </c>
      <c r="AK46" s="87"/>
      <c r="DE46" s="67"/>
      <c r="DF46" s="67"/>
      <c r="DG46" s="88"/>
      <c r="DH46" s="67"/>
    </row>
    <row r="47" spans="2:112" s="66" customFormat="1" ht="15" customHeight="1">
      <c r="B47" s="68"/>
      <c r="C47" s="68"/>
      <c r="D47" s="70">
        <v>32</v>
      </c>
      <c r="E47" s="70" t="s">
        <v>853</v>
      </c>
      <c r="F47" s="92">
        <f t="shared" si="0"/>
        <v>41812.666666666664</v>
      </c>
      <c r="G47" s="93">
        <f>'Countries and Timezone'!R33</f>
        <v>41812.666666666664</v>
      </c>
      <c r="H47" s="94" t="str">
        <f>N31</f>
        <v>South Korea</v>
      </c>
      <c r="I47" s="69"/>
      <c r="J47" s="95"/>
      <c r="K47" s="265" t="s">
        <v>3088</v>
      </c>
      <c r="L47" s="95"/>
      <c r="M47" s="69"/>
      <c r="N47" s="69" t="str">
        <f>N30</f>
        <v>Algeria</v>
      </c>
      <c r="O47" s="78"/>
      <c r="P47" s="71"/>
      <c r="Q47" s="69"/>
      <c r="R47" s="68"/>
      <c r="S47" s="68">
        <v>3</v>
      </c>
      <c r="T47" s="263" t="str">
        <f>VLOOKUP(3,'Dummy Table'!O39:P42,2,FALSE)</f>
        <v>Nigeria</v>
      </c>
      <c r="U47" s="98"/>
      <c r="V47" s="70">
        <f>SUM(W47:Y47)</f>
        <v>0</v>
      </c>
      <c r="W47" s="70">
        <f>SUMIF('Dummy Table'!B$39:B$42,Tournament!T47,'Dummy Table'!C$39:C$42)</f>
        <v>0</v>
      </c>
      <c r="X47" s="70">
        <f>SUMIF('Dummy Table'!B$39:B$42,Tournament!T47,'Dummy Table'!D$39:D$42)</f>
        <v>0</v>
      </c>
      <c r="Y47" s="70">
        <f>SUMIF('Dummy Table'!B$39:B$42,Tournament!T47,'Dummy Table'!E$39:E$42)</f>
        <v>0</v>
      </c>
      <c r="Z47" s="70"/>
      <c r="AA47" s="70" t="str">
        <f>CONCATENATE(SUMIF('Dummy Table'!B$39:B$42,Tournament!T47,'Dummy Table'!F$39:F$42)," - ",SUMIF('Dummy Table'!B$39:B$42,Tournament!T47,'Dummy Table'!G$39:G$42))</f>
        <v>0 - 0</v>
      </c>
      <c r="AB47" s="70"/>
      <c r="AC47" s="70">
        <f>SUMIF('Dummy Table'!B$39:B$42,Tournament!T47,'Dummy Table'!I$39:I$42)</f>
        <v>0</v>
      </c>
      <c r="AD47" s="78"/>
      <c r="AE47" s="69"/>
      <c r="AF47" s="277"/>
      <c r="AG47" s="85"/>
      <c r="AH47" s="78"/>
      <c r="AJ47" s="86" t="str">
        <f>IF(SUM('Dummy Table'!AM$39:AM$42)&gt;0,IF(ISNA(VLOOKUP(3,'Dummy Table'!AM$39:AN$42,2,FALSE)),"",VLOOKUP(3,'Dummy Table'!AM$39:AN$42,2,FALSE)),"")</f>
        <v>Nigeria</v>
      </c>
      <c r="AK47" s="87"/>
      <c r="DE47" s="67"/>
      <c r="DF47" s="67"/>
      <c r="DG47" s="88"/>
      <c r="DH47" s="67"/>
    </row>
    <row r="48" spans="2:112" s="66" customFormat="1" ht="15" customHeight="1">
      <c r="B48" s="68"/>
      <c r="C48" s="68"/>
      <c r="D48" s="70">
        <v>33</v>
      </c>
      <c r="E48" s="70" t="s">
        <v>3106</v>
      </c>
      <c r="F48" s="92">
        <f t="shared" si="0"/>
        <v>41813.708333333336</v>
      </c>
      <c r="G48" s="93">
        <f>'Countries and Timezone'!R34</f>
        <v>41813.708333333336</v>
      </c>
      <c r="H48" s="94" t="str">
        <f>N17</f>
        <v>Cameroon</v>
      </c>
      <c r="I48" s="69"/>
      <c r="J48" s="95"/>
      <c r="K48" s="265" t="s">
        <v>3088</v>
      </c>
      <c r="L48" s="95"/>
      <c r="M48" s="69"/>
      <c r="N48" s="69" t="str">
        <f t="shared" ref="N48:N63" si="1">H16</f>
        <v>Brazil</v>
      </c>
      <c r="O48" s="78"/>
      <c r="P48" s="71"/>
      <c r="Q48" s="69"/>
      <c r="R48" s="68"/>
      <c r="S48" s="99">
        <v>4</v>
      </c>
      <c r="T48" s="264" t="str">
        <f>VLOOKUP(4,'Dummy Table'!O39:P42,2,FALSE)</f>
        <v>Iran</v>
      </c>
      <c r="U48" s="100"/>
      <c r="V48" s="101">
        <f>SUM(W48:Y48)</f>
        <v>0</v>
      </c>
      <c r="W48" s="101">
        <f>SUMIF('Dummy Table'!B$39:B$42,Tournament!T48,'Dummy Table'!C$39:C$42)</f>
        <v>0</v>
      </c>
      <c r="X48" s="101">
        <f>SUMIF('Dummy Table'!B$39:B$42,Tournament!T48,'Dummy Table'!D$39:D$42)</f>
        <v>0</v>
      </c>
      <c r="Y48" s="101">
        <f>SUMIF('Dummy Table'!B$39:B$42,Tournament!T48,'Dummy Table'!E$39:E$42)</f>
        <v>0</v>
      </c>
      <c r="Z48" s="101"/>
      <c r="AA48" s="101" t="str">
        <f>CONCATENATE(SUMIF('Dummy Table'!B$39:B$42,Tournament!T48,'Dummy Table'!F$39:F$42)," - ",SUMIF('Dummy Table'!B$39:B$42,Tournament!T48,'Dummy Table'!G$39:G$42))</f>
        <v>0 - 0</v>
      </c>
      <c r="AB48" s="101"/>
      <c r="AC48" s="101">
        <f>SUMIF('Dummy Table'!B$39:B$42,Tournament!T48,'Dummy Table'!I$39:I$42)</f>
        <v>0</v>
      </c>
      <c r="AD48" s="102"/>
      <c r="AE48" s="69"/>
      <c r="AF48" s="277"/>
      <c r="AG48" s="85"/>
      <c r="AH48" s="78"/>
      <c r="AJ48" s="86" t="str">
        <f>IF(SUM('Dummy Table'!AM$39:AM$42)&gt;0,IF(ISNA(VLOOKUP(4,'Dummy Table'!AM$39:AN$42,2,FALSE)),"",VLOOKUP(4,'Dummy Table'!AM$39:AN$42,2,FALSE)),"")</f>
        <v>Iran</v>
      </c>
      <c r="AK48" s="87"/>
      <c r="DE48" s="67"/>
      <c r="DF48" s="67"/>
      <c r="DG48" s="88"/>
      <c r="DH48" s="67"/>
    </row>
    <row r="49" spans="2:112" s="66" customFormat="1" ht="15" customHeight="1">
      <c r="B49" s="68"/>
      <c r="C49" s="68"/>
      <c r="D49" s="70">
        <v>34</v>
      </c>
      <c r="E49" s="70" t="s">
        <v>3106</v>
      </c>
      <c r="F49" s="92">
        <f t="shared" si="0"/>
        <v>41813.708333333336</v>
      </c>
      <c r="G49" s="93">
        <f>'Countries and Timezone'!R35</f>
        <v>41813.708333333336</v>
      </c>
      <c r="H49" s="94" t="str">
        <f>N16</f>
        <v>Croatia</v>
      </c>
      <c r="I49" s="69"/>
      <c r="J49" s="95"/>
      <c r="K49" s="265" t="s">
        <v>3088</v>
      </c>
      <c r="L49" s="95"/>
      <c r="M49" s="69"/>
      <c r="N49" s="69" t="str">
        <f t="shared" si="1"/>
        <v>Mexico</v>
      </c>
      <c r="O49" s="78"/>
      <c r="P49" s="71"/>
      <c r="Q49" s="69"/>
      <c r="R49" s="68"/>
      <c r="S49" s="103"/>
      <c r="T49" s="98"/>
      <c r="U49" s="98"/>
      <c r="V49" s="69"/>
      <c r="W49" s="69"/>
      <c r="X49" s="69"/>
      <c r="Y49" s="69"/>
      <c r="Z49" s="69"/>
      <c r="AA49" s="69"/>
      <c r="AB49" s="69"/>
      <c r="AC49" s="69"/>
      <c r="AD49" s="69"/>
      <c r="AE49" s="69"/>
      <c r="AF49" s="69"/>
      <c r="AG49" s="85"/>
      <c r="AH49" s="78"/>
      <c r="AJ49" s="111"/>
      <c r="AK49" s="110"/>
      <c r="DE49" s="67"/>
      <c r="DF49" s="67"/>
      <c r="DG49" s="88"/>
      <c r="DH49" s="67"/>
    </row>
    <row r="50" spans="2:112" s="66" customFormat="1" ht="15" customHeight="1">
      <c r="B50" s="68"/>
      <c r="C50" s="68"/>
      <c r="D50" s="70">
        <v>35</v>
      </c>
      <c r="E50" s="70" t="s">
        <v>849</v>
      </c>
      <c r="F50" s="92">
        <f t="shared" si="0"/>
        <v>41813.541666666664</v>
      </c>
      <c r="G50" s="93">
        <f>'Countries and Timezone'!R36</f>
        <v>41813.541666666664</v>
      </c>
      <c r="H50" s="94" t="str">
        <f>N19</f>
        <v>Australia</v>
      </c>
      <c r="I50" s="69"/>
      <c r="J50" s="95"/>
      <c r="K50" s="265" t="s">
        <v>3088</v>
      </c>
      <c r="L50" s="95"/>
      <c r="M50" s="69"/>
      <c r="N50" s="69" t="str">
        <f t="shared" si="1"/>
        <v>Spain</v>
      </c>
      <c r="O50" s="78"/>
      <c r="P50" s="71"/>
      <c r="Q50" s="69"/>
      <c r="R50" s="68"/>
      <c r="S50" s="82" t="str">
        <f>INDEX(Language!$A$1:$AV$115,MATCH("Group G",Language!$B$1:$B$115,0),MATCH(Tournament!$G$4,Language!$A$1:$AU$1,0))</f>
        <v>Group G</v>
      </c>
      <c r="T50" s="83"/>
      <c r="U50" s="83"/>
      <c r="V50" s="83" t="s">
        <v>1372</v>
      </c>
      <c r="W50" s="83" t="s">
        <v>3098</v>
      </c>
      <c r="X50" s="83" t="s">
        <v>3099</v>
      </c>
      <c r="Y50" s="83" t="s">
        <v>3100</v>
      </c>
      <c r="Z50" s="83"/>
      <c r="AA50" s="83" t="s">
        <v>3101</v>
      </c>
      <c r="AB50" s="83"/>
      <c r="AC50" s="83" t="s">
        <v>1373</v>
      </c>
      <c r="AD50" s="84"/>
      <c r="AE50" s="69"/>
      <c r="AF50" s="277" t="s">
        <v>852</v>
      </c>
      <c r="AG50" s="85"/>
      <c r="AH50" s="78"/>
      <c r="AJ50" s="86" t="s">
        <v>3107</v>
      </c>
      <c r="AK50" s="87" t="s">
        <v>285</v>
      </c>
      <c r="DE50" s="67"/>
      <c r="DF50" s="67"/>
      <c r="DG50" s="88"/>
      <c r="DH50" s="67"/>
    </row>
    <row r="51" spans="2:112" s="66" customFormat="1" ht="15" customHeight="1">
      <c r="B51" s="68"/>
      <c r="C51" s="68"/>
      <c r="D51" s="70">
        <v>36</v>
      </c>
      <c r="E51" s="70" t="s">
        <v>849</v>
      </c>
      <c r="F51" s="92">
        <f t="shared" si="0"/>
        <v>41813.541666666664</v>
      </c>
      <c r="G51" s="93">
        <f>'Countries and Timezone'!R37</f>
        <v>41813.541666666664</v>
      </c>
      <c r="H51" s="94" t="str">
        <f>N18</f>
        <v>Netherlands</v>
      </c>
      <c r="I51" s="69"/>
      <c r="J51" s="95"/>
      <c r="K51" s="265" t="s">
        <v>3088</v>
      </c>
      <c r="L51" s="95"/>
      <c r="M51" s="69"/>
      <c r="N51" s="69" t="str">
        <f t="shared" si="1"/>
        <v>Chile</v>
      </c>
      <c r="O51" s="78"/>
      <c r="P51" s="71"/>
      <c r="Q51" s="69"/>
      <c r="R51" s="68"/>
      <c r="S51" s="89">
        <v>1</v>
      </c>
      <c r="T51" s="262" t="str">
        <f>VLOOKUP(1,'Dummy Table'!O46:P49,2,FALSE)</f>
        <v>Germany</v>
      </c>
      <c r="U51" s="90"/>
      <c r="V51" s="91">
        <f>SUM(W51:Y51)</f>
        <v>0</v>
      </c>
      <c r="W51" s="91">
        <f>SUMIF('Dummy Table'!B$46:B$49,Tournament!T51,'Dummy Table'!C$46:C$49)</f>
        <v>0</v>
      </c>
      <c r="X51" s="91">
        <f>SUMIF('Dummy Table'!B$46:B$49,Tournament!T51,'Dummy Table'!D$46:D$49)</f>
        <v>0</v>
      </c>
      <c r="Y51" s="91">
        <f>SUMIF('Dummy Table'!B$46:B$49,Tournament!T51,'Dummy Table'!E$46:E$49)</f>
        <v>0</v>
      </c>
      <c r="Z51" s="91"/>
      <c r="AA51" s="91" t="str">
        <f>CONCATENATE(SUMIF('Dummy Table'!B$46:B$49,Tournament!T51,'Dummy Table'!F$46:F$49)," - ",SUMIF('Dummy Table'!B$46:B$49,Tournament!T51,'Dummy Table'!G$46:G$49))</f>
        <v>0 - 0</v>
      </c>
      <c r="AB51" s="91"/>
      <c r="AC51" s="91">
        <f>SUMIF('Dummy Table'!B$46:B$49,Tournament!T51,'Dummy Table'!I$46:I$49)</f>
        <v>0</v>
      </c>
      <c r="AD51" s="84"/>
      <c r="AE51" s="69"/>
      <c r="AF51" s="277"/>
      <c r="AG51" s="85"/>
      <c r="AH51" s="78"/>
      <c r="AJ51" s="86" t="str">
        <f>IF(SUM('Dummy Table'!AM$46:AM$49)&gt;0,IF(ISNA(VLOOKUP(1,'Dummy Table'!AM$46:AN$49,2,FALSE)),"",VLOOKUP(1,'Dummy Table'!AM$46:AN$49,2,FALSE)),"")</f>
        <v>Germany</v>
      </c>
      <c r="AK51" s="87"/>
      <c r="DE51" s="67"/>
      <c r="DF51" s="67"/>
      <c r="DG51" s="88"/>
      <c r="DH51" s="67"/>
    </row>
    <row r="52" spans="2:112" s="66" customFormat="1" ht="15" customHeight="1">
      <c r="B52" s="68"/>
      <c r="C52" s="68"/>
      <c r="D52" s="70">
        <v>37</v>
      </c>
      <c r="E52" s="70" t="s">
        <v>850</v>
      </c>
      <c r="F52" s="92">
        <f t="shared" si="0"/>
        <v>41814.708333333336</v>
      </c>
      <c r="G52" s="93">
        <f>'Countries and Timezone'!R38</f>
        <v>41814.708333333336</v>
      </c>
      <c r="H52" s="94" t="str">
        <f>N21</f>
        <v>Japan</v>
      </c>
      <c r="I52" s="69"/>
      <c r="J52" s="95"/>
      <c r="K52" s="265" t="s">
        <v>3088</v>
      </c>
      <c r="L52" s="95"/>
      <c r="M52" s="69"/>
      <c r="N52" s="69" t="str">
        <f t="shared" si="1"/>
        <v>Colombia</v>
      </c>
      <c r="O52" s="78"/>
      <c r="P52" s="71"/>
      <c r="Q52" s="69"/>
      <c r="R52" s="68"/>
      <c r="S52" s="68">
        <v>2</v>
      </c>
      <c r="T52" s="263" t="str">
        <f>VLOOKUP(2,'Dummy Table'!O46:P49,2,FALSE)</f>
        <v>USA</v>
      </c>
      <c r="U52" s="98"/>
      <c r="V52" s="70">
        <f>SUM(W52:Y52)</f>
        <v>0</v>
      </c>
      <c r="W52" s="70">
        <f>SUMIF('Dummy Table'!B$46:B$49,Tournament!T52,'Dummy Table'!C$46:C$49)</f>
        <v>0</v>
      </c>
      <c r="X52" s="70">
        <f>SUMIF('Dummy Table'!B$46:B$49,Tournament!T52,'Dummy Table'!D$46:D$49)</f>
        <v>0</v>
      </c>
      <c r="Y52" s="70">
        <f>SUMIF('Dummy Table'!B$46:B$49,Tournament!T52,'Dummy Table'!E$46:E$49)</f>
        <v>0</v>
      </c>
      <c r="Z52" s="70"/>
      <c r="AA52" s="70" t="str">
        <f>CONCATENATE(SUMIF('Dummy Table'!B$46:B$49,Tournament!T52,'Dummy Table'!F$46:F$49)," - ",SUMIF('Dummy Table'!B$46:B$49,Tournament!T52,'Dummy Table'!G$46:G$49))</f>
        <v>0 - 0</v>
      </c>
      <c r="AB52" s="70"/>
      <c r="AC52" s="70">
        <f>SUMIF('Dummy Table'!B$46:B$49,Tournament!T52,'Dummy Table'!I$46:I$49)</f>
        <v>0</v>
      </c>
      <c r="AD52" s="78"/>
      <c r="AE52" s="69"/>
      <c r="AF52" s="277"/>
      <c r="AG52" s="85"/>
      <c r="AH52" s="78"/>
      <c r="AJ52" s="86" t="str">
        <f>IF(SUM('Dummy Table'!AM$46:AM$49)&gt;0,IF(ISNA(VLOOKUP(2,'Dummy Table'!AM$46:AN$49,2,FALSE)),"",VLOOKUP(2,'Dummy Table'!AM$46:AN$49,2,FALSE)),"")</f>
        <v>USA</v>
      </c>
      <c r="AK52" s="87"/>
      <c r="DE52" s="67"/>
      <c r="DF52" s="67"/>
      <c r="DG52" s="88"/>
      <c r="DH52" s="67"/>
    </row>
    <row r="53" spans="2:112" s="66" customFormat="1" ht="15" customHeight="1">
      <c r="B53" s="68"/>
      <c r="C53" s="68"/>
      <c r="D53" s="70">
        <v>38</v>
      </c>
      <c r="E53" s="70" t="s">
        <v>850</v>
      </c>
      <c r="F53" s="92">
        <f t="shared" si="0"/>
        <v>41814.708333333336</v>
      </c>
      <c r="G53" s="93">
        <f>'Countries and Timezone'!R39</f>
        <v>41814.708333333336</v>
      </c>
      <c r="H53" s="94" t="str">
        <f>N20</f>
        <v>Greece</v>
      </c>
      <c r="I53" s="69"/>
      <c r="J53" s="95"/>
      <c r="K53" s="265" t="s">
        <v>3088</v>
      </c>
      <c r="L53" s="95"/>
      <c r="M53" s="69"/>
      <c r="N53" s="69" t="str">
        <f t="shared" si="1"/>
        <v>Ivory Coast</v>
      </c>
      <c r="O53" s="78"/>
      <c r="P53" s="71"/>
      <c r="Q53" s="69"/>
      <c r="R53" s="68"/>
      <c r="S53" s="68">
        <v>3</v>
      </c>
      <c r="T53" s="263" t="str">
        <f>VLOOKUP(3,'Dummy Table'!O46:P49,2,FALSE)</f>
        <v>Portugal</v>
      </c>
      <c r="U53" s="98"/>
      <c r="V53" s="70">
        <f>SUM(W53:Y53)</f>
        <v>0</v>
      </c>
      <c r="W53" s="70">
        <f>SUMIF('Dummy Table'!B$46:B$49,Tournament!T53,'Dummy Table'!C$46:C$49)</f>
        <v>0</v>
      </c>
      <c r="X53" s="70">
        <f>SUMIF('Dummy Table'!B$46:B$49,Tournament!T53,'Dummy Table'!D$46:D$49)</f>
        <v>0</v>
      </c>
      <c r="Y53" s="70">
        <f>SUMIF('Dummy Table'!B$46:B$49,Tournament!T53,'Dummy Table'!E$46:E$49)</f>
        <v>0</v>
      </c>
      <c r="Z53" s="70"/>
      <c r="AA53" s="70" t="str">
        <f>CONCATENATE(SUMIF('Dummy Table'!B$46:B$49,Tournament!T53,'Dummy Table'!F$46:F$49)," - ",SUMIF('Dummy Table'!B$46:B$49,Tournament!T53,'Dummy Table'!G$46:G$49))</f>
        <v>0 - 0</v>
      </c>
      <c r="AB53" s="70"/>
      <c r="AC53" s="70">
        <f>SUMIF('Dummy Table'!B$46:B$49,Tournament!T53,'Dummy Table'!I$46:I$49)</f>
        <v>0</v>
      </c>
      <c r="AD53" s="78"/>
      <c r="AE53" s="69"/>
      <c r="AF53" s="277"/>
      <c r="AG53" s="85"/>
      <c r="AH53" s="78"/>
      <c r="AJ53" s="86" t="str">
        <f>IF(SUM('Dummy Table'!AM$46:AM$49)&gt;0,IF(ISNA(VLOOKUP(3,'Dummy Table'!AM$46:AN$49,2,FALSE)),"",VLOOKUP(3,'Dummy Table'!AM$46:AN$49,2,FALSE)),"")</f>
        <v>Portugal</v>
      </c>
      <c r="AK53" s="87"/>
      <c r="DE53" s="67"/>
      <c r="DF53" s="67"/>
      <c r="DG53" s="88"/>
      <c r="DH53" s="67"/>
    </row>
    <row r="54" spans="2:112" s="66" customFormat="1" ht="15" customHeight="1">
      <c r="B54" s="68"/>
      <c r="C54" s="68"/>
      <c r="D54" s="70">
        <v>39</v>
      </c>
      <c r="E54" s="70" t="s">
        <v>3099</v>
      </c>
      <c r="F54" s="92">
        <f t="shared" si="0"/>
        <v>41814.541666666664</v>
      </c>
      <c r="G54" s="93">
        <f>'Countries and Timezone'!R40</f>
        <v>41814.541666666664</v>
      </c>
      <c r="H54" s="94" t="str">
        <f>N23</f>
        <v>Italy</v>
      </c>
      <c r="I54" s="69"/>
      <c r="J54" s="95"/>
      <c r="K54" s="265" t="s">
        <v>3088</v>
      </c>
      <c r="L54" s="95"/>
      <c r="M54" s="69"/>
      <c r="N54" s="69" t="str">
        <f t="shared" si="1"/>
        <v>Uruguay</v>
      </c>
      <c r="O54" s="78"/>
      <c r="P54" s="71"/>
      <c r="Q54" s="69"/>
      <c r="R54" s="68"/>
      <c r="S54" s="99">
        <v>4</v>
      </c>
      <c r="T54" s="264" t="str">
        <f>VLOOKUP(4,'Dummy Table'!O46:P49,2,FALSE)</f>
        <v>Ghana</v>
      </c>
      <c r="U54" s="100"/>
      <c r="V54" s="101">
        <f>SUM(W54:Y54)</f>
        <v>0</v>
      </c>
      <c r="W54" s="101">
        <f>SUMIF('Dummy Table'!B$46:B$49,Tournament!T54,'Dummy Table'!C$46:C$49)</f>
        <v>0</v>
      </c>
      <c r="X54" s="101">
        <f>SUMIF('Dummy Table'!B$46:B$49,Tournament!T54,'Dummy Table'!D$46:D$49)</f>
        <v>0</v>
      </c>
      <c r="Y54" s="101">
        <f>SUMIF('Dummy Table'!B$46:B$49,Tournament!T54,'Dummy Table'!E$46:E$49)</f>
        <v>0</v>
      </c>
      <c r="Z54" s="101"/>
      <c r="AA54" s="101" t="str">
        <f>CONCATENATE(SUMIF('Dummy Table'!B$46:B$49,Tournament!T54,'Dummy Table'!F$46:F$49)," - ",SUMIF('Dummy Table'!B$46:B$49,Tournament!T54,'Dummy Table'!G$46:G$49))</f>
        <v>0 - 0</v>
      </c>
      <c r="AB54" s="101"/>
      <c r="AC54" s="101">
        <f>SUMIF('Dummy Table'!B$46:B$49,Tournament!T54,'Dummy Table'!I$46:I$49)</f>
        <v>0</v>
      </c>
      <c r="AD54" s="102"/>
      <c r="AE54" s="69"/>
      <c r="AF54" s="277"/>
      <c r="AG54" s="85"/>
      <c r="AH54" s="78"/>
      <c r="AJ54" s="86" t="str">
        <f>IF(SUM('Dummy Table'!AM$46:AM$49)&gt;0,IF(ISNA(VLOOKUP(4,'Dummy Table'!AM$46:AN$49,2,FALSE)),"",VLOOKUP(4,'Dummy Table'!AM$46:AN$49,2,FALSE)),"")</f>
        <v>Ghana</v>
      </c>
      <c r="AK54" s="87"/>
      <c r="DE54" s="67"/>
      <c r="DF54" s="67"/>
      <c r="DG54" s="88"/>
      <c r="DH54" s="67"/>
    </row>
    <row r="55" spans="2:112" s="66" customFormat="1" ht="15" customHeight="1">
      <c r="B55" s="68"/>
      <c r="C55" s="68"/>
      <c r="D55" s="70">
        <v>40</v>
      </c>
      <c r="E55" s="70" t="s">
        <v>3099</v>
      </c>
      <c r="F55" s="92">
        <f t="shared" si="0"/>
        <v>41814.541666666664</v>
      </c>
      <c r="G55" s="93">
        <f>'Countries and Timezone'!R41</f>
        <v>41814.541666666664</v>
      </c>
      <c r="H55" s="94" t="str">
        <f>N22</f>
        <v>Costa Rica</v>
      </c>
      <c r="I55" s="69"/>
      <c r="J55" s="95"/>
      <c r="K55" s="265" t="s">
        <v>3088</v>
      </c>
      <c r="L55" s="95"/>
      <c r="M55" s="69"/>
      <c r="N55" s="69" t="str">
        <f t="shared" si="1"/>
        <v>England</v>
      </c>
      <c r="O55" s="78"/>
      <c r="P55" s="71"/>
      <c r="Q55" s="69"/>
      <c r="R55" s="68"/>
      <c r="S55" s="103"/>
      <c r="T55" s="98"/>
      <c r="U55" s="98"/>
      <c r="V55" s="69"/>
      <c r="W55" s="69"/>
      <c r="X55" s="69"/>
      <c r="Y55" s="69"/>
      <c r="Z55" s="69"/>
      <c r="AA55" s="69"/>
      <c r="AB55" s="69"/>
      <c r="AC55" s="69"/>
      <c r="AD55" s="69"/>
      <c r="AE55" s="69"/>
      <c r="AF55" s="69"/>
      <c r="AG55" s="85"/>
      <c r="AH55" s="78"/>
      <c r="AJ55" s="111"/>
      <c r="AK55" s="110"/>
      <c r="DE55" s="67"/>
      <c r="DF55" s="67"/>
      <c r="DG55" s="88"/>
      <c r="DH55" s="67"/>
    </row>
    <row r="56" spans="2:112" s="66" customFormat="1" ht="15" customHeight="1">
      <c r="B56" s="68"/>
      <c r="C56" s="68"/>
      <c r="D56" s="70">
        <v>41</v>
      </c>
      <c r="E56" s="70" t="s">
        <v>851</v>
      </c>
      <c r="F56" s="92">
        <f t="shared" si="0"/>
        <v>41815.708333333336</v>
      </c>
      <c r="G56" s="93">
        <f>'Countries and Timezone'!R42</f>
        <v>41815.708333333336</v>
      </c>
      <c r="H56" s="94" t="str">
        <f>N25</f>
        <v>Honduras</v>
      </c>
      <c r="I56" s="69"/>
      <c r="J56" s="95"/>
      <c r="K56" s="265" t="s">
        <v>3088</v>
      </c>
      <c r="L56" s="95"/>
      <c r="M56" s="69"/>
      <c r="N56" s="69" t="str">
        <f t="shared" si="1"/>
        <v>Switzerland</v>
      </c>
      <c r="O56" s="78"/>
      <c r="P56" s="71"/>
      <c r="Q56" s="69"/>
      <c r="R56" s="68"/>
      <c r="S56" s="82" t="str">
        <f>INDEX(Language!$A$1:$AV$115,MATCH("Group H",Language!$B$1:$B$115,0),MATCH(Tournament!$G$4,Language!$A$1:$AU$1,0))</f>
        <v>Group H</v>
      </c>
      <c r="T56" s="83"/>
      <c r="U56" s="83"/>
      <c r="V56" s="83" t="s">
        <v>1372</v>
      </c>
      <c r="W56" s="83" t="s">
        <v>3098</v>
      </c>
      <c r="X56" s="83" t="s">
        <v>3099</v>
      </c>
      <c r="Y56" s="83" t="s">
        <v>3100</v>
      </c>
      <c r="Z56" s="83"/>
      <c r="AA56" s="83" t="s">
        <v>3101</v>
      </c>
      <c r="AB56" s="83"/>
      <c r="AC56" s="83" t="s">
        <v>1373</v>
      </c>
      <c r="AD56" s="84"/>
      <c r="AE56" s="69"/>
      <c r="AF56" s="277" t="s">
        <v>853</v>
      </c>
      <c r="AG56" s="85"/>
      <c r="AH56" s="78"/>
      <c r="AJ56" s="86" t="s">
        <v>3107</v>
      </c>
      <c r="AK56" s="87" t="s">
        <v>285</v>
      </c>
      <c r="DE56" s="67"/>
      <c r="DF56" s="67"/>
      <c r="DG56" s="88"/>
      <c r="DH56" s="67"/>
    </row>
    <row r="57" spans="2:112" s="66" customFormat="1" ht="15" customHeight="1">
      <c r="B57" s="68"/>
      <c r="C57" s="68"/>
      <c r="D57" s="70">
        <v>42</v>
      </c>
      <c r="E57" s="70" t="s">
        <v>851</v>
      </c>
      <c r="F57" s="92">
        <f t="shared" si="0"/>
        <v>41815.708333333336</v>
      </c>
      <c r="G57" s="93">
        <f>'Countries and Timezone'!R43</f>
        <v>41815.708333333336</v>
      </c>
      <c r="H57" s="94" t="str">
        <f>N24</f>
        <v>Ecuador</v>
      </c>
      <c r="I57" s="69"/>
      <c r="J57" s="95"/>
      <c r="K57" s="265" t="s">
        <v>3088</v>
      </c>
      <c r="L57" s="95"/>
      <c r="M57" s="69"/>
      <c r="N57" s="69" t="str">
        <f t="shared" si="1"/>
        <v>France</v>
      </c>
      <c r="O57" s="78"/>
      <c r="P57" s="71"/>
      <c r="Q57" s="69"/>
      <c r="R57" s="68"/>
      <c r="S57" s="89">
        <v>1</v>
      </c>
      <c r="T57" s="262" t="str">
        <f>VLOOKUP(1,'Dummy Table'!O53:P56,2,FALSE)</f>
        <v>Belgium</v>
      </c>
      <c r="U57" s="90"/>
      <c r="V57" s="91">
        <f>SUM(W57:Y57)</f>
        <v>0</v>
      </c>
      <c r="W57" s="91">
        <f>SUMIF('Dummy Table'!B$53:B$56,Tournament!T57,'Dummy Table'!C$53:C$56)</f>
        <v>0</v>
      </c>
      <c r="X57" s="91">
        <f>SUMIF('Dummy Table'!B$53:B$56,Tournament!T57,'Dummy Table'!D$53:D$56)</f>
        <v>0</v>
      </c>
      <c r="Y57" s="91">
        <f>SUMIF('Dummy Table'!B$53:B$56,Tournament!T57,'Dummy Table'!E$53:E$56)</f>
        <v>0</v>
      </c>
      <c r="Z57" s="91"/>
      <c r="AA57" s="91" t="str">
        <f>CONCATENATE(SUMIF('Dummy Table'!B$53:B$56,Tournament!T57,'Dummy Table'!F$53:F$56)," - ",SUMIF('Dummy Table'!B$53:B$56,Tournament!T57,'Dummy Table'!G$53:G$56))</f>
        <v>0 - 0</v>
      </c>
      <c r="AB57" s="91"/>
      <c r="AC57" s="91">
        <f>SUMIF('Dummy Table'!B$53:B$56,Tournament!T57,'Dummy Table'!I$53:I$56)</f>
        <v>0</v>
      </c>
      <c r="AD57" s="84"/>
      <c r="AE57" s="69"/>
      <c r="AF57" s="277"/>
      <c r="AG57" s="85"/>
      <c r="AH57" s="78"/>
      <c r="AJ57" s="86" t="str">
        <f>IF(SUM('Dummy Table'!AM$53:AM$56)&gt;0,IF(ISNA(VLOOKUP(1,'Dummy Table'!AM$53:AN$56,2,FALSE)),"",VLOOKUP(1,'Dummy Table'!AM$53:AN$56,2,FALSE)),"")</f>
        <v>Belgium</v>
      </c>
      <c r="AK57" s="87"/>
      <c r="DE57" s="67"/>
      <c r="DF57" s="67"/>
      <c r="DG57" s="88"/>
      <c r="DH57" s="67"/>
    </row>
    <row r="58" spans="2:112" s="66" customFormat="1" ht="15" customHeight="1">
      <c r="B58" s="68"/>
      <c r="C58" s="68"/>
      <c r="D58" s="70">
        <v>43</v>
      </c>
      <c r="E58" s="70" t="s">
        <v>3105</v>
      </c>
      <c r="F58" s="92">
        <f t="shared" si="0"/>
        <v>41815.541666666664</v>
      </c>
      <c r="G58" s="93">
        <f>'Countries and Timezone'!R44</f>
        <v>41815.541666666664</v>
      </c>
      <c r="H58" s="94" t="str">
        <f>N27</f>
        <v>Nigeria</v>
      </c>
      <c r="I58" s="69"/>
      <c r="J58" s="95"/>
      <c r="K58" s="265" t="s">
        <v>3088</v>
      </c>
      <c r="L58" s="95"/>
      <c r="M58" s="69"/>
      <c r="N58" s="69" t="str">
        <f t="shared" si="1"/>
        <v>Argentina</v>
      </c>
      <c r="O58" s="78"/>
      <c r="P58" s="71"/>
      <c r="Q58" s="69"/>
      <c r="R58" s="68"/>
      <c r="S58" s="68">
        <v>2</v>
      </c>
      <c r="T58" s="263" t="str">
        <f>VLOOKUP(2,'Dummy Table'!O53:P56,2,FALSE)</f>
        <v>Russia</v>
      </c>
      <c r="U58" s="98"/>
      <c r="V58" s="70">
        <f>SUM(W58:Y58)</f>
        <v>0</v>
      </c>
      <c r="W58" s="70">
        <f>SUMIF('Dummy Table'!B$53:B$56,Tournament!T58,'Dummy Table'!C$53:C$56)</f>
        <v>0</v>
      </c>
      <c r="X58" s="70">
        <f>SUMIF('Dummy Table'!B$53:B$56,Tournament!T58,'Dummy Table'!D$53:D$56)</f>
        <v>0</v>
      </c>
      <c r="Y58" s="70">
        <f>SUMIF('Dummy Table'!B$53:B$56,Tournament!T58,'Dummy Table'!E$53:E$56)</f>
        <v>0</v>
      </c>
      <c r="Z58" s="70"/>
      <c r="AA58" s="70" t="str">
        <f>CONCATENATE(SUMIF('Dummy Table'!B$53:B$56,Tournament!T58,'Dummy Table'!F$53:F$56)," - ",SUMIF('Dummy Table'!B$53:B$56,Tournament!T58,'Dummy Table'!G$53:G$56))</f>
        <v>0 - 0</v>
      </c>
      <c r="AB58" s="70"/>
      <c r="AC58" s="70">
        <f>SUMIF('Dummy Table'!B$53:B$56,Tournament!T58,'Dummy Table'!I$53:I$56)</f>
        <v>0</v>
      </c>
      <c r="AD58" s="78"/>
      <c r="AE58" s="69"/>
      <c r="AF58" s="277"/>
      <c r="AG58" s="85"/>
      <c r="AH58" s="78"/>
      <c r="AJ58" s="86" t="str">
        <f>IF(SUM('Dummy Table'!AM$53:AM$56)&gt;0,IF(ISNA(VLOOKUP(2,'Dummy Table'!AM$53:AN$56,2,FALSE)),"",VLOOKUP(2,'Dummy Table'!AM$53:AN$56,2,FALSE)),"")</f>
        <v>Russia</v>
      </c>
      <c r="AK58" s="87"/>
      <c r="DE58" s="67"/>
      <c r="DF58" s="67"/>
      <c r="DG58" s="88"/>
      <c r="DH58" s="67"/>
    </row>
    <row r="59" spans="2:112" s="66" customFormat="1" ht="15" customHeight="1">
      <c r="B59" s="68"/>
      <c r="C59" s="68"/>
      <c r="D59" s="70">
        <v>44</v>
      </c>
      <c r="E59" s="70" t="s">
        <v>3105</v>
      </c>
      <c r="F59" s="92">
        <f t="shared" si="0"/>
        <v>41815.541666666664</v>
      </c>
      <c r="G59" s="93">
        <f>'Countries and Timezone'!R45</f>
        <v>41815.541666666664</v>
      </c>
      <c r="H59" s="94" t="str">
        <f>N26</f>
        <v>Bosnia-Herzegovina</v>
      </c>
      <c r="I59" s="69"/>
      <c r="J59" s="95"/>
      <c r="K59" s="265" t="s">
        <v>3088</v>
      </c>
      <c r="L59" s="95"/>
      <c r="M59" s="69"/>
      <c r="N59" s="69" t="str">
        <f t="shared" si="1"/>
        <v>Iran</v>
      </c>
      <c r="O59" s="78"/>
      <c r="P59" s="71"/>
      <c r="Q59" s="69"/>
      <c r="R59" s="68"/>
      <c r="S59" s="68">
        <v>3</v>
      </c>
      <c r="T59" s="263" t="str">
        <f>VLOOKUP(3,'Dummy Table'!O53:P56,2,FALSE)</f>
        <v>Algeria</v>
      </c>
      <c r="U59" s="98"/>
      <c r="V59" s="70">
        <f>SUM(W59:Y59)</f>
        <v>0</v>
      </c>
      <c r="W59" s="70">
        <f>SUMIF('Dummy Table'!B$53:B$56,Tournament!T59,'Dummy Table'!C$53:C$56)</f>
        <v>0</v>
      </c>
      <c r="X59" s="70">
        <f>SUMIF('Dummy Table'!B$53:B$56,Tournament!T59,'Dummy Table'!D$53:D$56)</f>
        <v>0</v>
      </c>
      <c r="Y59" s="70">
        <f>SUMIF('Dummy Table'!B$53:B$56,Tournament!T59,'Dummy Table'!E$53:E$56)</f>
        <v>0</v>
      </c>
      <c r="Z59" s="70"/>
      <c r="AA59" s="70" t="str">
        <f>CONCATENATE(SUMIF('Dummy Table'!B$53:B$56,Tournament!T59,'Dummy Table'!F$53:F$56)," - ",SUMIF('Dummy Table'!B$53:B$56,Tournament!T59,'Dummy Table'!G$53:G$56))</f>
        <v>0 - 0</v>
      </c>
      <c r="AB59" s="70"/>
      <c r="AC59" s="70">
        <f>SUMIF('Dummy Table'!B$53:B$56,Tournament!T59,'Dummy Table'!I$53:I$56)</f>
        <v>0</v>
      </c>
      <c r="AD59" s="78"/>
      <c r="AE59" s="69"/>
      <c r="AF59" s="277"/>
      <c r="AG59" s="85"/>
      <c r="AH59" s="78"/>
      <c r="AJ59" s="86" t="str">
        <f>IF(SUM('Dummy Table'!AM$53:AM$56)&gt;0,IF(ISNA(VLOOKUP(3,'Dummy Table'!AM$53:AN$56,2,FALSE)),"",VLOOKUP(3,'Dummy Table'!AM$53:AN$56,2,FALSE)),"")</f>
        <v>Algeria</v>
      </c>
      <c r="AK59" s="87"/>
      <c r="DE59" s="67"/>
      <c r="DF59" s="67"/>
      <c r="DG59" s="88"/>
      <c r="DH59" s="67"/>
    </row>
    <row r="60" spans="2:112" s="66" customFormat="1" ht="15" customHeight="1">
      <c r="B60" s="68"/>
      <c r="C60" s="68"/>
      <c r="D60" s="70">
        <v>45</v>
      </c>
      <c r="E60" s="70" t="s">
        <v>852</v>
      </c>
      <c r="F60" s="92">
        <f t="shared" si="0"/>
        <v>41816.541666666664</v>
      </c>
      <c r="G60" s="93">
        <f>'Countries and Timezone'!R46</f>
        <v>41816.541666666664</v>
      </c>
      <c r="H60" s="94" t="str">
        <f>N29</f>
        <v>USA</v>
      </c>
      <c r="I60" s="69"/>
      <c r="J60" s="95"/>
      <c r="K60" s="265" t="s">
        <v>3088</v>
      </c>
      <c r="L60" s="95"/>
      <c r="M60" s="69"/>
      <c r="N60" s="69" t="str">
        <f t="shared" si="1"/>
        <v>Germany</v>
      </c>
      <c r="O60" s="78"/>
      <c r="P60" s="71"/>
      <c r="Q60" s="69"/>
      <c r="R60" s="68"/>
      <c r="S60" s="99">
        <v>4</v>
      </c>
      <c r="T60" s="264" t="str">
        <f>VLOOKUP(4,'Dummy Table'!O53:P56,2,FALSE)</f>
        <v>South Korea</v>
      </c>
      <c r="U60" s="100"/>
      <c r="V60" s="101">
        <f>SUM(W60:Y60)</f>
        <v>0</v>
      </c>
      <c r="W60" s="101">
        <f>SUMIF('Dummy Table'!B$53:B$56,Tournament!T60,'Dummy Table'!C$53:C$56)</f>
        <v>0</v>
      </c>
      <c r="X60" s="101">
        <f>SUMIF('Dummy Table'!B$53:B$56,Tournament!T60,'Dummy Table'!D$53:D$56)</f>
        <v>0</v>
      </c>
      <c r="Y60" s="101">
        <f>SUMIF('Dummy Table'!B$53:B$56,Tournament!T60,'Dummy Table'!E$53:E$56)</f>
        <v>0</v>
      </c>
      <c r="Z60" s="101"/>
      <c r="AA60" s="101" t="str">
        <f>CONCATENATE(SUMIF('Dummy Table'!B$53:B$56,Tournament!T60,'Dummy Table'!F$53:F$56)," - ",SUMIF('Dummy Table'!B$53:B$56,Tournament!T60,'Dummy Table'!G$53:G$56))</f>
        <v>0 - 0</v>
      </c>
      <c r="AB60" s="101"/>
      <c r="AC60" s="101">
        <f>SUMIF('Dummy Table'!B$53:B$56,Tournament!T60,'Dummy Table'!I$53:I$56)</f>
        <v>0</v>
      </c>
      <c r="AD60" s="102"/>
      <c r="AE60" s="69"/>
      <c r="AF60" s="277"/>
      <c r="AG60" s="85"/>
      <c r="AH60" s="78"/>
      <c r="AJ60" s="86" t="str">
        <f>IF(SUM('Dummy Table'!AM$53:AM$56)&gt;0,IF(ISNA(VLOOKUP(4,'Dummy Table'!AM$53:AN$56,2,FALSE)),"",VLOOKUP(4,'Dummy Table'!AM$53:AN$56,2,FALSE)),"")</f>
        <v>South Korea</v>
      </c>
      <c r="AK60" s="87"/>
      <c r="DE60" s="67"/>
      <c r="DF60" s="67"/>
      <c r="DG60" s="88"/>
      <c r="DH60" s="67"/>
    </row>
    <row r="61" spans="2:112" s="66" customFormat="1" ht="15" customHeight="1">
      <c r="B61" s="68"/>
      <c r="C61" s="68"/>
      <c r="D61" s="70">
        <v>46</v>
      </c>
      <c r="E61" s="70" t="s">
        <v>852</v>
      </c>
      <c r="F61" s="92">
        <f t="shared" si="0"/>
        <v>41816.541666666664</v>
      </c>
      <c r="G61" s="93">
        <f>'Countries and Timezone'!R47</f>
        <v>41816.541666666664</v>
      </c>
      <c r="H61" s="94" t="str">
        <f>N28</f>
        <v>Portugal</v>
      </c>
      <c r="I61" s="69"/>
      <c r="J61" s="95"/>
      <c r="K61" s="265" t="s">
        <v>3088</v>
      </c>
      <c r="L61" s="95"/>
      <c r="M61" s="69"/>
      <c r="N61" s="69" t="str">
        <f t="shared" si="1"/>
        <v>Ghana</v>
      </c>
      <c r="O61" s="78"/>
      <c r="P61" s="71"/>
      <c r="Q61" s="69"/>
      <c r="R61" s="68"/>
      <c r="S61" s="69"/>
      <c r="T61" s="69"/>
      <c r="U61" s="69"/>
      <c r="V61" s="69"/>
      <c r="W61" s="69"/>
      <c r="X61" s="69"/>
      <c r="Y61" s="69"/>
      <c r="Z61" s="69"/>
      <c r="AA61" s="69"/>
      <c r="AB61" s="69"/>
      <c r="AC61" s="69"/>
      <c r="AD61" s="72"/>
      <c r="AE61" s="72"/>
      <c r="AF61" s="69"/>
      <c r="AG61" s="112"/>
      <c r="AH61" s="80"/>
      <c r="AI61" s="74"/>
      <c r="DC61" s="67"/>
      <c r="DD61" s="67"/>
      <c r="DE61" s="88"/>
      <c r="DF61" s="67"/>
    </row>
    <row r="62" spans="2:112" s="66" customFormat="1" ht="15" customHeight="1">
      <c r="B62" s="68"/>
      <c r="C62" s="68"/>
      <c r="D62" s="70">
        <v>47</v>
      </c>
      <c r="E62" s="70" t="s">
        <v>853</v>
      </c>
      <c r="F62" s="92">
        <f t="shared" si="0"/>
        <v>41816.708333333336</v>
      </c>
      <c r="G62" s="93">
        <f>'Countries and Timezone'!R48</f>
        <v>41816.708333333336</v>
      </c>
      <c r="H62" s="94" t="str">
        <f>N31</f>
        <v>South Korea</v>
      </c>
      <c r="I62" s="69"/>
      <c r="J62" s="95"/>
      <c r="K62" s="265" t="s">
        <v>3088</v>
      </c>
      <c r="L62" s="95"/>
      <c r="M62" s="69"/>
      <c r="N62" s="69" t="str">
        <f t="shared" si="1"/>
        <v>Belgium</v>
      </c>
      <c r="O62" s="78"/>
      <c r="P62" s="71"/>
      <c r="Q62" s="69"/>
      <c r="R62" s="113"/>
      <c r="S62" s="114" t="s">
        <v>463</v>
      </c>
      <c r="T62" s="115" t="str">
        <f>INDEX(Language!$A$1:$AV$115,MATCH("Played",Language!$B$1:$B$115,0),MATCH($G$4,Language!$A$1:$AU$1,0))</f>
        <v>Played</v>
      </c>
      <c r="V62" s="114" t="s">
        <v>466</v>
      </c>
      <c r="W62" s="115" t="str">
        <f>INDEX(Language!$A$1:$AV$115,MATCH("Lose",Language!$B$1:$B$115,0),MATCH($G$4,Language!$A$1:$AU$1,0))</f>
        <v>Lose</v>
      </c>
      <c r="Z62" s="115"/>
      <c r="AB62" s="115" t="s">
        <v>469</v>
      </c>
      <c r="AC62" s="115" t="str">
        <f>INDEX(Language!$A$1:$AV$115,MATCH("Point",Language!$B$1:$B$115,0),MATCH($G$4,Language!$A$1:$AU$1,0))</f>
        <v>Point</v>
      </c>
      <c r="AD62" s="72"/>
      <c r="AE62" s="69"/>
      <c r="AF62" s="79"/>
      <c r="AG62" s="80"/>
      <c r="AH62" s="78"/>
      <c r="DB62" s="67"/>
      <c r="DC62" s="67"/>
      <c r="DD62" s="88"/>
      <c r="DE62" s="67"/>
    </row>
    <row r="63" spans="2:112" s="66" customFormat="1" ht="15" customHeight="1">
      <c r="B63" s="68"/>
      <c r="C63" s="68"/>
      <c r="D63" s="70">
        <v>48</v>
      </c>
      <c r="E63" s="70" t="s">
        <v>853</v>
      </c>
      <c r="F63" s="92">
        <f t="shared" si="0"/>
        <v>41816.708333333336</v>
      </c>
      <c r="G63" s="93">
        <f>'Countries and Timezone'!R49</f>
        <v>41816.708333333336</v>
      </c>
      <c r="H63" s="94" t="str">
        <f>N30</f>
        <v>Algeria</v>
      </c>
      <c r="I63" s="69"/>
      <c r="J63" s="95"/>
      <c r="K63" s="265" t="s">
        <v>3088</v>
      </c>
      <c r="L63" s="95"/>
      <c r="M63" s="69"/>
      <c r="N63" s="69" t="str">
        <f t="shared" si="1"/>
        <v>Russia</v>
      </c>
      <c r="O63" s="78"/>
      <c r="P63" s="71"/>
      <c r="Q63" s="69"/>
      <c r="R63" s="113"/>
      <c r="S63" s="114" t="s">
        <v>464</v>
      </c>
      <c r="T63" s="115" t="str">
        <f>INDEX(Language!$A$1:$AV$115,MATCH("Win",Language!$B$1:$B$115,0),MATCH($G$4,Language!$A$1:$AU$1,0))</f>
        <v>Win</v>
      </c>
      <c r="V63" s="114" t="s">
        <v>467</v>
      </c>
      <c r="W63" s="115" t="str">
        <f>INDEX(Language!$A$1:$AV$115,MATCH("Goal scored for",Language!$B$1:$B$115,0),MATCH($G$4,Language!$A$1:$AU$1,0))</f>
        <v>Goal scored for</v>
      </c>
      <c r="X63" s="115"/>
      <c r="Y63" s="115"/>
      <c r="Z63" s="115"/>
      <c r="AA63" s="115"/>
      <c r="AB63" s="115"/>
      <c r="AC63" s="72"/>
      <c r="AD63" s="69"/>
      <c r="AE63" s="69"/>
      <c r="AF63" s="79"/>
      <c r="AG63" s="80"/>
      <c r="AH63" s="78"/>
      <c r="DB63" s="67"/>
      <c r="DC63" s="67"/>
      <c r="DD63" s="88"/>
      <c r="DE63" s="67"/>
    </row>
    <row r="64" spans="2:112" s="66" customFormat="1" ht="15" customHeight="1">
      <c r="B64" s="68"/>
      <c r="C64" s="99"/>
      <c r="D64" s="116"/>
      <c r="E64" s="116"/>
      <c r="F64" s="116"/>
      <c r="G64" s="116"/>
      <c r="H64" s="116"/>
      <c r="I64" s="116"/>
      <c r="J64" s="116"/>
      <c r="K64" s="101"/>
      <c r="L64" s="116"/>
      <c r="M64" s="116"/>
      <c r="N64" s="116"/>
      <c r="O64" s="102"/>
      <c r="P64" s="71"/>
      <c r="Q64" s="69"/>
      <c r="R64" s="117"/>
      <c r="S64" s="118" t="s">
        <v>465</v>
      </c>
      <c r="T64" s="119" t="str">
        <f>INDEX(Language!$A$1:$AV$115,MATCH("Draw",Language!$B$1:$B$115,0),MATCH($G$4,Language!$A$1:$AU$1,0))</f>
        <v>Draw</v>
      </c>
      <c r="U64" s="116"/>
      <c r="V64" s="118" t="s">
        <v>468</v>
      </c>
      <c r="W64" s="119" t="str">
        <f>INDEX(Language!$A$1:$AV$115,MATCH("Goal scored against",Language!$B$1:$B$115,0),MATCH($G$4,Language!$A$1:$AU$1,0))</f>
        <v>Goal scored against</v>
      </c>
      <c r="X64" s="119"/>
      <c r="Y64" s="119"/>
      <c r="Z64" s="119"/>
      <c r="AA64" s="119"/>
      <c r="AB64" s="119"/>
      <c r="AC64" s="120"/>
      <c r="AD64" s="116"/>
      <c r="AE64" s="116"/>
      <c r="AF64" s="121"/>
      <c r="AG64" s="122"/>
      <c r="AH64" s="78"/>
      <c r="DB64" s="67"/>
      <c r="DC64" s="67"/>
      <c r="DD64" s="88"/>
      <c r="DE64" s="67"/>
    </row>
    <row r="65" spans="2:112" s="66" customFormat="1" ht="15" customHeight="1">
      <c r="B65" s="99"/>
      <c r="C65" s="116"/>
      <c r="D65" s="116"/>
      <c r="E65" s="116"/>
      <c r="F65" s="116"/>
      <c r="G65" s="116"/>
      <c r="H65" s="116"/>
      <c r="I65" s="116"/>
      <c r="J65" s="116"/>
      <c r="K65" s="101"/>
      <c r="L65" s="116"/>
      <c r="M65" s="116"/>
      <c r="N65" s="116"/>
      <c r="O65" s="116"/>
      <c r="P65" s="116"/>
      <c r="Q65" s="116"/>
      <c r="R65" s="116"/>
      <c r="S65" s="116"/>
      <c r="T65" s="116"/>
      <c r="U65" s="116"/>
      <c r="V65" s="116"/>
      <c r="W65" s="116"/>
      <c r="X65" s="116"/>
      <c r="Y65" s="116"/>
      <c r="Z65" s="116"/>
      <c r="AA65" s="116"/>
      <c r="AB65" s="116"/>
      <c r="AC65" s="120"/>
      <c r="AD65" s="123"/>
      <c r="AE65" s="116"/>
      <c r="AF65" s="121"/>
      <c r="AG65" s="101"/>
      <c r="AH65" s="102"/>
      <c r="DB65" s="67"/>
      <c r="DC65" s="67"/>
      <c r="DD65" s="88"/>
      <c r="DE65" s="67"/>
    </row>
    <row r="66" spans="2:112" s="66" customFormat="1" ht="15" customHeight="1">
      <c r="B66" s="89"/>
      <c r="C66" s="69"/>
      <c r="D66" s="69"/>
      <c r="E66" s="69"/>
      <c r="F66" s="69"/>
      <c r="G66" s="69"/>
      <c r="H66" s="69"/>
      <c r="I66" s="69"/>
      <c r="J66" s="69"/>
      <c r="K66" s="70"/>
      <c r="L66" s="69"/>
      <c r="M66" s="69"/>
      <c r="N66" s="69"/>
      <c r="O66" s="69"/>
      <c r="P66" s="69"/>
      <c r="Q66" s="69"/>
      <c r="R66" s="69"/>
      <c r="S66" s="69"/>
      <c r="T66" s="69"/>
      <c r="U66" s="69"/>
      <c r="V66" s="69"/>
      <c r="W66" s="69"/>
      <c r="X66" s="69"/>
      <c r="Y66" s="69"/>
      <c r="Z66" s="69"/>
      <c r="AA66" s="69"/>
      <c r="AB66" s="69"/>
      <c r="AC66" s="72"/>
      <c r="AD66" s="69"/>
      <c r="AF66" s="73"/>
      <c r="AG66" s="74"/>
      <c r="AH66" s="84"/>
      <c r="DB66" s="67"/>
      <c r="DC66" s="67"/>
      <c r="DD66" s="88"/>
      <c r="DE66" s="67"/>
    </row>
    <row r="67" spans="2:112" s="66" customFormat="1" ht="15" customHeight="1">
      <c r="B67" s="68"/>
      <c r="C67" s="274" t="str">
        <f>INDEX(Language!$A$1:$AV$115,MATCH("Round of 16",Language!$B$1:$B$115,0),MATCH($G$4,Language!$A$1:$AU$1,0))</f>
        <v>Round of 16</v>
      </c>
      <c r="D67" s="275"/>
      <c r="E67" s="275"/>
      <c r="F67" s="275"/>
      <c r="G67" s="275"/>
      <c r="H67" s="275"/>
      <c r="I67" s="275"/>
      <c r="J67" s="275"/>
      <c r="K67" s="275"/>
      <c r="L67" s="275"/>
      <c r="M67" s="275"/>
      <c r="N67" s="275"/>
      <c r="O67" s="276"/>
      <c r="P67" s="68"/>
      <c r="Q67" s="69"/>
      <c r="R67" s="274" t="str">
        <f>INDEX(Language!$A$1:$AV$115,MATCH("Quarter Finals",Language!$B$1:$B$115,0),MATCH($G$4,Language!$A$1:$AU$1,0))</f>
        <v>Quarter Finals</v>
      </c>
      <c r="S67" s="275"/>
      <c r="T67" s="275"/>
      <c r="U67" s="275"/>
      <c r="V67" s="275"/>
      <c r="W67" s="275"/>
      <c r="X67" s="275"/>
      <c r="Y67" s="275"/>
      <c r="Z67" s="275"/>
      <c r="AA67" s="275"/>
      <c r="AB67" s="275"/>
      <c r="AC67" s="275"/>
      <c r="AD67" s="275"/>
      <c r="AE67" s="275"/>
      <c r="AF67" s="275"/>
      <c r="AG67" s="276"/>
      <c r="AH67" s="78"/>
      <c r="DB67" s="67"/>
      <c r="DC67" s="67"/>
      <c r="DD67" s="88"/>
      <c r="DE67" s="67"/>
    </row>
    <row r="68" spans="2:112" s="66" customFormat="1" ht="15" customHeight="1">
      <c r="B68" s="68"/>
      <c r="C68" s="124"/>
      <c r="D68" s="125"/>
      <c r="E68" s="125"/>
      <c r="F68" s="125"/>
      <c r="G68" s="126"/>
      <c r="H68" s="125"/>
      <c r="I68" s="125"/>
      <c r="J68" s="125"/>
      <c r="K68" s="127"/>
      <c r="L68" s="125"/>
      <c r="M68" s="125"/>
      <c r="N68" s="125"/>
      <c r="O68" s="69"/>
      <c r="P68" s="68"/>
      <c r="Q68" s="69"/>
      <c r="R68" s="124"/>
      <c r="S68" s="125"/>
      <c r="T68" s="125"/>
      <c r="U68" s="125"/>
      <c r="V68" s="125"/>
      <c r="W68" s="125"/>
      <c r="X68" s="125"/>
      <c r="Y68" s="125"/>
      <c r="Z68" s="125"/>
      <c r="AA68" s="127"/>
      <c r="AB68" s="125"/>
      <c r="AC68" s="125"/>
      <c r="AD68" s="125"/>
      <c r="AE68" s="125"/>
      <c r="AF68" s="72"/>
      <c r="AG68" s="78"/>
      <c r="AH68" s="78"/>
      <c r="AJ68" s="73"/>
      <c r="AK68" s="74"/>
      <c r="DE68" s="67"/>
      <c r="DF68" s="67"/>
      <c r="DG68" s="88"/>
      <c r="DH68" s="67"/>
    </row>
    <row r="69" spans="2:112" s="66" customFormat="1" ht="15" customHeight="1">
      <c r="B69" s="68"/>
      <c r="C69" s="68"/>
      <c r="D69" s="70">
        <v>49</v>
      </c>
      <c r="E69" s="70"/>
      <c r="F69" s="92">
        <f>G69</f>
        <v>41818.541666666664</v>
      </c>
      <c r="G69" s="93">
        <f>'Countries and Timezone'!R50</f>
        <v>41818.541666666664</v>
      </c>
      <c r="H69" s="94" t="str">
        <f>IF(Tournament!$V$15=3,Tournament!$T$15,INDEX(Language!$A$1:$AV$115,MATCH("Group A Winner",Language!$B$1:$B$115,0),MATCH($G$4,Language!$A$1:$AU$1,0)))</f>
        <v>Group A Winner</v>
      </c>
      <c r="I69" s="69"/>
      <c r="J69" s="70" t="str">
        <f>IF(J70="","",IF(AND(J70=L70,J70&lt;&gt;"",L70&lt;&gt;""),IF(AND(J71=L71,J71&lt;&gt;"",L71&lt;&gt;""),IF(AND(J72=L72,J72&lt;&gt;"",L72&lt;&gt;""),"",J70+J71+J72),J70+J71),J70))</f>
        <v/>
      </c>
      <c r="K69" s="96" t="s">
        <v>3088</v>
      </c>
      <c r="L69" s="70" t="str">
        <f>IF(L70="","",IF(AND(J70=L70,J70&lt;&gt;"",L70&lt;&gt;""),IF(AND(J71=L71,J71&lt;&gt;"",L71&lt;&gt;""),IF(AND(J72=L72,J72&lt;&gt;"",L72&lt;&gt;""),"",L70+L71+L72),L70+L71),L70))</f>
        <v/>
      </c>
      <c r="M69" s="69"/>
      <c r="N69" s="69" t="str">
        <f>IF(Tournament!$V$22=3,Tournament!$T$22,INDEX(Language!$A$1:$AV$115,MATCH("Group B Runner Up",Language!$B$1:$B$115,0),MATCH($G$4,Language!$A$1:$AU$1,0)))</f>
        <v>Group B Runner Up</v>
      </c>
      <c r="O69" s="69"/>
      <c r="P69" s="68"/>
      <c r="Q69" s="69"/>
      <c r="R69" s="124"/>
      <c r="S69" s="127">
        <v>58</v>
      </c>
      <c r="T69" s="92">
        <f>U69</f>
        <v>41824.541666666664</v>
      </c>
      <c r="U69" s="93">
        <f>'Countries and Timezone'!R59</f>
        <v>41824.541666666664</v>
      </c>
      <c r="V69" s="93"/>
      <c r="W69" s="93"/>
      <c r="X69" s="93"/>
      <c r="Y69" s="94" t="str">
        <f>IF(AND(J93&lt;&gt;"",L93&lt;&gt;"",J93&lt;&gt;L93),IF(J93&gt;L93,H93,N93),INDEX(Language!$A$1:$AV$115,MATCH("Match 53 Winner",Language!$B$1:$B$115,0),MATCH($G$4,Language!$A$1:$AU$1,0)))</f>
        <v>Match 53 Winner</v>
      </c>
      <c r="Z69" s="125"/>
      <c r="AA69" s="70" t="str">
        <f>IF(AA70="","",IF(AND(AA70=AC70,AA70&lt;&gt;"",AC70&lt;&gt;""),IF(AND(AA71=AC71,AA71&lt;&gt;"",AC71&lt;&gt;""),IF(AND(AA72=AC72,AA72&lt;&gt;"",AC72&lt;&gt;""),"",AA70+AA71+AA72),AA70+AA71),AA70))</f>
        <v/>
      </c>
      <c r="AB69" s="96" t="s">
        <v>3088</v>
      </c>
      <c r="AC69" s="70" t="str">
        <f>IF(AC70="","",IF(AND(AA70=AC70,AA70&lt;&gt;"",AC70&lt;&gt;""),IF(AND(AA71=AC71,AA71&lt;&gt;"",AC71&lt;&gt;""),IF(AND(AA72=AC72,AA72&lt;&gt;"",AC72&lt;&gt;""),"",AC70+AC71+AC72),AC70+AC71),AC70))</f>
        <v/>
      </c>
      <c r="AD69" s="125"/>
      <c r="AE69" s="69" t="str">
        <f>IF(AND(J99&lt;&gt;"",L99&lt;&gt;"",J99&lt;&gt;L99),IF(J99&gt;L99,H99,N99),INDEX(Language!$A$1:$AV$115,MATCH("Match 54 Winner",Language!$B$1:$B$115,0),MATCH($G$4,Language!$A$1:$AU$1,0)))</f>
        <v>Match 54 Winner</v>
      </c>
      <c r="AF69" s="72"/>
      <c r="AG69" s="78"/>
      <c r="AH69" s="78"/>
      <c r="AJ69" s="73"/>
      <c r="AK69" s="74"/>
      <c r="DE69" s="67"/>
      <c r="DF69" s="67"/>
      <c r="DG69" s="88"/>
      <c r="DH69" s="67"/>
    </row>
    <row r="70" spans="2:112" s="66" customFormat="1" ht="15" customHeight="1">
      <c r="B70" s="68"/>
      <c r="C70" s="68"/>
      <c r="D70" s="70"/>
      <c r="E70" s="70"/>
      <c r="F70" s="69"/>
      <c r="G70" s="69"/>
      <c r="H70" s="94" t="str">
        <f>INDEX(Language!$A$1:$AV$115,MATCH("Normal Time",Language!$B$1:$B$115,0),MATCH($G$4,Language!$A$1:$AU$1,0))</f>
        <v>Normal Time</v>
      </c>
      <c r="I70" s="69"/>
      <c r="J70" s="95"/>
      <c r="K70" s="96" t="s">
        <v>3088</v>
      </c>
      <c r="L70" s="95"/>
      <c r="M70" s="69"/>
      <c r="N70" s="69"/>
      <c r="O70" s="69"/>
      <c r="P70" s="68"/>
      <c r="Q70" s="69"/>
      <c r="R70" s="124"/>
      <c r="S70" s="127"/>
      <c r="T70" s="125"/>
      <c r="U70" s="125"/>
      <c r="V70" s="125"/>
      <c r="W70" s="125"/>
      <c r="X70" s="125"/>
      <c r="Y70" s="94" t="str">
        <f>INDEX(Language!$A$1:$AV$115,MATCH("Normal Time",Language!$B$1:$B$115,0),MATCH($G$4,Language!$A$1:$AU$1,0))</f>
        <v>Normal Time</v>
      </c>
      <c r="Z70" s="125"/>
      <c r="AA70" s="95"/>
      <c r="AB70" s="96" t="s">
        <v>3088</v>
      </c>
      <c r="AC70" s="95"/>
      <c r="AD70" s="125"/>
      <c r="AE70" s="128"/>
      <c r="AF70" s="72"/>
      <c r="AG70" s="78"/>
      <c r="AH70" s="78"/>
      <c r="AJ70" s="73"/>
      <c r="AK70" s="74"/>
      <c r="DE70" s="67"/>
      <c r="DF70" s="67"/>
      <c r="DG70" s="88"/>
      <c r="DH70" s="67"/>
    </row>
    <row r="71" spans="2:112" s="66" customFormat="1" ht="15" customHeight="1">
      <c r="B71" s="68"/>
      <c r="C71" s="68"/>
      <c r="D71" s="70"/>
      <c r="E71" s="70"/>
      <c r="F71" s="69"/>
      <c r="G71" s="69"/>
      <c r="H71" s="94" t="str">
        <f>INDEX(Language!$A$1:$AV$115,MATCH("Extra Time",Language!$B$1:$B$115,0),MATCH($G$4,Language!$A$1:$AU$1,0))</f>
        <v>Extra Time</v>
      </c>
      <c r="I71" s="69"/>
      <c r="J71" s="95"/>
      <c r="K71" s="96" t="s">
        <v>3088</v>
      </c>
      <c r="L71" s="95"/>
      <c r="M71" s="69"/>
      <c r="N71" s="69"/>
      <c r="O71" s="69"/>
      <c r="P71" s="68"/>
      <c r="Q71" s="125"/>
      <c r="R71" s="124"/>
      <c r="S71" s="127"/>
      <c r="T71" s="125"/>
      <c r="U71" s="125"/>
      <c r="V71" s="125"/>
      <c r="W71" s="125"/>
      <c r="X71" s="125"/>
      <c r="Y71" s="94" t="str">
        <f>INDEX(Language!$A$1:$AV$115,MATCH("Extra Time",Language!$B$1:$B$115,0),MATCH($G$4,Language!$A$1:$AU$1,0))</f>
        <v>Extra Time</v>
      </c>
      <c r="Z71" s="125"/>
      <c r="AA71" s="95"/>
      <c r="AB71" s="96" t="s">
        <v>3088</v>
      </c>
      <c r="AC71" s="95"/>
      <c r="AD71" s="125"/>
      <c r="AE71" s="128"/>
      <c r="AF71" s="72"/>
      <c r="AG71" s="78"/>
      <c r="AH71" s="78"/>
      <c r="AJ71" s="73"/>
      <c r="AK71" s="74"/>
      <c r="DE71" s="67"/>
      <c r="DF71" s="67"/>
      <c r="DG71" s="88"/>
      <c r="DH71" s="67"/>
    </row>
    <row r="72" spans="2:112" s="66" customFormat="1" ht="15" customHeight="1">
      <c r="B72" s="68"/>
      <c r="C72" s="68"/>
      <c r="D72" s="70"/>
      <c r="E72" s="70"/>
      <c r="F72" s="69"/>
      <c r="G72" s="69"/>
      <c r="H72" s="94" t="str">
        <f>INDEX(Language!$A$1:$AV$115,MATCH("Penalty Shoot Out",Language!$B$1:$B$115,0),MATCH($G$4,Language!$A$1:$AU$1,0))</f>
        <v>Penalty Shoot Out</v>
      </c>
      <c r="I72" s="69"/>
      <c r="J72" s="95"/>
      <c r="K72" s="96" t="s">
        <v>3088</v>
      </c>
      <c r="L72" s="95"/>
      <c r="M72" s="69"/>
      <c r="N72" s="69"/>
      <c r="O72" s="69"/>
      <c r="P72" s="68"/>
      <c r="Q72" s="125"/>
      <c r="R72" s="124"/>
      <c r="S72" s="127"/>
      <c r="T72" s="125"/>
      <c r="U72" s="125"/>
      <c r="V72" s="125"/>
      <c r="W72" s="125"/>
      <c r="X72" s="125"/>
      <c r="Y72" s="94" t="str">
        <f>INDEX(Language!$A$1:$AV$115,MATCH("Penalty Shoot Out",Language!$B$1:$B$115,0),MATCH($G$4,Language!$A$1:$AU$1,0))</f>
        <v>Penalty Shoot Out</v>
      </c>
      <c r="Z72" s="125"/>
      <c r="AA72" s="95"/>
      <c r="AB72" s="96" t="s">
        <v>3088</v>
      </c>
      <c r="AC72" s="95"/>
      <c r="AD72" s="125"/>
      <c r="AE72" s="128"/>
      <c r="AF72" s="72"/>
      <c r="AG72" s="78"/>
      <c r="AH72" s="78"/>
      <c r="AJ72" s="73"/>
      <c r="AK72" s="74"/>
      <c r="DE72" s="67"/>
      <c r="DF72" s="67"/>
      <c r="DG72" s="88"/>
      <c r="DH72" s="67"/>
    </row>
    <row r="73" spans="2:112" s="66" customFormat="1" ht="15" customHeight="1">
      <c r="B73" s="68"/>
      <c r="C73" s="68"/>
      <c r="D73" s="70"/>
      <c r="E73" s="70"/>
      <c r="F73" s="69"/>
      <c r="G73" s="69"/>
      <c r="H73" s="94"/>
      <c r="I73" s="69"/>
      <c r="J73" s="70"/>
      <c r="K73" s="69"/>
      <c r="L73" s="69"/>
      <c r="M73" s="69"/>
      <c r="N73" s="69"/>
      <c r="O73" s="69"/>
      <c r="P73" s="68"/>
      <c r="Q73" s="125"/>
      <c r="R73" s="124"/>
      <c r="S73" s="127"/>
      <c r="T73" s="125"/>
      <c r="U73" s="125"/>
      <c r="V73" s="125"/>
      <c r="W73" s="125"/>
      <c r="X73" s="125"/>
      <c r="Y73" s="129"/>
      <c r="Z73" s="125"/>
      <c r="AA73" s="127"/>
      <c r="AB73" s="125"/>
      <c r="AC73" s="125"/>
      <c r="AD73" s="125"/>
      <c r="AE73" s="128"/>
      <c r="AF73" s="72"/>
      <c r="AG73" s="78"/>
      <c r="AH73" s="78"/>
      <c r="AJ73" s="73"/>
      <c r="AK73" s="74"/>
      <c r="DE73" s="67"/>
      <c r="DF73" s="67"/>
      <c r="DG73" s="88"/>
      <c r="DH73" s="67"/>
    </row>
    <row r="74" spans="2:112" s="66" customFormat="1" ht="15" customHeight="1">
      <c r="B74" s="68"/>
      <c r="C74" s="68"/>
      <c r="D74" s="70"/>
      <c r="E74" s="70"/>
      <c r="F74" s="69"/>
      <c r="G74" s="69"/>
      <c r="H74" s="94"/>
      <c r="I74" s="69"/>
      <c r="J74" s="70"/>
      <c r="K74" s="69"/>
      <c r="L74" s="69"/>
      <c r="M74" s="69"/>
      <c r="N74" s="69"/>
      <c r="O74" s="69"/>
      <c r="P74" s="68"/>
      <c r="Q74" s="125"/>
      <c r="R74" s="124"/>
      <c r="S74" s="127">
        <v>57</v>
      </c>
      <c r="T74" s="92">
        <f>U74</f>
        <v>41824.708333333336</v>
      </c>
      <c r="U74" s="93">
        <f>'Countries and Timezone'!R58</f>
        <v>41824.708333333336</v>
      </c>
      <c r="V74" s="93"/>
      <c r="W74" s="93"/>
      <c r="X74" s="93"/>
      <c r="Y74" s="94" t="str">
        <f>IF(AND(J69&lt;&gt;"",L69&lt;&gt;"",J69&lt;&gt;L69),IF(J69&gt;L69,H69,N69),INDEX(Language!$A$1:$AV$115,MATCH("Match 49 Winner",Language!$B$1:$B$115,0),MATCH($G$4,Language!$A$1:$AU$1,0)))</f>
        <v>Match 49 Winner</v>
      </c>
      <c r="Z74" s="125"/>
      <c r="AA74" s="70" t="str">
        <f>IF(AA75="","",IF(AND(AA75=AC75,AA75&lt;&gt;"",AC75&lt;&gt;""),IF(AND(AA76=AC76,AA76&lt;&gt;"",AC76&lt;&gt;""),IF(AND(AA77=AC77,AA77&lt;&gt;"",AC77&lt;&gt;""),"",AA75+AA76+AA77),AA75+AA76),AA75))</f>
        <v/>
      </c>
      <c r="AB74" s="96" t="s">
        <v>3088</v>
      </c>
      <c r="AC74" s="70" t="str">
        <f>IF(AC75="","",IF(AND(AA75=AC75,AA75&lt;&gt;"",AC75&lt;&gt;""),IF(AND(AA76=AC76,AA76&lt;&gt;"",AC76&lt;&gt;""),IF(AND(AA77=AC77,AA77&lt;&gt;"",AC77&lt;&gt;""),"",AC75+AC76+AC77),AC75+AC76),AC75))</f>
        <v/>
      </c>
      <c r="AD74" s="125"/>
      <c r="AE74" s="69" t="str">
        <f>IF(AND(J75&lt;&gt;"",L75&lt;&gt;"",J75&lt;&gt;L75),IF(J75&gt;L75,H75,N75),INDEX(Language!$A$1:$AV$115,MATCH("Match 50 Winner",Language!$B$1:$B$115,0),MATCH($G$4,Language!$A$1:$AU$1,0)))</f>
        <v>Match 50 Winner</v>
      </c>
      <c r="AF74" s="72"/>
      <c r="AG74" s="78"/>
      <c r="AH74" s="78"/>
      <c r="AJ74" s="73"/>
      <c r="AK74" s="74"/>
      <c r="DE74" s="67"/>
      <c r="DF74" s="67"/>
      <c r="DG74" s="88"/>
      <c r="DH74" s="67"/>
    </row>
    <row r="75" spans="2:112" s="66" customFormat="1" ht="15" customHeight="1">
      <c r="B75" s="68"/>
      <c r="C75" s="68"/>
      <c r="D75" s="70">
        <v>50</v>
      </c>
      <c r="E75" s="70"/>
      <c r="F75" s="92">
        <f>G75</f>
        <v>41818.708333333336</v>
      </c>
      <c r="G75" s="93">
        <f>'Countries and Timezone'!R51</f>
        <v>41818.708333333336</v>
      </c>
      <c r="H75" s="94" t="str">
        <f>IF(Tournament!$V$27=3,Tournament!$T$27,INDEX(Language!$A$1:$AV$115,MATCH("Group C Winner",Language!$B$1:$B$115,0),MATCH($G$4,Language!$A$1:$AU$1,0)))</f>
        <v>Group C Winner</v>
      </c>
      <c r="I75" s="69"/>
      <c r="J75" s="70" t="str">
        <f>IF(J76="","",IF(AND(J76=L76,J76&lt;&gt;"",L76&lt;&gt;""),IF(AND(J77=L77,J77&lt;&gt;"",L77&lt;&gt;""),IF(AND(J78=L78,J78&lt;&gt;"",L78&lt;&gt;""),"",J76+J77+J78),J76+J77),J76))</f>
        <v/>
      </c>
      <c r="K75" s="96" t="s">
        <v>3088</v>
      </c>
      <c r="L75" s="70" t="str">
        <f>IF(L76="","",IF(AND(J76=L76,J76&lt;&gt;"",L76&lt;&gt;""),IF(AND(J77=L77,J77&lt;&gt;"",L77&lt;&gt;""),IF(AND(J78=L78,J78&lt;&gt;"",L78&lt;&gt;""),"",L76+L77+L78),L76+L77),L76))</f>
        <v/>
      </c>
      <c r="M75" s="69"/>
      <c r="N75" s="69" t="str">
        <f>IF(Tournament!$V$34=3,Tournament!$T$34,INDEX(Language!$A$1:$AV$115,MATCH("Group D Runner Up",Language!$B$1:$B$115,0),MATCH($G$4,Language!$A$1:$AU$1,0)))</f>
        <v>Group D Runner Up</v>
      </c>
      <c r="O75" s="69"/>
      <c r="P75" s="68"/>
      <c r="Q75" s="125"/>
      <c r="R75" s="124"/>
      <c r="S75" s="127"/>
      <c r="T75" s="125"/>
      <c r="U75" s="125"/>
      <c r="V75" s="125"/>
      <c r="W75" s="125"/>
      <c r="X75" s="125"/>
      <c r="Y75" s="94" t="str">
        <f>INDEX(Language!$A$1:$AV$115,MATCH("Normal Time",Language!$B$1:$B$115,0),MATCH($G$4,Language!$A$1:$AU$1,0))</f>
        <v>Normal Time</v>
      </c>
      <c r="Z75" s="125"/>
      <c r="AA75" s="95"/>
      <c r="AB75" s="96" t="s">
        <v>3088</v>
      </c>
      <c r="AC75" s="95"/>
      <c r="AD75" s="125"/>
      <c r="AE75" s="128"/>
      <c r="AF75" s="72"/>
      <c r="AG75" s="78"/>
      <c r="AH75" s="78"/>
      <c r="AJ75" s="73"/>
      <c r="AK75" s="74"/>
      <c r="DE75" s="67"/>
      <c r="DF75" s="67"/>
      <c r="DG75" s="88"/>
      <c r="DH75" s="67"/>
    </row>
    <row r="76" spans="2:112" s="66" customFormat="1" ht="15" customHeight="1">
      <c r="B76" s="68"/>
      <c r="C76" s="68"/>
      <c r="D76" s="70"/>
      <c r="E76" s="70"/>
      <c r="F76" s="69"/>
      <c r="G76" s="69"/>
      <c r="H76" s="94" t="str">
        <f>INDEX(Language!$A$1:$AV$115,MATCH("Normal Time",Language!$B$1:$B$115,0),MATCH($G$4,Language!$A$1:$AU$1,0))</f>
        <v>Normal Time</v>
      </c>
      <c r="I76" s="69"/>
      <c r="J76" s="95"/>
      <c r="K76" s="96" t="s">
        <v>3088</v>
      </c>
      <c r="L76" s="95"/>
      <c r="M76" s="69"/>
      <c r="N76" s="69"/>
      <c r="O76" s="69"/>
      <c r="P76" s="68"/>
      <c r="Q76" s="125"/>
      <c r="R76" s="124"/>
      <c r="S76" s="127"/>
      <c r="T76" s="125"/>
      <c r="U76" s="125"/>
      <c r="V76" s="125"/>
      <c r="W76" s="125"/>
      <c r="X76" s="125"/>
      <c r="Y76" s="94" t="str">
        <f>INDEX(Language!$A$1:$AV$115,MATCH("Extra Time",Language!$B$1:$B$115,0),MATCH($G$4,Language!$A$1:$AU$1,0))</f>
        <v>Extra Time</v>
      </c>
      <c r="Z76" s="125"/>
      <c r="AA76" s="95"/>
      <c r="AB76" s="96" t="s">
        <v>3088</v>
      </c>
      <c r="AC76" s="95"/>
      <c r="AD76" s="125"/>
      <c r="AE76" s="128"/>
      <c r="AF76" s="72"/>
      <c r="AG76" s="78"/>
      <c r="AH76" s="78"/>
      <c r="AJ76" s="73"/>
      <c r="AK76" s="74"/>
      <c r="DE76" s="67"/>
      <c r="DF76" s="67"/>
      <c r="DG76" s="88"/>
      <c r="DH76" s="67"/>
    </row>
    <row r="77" spans="2:112" s="66" customFormat="1" ht="15" customHeight="1">
      <c r="B77" s="68"/>
      <c r="C77" s="68"/>
      <c r="D77" s="70"/>
      <c r="E77" s="70"/>
      <c r="F77" s="69"/>
      <c r="G77" s="69"/>
      <c r="H77" s="94" t="str">
        <f>INDEX(Language!$A$1:$AV$115,MATCH("Extra Time",Language!$B$1:$B$115,0),MATCH($G$4,Language!$A$1:$AU$1,0))</f>
        <v>Extra Time</v>
      </c>
      <c r="I77" s="69"/>
      <c r="J77" s="95"/>
      <c r="K77" s="96" t="s">
        <v>3088</v>
      </c>
      <c r="L77" s="95"/>
      <c r="M77" s="69"/>
      <c r="N77" s="69"/>
      <c r="O77" s="69"/>
      <c r="P77" s="68"/>
      <c r="Q77" s="125"/>
      <c r="R77" s="124"/>
      <c r="S77" s="127"/>
      <c r="T77" s="125"/>
      <c r="U77" s="125"/>
      <c r="V77" s="125"/>
      <c r="W77" s="125"/>
      <c r="X77" s="125"/>
      <c r="Y77" s="94" t="str">
        <f>INDEX(Language!$A$1:$AV$115,MATCH("Penalty Shoot Out",Language!$B$1:$B$115,0),MATCH($G$4,Language!$A$1:$AU$1,0))</f>
        <v>Penalty Shoot Out</v>
      </c>
      <c r="Z77" s="125"/>
      <c r="AA77" s="95"/>
      <c r="AB77" s="96" t="s">
        <v>3088</v>
      </c>
      <c r="AC77" s="95"/>
      <c r="AD77" s="125"/>
      <c r="AE77" s="128"/>
      <c r="AF77" s="72"/>
      <c r="AG77" s="78"/>
      <c r="AH77" s="78"/>
      <c r="AJ77" s="73"/>
      <c r="AK77" s="74"/>
      <c r="DE77" s="67"/>
      <c r="DF77" s="67"/>
      <c r="DG77" s="88"/>
      <c r="DH77" s="67"/>
    </row>
    <row r="78" spans="2:112" s="66" customFormat="1" ht="15" customHeight="1">
      <c r="B78" s="68"/>
      <c r="C78" s="68"/>
      <c r="D78" s="70"/>
      <c r="E78" s="70"/>
      <c r="F78" s="69"/>
      <c r="G78" s="69"/>
      <c r="H78" s="94" t="str">
        <f>INDEX(Language!$A$1:$AV$115,MATCH("Penalty Shoot Out",Language!$B$1:$B$115,0),MATCH($G$4,Language!$A$1:$AU$1,0))</f>
        <v>Penalty Shoot Out</v>
      </c>
      <c r="I78" s="69"/>
      <c r="J78" s="95"/>
      <c r="K78" s="96" t="s">
        <v>3088</v>
      </c>
      <c r="L78" s="95"/>
      <c r="M78" s="69"/>
      <c r="N78" s="69"/>
      <c r="O78" s="69"/>
      <c r="P78" s="68"/>
      <c r="Q78" s="125"/>
      <c r="R78" s="124"/>
      <c r="S78" s="127"/>
      <c r="T78" s="125"/>
      <c r="U78" s="125"/>
      <c r="V78" s="125"/>
      <c r="W78" s="125"/>
      <c r="X78" s="125"/>
      <c r="Y78" s="129"/>
      <c r="Z78" s="125"/>
      <c r="AA78" s="127"/>
      <c r="AB78" s="125"/>
      <c r="AC78" s="125"/>
      <c r="AD78" s="125"/>
      <c r="AE78" s="128"/>
      <c r="AF78" s="72"/>
      <c r="AG78" s="78"/>
      <c r="AH78" s="78"/>
      <c r="AJ78" s="73"/>
      <c r="AK78" s="74"/>
      <c r="DE78" s="67"/>
      <c r="DF78" s="67"/>
      <c r="DG78" s="88"/>
      <c r="DH78" s="67"/>
    </row>
    <row r="79" spans="2:112" s="66" customFormat="1" ht="15" customHeight="1">
      <c r="B79" s="68"/>
      <c r="C79" s="68"/>
      <c r="D79" s="70"/>
      <c r="E79" s="70"/>
      <c r="F79" s="69"/>
      <c r="G79" s="69"/>
      <c r="H79" s="94"/>
      <c r="I79" s="69"/>
      <c r="J79" s="70"/>
      <c r="K79" s="69"/>
      <c r="L79" s="69"/>
      <c r="M79" s="69"/>
      <c r="N79" s="69"/>
      <c r="O79" s="69"/>
      <c r="P79" s="68"/>
      <c r="Q79" s="125"/>
      <c r="R79" s="124"/>
      <c r="S79" s="127">
        <v>59</v>
      </c>
      <c r="T79" s="92">
        <f>U79</f>
        <v>41825.708333333336</v>
      </c>
      <c r="U79" s="93">
        <f>'Countries and Timezone'!R60</f>
        <v>41825.708333333336</v>
      </c>
      <c r="V79" s="93"/>
      <c r="W79" s="93"/>
      <c r="X79" s="93"/>
      <c r="Y79" s="94" t="str">
        <f>IF(AND(J87&lt;&gt;"",L87&lt;&gt;"",J87&lt;&gt;L87),IF(J87&gt;L87,H87,N87),INDEX(Language!$A$1:$AV$115,MATCH("Match 51 Winner",Language!$B$1:$B$115,0),MATCH($G$4,Language!$A$1:$AU$1,0)))</f>
        <v>Match 51 Winner</v>
      </c>
      <c r="Z79" s="125"/>
      <c r="AA79" s="70" t="str">
        <f>IF(AA80="","",IF(AND(AA80=AC80,AA80&lt;&gt;"",AC80&lt;&gt;""),IF(AND(AA81=AC81,AA81&lt;&gt;"",AC81&lt;&gt;""),IF(AND(AA82=AC82,AA82&lt;&gt;"",AC82&lt;&gt;""),"",AA80+AA81+AA82),AA80+AA81),AA80))</f>
        <v/>
      </c>
      <c r="AB79" s="96" t="s">
        <v>3088</v>
      </c>
      <c r="AC79" s="70" t="str">
        <f>IF(AC80="","",IF(AND(AA80=AC80,AA80&lt;&gt;"",AC80&lt;&gt;""),IF(AND(AA81=AC81,AA81&lt;&gt;"",AC81&lt;&gt;""),IF(AND(AA82=AC82,AA82&lt;&gt;"",AC82&lt;&gt;""),"",AC80+AC81+AC82),AC80+AC81),AC80))</f>
        <v/>
      </c>
      <c r="AD79" s="125"/>
      <c r="AE79" s="69" t="str">
        <f>IF(AND(J81&lt;&gt;"",L81&lt;&gt;"",J81&lt;&gt;L81),IF(J81&gt;L81,H81,N81),INDEX(Language!$A$1:$AV$115,MATCH("Match 52 Winner",Language!$B$1:$B$115,0),MATCH($G$4,Language!$A$1:$AU$1,0)))</f>
        <v>Match 52 Winner</v>
      </c>
      <c r="AF79" s="72"/>
      <c r="AG79" s="78"/>
      <c r="AH79" s="78"/>
      <c r="AJ79" s="73"/>
      <c r="AK79" s="74"/>
      <c r="DE79" s="67"/>
      <c r="DF79" s="67"/>
      <c r="DG79" s="88"/>
      <c r="DH79" s="67"/>
    </row>
    <row r="80" spans="2:112" s="66" customFormat="1" ht="15" customHeight="1">
      <c r="B80" s="68"/>
      <c r="C80" s="68"/>
      <c r="D80" s="70"/>
      <c r="E80" s="70"/>
      <c r="F80" s="69"/>
      <c r="G80" s="69"/>
      <c r="H80" s="94"/>
      <c r="I80" s="69"/>
      <c r="J80" s="70"/>
      <c r="K80" s="69"/>
      <c r="L80" s="69"/>
      <c r="M80" s="69"/>
      <c r="N80" s="69"/>
      <c r="O80" s="69"/>
      <c r="P80" s="68"/>
      <c r="Q80" s="125"/>
      <c r="R80" s="124"/>
      <c r="S80" s="127"/>
      <c r="T80" s="125"/>
      <c r="U80" s="125"/>
      <c r="V80" s="125"/>
      <c r="W80" s="125"/>
      <c r="X80" s="125"/>
      <c r="Y80" s="94" t="str">
        <f>INDEX(Language!$A$1:$AV$115,MATCH("Normal Time",Language!$B$1:$B$115,0),MATCH($G$4,Language!$A$1:$AU$1,0))</f>
        <v>Normal Time</v>
      </c>
      <c r="Z80" s="125"/>
      <c r="AA80" s="95"/>
      <c r="AB80" s="96" t="s">
        <v>3088</v>
      </c>
      <c r="AC80" s="95"/>
      <c r="AD80" s="125"/>
      <c r="AE80" s="128"/>
      <c r="AF80" s="72"/>
      <c r="AG80" s="78"/>
      <c r="AH80" s="78"/>
      <c r="AJ80" s="73"/>
      <c r="AK80" s="74"/>
      <c r="DE80" s="67"/>
      <c r="DF80" s="67"/>
      <c r="DG80" s="88"/>
      <c r="DH80" s="67"/>
    </row>
    <row r="81" spans="2:112" s="66" customFormat="1" ht="15" customHeight="1">
      <c r="B81" s="124"/>
      <c r="C81" s="124"/>
      <c r="D81" s="127">
        <v>52</v>
      </c>
      <c r="E81" s="127"/>
      <c r="F81" s="92">
        <f>G81</f>
        <v>41819.708333333336</v>
      </c>
      <c r="G81" s="93">
        <f>'Countries and Timezone'!R53</f>
        <v>41819.708333333336</v>
      </c>
      <c r="H81" s="94" t="str">
        <f>IF(Tournament!$V$33=3,Tournament!$T$33,INDEX(Language!$A$1:$AV$115,MATCH("Group D Winner",Language!$B$1:$B$115,0),MATCH($G$4,Language!$A$1:$AU$1,0)))</f>
        <v>Group D Winner</v>
      </c>
      <c r="I81" s="69"/>
      <c r="J81" s="70" t="str">
        <f>IF(J82="","",IF(AND(J82=L82,J82&lt;&gt;"",L82&lt;&gt;""),IF(AND(J83=L83,J83&lt;&gt;"",L83&lt;&gt;""),IF(AND(J84=L84,J84&lt;&gt;"",L84&lt;&gt;""),"",J82+J83+J84),J82+J83),J82))</f>
        <v/>
      </c>
      <c r="K81" s="96" t="s">
        <v>3088</v>
      </c>
      <c r="L81" s="70" t="str">
        <f>IF(L82="","",IF(AND(J82=L82,J82&lt;&gt;"",L82&lt;&gt;""),IF(AND(J83=L83,J83&lt;&gt;"",L83&lt;&gt;""),IF(AND(J84=L84,J84&lt;&gt;"",L84&lt;&gt;""),"",L82+L83+L84),L82+L83),L82))</f>
        <v/>
      </c>
      <c r="M81" s="69"/>
      <c r="N81" s="69" t="str">
        <f>IF(Tournament!$V$28=3,Tournament!$T$28,INDEX(Language!$A$1:$AV$115,MATCH("Group C Runner Up",Language!$B$1:$B$115,0),MATCH($G$4,Language!$A$1:$AU$1,0)))</f>
        <v>Group C Runner Up</v>
      </c>
      <c r="O81" s="69"/>
      <c r="P81" s="68"/>
      <c r="Q81" s="125"/>
      <c r="R81" s="124"/>
      <c r="S81" s="127"/>
      <c r="T81" s="125"/>
      <c r="U81" s="125"/>
      <c r="V81" s="125"/>
      <c r="W81" s="125"/>
      <c r="X81" s="125"/>
      <c r="Y81" s="94" t="str">
        <f>INDEX(Language!$A$1:$AV$115,MATCH("Extra Time",Language!$B$1:$B$115,0),MATCH($G$4,Language!$A$1:$AU$1,0))</f>
        <v>Extra Time</v>
      </c>
      <c r="Z81" s="125"/>
      <c r="AA81" s="95"/>
      <c r="AB81" s="96" t="s">
        <v>3088</v>
      </c>
      <c r="AC81" s="95"/>
      <c r="AD81" s="125"/>
      <c r="AE81" s="128"/>
      <c r="AF81" s="72"/>
      <c r="AG81" s="78"/>
      <c r="AH81" s="78"/>
      <c r="AJ81" s="73"/>
      <c r="AK81" s="74"/>
      <c r="DE81" s="67"/>
      <c r="DF81" s="67"/>
      <c r="DG81" s="88"/>
      <c r="DH81" s="67"/>
    </row>
    <row r="82" spans="2:112" s="66" customFormat="1" ht="15" customHeight="1">
      <c r="B82" s="124"/>
      <c r="C82" s="124"/>
      <c r="D82" s="127"/>
      <c r="E82" s="127"/>
      <c r="F82" s="125"/>
      <c r="G82" s="126"/>
      <c r="H82" s="94" t="str">
        <f>INDEX(Language!$A$1:$AV$115,MATCH("Normal Time",Language!$B$1:$B$115,0),MATCH($G$4,Language!$A$1:$AU$1,0))</f>
        <v>Normal Time</v>
      </c>
      <c r="I82" s="125"/>
      <c r="J82" s="95"/>
      <c r="K82" s="96" t="s">
        <v>3088</v>
      </c>
      <c r="L82" s="95"/>
      <c r="M82" s="125"/>
      <c r="N82" s="125"/>
      <c r="O82" s="69"/>
      <c r="P82" s="68"/>
      <c r="Q82" s="125"/>
      <c r="R82" s="124"/>
      <c r="S82" s="127"/>
      <c r="T82" s="125"/>
      <c r="U82" s="125"/>
      <c r="V82" s="125"/>
      <c r="W82" s="125"/>
      <c r="X82" s="125"/>
      <c r="Y82" s="94" t="str">
        <f>INDEX(Language!$A$1:$AV$115,MATCH("Penalty Shoot Out",Language!$B$1:$B$115,0),MATCH($G$4,Language!$A$1:$AU$1,0))</f>
        <v>Penalty Shoot Out</v>
      </c>
      <c r="Z82" s="125"/>
      <c r="AA82" s="95"/>
      <c r="AB82" s="96" t="s">
        <v>3088</v>
      </c>
      <c r="AC82" s="95"/>
      <c r="AD82" s="125"/>
      <c r="AE82" s="128"/>
      <c r="AF82" s="72"/>
      <c r="AG82" s="78"/>
      <c r="AH82" s="78"/>
      <c r="AJ82" s="73"/>
      <c r="AK82" s="74"/>
      <c r="DE82" s="67"/>
      <c r="DF82" s="67"/>
      <c r="DG82" s="88"/>
      <c r="DH82" s="67"/>
    </row>
    <row r="83" spans="2:112" s="66" customFormat="1" ht="15" customHeight="1">
      <c r="B83" s="124"/>
      <c r="C83" s="124"/>
      <c r="D83" s="127"/>
      <c r="E83" s="127"/>
      <c r="F83" s="125"/>
      <c r="G83" s="126"/>
      <c r="H83" s="94" t="str">
        <f>INDEX(Language!$A$1:$AV$115,MATCH("Extra Time",Language!$B$1:$B$115,0),MATCH($G$4,Language!$A$1:$AU$1,0))</f>
        <v>Extra Time</v>
      </c>
      <c r="I83" s="125"/>
      <c r="J83" s="95"/>
      <c r="K83" s="96" t="s">
        <v>3088</v>
      </c>
      <c r="L83" s="95"/>
      <c r="M83" s="125"/>
      <c r="N83" s="125"/>
      <c r="O83" s="69"/>
      <c r="P83" s="68"/>
      <c r="Q83" s="125"/>
      <c r="R83" s="124"/>
      <c r="S83" s="127"/>
      <c r="T83" s="125"/>
      <c r="U83" s="125"/>
      <c r="V83" s="125"/>
      <c r="W83" s="125"/>
      <c r="X83" s="125"/>
      <c r="Y83" s="129"/>
      <c r="Z83" s="125"/>
      <c r="AA83" s="127"/>
      <c r="AB83" s="125"/>
      <c r="AC83" s="125"/>
      <c r="AD83" s="125"/>
      <c r="AE83" s="128"/>
      <c r="AF83" s="72"/>
      <c r="AG83" s="78"/>
      <c r="AH83" s="78"/>
      <c r="AJ83" s="73"/>
      <c r="AK83" s="74"/>
      <c r="DE83" s="67"/>
      <c r="DF83" s="67"/>
      <c r="DG83" s="88"/>
      <c r="DH83" s="67"/>
    </row>
    <row r="84" spans="2:112" s="66" customFormat="1" ht="15" customHeight="1">
      <c r="B84" s="124"/>
      <c r="C84" s="124"/>
      <c r="D84" s="127"/>
      <c r="E84" s="127"/>
      <c r="F84" s="125"/>
      <c r="G84" s="126"/>
      <c r="H84" s="94" t="str">
        <f>INDEX(Language!$A$1:$AV$115,MATCH("Penalty Shoot Out",Language!$B$1:$B$115,0),MATCH($G$4,Language!$A$1:$AU$1,0))</f>
        <v>Penalty Shoot Out</v>
      </c>
      <c r="I84" s="125"/>
      <c r="J84" s="95"/>
      <c r="K84" s="96" t="s">
        <v>3088</v>
      </c>
      <c r="L84" s="95"/>
      <c r="M84" s="125"/>
      <c r="N84" s="125"/>
      <c r="O84" s="69"/>
      <c r="P84" s="68"/>
      <c r="Q84" s="125"/>
      <c r="R84" s="124"/>
      <c r="S84" s="127">
        <v>60</v>
      </c>
      <c r="T84" s="92">
        <f>U84</f>
        <v>41825.541666666664</v>
      </c>
      <c r="U84" s="93">
        <f>'Countries and Timezone'!R61</f>
        <v>41825.541666666664</v>
      </c>
      <c r="V84" s="93"/>
      <c r="W84" s="93"/>
      <c r="X84" s="93"/>
      <c r="Y84" s="94" t="str">
        <f>IF(AND(J105&lt;&gt;"",L105&lt;&gt;"",J105&lt;&gt;L105),IF(J105&gt;L105,H105,N105),INDEX(Language!$A$1:$AV$115,MATCH("Match 55 Winner",Language!$B$1:$B$115,0),MATCH($G$4,Language!$A$1:$AU$1,0)))</f>
        <v>Match 55 Winner</v>
      </c>
      <c r="Z84" s="125"/>
      <c r="AA84" s="70" t="str">
        <f>IF(AA85="","",IF(AND(AA85=AC85,AA85&lt;&gt;"",AC85&lt;&gt;""),IF(AND(AA86=AC86,AA86&lt;&gt;"",AC86&lt;&gt;""),IF(AND(AA87=AC87,AA87&lt;&gt;"",AC87&lt;&gt;""),"",AA85+AA86+AA87),AA85+AA86),AA85))</f>
        <v/>
      </c>
      <c r="AB84" s="96" t="s">
        <v>3088</v>
      </c>
      <c r="AC84" s="70" t="str">
        <f>IF(AC85="","",IF(AND(AA85=AC85,AA85&lt;&gt;"",AC85&lt;&gt;""),IF(AND(AA86=AC86,AA86&lt;&gt;"",AC86&lt;&gt;""),IF(AND(AA87=AC87,AA87&lt;&gt;"",AC87&lt;&gt;""),"",AC85+AC86+AC87),AC85+AC86),AC85))</f>
        <v/>
      </c>
      <c r="AD84" s="125"/>
      <c r="AE84" s="69" t="str">
        <f>IF(AND(J111&lt;&gt;"",L111&lt;&gt;"",J111&lt;&gt;L111),IF(J111&gt;L111,H111,N111),INDEX(Language!$A$1:$AV$115,MATCH("Match 56 Winner",Language!$B$1:$B$115,0),MATCH($G$4,Language!$A$1:$AU$1,0)))</f>
        <v>Match 56 Winner</v>
      </c>
      <c r="AF84" s="72"/>
      <c r="AG84" s="78"/>
      <c r="AH84" s="78"/>
      <c r="AJ84" s="73"/>
      <c r="AK84" s="74"/>
      <c r="DE84" s="67"/>
      <c r="DF84" s="67"/>
      <c r="DG84" s="88"/>
      <c r="DH84" s="67"/>
    </row>
    <row r="85" spans="2:112" s="66" customFormat="1" ht="15" customHeight="1">
      <c r="B85" s="124"/>
      <c r="C85" s="124"/>
      <c r="D85" s="127"/>
      <c r="E85" s="127"/>
      <c r="F85" s="125"/>
      <c r="G85" s="126"/>
      <c r="H85" s="129"/>
      <c r="I85" s="125"/>
      <c r="J85" s="127"/>
      <c r="K85" s="125"/>
      <c r="L85" s="125"/>
      <c r="M85" s="125"/>
      <c r="N85" s="125"/>
      <c r="O85" s="69"/>
      <c r="P85" s="68"/>
      <c r="Q85" s="125"/>
      <c r="R85" s="124"/>
      <c r="S85" s="125"/>
      <c r="T85" s="125"/>
      <c r="U85" s="125"/>
      <c r="V85" s="125"/>
      <c r="W85" s="125"/>
      <c r="X85" s="125"/>
      <c r="Y85" s="94" t="str">
        <f>INDEX(Language!$A$1:$AV$115,MATCH("Normal Time",Language!$B$1:$B$115,0),MATCH($G$4,Language!$A$1:$AU$1,0))</f>
        <v>Normal Time</v>
      </c>
      <c r="Z85" s="125"/>
      <c r="AA85" s="95"/>
      <c r="AB85" s="96" t="s">
        <v>3088</v>
      </c>
      <c r="AC85" s="95"/>
      <c r="AD85" s="125"/>
      <c r="AE85" s="128"/>
      <c r="AF85" s="72"/>
      <c r="AG85" s="78"/>
      <c r="AH85" s="78"/>
      <c r="AJ85" s="73"/>
      <c r="AK85" s="74"/>
      <c r="DE85" s="67"/>
      <c r="DF85" s="67"/>
      <c r="DG85" s="88"/>
      <c r="DH85" s="67"/>
    </row>
    <row r="86" spans="2:112" s="66" customFormat="1" ht="15" customHeight="1">
      <c r="B86" s="124"/>
      <c r="C86" s="124"/>
      <c r="D86" s="127"/>
      <c r="E86" s="127"/>
      <c r="F86" s="125"/>
      <c r="G86" s="126"/>
      <c r="H86" s="129"/>
      <c r="I86" s="125"/>
      <c r="J86" s="127"/>
      <c r="K86" s="125"/>
      <c r="L86" s="125"/>
      <c r="M86" s="125"/>
      <c r="N86" s="125"/>
      <c r="O86" s="69"/>
      <c r="P86" s="68"/>
      <c r="Q86" s="125"/>
      <c r="R86" s="124"/>
      <c r="S86" s="125"/>
      <c r="T86" s="125"/>
      <c r="U86" s="125"/>
      <c r="V86" s="125"/>
      <c r="W86" s="125"/>
      <c r="X86" s="125"/>
      <c r="Y86" s="94" t="str">
        <f>INDEX(Language!$A$1:$AV$115,MATCH("Extra Time",Language!$B$1:$B$115,0),MATCH($G$4,Language!$A$1:$AU$1,0))</f>
        <v>Extra Time</v>
      </c>
      <c r="Z86" s="125"/>
      <c r="AA86" s="95"/>
      <c r="AB86" s="96" t="s">
        <v>3088</v>
      </c>
      <c r="AC86" s="95"/>
      <c r="AD86" s="125"/>
      <c r="AE86" s="128"/>
      <c r="AF86" s="72"/>
      <c r="AG86" s="78"/>
      <c r="AH86" s="78"/>
      <c r="AJ86" s="73"/>
      <c r="AK86" s="74"/>
      <c r="DE86" s="67"/>
      <c r="DF86" s="67"/>
      <c r="DG86" s="88"/>
      <c r="DH86" s="67"/>
    </row>
    <row r="87" spans="2:112" s="66" customFormat="1" ht="15" customHeight="1">
      <c r="B87" s="124"/>
      <c r="C87" s="124"/>
      <c r="D87" s="127">
        <v>51</v>
      </c>
      <c r="E87" s="127"/>
      <c r="F87" s="92">
        <f>G87</f>
        <v>41819.541666666664</v>
      </c>
      <c r="G87" s="93">
        <f>'Countries and Timezone'!R52</f>
        <v>41819.541666666664</v>
      </c>
      <c r="H87" s="94" t="str">
        <f>IF(Tournament!$V$21=3,Tournament!$T$21,INDEX(Language!$A$1:$AV$115,MATCH("Group B Winner",Language!$B$1:$B$115,0),MATCH($G$4,Language!$A$1:$AU$1,0)))</f>
        <v>Group B Winner</v>
      </c>
      <c r="I87" s="69"/>
      <c r="J87" s="70" t="str">
        <f>IF(J88="","",IF(AND(J88=L88,J88&lt;&gt;"",L88&lt;&gt;""),IF(AND(J89=L89,J89&lt;&gt;"",L89&lt;&gt;""),IF(AND(J90=L90,J90&lt;&gt;"",L90&lt;&gt;""),"",J88+J89+J90),J88+J89),J88))</f>
        <v/>
      </c>
      <c r="K87" s="96" t="s">
        <v>3088</v>
      </c>
      <c r="L87" s="70" t="str">
        <f>IF(L88="","",IF(AND(J88=L88,J88&lt;&gt;"",L88&lt;&gt;""),IF(AND(J89=L89,J89&lt;&gt;"",L89&lt;&gt;""),IF(AND(J90=L90,J90&lt;&gt;"",L90&lt;&gt;""),"",L88+L89+L90),L88+L89),L88))</f>
        <v/>
      </c>
      <c r="M87" s="69"/>
      <c r="N87" s="69" t="str">
        <f>IF(Tournament!$V$16=3,Tournament!$T$16,INDEX(Language!$A$1:$AV$115,MATCH("Group A Runner Up",Language!$B$1:$B$115,0),MATCH($G$4,Language!$A$1:$AU$1,0)))</f>
        <v>Group A Runner Up</v>
      </c>
      <c r="O87" s="69"/>
      <c r="P87" s="68"/>
      <c r="Q87" s="125"/>
      <c r="R87" s="124"/>
      <c r="S87" s="125"/>
      <c r="T87" s="125"/>
      <c r="U87" s="125"/>
      <c r="V87" s="125"/>
      <c r="W87" s="125"/>
      <c r="X87" s="125"/>
      <c r="Y87" s="94" t="str">
        <f>INDEX(Language!$A$1:$AV$115,MATCH("Penalty Shoot Out",Language!$B$1:$B$115,0),MATCH($G$4,Language!$A$1:$AU$1,0))</f>
        <v>Penalty Shoot Out</v>
      </c>
      <c r="Z87" s="125"/>
      <c r="AA87" s="95"/>
      <c r="AB87" s="96" t="s">
        <v>3088</v>
      </c>
      <c r="AC87" s="95"/>
      <c r="AD87" s="125"/>
      <c r="AE87" s="128"/>
      <c r="AF87" s="72"/>
      <c r="AG87" s="78"/>
      <c r="AH87" s="78"/>
      <c r="AJ87" s="73"/>
      <c r="AK87" s="74"/>
      <c r="DE87" s="67"/>
      <c r="DF87" s="67"/>
      <c r="DG87" s="88"/>
      <c r="DH87" s="67"/>
    </row>
    <row r="88" spans="2:112" s="66" customFormat="1" ht="15" customHeight="1">
      <c r="B88" s="124"/>
      <c r="C88" s="124"/>
      <c r="D88" s="127"/>
      <c r="E88" s="127"/>
      <c r="F88" s="125"/>
      <c r="G88" s="126"/>
      <c r="H88" s="94" t="str">
        <f>INDEX(Language!$A$1:$AV$115,MATCH("Normal Time",Language!$B$1:$B$115,0),MATCH($G$4,Language!$A$1:$AU$1,0))</f>
        <v>Normal Time</v>
      </c>
      <c r="I88" s="125"/>
      <c r="J88" s="95"/>
      <c r="K88" s="96" t="s">
        <v>3088</v>
      </c>
      <c r="L88" s="95"/>
      <c r="M88" s="125"/>
      <c r="N88" s="125"/>
      <c r="O88" s="69"/>
      <c r="P88" s="68"/>
      <c r="Q88" s="125"/>
      <c r="R88" s="130"/>
      <c r="S88" s="131"/>
      <c r="T88" s="131"/>
      <c r="U88" s="131"/>
      <c r="V88" s="131"/>
      <c r="W88" s="131"/>
      <c r="X88" s="131"/>
      <c r="Y88" s="131"/>
      <c r="Z88" s="131"/>
      <c r="AA88" s="132"/>
      <c r="AB88" s="131"/>
      <c r="AC88" s="131"/>
      <c r="AD88" s="131"/>
      <c r="AE88" s="131"/>
      <c r="AF88" s="120"/>
      <c r="AG88" s="102"/>
      <c r="AH88" s="78"/>
      <c r="AJ88" s="73"/>
      <c r="AK88" s="74"/>
      <c r="DE88" s="67"/>
      <c r="DF88" s="67"/>
      <c r="DG88" s="88"/>
      <c r="DH88" s="67"/>
    </row>
    <row r="89" spans="2:112" s="66" customFormat="1" ht="15" customHeight="1">
      <c r="B89" s="124"/>
      <c r="C89" s="124"/>
      <c r="D89" s="127"/>
      <c r="E89" s="127"/>
      <c r="F89" s="125"/>
      <c r="G89" s="126"/>
      <c r="H89" s="94" t="str">
        <f>INDEX(Language!$A$1:$AV$115,MATCH("Extra Time",Language!$B$1:$B$115,0),MATCH($G$4,Language!$A$1:$AU$1,0))</f>
        <v>Extra Time</v>
      </c>
      <c r="I89" s="125"/>
      <c r="J89" s="95"/>
      <c r="K89" s="96" t="s">
        <v>3088</v>
      </c>
      <c r="L89" s="95"/>
      <c r="M89" s="125"/>
      <c r="N89" s="125"/>
      <c r="O89" s="69"/>
      <c r="P89" s="68"/>
      <c r="Q89" s="125"/>
      <c r="R89" s="125"/>
      <c r="S89" s="125"/>
      <c r="T89" s="125"/>
      <c r="U89" s="125"/>
      <c r="V89" s="125"/>
      <c r="W89" s="125"/>
      <c r="X89" s="127"/>
      <c r="Y89" s="125"/>
      <c r="Z89" s="125"/>
      <c r="AA89" s="125"/>
      <c r="AB89" s="125"/>
      <c r="AC89" s="72"/>
      <c r="AD89" s="69"/>
      <c r="AE89" s="69"/>
      <c r="AF89" s="79"/>
      <c r="AG89" s="74"/>
      <c r="AH89" s="78"/>
      <c r="DB89" s="67"/>
      <c r="DC89" s="67"/>
      <c r="DD89" s="88"/>
      <c r="DE89" s="67"/>
    </row>
    <row r="90" spans="2:112" s="66" customFormat="1" ht="15" customHeight="1">
      <c r="B90" s="124"/>
      <c r="C90" s="124"/>
      <c r="D90" s="127"/>
      <c r="E90" s="127"/>
      <c r="F90" s="125"/>
      <c r="G90" s="126"/>
      <c r="H90" s="94" t="str">
        <f>INDEX(Language!$A$1:$AV$115,MATCH("Penalty Shoot Out",Language!$B$1:$B$115,0),MATCH($G$4,Language!$A$1:$AU$1,0))</f>
        <v>Penalty Shoot Out</v>
      </c>
      <c r="I90" s="125"/>
      <c r="J90" s="95"/>
      <c r="K90" s="96" t="s">
        <v>3088</v>
      </c>
      <c r="L90" s="95"/>
      <c r="M90" s="125"/>
      <c r="N90" s="125"/>
      <c r="O90" s="69"/>
      <c r="P90" s="68"/>
      <c r="Q90" s="69"/>
      <c r="R90" s="274" t="str">
        <f>INDEX(Language!$A$1:$AV$115,MATCH("Semi Finals",Language!$B$1:$B$115,0),MATCH($G$4,Language!$A$1:$AU$1,0))</f>
        <v>Semi Finals</v>
      </c>
      <c r="S90" s="275"/>
      <c r="T90" s="275"/>
      <c r="U90" s="275"/>
      <c r="V90" s="275"/>
      <c r="W90" s="275"/>
      <c r="X90" s="275"/>
      <c r="Y90" s="275"/>
      <c r="Z90" s="275"/>
      <c r="AA90" s="275"/>
      <c r="AB90" s="275"/>
      <c r="AC90" s="275"/>
      <c r="AD90" s="275"/>
      <c r="AE90" s="275"/>
      <c r="AF90" s="275"/>
      <c r="AG90" s="276"/>
      <c r="AH90" s="78"/>
      <c r="DB90" s="67"/>
      <c r="DC90" s="67"/>
      <c r="DD90" s="88"/>
      <c r="DE90" s="67"/>
    </row>
    <row r="91" spans="2:112" s="66" customFormat="1" ht="15" customHeight="1">
      <c r="B91" s="124"/>
      <c r="C91" s="124"/>
      <c r="D91" s="127"/>
      <c r="E91" s="127"/>
      <c r="F91" s="125"/>
      <c r="G91" s="126"/>
      <c r="H91" s="129"/>
      <c r="I91" s="125"/>
      <c r="J91" s="127"/>
      <c r="K91" s="125"/>
      <c r="L91" s="125"/>
      <c r="M91" s="125"/>
      <c r="N91" s="125"/>
      <c r="O91" s="69"/>
      <c r="P91" s="68"/>
      <c r="Q91" s="125"/>
      <c r="R91" s="124"/>
      <c r="S91" s="125"/>
      <c r="T91" s="125"/>
      <c r="U91" s="125"/>
      <c r="V91" s="125"/>
      <c r="W91" s="125"/>
      <c r="X91" s="125"/>
      <c r="Y91" s="125"/>
      <c r="Z91" s="125"/>
      <c r="AA91" s="127"/>
      <c r="AB91" s="125"/>
      <c r="AC91" s="125"/>
      <c r="AD91" s="125"/>
      <c r="AE91" s="125"/>
      <c r="AF91" s="72"/>
      <c r="AG91" s="78"/>
      <c r="AH91" s="78"/>
      <c r="AJ91" s="73"/>
      <c r="AK91" s="74"/>
      <c r="DE91" s="67"/>
      <c r="DF91" s="67"/>
      <c r="DG91" s="88"/>
      <c r="DH91" s="67"/>
    </row>
    <row r="92" spans="2:112" s="66" customFormat="1" ht="15" customHeight="1">
      <c r="B92" s="124"/>
      <c r="C92" s="124"/>
      <c r="D92" s="127"/>
      <c r="E92" s="127"/>
      <c r="F92" s="125"/>
      <c r="G92" s="126"/>
      <c r="H92" s="129"/>
      <c r="I92" s="125"/>
      <c r="J92" s="127"/>
      <c r="K92" s="125"/>
      <c r="L92" s="125"/>
      <c r="M92" s="125"/>
      <c r="N92" s="125"/>
      <c r="O92" s="69"/>
      <c r="P92" s="68"/>
      <c r="Q92" s="125"/>
      <c r="R92" s="124"/>
      <c r="S92" s="125">
        <v>61</v>
      </c>
      <c r="T92" s="92">
        <f>U92</f>
        <v>41828.708333333336</v>
      </c>
      <c r="U92" s="93">
        <f>'Countries and Timezone'!R62</f>
        <v>41828.708333333336</v>
      </c>
      <c r="V92" s="93"/>
      <c r="W92" s="93"/>
      <c r="X92" s="93"/>
      <c r="Y92" s="94" t="str">
        <f>IF(AND(AA74&lt;&gt;"",AC74&lt;&gt;"",AA74&lt;&gt;AC74),IF(AA74&gt;AC74,Y74,AE74),INDEX(Language!$A$1:$AV$115,MATCH("Match 57 Winner",Language!$B$1:$B$115,0),MATCH($G$4,Language!$A$1:$AU$1,0)))</f>
        <v>Match 57 Winner</v>
      </c>
      <c r="Z92" s="125"/>
      <c r="AA92" s="70" t="str">
        <f>IF(AA93="","",IF(AND(AA93=AC93,AA93&lt;&gt;"",AC93&lt;&gt;""),IF(AND(AA94=AC94,AA94&lt;&gt;"",AC94&lt;&gt;""),IF(AND(AA95=AC95,AA95&lt;&gt;"",AC95&lt;&gt;""),"",AA93+AA94+AA95),AA93+AA94),AA93))</f>
        <v/>
      </c>
      <c r="AB92" s="96" t="s">
        <v>3088</v>
      </c>
      <c r="AC92" s="70" t="str">
        <f>IF(AC93="","",IF(AND(AA93=AC93,AA93&lt;&gt;"",AC93&lt;&gt;""),IF(AND(AA94=AC94,AA94&lt;&gt;"",AC94&lt;&gt;""),IF(AND(AA95=AC95,AA95&lt;&gt;"",AC95&lt;&gt;""),"",AC93+AC94+AC95),AC93+AC94),AC93))</f>
        <v/>
      </c>
      <c r="AD92" s="125"/>
      <c r="AE92" s="69" t="str">
        <f>IF(AND(AA69&lt;&gt;"",AC69&lt;&gt;"",AA69&lt;&gt;AC69),IF(AA69&gt;AC69,Y69,AE69),INDEX(Language!$A$1:$AV$115,MATCH("Match 58 Winner",Language!$B$1:$B$115,0),MATCH($G$4,Language!$A$1:$AU$1,0)))</f>
        <v>Match 58 Winner</v>
      </c>
      <c r="AF92" s="72"/>
      <c r="AG92" s="78"/>
      <c r="AH92" s="78"/>
      <c r="AJ92" s="73"/>
      <c r="AK92" s="74"/>
      <c r="DE92" s="67"/>
      <c r="DF92" s="67"/>
      <c r="DG92" s="88"/>
      <c r="DH92" s="67"/>
    </row>
    <row r="93" spans="2:112" s="66" customFormat="1" ht="15" customHeight="1">
      <c r="B93" s="124"/>
      <c r="C93" s="124"/>
      <c r="D93" s="127">
        <v>53</v>
      </c>
      <c r="E93" s="127"/>
      <c r="F93" s="92">
        <f>G93</f>
        <v>41820.541666666664</v>
      </c>
      <c r="G93" s="93">
        <f>'Countries and Timezone'!R54</f>
        <v>41820.541666666664</v>
      </c>
      <c r="H93" s="94" t="str">
        <f>IF(Tournament!$V$39=3,Tournament!$T$39,INDEX(Language!$A$1:$AV$115,MATCH("Group E Winner",Language!$B$1:$B$115,0),MATCH($G$4,Language!$A$1:$AU$1,0)))</f>
        <v>Group E Winner</v>
      </c>
      <c r="I93" s="69"/>
      <c r="J93" s="70" t="str">
        <f>IF(J94="","",IF(AND(J94=L94,J94&lt;&gt;"",L94&lt;&gt;""),IF(AND(J95=L95,J95&lt;&gt;"",L95&lt;&gt;""),IF(AND(J96=L96,J96&lt;&gt;"",L96&lt;&gt;""),"",J94+J95+J96),J94+J95),J94))</f>
        <v/>
      </c>
      <c r="K93" s="96" t="s">
        <v>3088</v>
      </c>
      <c r="L93" s="70" t="str">
        <f>IF(L94="","",IF(AND(J94=L94,J94&lt;&gt;"",L94&lt;&gt;""),IF(AND(J95=L95,J95&lt;&gt;"",L95&lt;&gt;""),IF(AND(J96=L96,J96&lt;&gt;"",L96&lt;&gt;""),"",L94+L95+L96),L94+L95),L94))</f>
        <v/>
      </c>
      <c r="M93" s="69"/>
      <c r="N93" s="69" t="str">
        <f>IF(Tournament!$V$46=3,Tournament!$T$46,INDEX(Language!$A$1:$AV$115,MATCH("Group F Runner Up",Language!$B$1:$B$115,0),MATCH($G$4,Language!$A$1:$AU$1,0)))</f>
        <v>Group F Runner Up</v>
      </c>
      <c r="O93" s="69"/>
      <c r="P93" s="68"/>
      <c r="Q93" s="125"/>
      <c r="R93" s="124"/>
      <c r="S93" s="125"/>
      <c r="T93" s="125"/>
      <c r="U93" s="125"/>
      <c r="V93" s="125"/>
      <c r="W93" s="125"/>
      <c r="X93" s="125"/>
      <c r="Y93" s="94" t="str">
        <f>INDEX(Language!$A$1:$AV$115,MATCH("Normal Time",Language!$B$1:$B$115,0),MATCH($G$4,Language!$A$1:$AU$1,0))</f>
        <v>Normal Time</v>
      </c>
      <c r="Z93" s="125"/>
      <c r="AA93" s="95"/>
      <c r="AB93" s="96" t="s">
        <v>3088</v>
      </c>
      <c r="AC93" s="95"/>
      <c r="AD93" s="125"/>
      <c r="AE93" s="128"/>
      <c r="AF93" s="72"/>
      <c r="AG93" s="78"/>
      <c r="AH93" s="78"/>
      <c r="AJ93" s="73"/>
      <c r="AK93" s="74"/>
      <c r="DE93" s="67"/>
      <c r="DF93" s="67"/>
      <c r="DG93" s="88"/>
      <c r="DH93" s="67"/>
    </row>
    <row r="94" spans="2:112" s="66" customFormat="1" ht="15" customHeight="1">
      <c r="B94" s="68"/>
      <c r="C94" s="124"/>
      <c r="D94" s="127"/>
      <c r="E94" s="127"/>
      <c r="F94" s="125"/>
      <c r="G94" s="126"/>
      <c r="H94" s="94" t="str">
        <f>INDEX(Language!$A$1:$AV$115,MATCH("Normal Time",Language!$B$1:$B$115,0),MATCH($G$4,Language!$A$1:$AU$1,0))</f>
        <v>Normal Time</v>
      </c>
      <c r="I94" s="125"/>
      <c r="J94" s="95"/>
      <c r="K94" s="96" t="s">
        <v>3088</v>
      </c>
      <c r="L94" s="95"/>
      <c r="M94" s="125"/>
      <c r="N94" s="125"/>
      <c r="O94" s="69"/>
      <c r="P94" s="68"/>
      <c r="Q94" s="125"/>
      <c r="R94" s="124"/>
      <c r="S94" s="125"/>
      <c r="T94" s="125"/>
      <c r="U94" s="125"/>
      <c r="V94" s="125"/>
      <c r="W94" s="125"/>
      <c r="X94" s="125"/>
      <c r="Y94" s="94" t="str">
        <f>INDEX(Language!$A$1:$AV$115,MATCH("Extra Time",Language!$B$1:$B$115,0),MATCH($G$4,Language!$A$1:$AU$1,0))</f>
        <v>Extra Time</v>
      </c>
      <c r="Z94" s="125"/>
      <c r="AA94" s="95"/>
      <c r="AB94" s="96" t="s">
        <v>3088</v>
      </c>
      <c r="AC94" s="95"/>
      <c r="AD94" s="125"/>
      <c r="AE94" s="128"/>
      <c r="AF94" s="72"/>
      <c r="AG94" s="78"/>
      <c r="AH94" s="78"/>
      <c r="AJ94" s="73"/>
      <c r="AK94" s="74"/>
      <c r="DE94" s="67"/>
      <c r="DF94" s="67"/>
      <c r="DG94" s="88"/>
      <c r="DH94" s="67"/>
    </row>
    <row r="95" spans="2:112" s="66" customFormat="1" ht="15" customHeight="1">
      <c r="B95" s="68"/>
      <c r="C95" s="124"/>
      <c r="D95" s="127"/>
      <c r="E95" s="127"/>
      <c r="F95" s="125"/>
      <c r="G95" s="126"/>
      <c r="H95" s="94" t="str">
        <f>INDEX(Language!$A$1:$AV$115,MATCH("Extra Time",Language!$B$1:$B$115,0),MATCH($G$4,Language!$A$1:$AU$1,0))</f>
        <v>Extra Time</v>
      </c>
      <c r="I95" s="125"/>
      <c r="J95" s="95"/>
      <c r="K95" s="96" t="s">
        <v>3088</v>
      </c>
      <c r="L95" s="95"/>
      <c r="M95" s="125"/>
      <c r="N95" s="125"/>
      <c r="O95" s="69"/>
      <c r="P95" s="68"/>
      <c r="Q95" s="125"/>
      <c r="R95" s="124"/>
      <c r="S95" s="125"/>
      <c r="T95" s="125"/>
      <c r="U95" s="125"/>
      <c r="V95" s="125"/>
      <c r="W95" s="125"/>
      <c r="X95" s="125"/>
      <c r="Y95" s="94" t="str">
        <f>INDEX(Language!$A$1:$AV$115,MATCH("Penalty Shoot Out",Language!$B$1:$B$115,0),MATCH($G$4,Language!$A$1:$AU$1,0))</f>
        <v>Penalty Shoot Out</v>
      </c>
      <c r="Z95" s="125"/>
      <c r="AA95" s="95"/>
      <c r="AB95" s="96" t="s">
        <v>3088</v>
      </c>
      <c r="AC95" s="95"/>
      <c r="AD95" s="125"/>
      <c r="AE95" s="128"/>
      <c r="AF95" s="72"/>
      <c r="AG95" s="78"/>
      <c r="AH95" s="78"/>
      <c r="AJ95" s="73"/>
      <c r="AK95" s="74"/>
      <c r="DE95" s="67"/>
      <c r="DF95" s="67"/>
      <c r="DG95" s="88"/>
      <c r="DH95" s="67"/>
    </row>
    <row r="96" spans="2:112" s="66" customFormat="1" ht="15" customHeight="1">
      <c r="B96" s="68"/>
      <c r="C96" s="124"/>
      <c r="D96" s="127"/>
      <c r="E96" s="127"/>
      <c r="F96" s="125"/>
      <c r="G96" s="126"/>
      <c r="H96" s="94" t="str">
        <f>INDEX(Language!$A$1:$AV$115,MATCH("Penalty Shoot Out",Language!$B$1:$B$115,0),MATCH($G$4,Language!$A$1:$AU$1,0))</f>
        <v>Penalty Shoot Out</v>
      </c>
      <c r="I96" s="125"/>
      <c r="J96" s="95"/>
      <c r="K96" s="96" t="s">
        <v>3088</v>
      </c>
      <c r="L96" s="95"/>
      <c r="M96" s="125"/>
      <c r="N96" s="125"/>
      <c r="O96" s="69"/>
      <c r="P96" s="68"/>
      <c r="Q96" s="125"/>
      <c r="R96" s="124"/>
      <c r="S96" s="125"/>
      <c r="T96" s="125"/>
      <c r="U96" s="125"/>
      <c r="V96" s="125"/>
      <c r="W96" s="125"/>
      <c r="X96" s="125"/>
      <c r="Y96" s="129"/>
      <c r="Z96" s="125"/>
      <c r="AA96" s="127"/>
      <c r="AB96" s="125"/>
      <c r="AC96" s="125"/>
      <c r="AD96" s="125"/>
      <c r="AE96" s="128"/>
      <c r="AF96" s="72"/>
      <c r="AG96" s="78"/>
      <c r="AH96" s="78"/>
      <c r="AJ96" s="73"/>
      <c r="AK96" s="74"/>
      <c r="DE96" s="67"/>
      <c r="DF96" s="67"/>
      <c r="DG96" s="88"/>
      <c r="DH96" s="67"/>
    </row>
    <row r="97" spans="2:112" s="66" customFormat="1" ht="15" customHeight="1">
      <c r="B97" s="68"/>
      <c r="C97" s="124"/>
      <c r="D97" s="127"/>
      <c r="E97" s="127"/>
      <c r="F97" s="125"/>
      <c r="G97" s="126"/>
      <c r="H97" s="129"/>
      <c r="I97" s="125"/>
      <c r="J97" s="127"/>
      <c r="K97" s="125"/>
      <c r="L97" s="125"/>
      <c r="M97" s="125"/>
      <c r="N97" s="125"/>
      <c r="O97" s="69"/>
      <c r="P97" s="68"/>
      <c r="Q97" s="125"/>
      <c r="R97" s="124"/>
      <c r="S97" s="125">
        <v>62</v>
      </c>
      <c r="T97" s="92">
        <f>U97</f>
        <v>41829.708333333336</v>
      </c>
      <c r="U97" s="93">
        <f>'Countries and Timezone'!R63</f>
        <v>41829.708333333336</v>
      </c>
      <c r="V97" s="93"/>
      <c r="W97" s="93"/>
      <c r="X97" s="93"/>
      <c r="Y97" s="94" t="str">
        <f>IF(AND(AA79&lt;&gt;"",AC79&lt;&gt;"",AA79&lt;&gt;AC79),IF(AA79&gt;AC79,Y79,AE79),INDEX(Language!$A$1:$AV$115,MATCH("Match 59 Winner",Language!$B$1:$B$115,0),MATCH($G$4,Language!$A$1:$AU$1,0)))</f>
        <v>Match 59 Winner</v>
      </c>
      <c r="Z97" s="125"/>
      <c r="AA97" s="70" t="str">
        <f>IF(AA98="","",IF(AND(AA98=AC98,AA98&lt;&gt;"",AC98&lt;&gt;""),IF(AND(AA99=AC99,AA99&lt;&gt;"",AC99&lt;&gt;""),IF(AND(AA100=AC100,AA100&lt;&gt;"",AC100&lt;&gt;""),"",AA98+AA99+AA100),AA98+AA99),AA98))</f>
        <v/>
      </c>
      <c r="AB97" s="96" t="s">
        <v>3088</v>
      </c>
      <c r="AC97" s="70" t="str">
        <f>IF(AC98="","",IF(AND(AA98=AC98,AA98&lt;&gt;"",AC98&lt;&gt;""),IF(AND(AA99=AC99,AA99&lt;&gt;"",AC99&lt;&gt;""),IF(AND(AA100=AC100,AA100&lt;&gt;"",AC100&lt;&gt;""),"",AC98+AC99+AC100),AC98+AC99),AC98))</f>
        <v/>
      </c>
      <c r="AD97" s="125"/>
      <c r="AE97" s="69" t="str">
        <f>IF(AND(AA84&lt;&gt;"",AC84&lt;&gt;"",AA84&lt;&gt;AC84),IF(AA84&gt;AC84,Y84,AE84),INDEX(Language!$A$1:$AV$115,MATCH("Match 60 Winner",Language!$B$1:$B$115,0),MATCH($G$4,Language!$A$1:$AU$1,0)))</f>
        <v>Match 60 Winner</v>
      </c>
      <c r="AF97" s="72"/>
      <c r="AG97" s="78"/>
      <c r="AH97" s="78"/>
      <c r="AJ97" s="73"/>
      <c r="AK97" s="74"/>
      <c r="DE97" s="67"/>
      <c r="DF97" s="67"/>
      <c r="DG97" s="88"/>
      <c r="DH97" s="67"/>
    </row>
    <row r="98" spans="2:112" s="66" customFormat="1" ht="15" customHeight="1">
      <c r="B98" s="68"/>
      <c r="C98" s="124"/>
      <c r="D98" s="127"/>
      <c r="E98" s="127"/>
      <c r="F98" s="125"/>
      <c r="G98" s="126"/>
      <c r="H98" s="129"/>
      <c r="I98" s="125"/>
      <c r="J98" s="127"/>
      <c r="K98" s="125"/>
      <c r="L98" s="125"/>
      <c r="M98" s="125"/>
      <c r="N98" s="125"/>
      <c r="O98" s="69"/>
      <c r="P98" s="68"/>
      <c r="Q98" s="125"/>
      <c r="R98" s="124"/>
      <c r="S98" s="125"/>
      <c r="T98" s="125"/>
      <c r="U98" s="125"/>
      <c r="V98" s="125"/>
      <c r="W98" s="125"/>
      <c r="X98" s="125"/>
      <c r="Y98" s="94" t="str">
        <f>INDEX(Language!$A$1:$AV$115,MATCH("Normal Time",Language!$B$1:$B$115,0),MATCH($G$4,Language!$A$1:$AU$1,0))</f>
        <v>Normal Time</v>
      </c>
      <c r="Z98" s="125"/>
      <c r="AA98" s="95"/>
      <c r="AB98" s="96" t="s">
        <v>3088</v>
      </c>
      <c r="AC98" s="95"/>
      <c r="AD98" s="125"/>
      <c r="AE98" s="128"/>
      <c r="AF98" s="72"/>
      <c r="AG98" s="78"/>
      <c r="AH98" s="78"/>
      <c r="AJ98" s="73"/>
      <c r="AK98" s="74"/>
      <c r="DE98" s="67"/>
      <c r="DF98" s="67"/>
      <c r="DG98" s="88"/>
      <c r="DH98" s="67"/>
    </row>
    <row r="99" spans="2:112" s="66" customFormat="1" ht="15" customHeight="1">
      <c r="B99" s="124"/>
      <c r="C99" s="124"/>
      <c r="D99" s="127">
        <v>54</v>
      </c>
      <c r="E99" s="127"/>
      <c r="F99" s="92">
        <f>G99</f>
        <v>41820.708333333336</v>
      </c>
      <c r="G99" s="93">
        <f>'Countries and Timezone'!R55</f>
        <v>41820.708333333336</v>
      </c>
      <c r="H99" s="94" t="str">
        <f>IF(Tournament!$V$51=3,Tournament!$T$51,INDEX(Language!$A$1:$AV$115,MATCH("Group G Winner",Language!$B$1:$B$115,0),MATCH($G$4,Language!$A$1:$AU$1,0)))</f>
        <v>Group G Winner</v>
      </c>
      <c r="I99" s="69"/>
      <c r="J99" s="70" t="str">
        <f>IF(J100="","",IF(AND(J100=L100,J100&lt;&gt;"",L100&lt;&gt;""),IF(AND(J101=L101,J101&lt;&gt;"",L101&lt;&gt;""),IF(AND(J102=L102,J102&lt;&gt;"",L102&lt;&gt;""),"",J100+J101+J102),J100+J101),J100))</f>
        <v/>
      </c>
      <c r="K99" s="96" t="s">
        <v>3088</v>
      </c>
      <c r="L99" s="70" t="str">
        <f>IF(L100="","",IF(AND(J100=L100,J100&lt;&gt;"",L100&lt;&gt;""),IF(AND(J101=L101,J101&lt;&gt;"",L101&lt;&gt;""),IF(AND(J102=L102,J102&lt;&gt;"",L102&lt;&gt;""),"",L100+L101+L102),L100+L101),L100))</f>
        <v/>
      </c>
      <c r="M99" s="69"/>
      <c r="N99" s="69" t="str">
        <f>IF(Tournament!$V$58=3,Tournament!$T$58,INDEX(Language!$A$1:$AV$115,MATCH("Group H Runner Up",Language!$B$1:$B$115,0),MATCH($G$4,Language!$A$1:$AU$1,0)))</f>
        <v>Group H Runner Up</v>
      </c>
      <c r="O99" s="69"/>
      <c r="P99" s="68"/>
      <c r="Q99" s="125"/>
      <c r="R99" s="124"/>
      <c r="S99" s="125"/>
      <c r="T99" s="125"/>
      <c r="U99" s="125"/>
      <c r="V99" s="125"/>
      <c r="W99" s="125"/>
      <c r="X99" s="125"/>
      <c r="Y99" s="94" t="str">
        <f>INDEX(Language!$A$1:$AV$115,MATCH("Extra Time",Language!$B$1:$B$115,0),MATCH($G$4,Language!$A$1:$AU$1,0))</f>
        <v>Extra Time</v>
      </c>
      <c r="Z99" s="125"/>
      <c r="AA99" s="95"/>
      <c r="AB99" s="96" t="s">
        <v>3088</v>
      </c>
      <c r="AC99" s="95"/>
      <c r="AD99" s="125"/>
      <c r="AE99" s="128"/>
      <c r="AF99" s="72"/>
      <c r="AG99" s="78"/>
      <c r="AH99" s="78"/>
      <c r="AJ99" s="73"/>
      <c r="AK99" s="74"/>
      <c r="DE99" s="67"/>
      <c r="DF99" s="67"/>
      <c r="DG99" s="88"/>
      <c r="DH99" s="67"/>
    </row>
    <row r="100" spans="2:112" s="66" customFormat="1" ht="15" customHeight="1">
      <c r="B100" s="124"/>
      <c r="C100" s="124"/>
      <c r="D100" s="127"/>
      <c r="E100" s="127"/>
      <c r="F100" s="125"/>
      <c r="G100" s="126"/>
      <c r="H100" s="94" t="str">
        <f>INDEX(Language!$A$1:$AV$115,MATCH("Normal Time",Language!$B$1:$B$115,0),MATCH($G$4,Language!$A$1:$AU$1,0))</f>
        <v>Normal Time</v>
      </c>
      <c r="I100" s="125"/>
      <c r="J100" s="95"/>
      <c r="K100" s="96" t="s">
        <v>3088</v>
      </c>
      <c r="L100" s="95"/>
      <c r="M100" s="125"/>
      <c r="N100" s="125"/>
      <c r="O100" s="69"/>
      <c r="P100" s="68"/>
      <c r="Q100" s="125"/>
      <c r="R100" s="124"/>
      <c r="S100" s="125"/>
      <c r="T100" s="125"/>
      <c r="U100" s="125"/>
      <c r="V100" s="125"/>
      <c r="W100" s="125"/>
      <c r="X100" s="125"/>
      <c r="Y100" s="94" t="str">
        <f>INDEX(Language!$A$1:$AV$115,MATCH("Penalty Shoot Out",Language!$B$1:$B$115,0),MATCH($G$4,Language!$A$1:$AU$1,0))</f>
        <v>Penalty Shoot Out</v>
      </c>
      <c r="Z100" s="125"/>
      <c r="AA100" s="95"/>
      <c r="AB100" s="96" t="s">
        <v>3088</v>
      </c>
      <c r="AC100" s="95"/>
      <c r="AD100" s="125"/>
      <c r="AE100" s="128"/>
      <c r="AF100" s="72"/>
      <c r="AG100" s="78"/>
      <c r="AH100" s="78"/>
      <c r="AJ100" s="73"/>
      <c r="AK100" s="74"/>
      <c r="DE100" s="67"/>
      <c r="DF100" s="67"/>
      <c r="DG100" s="88"/>
      <c r="DH100" s="67"/>
    </row>
    <row r="101" spans="2:112" s="66" customFormat="1" ht="15" customHeight="1">
      <c r="B101" s="124"/>
      <c r="C101" s="124"/>
      <c r="D101" s="127"/>
      <c r="E101" s="127"/>
      <c r="F101" s="125"/>
      <c r="G101" s="126"/>
      <c r="H101" s="94" t="str">
        <f>INDEX(Language!$A$1:$AV$115,MATCH("Extra Time",Language!$B$1:$B$115,0),MATCH($G$4,Language!$A$1:$AU$1,0))</f>
        <v>Extra Time</v>
      </c>
      <c r="I101" s="125"/>
      <c r="J101" s="95"/>
      <c r="K101" s="96" t="s">
        <v>3088</v>
      </c>
      <c r="L101" s="95"/>
      <c r="M101" s="125"/>
      <c r="N101" s="125"/>
      <c r="O101" s="69"/>
      <c r="P101" s="68"/>
      <c r="Q101" s="125"/>
      <c r="R101" s="130"/>
      <c r="S101" s="131"/>
      <c r="T101" s="131"/>
      <c r="U101" s="131"/>
      <c r="V101" s="131"/>
      <c r="W101" s="131"/>
      <c r="X101" s="131"/>
      <c r="Y101" s="131"/>
      <c r="Z101" s="131"/>
      <c r="AA101" s="132"/>
      <c r="AB101" s="131"/>
      <c r="AC101" s="131"/>
      <c r="AD101" s="131"/>
      <c r="AE101" s="131"/>
      <c r="AF101" s="120"/>
      <c r="AG101" s="102"/>
      <c r="AH101" s="78"/>
      <c r="AJ101" s="73"/>
      <c r="AK101" s="74"/>
      <c r="DE101" s="67"/>
      <c r="DF101" s="67"/>
      <c r="DG101" s="88"/>
      <c r="DH101" s="67"/>
    </row>
    <row r="102" spans="2:112" s="66" customFormat="1" ht="15" customHeight="1">
      <c r="B102" s="124"/>
      <c r="C102" s="124"/>
      <c r="D102" s="127"/>
      <c r="E102" s="127"/>
      <c r="F102" s="125"/>
      <c r="G102" s="126"/>
      <c r="H102" s="94" t="str">
        <f>INDEX(Language!$A$1:$AV$115,MATCH("Penalty Shoot Out",Language!$B$1:$B$115,0),MATCH($G$4,Language!$A$1:$AU$1,0))</f>
        <v>Penalty Shoot Out</v>
      </c>
      <c r="I102" s="125"/>
      <c r="J102" s="95"/>
      <c r="K102" s="96" t="s">
        <v>3088</v>
      </c>
      <c r="L102" s="95"/>
      <c r="M102" s="125"/>
      <c r="N102" s="125"/>
      <c r="O102" s="69"/>
      <c r="P102" s="68"/>
      <c r="Q102" s="125"/>
      <c r="R102" s="125"/>
      <c r="S102" s="125"/>
      <c r="T102" s="125"/>
      <c r="U102" s="125"/>
      <c r="V102" s="125"/>
      <c r="W102" s="125"/>
      <c r="X102" s="127"/>
      <c r="Y102" s="125"/>
      <c r="Z102" s="125"/>
      <c r="AA102" s="125"/>
      <c r="AB102" s="125"/>
      <c r="AC102" s="72"/>
      <c r="AD102" s="69"/>
      <c r="AE102" s="69"/>
      <c r="AF102" s="79"/>
      <c r="AG102" s="74"/>
      <c r="AH102" s="78"/>
      <c r="DB102" s="67"/>
      <c r="DC102" s="67"/>
      <c r="DD102" s="88"/>
      <c r="DE102" s="67"/>
    </row>
    <row r="103" spans="2:112" s="66" customFormat="1" ht="15" customHeight="1">
      <c r="B103" s="124"/>
      <c r="C103" s="124"/>
      <c r="D103" s="127"/>
      <c r="E103" s="127"/>
      <c r="F103" s="125"/>
      <c r="G103" s="126"/>
      <c r="H103" s="129"/>
      <c r="I103" s="125"/>
      <c r="J103" s="127"/>
      <c r="K103" s="125"/>
      <c r="L103" s="125"/>
      <c r="M103" s="125"/>
      <c r="N103" s="125"/>
      <c r="O103" s="69"/>
      <c r="P103" s="68"/>
      <c r="Q103" s="69"/>
      <c r="R103" s="274" t="str">
        <f>INDEX(Language!$A$1:$AV$115,MATCH("Match for Third Place",Language!$B$1:$B$115,0),MATCH($G$4,Language!$A$1:$AU$1,0))</f>
        <v>Match for Third Place</v>
      </c>
      <c r="S103" s="275"/>
      <c r="T103" s="275"/>
      <c r="U103" s="275"/>
      <c r="V103" s="275"/>
      <c r="W103" s="275"/>
      <c r="X103" s="275"/>
      <c r="Y103" s="275"/>
      <c r="Z103" s="275"/>
      <c r="AA103" s="275"/>
      <c r="AB103" s="275"/>
      <c r="AC103" s="275"/>
      <c r="AD103" s="275"/>
      <c r="AE103" s="275"/>
      <c r="AF103" s="275"/>
      <c r="AG103" s="276"/>
      <c r="AH103" s="78"/>
      <c r="DB103" s="67"/>
      <c r="DC103" s="67"/>
      <c r="DD103" s="88"/>
      <c r="DE103" s="67"/>
    </row>
    <row r="104" spans="2:112" s="66" customFormat="1" ht="15" customHeight="1">
      <c r="B104" s="124"/>
      <c r="C104" s="124"/>
      <c r="D104" s="127"/>
      <c r="E104" s="127"/>
      <c r="F104" s="125"/>
      <c r="G104" s="126"/>
      <c r="H104" s="129"/>
      <c r="I104" s="125"/>
      <c r="J104" s="127"/>
      <c r="K104" s="125"/>
      <c r="L104" s="125"/>
      <c r="M104" s="125"/>
      <c r="N104" s="125"/>
      <c r="O104" s="69"/>
      <c r="P104" s="68"/>
      <c r="Q104" s="125"/>
      <c r="R104" s="124"/>
      <c r="S104" s="125"/>
      <c r="T104" s="125"/>
      <c r="U104" s="125"/>
      <c r="V104" s="125"/>
      <c r="W104" s="125"/>
      <c r="X104" s="125"/>
      <c r="Y104" s="125"/>
      <c r="Z104" s="125"/>
      <c r="AA104" s="127"/>
      <c r="AB104" s="125"/>
      <c r="AC104" s="125"/>
      <c r="AD104" s="125"/>
      <c r="AE104" s="125"/>
      <c r="AF104" s="72"/>
      <c r="AG104" s="78"/>
      <c r="AH104" s="78"/>
      <c r="AJ104" s="73"/>
      <c r="AK104" s="74"/>
      <c r="DE104" s="67"/>
      <c r="DF104" s="67"/>
      <c r="DG104" s="88"/>
      <c r="DH104" s="67"/>
    </row>
    <row r="105" spans="2:112" s="66" customFormat="1" ht="15" customHeight="1">
      <c r="B105" s="124"/>
      <c r="C105" s="124"/>
      <c r="D105" s="127">
        <v>55</v>
      </c>
      <c r="E105" s="127"/>
      <c r="F105" s="92">
        <f>G105</f>
        <v>41821.541666666664</v>
      </c>
      <c r="G105" s="93">
        <f>'Countries and Timezone'!R56</f>
        <v>41821.541666666664</v>
      </c>
      <c r="H105" s="94" t="str">
        <f>IF(Tournament!$V$45=3,Tournament!$T$45,INDEX(Language!$A$1:$AV$115,MATCH("Group F Winner",Language!$B$1:$B$115,0),MATCH($G$4,Language!$A$1:$AU$1,0)))</f>
        <v>Group F Winner</v>
      </c>
      <c r="I105" s="69"/>
      <c r="J105" s="70" t="str">
        <f>IF(J106="","",IF(AND(J106=L106,J106&lt;&gt;"",L106&lt;&gt;""),IF(AND(J107=L107,J107&lt;&gt;"",L107&lt;&gt;""),IF(AND(J108=L108,J108&lt;&gt;"",L108&lt;&gt;""),"",J106+J107+J108),J106+J107),J106))</f>
        <v/>
      </c>
      <c r="K105" s="96" t="s">
        <v>3088</v>
      </c>
      <c r="L105" s="70" t="str">
        <f>IF(L106="","",IF(AND(J106=L106,J106&lt;&gt;"",L106&lt;&gt;""),IF(AND(J107=L107,J107&lt;&gt;"",L107&lt;&gt;""),IF(AND(J108=L108,J108&lt;&gt;"",L108&lt;&gt;""),"",L106+L107+L108),L106+L107),L106))</f>
        <v/>
      </c>
      <c r="M105" s="69"/>
      <c r="N105" s="69" t="str">
        <f>IF(Tournament!$V$40=3,Tournament!$T$40,INDEX(Language!$A$1:$AV$115,MATCH("Group E Runner Up",Language!$B$1:$B$115,0),MATCH($G$4,Language!$A$1:$AU$1,0)))</f>
        <v>Group E Runner Up</v>
      </c>
      <c r="O105" s="69"/>
      <c r="P105" s="68"/>
      <c r="Q105" s="125"/>
      <c r="R105" s="124"/>
      <c r="S105" s="125">
        <v>63</v>
      </c>
      <c r="T105" s="92">
        <f>U105</f>
        <v>41832.708333333336</v>
      </c>
      <c r="U105" s="93">
        <f>'Countries and Timezone'!R64</f>
        <v>41832.708333333336</v>
      </c>
      <c r="V105" s="93"/>
      <c r="W105" s="93"/>
      <c r="X105" s="93"/>
      <c r="Y105" s="94" t="str">
        <f>IF(AND(AA92&lt;&gt;"",AC92&lt;&gt;"",AA92&lt;&gt;AC92),IF(AA92&lt;AC92,Y92,AE92),INDEX(Language!$A$1:$AV$115,MATCH("Match 61 Loser",Language!$B$1:$B$115,0),MATCH($G$4,Language!$A$1:$AU$1,0)))</f>
        <v>Match 61 Loser</v>
      </c>
      <c r="Z105" s="125"/>
      <c r="AA105" s="70" t="str">
        <f>IF(AA106="","",IF(AND(AA106=AC106,AA106&lt;&gt;"",AC106&lt;&gt;""),IF(AND(AA107=AC107,AA107&lt;&gt;"",AC107&lt;&gt;""),IF(AND(AA108=AC108,AA108&lt;&gt;"",AC108&lt;&gt;""),"",AA106+AA107+AA108),AA106+AA107),AA106))</f>
        <v/>
      </c>
      <c r="AB105" s="96" t="s">
        <v>3088</v>
      </c>
      <c r="AC105" s="70" t="str">
        <f>IF(AC106="","",IF(AND(AA106=AC106,AA106&lt;&gt;"",AC106&lt;&gt;""),IF(AND(AA107=AC107,AA107&lt;&gt;"",AC107&lt;&gt;""),IF(AND(AA108=AC108,AA108&lt;&gt;"",AC108&lt;&gt;""),"",AC106+AC107+AC108),AC106+AC107),AC106))</f>
        <v/>
      </c>
      <c r="AD105" s="125"/>
      <c r="AE105" s="69" t="str">
        <f>IF(AND(AA97&lt;&gt;"",AC97&lt;&gt;"",AA97&lt;&gt;AC97),IF(AA97&lt;AC97,Y97,AE97),INDEX(Language!$A$1:$AV$115,MATCH("Match 62 Loser",Language!$B$1:$B$115,0),MATCH($G$4,Language!$A$1:$AU$1,0)))</f>
        <v>Match 62 Loser</v>
      </c>
      <c r="AF105" s="72"/>
      <c r="AG105" s="78"/>
      <c r="AH105" s="78"/>
      <c r="AJ105" s="73"/>
      <c r="AK105" s="74"/>
      <c r="DE105" s="67"/>
      <c r="DF105" s="67"/>
      <c r="DG105" s="88"/>
      <c r="DH105" s="67"/>
    </row>
    <row r="106" spans="2:112" s="66" customFormat="1" ht="15" customHeight="1">
      <c r="B106" s="124"/>
      <c r="C106" s="124"/>
      <c r="D106" s="127"/>
      <c r="E106" s="127"/>
      <c r="F106" s="125"/>
      <c r="G106" s="126"/>
      <c r="H106" s="94" t="str">
        <f>INDEX(Language!$A$1:$AV$115,MATCH("Normal Time",Language!$B$1:$B$115,0),MATCH($G$4,Language!$A$1:$AU$1,0))</f>
        <v>Normal Time</v>
      </c>
      <c r="I106" s="125"/>
      <c r="J106" s="95"/>
      <c r="K106" s="96" t="s">
        <v>3088</v>
      </c>
      <c r="L106" s="95"/>
      <c r="M106" s="125"/>
      <c r="N106" s="125"/>
      <c r="O106" s="69"/>
      <c r="P106" s="68"/>
      <c r="Q106" s="125"/>
      <c r="R106" s="124"/>
      <c r="S106" s="125"/>
      <c r="T106" s="125"/>
      <c r="U106" s="125"/>
      <c r="V106" s="125"/>
      <c r="W106" s="125"/>
      <c r="X106" s="125"/>
      <c r="Y106" s="94" t="str">
        <f>INDEX(Language!$A$1:$AV$115,MATCH("Normal Time",Language!$B$1:$B$115,0),MATCH($G$4,Language!$A$1:$AU$1,0))</f>
        <v>Normal Time</v>
      </c>
      <c r="Z106" s="125"/>
      <c r="AA106" s="95"/>
      <c r="AB106" s="96" t="s">
        <v>3088</v>
      </c>
      <c r="AC106" s="95"/>
      <c r="AD106" s="125"/>
      <c r="AE106" s="125"/>
      <c r="AF106" s="72"/>
      <c r="AG106" s="78"/>
      <c r="AH106" s="78"/>
      <c r="AJ106" s="73"/>
      <c r="AK106" s="74"/>
      <c r="DE106" s="67"/>
      <c r="DF106" s="67"/>
      <c r="DG106" s="88"/>
      <c r="DH106" s="67"/>
    </row>
    <row r="107" spans="2:112" s="66" customFormat="1" ht="15" customHeight="1">
      <c r="B107" s="124"/>
      <c r="C107" s="124"/>
      <c r="D107" s="127"/>
      <c r="E107" s="127"/>
      <c r="F107" s="125"/>
      <c r="G107" s="126"/>
      <c r="H107" s="94" t="str">
        <f>INDEX(Language!$A$1:$AV$115,MATCH("Extra Time",Language!$B$1:$B$115,0),MATCH($G$4,Language!$A$1:$AU$1,0))</f>
        <v>Extra Time</v>
      </c>
      <c r="I107" s="125"/>
      <c r="J107" s="95"/>
      <c r="K107" s="96" t="s">
        <v>3088</v>
      </c>
      <c r="L107" s="95"/>
      <c r="M107" s="125"/>
      <c r="N107" s="125"/>
      <c r="O107" s="69"/>
      <c r="P107" s="68"/>
      <c r="Q107" s="125"/>
      <c r="R107" s="124"/>
      <c r="S107" s="125"/>
      <c r="T107" s="125"/>
      <c r="U107" s="125"/>
      <c r="V107" s="125"/>
      <c r="W107" s="125"/>
      <c r="X107" s="125"/>
      <c r="Y107" s="94" t="str">
        <f>INDEX(Language!$A$1:$AV$115,MATCH("Extra Time",Language!$B$1:$B$115,0),MATCH($G$4,Language!$A$1:$AU$1,0))</f>
        <v>Extra Time</v>
      </c>
      <c r="Z107" s="125"/>
      <c r="AA107" s="95"/>
      <c r="AB107" s="96" t="s">
        <v>3088</v>
      </c>
      <c r="AC107" s="95"/>
      <c r="AD107" s="125"/>
      <c r="AE107" s="125"/>
      <c r="AF107" s="72"/>
      <c r="AG107" s="78"/>
      <c r="AH107" s="78"/>
      <c r="AJ107" s="73"/>
      <c r="AK107" s="74"/>
      <c r="DE107" s="67"/>
      <c r="DF107" s="67"/>
      <c r="DG107" s="88"/>
      <c r="DH107" s="67"/>
    </row>
    <row r="108" spans="2:112" s="66" customFormat="1" ht="15" customHeight="1">
      <c r="B108" s="124"/>
      <c r="C108" s="124"/>
      <c r="D108" s="127"/>
      <c r="E108" s="127"/>
      <c r="F108" s="125"/>
      <c r="G108" s="126"/>
      <c r="H108" s="94" t="str">
        <f>INDEX(Language!$A$1:$AV$115,MATCH("Penalty Shoot Out",Language!$B$1:$B$115,0),MATCH($G$4,Language!$A$1:$AU$1,0))</f>
        <v>Penalty Shoot Out</v>
      </c>
      <c r="I108" s="125"/>
      <c r="J108" s="95"/>
      <c r="K108" s="96" t="s">
        <v>3088</v>
      </c>
      <c r="L108" s="95"/>
      <c r="M108" s="125"/>
      <c r="N108" s="125"/>
      <c r="O108" s="69"/>
      <c r="P108" s="68"/>
      <c r="Q108" s="125"/>
      <c r="R108" s="124"/>
      <c r="S108" s="125"/>
      <c r="T108" s="125"/>
      <c r="U108" s="125"/>
      <c r="V108" s="125"/>
      <c r="W108" s="125"/>
      <c r="X108" s="125"/>
      <c r="Y108" s="94" t="str">
        <f>INDEX(Language!$A$1:$AV$115,MATCH("Penalty Shoot Out",Language!$B$1:$B$115,0),MATCH($G$4,Language!$A$1:$AU$1,0))</f>
        <v>Penalty Shoot Out</v>
      </c>
      <c r="Z108" s="125"/>
      <c r="AA108" s="95"/>
      <c r="AB108" s="96" t="s">
        <v>3088</v>
      </c>
      <c r="AC108" s="95"/>
      <c r="AD108" s="125"/>
      <c r="AE108" s="125"/>
      <c r="AF108" s="72"/>
      <c r="AG108" s="78"/>
      <c r="AH108" s="78"/>
      <c r="AJ108" s="73"/>
      <c r="AK108" s="74"/>
      <c r="DE108" s="67"/>
      <c r="DF108" s="67"/>
      <c r="DG108" s="88"/>
      <c r="DH108" s="67"/>
    </row>
    <row r="109" spans="2:112" s="66" customFormat="1" ht="15" customHeight="1">
      <c r="B109" s="124"/>
      <c r="C109" s="124"/>
      <c r="D109" s="127"/>
      <c r="E109" s="127"/>
      <c r="F109" s="125"/>
      <c r="G109" s="126"/>
      <c r="H109" s="129"/>
      <c r="I109" s="125"/>
      <c r="J109" s="127"/>
      <c r="K109" s="125"/>
      <c r="L109" s="125"/>
      <c r="M109" s="125"/>
      <c r="N109" s="125"/>
      <c r="O109" s="69"/>
      <c r="P109" s="68"/>
      <c r="Q109" s="125"/>
      <c r="R109" s="130"/>
      <c r="S109" s="131"/>
      <c r="T109" s="131"/>
      <c r="U109" s="131"/>
      <c r="V109" s="131"/>
      <c r="W109" s="131"/>
      <c r="X109" s="131"/>
      <c r="Y109" s="131"/>
      <c r="Z109" s="131"/>
      <c r="AA109" s="132"/>
      <c r="AB109" s="131"/>
      <c r="AC109" s="131"/>
      <c r="AD109" s="131"/>
      <c r="AE109" s="131"/>
      <c r="AF109" s="120"/>
      <c r="AG109" s="102"/>
      <c r="AH109" s="78"/>
      <c r="AJ109" s="73"/>
      <c r="AK109" s="74"/>
      <c r="DE109" s="67"/>
      <c r="DF109" s="67"/>
      <c r="DG109" s="88"/>
      <c r="DH109" s="67"/>
    </row>
    <row r="110" spans="2:112" s="66" customFormat="1" ht="15" customHeight="1">
      <c r="B110" s="124"/>
      <c r="C110" s="124"/>
      <c r="D110" s="127"/>
      <c r="E110" s="127"/>
      <c r="F110" s="125"/>
      <c r="G110" s="126"/>
      <c r="H110" s="129"/>
      <c r="I110" s="125"/>
      <c r="J110" s="127"/>
      <c r="K110" s="125"/>
      <c r="L110" s="125"/>
      <c r="M110" s="125"/>
      <c r="N110" s="125"/>
      <c r="O110" s="69"/>
      <c r="P110" s="68"/>
      <c r="Q110" s="125"/>
      <c r="R110" s="125"/>
      <c r="S110" s="125"/>
      <c r="T110" s="125"/>
      <c r="U110" s="125"/>
      <c r="V110" s="125"/>
      <c r="W110" s="125"/>
      <c r="X110" s="127"/>
      <c r="Y110" s="125"/>
      <c r="Z110" s="125"/>
      <c r="AA110" s="125"/>
      <c r="AB110" s="125"/>
      <c r="AC110" s="72"/>
      <c r="AD110" s="69"/>
      <c r="AE110" s="69"/>
      <c r="AF110" s="79"/>
      <c r="AG110" s="74"/>
      <c r="AH110" s="78"/>
      <c r="DB110" s="67"/>
      <c r="DC110" s="67"/>
      <c r="DD110" s="88"/>
      <c r="DE110" s="67"/>
    </row>
    <row r="111" spans="2:112" s="66" customFormat="1" ht="15" customHeight="1">
      <c r="B111" s="124"/>
      <c r="C111" s="124"/>
      <c r="D111" s="127">
        <v>56</v>
      </c>
      <c r="E111" s="127"/>
      <c r="F111" s="92">
        <f>G111</f>
        <v>41821.708333333336</v>
      </c>
      <c r="G111" s="93">
        <f>'Countries and Timezone'!R57</f>
        <v>41821.708333333336</v>
      </c>
      <c r="H111" s="94" t="str">
        <f>IF(Tournament!$V$57=3,Tournament!$T$57,INDEX(Language!$A$1:$AV$115,MATCH("Group H Winner",Language!$B$1:$B$115,0),MATCH($G$4,Language!$A$1:$AU$1,0)))</f>
        <v>Group H Winner</v>
      </c>
      <c r="I111" s="69"/>
      <c r="J111" s="70" t="str">
        <f>IF(J112="","",IF(AND(J112=L112,J112&lt;&gt;"",L112&lt;&gt;""),IF(AND(J113=L113,J113&lt;&gt;"",L113&lt;&gt;""),IF(AND(J114=L114,J114&lt;&gt;"",L114&lt;&gt;""),"",J112+J113+J114),J112+J113),J112))</f>
        <v/>
      </c>
      <c r="K111" s="96" t="s">
        <v>3088</v>
      </c>
      <c r="L111" s="70" t="str">
        <f>IF(L112="","",IF(AND(J112=L112,J112&lt;&gt;"",L112&lt;&gt;""),IF(AND(J113=L113,J113&lt;&gt;"",L113&lt;&gt;""),IF(AND(J114=L114,J114&lt;&gt;"",L114&lt;&gt;""),"",L112+L113+L114),L112+L113),L112))</f>
        <v/>
      </c>
      <c r="M111" s="69"/>
      <c r="N111" s="69" t="str">
        <f>IF(Tournament!$V$52=3,Tournament!$T$52,INDEX(Language!$A$1:$AV$115,MATCH("Group G Runner Up",Language!$B$1:$B$115,0),MATCH($G$4,Language!$A$1:$AU$1,0)))</f>
        <v>Group G Runner Up</v>
      </c>
      <c r="O111" s="69"/>
      <c r="P111" s="68"/>
      <c r="Q111" s="69"/>
      <c r="R111" s="274" t="str">
        <f>INDEX(Language!$A$1:$AV$115,MATCH("Final",Language!$B$1:$B$115,0),MATCH($G$4,Language!$A$1:$AU$1,0))</f>
        <v>Final</v>
      </c>
      <c r="S111" s="275"/>
      <c r="T111" s="275"/>
      <c r="U111" s="275"/>
      <c r="V111" s="275"/>
      <c r="W111" s="275"/>
      <c r="X111" s="275"/>
      <c r="Y111" s="275"/>
      <c r="Z111" s="275"/>
      <c r="AA111" s="275"/>
      <c r="AB111" s="275"/>
      <c r="AC111" s="275"/>
      <c r="AD111" s="275"/>
      <c r="AE111" s="275"/>
      <c r="AF111" s="275"/>
      <c r="AG111" s="276"/>
      <c r="AH111" s="78"/>
      <c r="DB111" s="67"/>
      <c r="DC111" s="67"/>
      <c r="DD111" s="88"/>
      <c r="DE111" s="67"/>
    </row>
    <row r="112" spans="2:112" s="66" customFormat="1" ht="15" customHeight="1">
      <c r="B112" s="124"/>
      <c r="C112" s="124"/>
      <c r="D112" s="127"/>
      <c r="E112" s="127"/>
      <c r="F112" s="125"/>
      <c r="G112" s="126"/>
      <c r="H112" s="94" t="str">
        <f>INDEX(Language!$A$1:$AV$115,MATCH("Normal Time",Language!$B$1:$B$115,0),MATCH($G$4,Language!$A$1:$AU$1,0))</f>
        <v>Normal Time</v>
      </c>
      <c r="I112" s="125"/>
      <c r="J112" s="95"/>
      <c r="K112" s="96" t="s">
        <v>3088</v>
      </c>
      <c r="L112" s="95"/>
      <c r="M112" s="125"/>
      <c r="N112" s="125"/>
      <c r="O112" s="69"/>
      <c r="P112" s="68"/>
      <c r="Q112" s="125"/>
      <c r="R112" s="124"/>
      <c r="S112" s="125"/>
      <c r="T112" s="125"/>
      <c r="U112" s="125"/>
      <c r="V112" s="125"/>
      <c r="W112" s="125"/>
      <c r="X112" s="125"/>
      <c r="Y112" s="125"/>
      <c r="Z112" s="125"/>
      <c r="AA112" s="127"/>
      <c r="AB112" s="125"/>
      <c r="AC112" s="125"/>
      <c r="AD112" s="125"/>
      <c r="AE112" s="125"/>
      <c r="AF112" s="72"/>
      <c r="AG112" s="78"/>
      <c r="AH112" s="78"/>
      <c r="AJ112" s="73"/>
      <c r="AK112" s="74"/>
      <c r="DE112" s="67"/>
      <c r="DF112" s="67"/>
      <c r="DG112" s="88"/>
      <c r="DH112" s="67"/>
    </row>
    <row r="113" spans="2:112" s="66" customFormat="1" ht="15" customHeight="1">
      <c r="B113" s="124"/>
      <c r="C113" s="124"/>
      <c r="D113" s="127"/>
      <c r="E113" s="127"/>
      <c r="F113" s="125"/>
      <c r="G113" s="126"/>
      <c r="H113" s="94" t="str">
        <f>INDEX(Language!$A$1:$AV$115,MATCH("Extra Time",Language!$B$1:$B$115,0),MATCH($G$4,Language!$A$1:$AU$1,0))</f>
        <v>Extra Time</v>
      </c>
      <c r="I113" s="125"/>
      <c r="J113" s="95"/>
      <c r="K113" s="96" t="s">
        <v>3088</v>
      </c>
      <c r="L113" s="95"/>
      <c r="M113" s="125"/>
      <c r="N113" s="125"/>
      <c r="O113" s="69"/>
      <c r="P113" s="68"/>
      <c r="Q113" s="125"/>
      <c r="R113" s="124"/>
      <c r="S113" s="125">
        <v>64</v>
      </c>
      <c r="T113" s="92">
        <f>U113</f>
        <v>41833.666666666664</v>
      </c>
      <c r="U113" s="93">
        <f>'Countries and Timezone'!R65</f>
        <v>41833.666666666664</v>
      </c>
      <c r="V113" s="93"/>
      <c r="W113" s="93"/>
      <c r="X113" s="93"/>
      <c r="Y113" s="94" t="str">
        <f>IF(AND(AA92&lt;&gt;"",AC92&lt;&gt;"",AA92&lt;&gt;AC92),IF(AA92&gt;AC92,Y92,AE92),INDEX(Language!$A$1:$AV$115,MATCH("Match 61 Winner",Language!$B$1:$B$115,0),MATCH($G$4,Language!$A$1:$AU$1,0)))</f>
        <v>Match 61 Winner</v>
      </c>
      <c r="Z113" s="125"/>
      <c r="AA113" s="70" t="str">
        <f>IF(AA114="","",IF(AND(AA114=AC114,AA114&lt;&gt;"",AC114&lt;&gt;""),IF(AND(AA115=AC115,AA115&lt;&gt;"",AC115&lt;&gt;""),IF(AND(AA116=AC116,AA116&lt;&gt;"",AC116&lt;&gt;""),"",AA114+AA115+AA116),AA114+AA115),AA114))</f>
        <v/>
      </c>
      <c r="AB113" s="96" t="s">
        <v>3088</v>
      </c>
      <c r="AC113" s="70" t="str">
        <f>IF(AC114="","",IF(AND(AA114=AC114,AA114&lt;&gt;"",AC114&lt;&gt;""),IF(AND(AA115=AC115,AA115&lt;&gt;"",AC115&lt;&gt;""),IF(AND(AA116=AC116,AA116&lt;&gt;"",AC116&lt;&gt;""),"",AC114+AC115+AC116),AC114+AC115),AC114))</f>
        <v/>
      </c>
      <c r="AD113" s="125"/>
      <c r="AE113" s="69" t="str">
        <f>IF(AND(AA97&lt;&gt;"",AC97&lt;&gt;"",AA97&lt;&gt;AC97),IF(AA97&gt;AC97,Y97,AE97),INDEX(Language!$A$1:$AV$115,MATCH("Match 62 Winner",Language!$B$1:$B$115,0),MATCH($G$4,Language!$A$1:$AU$1,0)))</f>
        <v>Match 62 Winner</v>
      </c>
      <c r="AF113" s="72"/>
      <c r="AG113" s="78"/>
      <c r="AH113" s="78"/>
      <c r="AJ113" s="73"/>
      <c r="AK113" s="74"/>
      <c r="DE113" s="67"/>
      <c r="DF113" s="67"/>
      <c r="DG113" s="88"/>
      <c r="DH113" s="67"/>
    </row>
    <row r="114" spans="2:112" s="66" customFormat="1" ht="15" customHeight="1">
      <c r="B114" s="124"/>
      <c r="C114" s="124"/>
      <c r="D114" s="127"/>
      <c r="E114" s="127"/>
      <c r="F114" s="125"/>
      <c r="G114" s="126"/>
      <c r="H114" s="94" t="str">
        <f>INDEX(Language!$A$1:$AV$115,MATCH("Penalty Shoot Out",Language!$B$1:$B$115,0),MATCH($G$4,Language!$A$1:$AU$1,0))</f>
        <v>Penalty Shoot Out</v>
      </c>
      <c r="I114" s="125"/>
      <c r="J114" s="95"/>
      <c r="K114" s="96" t="s">
        <v>3088</v>
      </c>
      <c r="L114" s="95"/>
      <c r="M114" s="125"/>
      <c r="N114" s="125"/>
      <c r="O114" s="69"/>
      <c r="P114" s="68"/>
      <c r="Q114" s="125"/>
      <c r="R114" s="124"/>
      <c r="S114" s="125"/>
      <c r="T114" s="125"/>
      <c r="U114" s="125"/>
      <c r="V114" s="125"/>
      <c r="W114" s="125"/>
      <c r="X114" s="125"/>
      <c r="Y114" s="94" t="str">
        <f>INDEX(Language!$A$1:$AV$115,MATCH("Normal Time",Language!$B$1:$B$115,0),MATCH($G$4,Language!$A$1:$AU$1,0))</f>
        <v>Normal Time</v>
      </c>
      <c r="Z114" s="125"/>
      <c r="AA114" s="95"/>
      <c r="AB114" s="96" t="s">
        <v>3088</v>
      </c>
      <c r="AC114" s="95"/>
      <c r="AD114" s="125"/>
      <c r="AE114" s="125"/>
      <c r="AF114" s="72"/>
      <c r="AG114" s="78"/>
      <c r="AH114" s="78"/>
      <c r="AJ114" s="73"/>
      <c r="AK114" s="74"/>
      <c r="DE114" s="67"/>
      <c r="DF114" s="67"/>
      <c r="DG114" s="88"/>
      <c r="DH114" s="67"/>
    </row>
    <row r="115" spans="2:112" s="66" customFormat="1" ht="15" customHeight="1">
      <c r="B115" s="124"/>
      <c r="C115" s="130"/>
      <c r="D115" s="131"/>
      <c r="E115" s="131"/>
      <c r="F115" s="131"/>
      <c r="G115" s="133"/>
      <c r="H115" s="131"/>
      <c r="I115" s="131"/>
      <c r="J115" s="132"/>
      <c r="K115" s="131"/>
      <c r="L115" s="131"/>
      <c r="M115" s="131"/>
      <c r="N115" s="131"/>
      <c r="O115" s="116"/>
      <c r="P115" s="68"/>
      <c r="Q115" s="125"/>
      <c r="R115" s="124"/>
      <c r="S115" s="125"/>
      <c r="T115" s="125"/>
      <c r="U115" s="125"/>
      <c r="V115" s="125"/>
      <c r="W115" s="125"/>
      <c r="X115" s="125"/>
      <c r="Y115" s="94" t="str">
        <f>INDEX(Language!$A$1:$AV$115,MATCH("Extra Time",Language!$B$1:$B$115,0),MATCH($G$4,Language!$A$1:$AU$1,0))</f>
        <v>Extra Time</v>
      </c>
      <c r="Z115" s="125"/>
      <c r="AA115" s="95"/>
      <c r="AB115" s="96" t="s">
        <v>3088</v>
      </c>
      <c r="AC115" s="95"/>
      <c r="AD115" s="125"/>
      <c r="AE115" s="125"/>
      <c r="AF115" s="72"/>
      <c r="AG115" s="78"/>
      <c r="AH115" s="78"/>
      <c r="AJ115" s="73"/>
      <c r="AK115" s="74"/>
      <c r="DE115" s="67"/>
      <c r="DF115" s="67"/>
      <c r="DG115" s="88"/>
      <c r="DH115" s="67"/>
    </row>
    <row r="116" spans="2:112" s="66" customFormat="1" ht="15" customHeight="1">
      <c r="B116" s="68"/>
      <c r="C116" s="134"/>
      <c r="D116" s="135"/>
      <c r="E116" s="135"/>
      <c r="F116" s="135"/>
      <c r="G116" s="135"/>
      <c r="H116" s="135"/>
      <c r="I116" s="135"/>
      <c r="J116" s="135"/>
      <c r="K116" s="135"/>
      <c r="L116" s="135"/>
      <c r="M116" s="135"/>
      <c r="N116" s="135"/>
      <c r="O116" s="136"/>
      <c r="P116" s="69"/>
      <c r="Q116" s="125"/>
      <c r="R116" s="124"/>
      <c r="S116" s="125"/>
      <c r="T116" s="125"/>
      <c r="U116" s="125"/>
      <c r="V116" s="125"/>
      <c r="W116" s="125"/>
      <c r="X116" s="125"/>
      <c r="Y116" s="94" t="str">
        <f>INDEX(Language!$A$1:$AV$115,MATCH("Penalty Shoot Out",Language!$B$1:$B$115,0),MATCH($G$4,Language!$A$1:$AU$1,0))</f>
        <v>Penalty Shoot Out</v>
      </c>
      <c r="Z116" s="125"/>
      <c r="AA116" s="95"/>
      <c r="AB116" s="96" t="s">
        <v>3088</v>
      </c>
      <c r="AC116" s="95"/>
      <c r="AD116" s="125"/>
      <c r="AE116" s="125"/>
      <c r="AF116" s="72"/>
      <c r="AG116" s="78"/>
      <c r="AH116" s="78"/>
      <c r="AJ116" s="73"/>
      <c r="AK116" s="74"/>
      <c r="DE116" s="67"/>
      <c r="DF116" s="67"/>
      <c r="DG116" s="88"/>
      <c r="DH116" s="67"/>
    </row>
    <row r="117" spans="2:112" s="66" customFormat="1" ht="15" customHeight="1">
      <c r="B117" s="68"/>
      <c r="C117" s="137"/>
      <c r="D117" s="138"/>
      <c r="E117" s="138"/>
      <c r="F117" s="138"/>
      <c r="G117" s="138"/>
      <c r="H117" s="138"/>
      <c r="I117" s="138"/>
      <c r="J117" s="138"/>
      <c r="K117" s="138"/>
      <c r="L117" s="138"/>
      <c r="M117" s="138"/>
      <c r="N117" s="138"/>
      <c r="O117" s="139"/>
      <c r="P117" s="69"/>
      <c r="Q117" s="125"/>
      <c r="R117" s="130"/>
      <c r="S117" s="131"/>
      <c r="T117" s="131"/>
      <c r="U117" s="131"/>
      <c r="V117" s="131"/>
      <c r="W117" s="131"/>
      <c r="X117" s="131"/>
      <c r="Y117" s="131"/>
      <c r="Z117" s="131"/>
      <c r="AA117" s="132"/>
      <c r="AB117" s="131"/>
      <c r="AC117" s="131"/>
      <c r="AD117" s="131"/>
      <c r="AE117" s="131"/>
      <c r="AF117" s="120"/>
      <c r="AG117" s="102"/>
      <c r="AH117" s="78"/>
      <c r="AJ117" s="73"/>
      <c r="AK117" s="74"/>
      <c r="DE117" s="67"/>
      <c r="DF117" s="67"/>
      <c r="DG117" s="88"/>
      <c r="DH117" s="67"/>
    </row>
    <row r="118" spans="2:112" s="66" customFormat="1" ht="15" customHeight="1">
      <c r="B118" s="68"/>
      <c r="C118" s="69"/>
      <c r="D118" s="69"/>
      <c r="E118" s="69"/>
      <c r="F118" s="69"/>
      <c r="G118" s="69"/>
      <c r="H118" s="69"/>
      <c r="I118" s="69"/>
      <c r="J118" s="69"/>
      <c r="K118" s="69"/>
      <c r="L118" s="69"/>
      <c r="M118" s="69"/>
      <c r="N118" s="69"/>
      <c r="O118" s="69"/>
      <c r="P118" s="69"/>
      <c r="Q118" s="69"/>
      <c r="R118" s="69"/>
      <c r="S118" s="69"/>
      <c r="T118" s="69"/>
      <c r="U118" s="69"/>
      <c r="V118" s="69"/>
      <c r="W118" s="69"/>
      <c r="X118" s="69"/>
      <c r="Y118" s="69"/>
      <c r="Z118" s="69"/>
      <c r="AA118" s="69"/>
      <c r="AB118" s="69"/>
      <c r="AC118" s="72"/>
      <c r="AD118" s="69"/>
      <c r="AE118" s="69"/>
      <c r="AF118" s="79"/>
      <c r="AG118" s="74"/>
      <c r="AH118" s="102"/>
      <c r="DB118" s="67"/>
      <c r="DC118" s="67"/>
      <c r="DD118" s="88"/>
      <c r="DE118" s="67"/>
    </row>
    <row r="119" spans="2:112" s="66" customFormat="1" ht="15" customHeight="1">
      <c r="B119" s="140"/>
      <c r="C119" s="141"/>
      <c r="D119" s="141"/>
      <c r="E119" s="141"/>
      <c r="F119" s="141"/>
      <c r="G119" s="142"/>
      <c r="H119" s="141"/>
      <c r="I119" s="141"/>
      <c r="J119" s="141"/>
      <c r="K119" s="143"/>
      <c r="L119" s="141"/>
      <c r="M119" s="141"/>
      <c r="N119" s="141"/>
      <c r="O119" s="141"/>
      <c r="P119" s="141"/>
      <c r="Q119" s="141"/>
      <c r="R119" s="141"/>
      <c r="S119" s="141"/>
      <c r="T119" s="141"/>
      <c r="U119" s="141"/>
      <c r="V119" s="141"/>
      <c r="W119" s="141"/>
      <c r="X119" s="141"/>
      <c r="Y119" s="141"/>
      <c r="Z119" s="141"/>
      <c r="AA119" s="141"/>
      <c r="AB119" s="135"/>
      <c r="AC119" s="144"/>
      <c r="AD119" s="135"/>
      <c r="AE119" s="135"/>
      <c r="AF119" s="145"/>
      <c r="AG119" s="146"/>
      <c r="AH119" s="136"/>
      <c r="DB119" s="67"/>
      <c r="DC119" s="67"/>
      <c r="DD119" s="88"/>
      <c r="DE119" s="67"/>
    </row>
    <row r="120" spans="2:112" s="66" customFormat="1" ht="15" customHeight="1">
      <c r="B120" s="147"/>
      <c r="C120" s="148"/>
      <c r="D120" s="149"/>
      <c r="E120" s="149"/>
      <c r="F120" s="149" t="str">
        <f>INDEX(Language!$A$1:$AV$115,MATCH("World Cup 2014 Champion",Language!$B$1:$B$115,0),MATCH($G$4,Language!$A$1:$AU$1,0))</f>
        <v>World Cup 2014 Champion</v>
      </c>
      <c r="G120" s="150"/>
      <c r="H120" s="148"/>
      <c r="I120" s="148"/>
      <c r="J120" s="148"/>
      <c r="K120" s="151"/>
      <c r="L120" s="148"/>
      <c r="M120" s="148"/>
      <c r="N120" s="152" t="str">
        <f>UPPER(IF(AND(AA113&lt;&gt;"",AC113&lt;&gt;"",AA113&lt;&gt;AC113),IF(AA113&gt;AC113,Y113,AE113),INDEX(Language!$A$1:$AV$115,MATCH("Match 64 Winner",Language!$B$1:$B$115,0),MATCH($G$4,Language!$A$1:$AU$1,0))))</f>
        <v>MATCH 64 WINNER</v>
      </c>
      <c r="O120" s="148"/>
      <c r="P120" s="148"/>
      <c r="Q120" s="148"/>
      <c r="R120" s="148"/>
      <c r="S120" s="148"/>
      <c r="T120" s="148"/>
      <c r="U120" s="148"/>
      <c r="V120" s="148"/>
      <c r="W120" s="148"/>
      <c r="X120" s="148"/>
      <c r="Y120" s="148"/>
      <c r="Z120" s="148"/>
      <c r="AA120" s="148"/>
      <c r="AB120" s="153"/>
      <c r="AC120" s="154"/>
      <c r="AD120" s="153"/>
      <c r="AE120" s="153"/>
      <c r="AF120" s="155"/>
      <c r="AG120" s="156"/>
      <c r="AH120" s="157"/>
      <c r="DB120" s="67"/>
      <c r="DC120" s="67"/>
      <c r="DD120" s="88"/>
      <c r="DE120" s="67"/>
    </row>
    <row r="121" spans="2:112" s="66" customFormat="1" ht="15" customHeight="1">
      <c r="B121" s="158"/>
      <c r="C121" s="159"/>
      <c r="D121" s="159"/>
      <c r="E121" s="159"/>
      <c r="F121" s="159"/>
      <c r="G121" s="160"/>
      <c r="H121" s="159"/>
      <c r="I121" s="159"/>
      <c r="J121" s="159"/>
      <c r="K121" s="161"/>
      <c r="L121" s="159"/>
      <c r="M121" s="159"/>
      <c r="N121" s="159"/>
      <c r="O121" s="159"/>
      <c r="P121" s="159"/>
      <c r="Q121" s="159"/>
      <c r="R121" s="159"/>
      <c r="S121" s="159"/>
      <c r="T121" s="159"/>
      <c r="U121" s="159"/>
      <c r="V121" s="159"/>
      <c r="W121" s="159"/>
      <c r="X121" s="159"/>
      <c r="Y121" s="159"/>
      <c r="Z121" s="159"/>
      <c r="AA121" s="159"/>
      <c r="AB121" s="138"/>
      <c r="AC121" s="162"/>
      <c r="AD121" s="138"/>
      <c r="AE121" s="138"/>
      <c r="AF121" s="163"/>
      <c r="AG121" s="164"/>
      <c r="AH121" s="139"/>
      <c r="DB121" s="67"/>
      <c r="DC121" s="67"/>
      <c r="DD121" s="88"/>
      <c r="DE121" s="67"/>
    </row>
    <row r="122" spans="2:112" s="66" customFormat="1" ht="15" customHeight="1">
      <c r="B122" s="66" t="s">
        <v>3906</v>
      </c>
      <c r="O122" s="69"/>
      <c r="P122" s="69"/>
      <c r="Q122" s="69"/>
      <c r="R122" s="69"/>
      <c r="S122" s="69"/>
      <c r="T122" s="69"/>
      <c r="U122" s="69"/>
      <c r="V122" s="69"/>
      <c r="W122" s="69"/>
      <c r="X122" s="69"/>
      <c r="Y122" s="69"/>
      <c r="Z122" s="69"/>
      <c r="AA122" s="69"/>
      <c r="AC122" s="67"/>
      <c r="AF122" s="73"/>
      <c r="AG122" s="74"/>
      <c r="DB122" s="67"/>
      <c r="DC122" s="67"/>
      <c r="DD122" s="88"/>
      <c r="DE122" s="67"/>
    </row>
    <row r="123" spans="2:112" s="66" customFormat="1" ht="15" hidden="1" customHeight="1">
      <c r="O123" s="69"/>
      <c r="P123" s="69"/>
      <c r="Q123" s="69"/>
      <c r="R123" s="69"/>
      <c r="S123" s="69"/>
      <c r="T123" s="69"/>
      <c r="U123" s="69"/>
      <c r="V123" s="69"/>
      <c r="W123" s="69"/>
      <c r="X123" s="69"/>
      <c r="Y123" s="69"/>
      <c r="Z123" s="69"/>
      <c r="AA123" s="69"/>
      <c r="AC123" s="67"/>
      <c r="AF123" s="73"/>
      <c r="AG123" s="74"/>
      <c r="DB123" s="67"/>
      <c r="DC123" s="67"/>
      <c r="DD123" s="88"/>
      <c r="DE123" s="67"/>
    </row>
    <row r="124" spans="2:112" s="66" customFormat="1" ht="15" hidden="1" customHeight="1">
      <c r="O124" s="69"/>
      <c r="P124" s="69"/>
      <c r="Q124" s="69"/>
      <c r="R124" s="69"/>
      <c r="S124" s="69"/>
      <c r="Z124" s="69"/>
      <c r="AA124" s="69"/>
      <c r="AC124" s="67"/>
      <c r="AF124" s="73"/>
      <c r="AG124" s="74"/>
      <c r="DB124" s="67"/>
      <c r="DC124" s="67"/>
      <c r="DD124" s="88"/>
      <c r="DE124" s="67"/>
    </row>
    <row r="125" spans="2:112" s="66" customFormat="1" ht="15" hidden="1" customHeight="1">
      <c r="O125" s="69"/>
      <c r="P125" s="69"/>
      <c r="Q125" s="69"/>
      <c r="R125" s="69"/>
      <c r="S125" s="69"/>
      <c r="Z125" s="69"/>
      <c r="AA125" s="69"/>
      <c r="AC125" s="67"/>
      <c r="AF125" s="73"/>
      <c r="AG125" s="74"/>
      <c r="DB125" s="67"/>
      <c r="DC125" s="67"/>
      <c r="DD125" s="88"/>
      <c r="DE125" s="67"/>
    </row>
    <row r="126" spans="2:112" s="66" customFormat="1" ht="15" hidden="1" customHeight="1">
      <c r="O126" s="69"/>
      <c r="P126" s="69"/>
      <c r="Q126" s="69"/>
      <c r="R126" s="69"/>
      <c r="S126" s="69"/>
      <c r="Z126" s="69"/>
      <c r="AA126" s="69"/>
      <c r="AC126" s="67"/>
      <c r="AF126" s="73"/>
      <c r="AG126" s="74"/>
      <c r="DB126" s="67"/>
      <c r="DC126" s="67"/>
      <c r="DD126" s="88"/>
      <c r="DE126" s="67"/>
    </row>
    <row r="127" spans="2:112" s="66" customFormat="1" ht="15" hidden="1" customHeight="1">
      <c r="O127" s="69"/>
      <c r="P127" s="69"/>
      <c r="Q127" s="69"/>
      <c r="R127" s="69"/>
      <c r="S127" s="69"/>
      <c r="T127" s="69"/>
      <c r="U127" s="69"/>
      <c r="V127" s="69"/>
      <c r="W127" s="69"/>
      <c r="X127" s="69"/>
      <c r="Y127" s="69"/>
      <c r="Z127" s="69"/>
      <c r="AA127" s="69"/>
      <c r="AC127" s="67"/>
      <c r="AF127" s="73"/>
      <c r="AG127" s="74"/>
      <c r="DB127" s="67"/>
      <c r="DC127" s="67"/>
      <c r="DD127" s="88"/>
      <c r="DE127" s="67"/>
    </row>
    <row r="128" spans="2:112" s="66" customFormat="1" ht="15" hidden="1" customHeight="1">
      <c r="O128" s="69"/>
      <c r="P128" s="69"/>
      <c r="Q128" s="69"/>
      <c r="R128" s="69"/>
      <c r="S128" s="69"/>
      <c r="T128" s="69"/>
      <c r="U128" s="69"/>
      <c r="V128" s="69"/>
      <c r="W128" s="69"/>
      <c r="X128" s="69"/>
      <c r="Y128" s="69"/>
      <c r="Z128" s="69"/>
      <c r="AA128" s="69"/>
      <c r="AC128" s="67"/>
      <c r="AF128" s="73"/>
      <c r="AG128" s="74"/>
      <c r="DB128" s="67"/>
      <c r="DC128" s="67"/>
      <c r="DD128" s="88"/>
      <c r="DE128" s="67"/>
    </row>
    <row r="129" spans="15:109" s="66" customFormat="1" ht="15" hidden="1" customHeight="1">
      <c r="O129" s="69"/>
      <c r="P129" s="69"/>
      <c r="Q129" s="69"/>
      <c r="R129" s="69"/>
      <c r="S129" s="69"/>
      <c r="T129" s="69"/>
      <c r="U129" s="69"/>
      <c r="V129" s="69"/>
      <c r="W129" s="69"/>
      <c r="X129" s="69"/>
      <c r="Y129" s="69"/>
      <c r="Z129" s="69"/>
      <c r="AA129" s="69"/>
      <c r="AC129" s="67"/>
      <c r="AF129" s="73"/>
      <c r="AG129" s="74"/>
      <c r="DB129" s="67"/>
      <c r="DC129" s="67"/>
      <c r="DD129" s="88"/>
      <c r="DE129" s="67"/>
    </row>
    <row r="130" spans="15:109" s="66" customFormat="1" ht="15" hidden="1" customHeight="1">
      <c r="O130" s="69"/>
      <c r="P130" s="69"/>
      <c r="Q130" s="69"/>
      <c r="R130" s="69"/>
      <c r="S130" s="69"/>
      <c r="Z130" s="69"/>
      <c r="AA130" s="69"/>
      <c r="AC130" s="67"/>
      <c r="AF130" s="73"/>
      <c r="AG130" s="74"/>
      <c r="DB130" s="67"/>
      <c r="DC130" s="67"/>
      <c r="DD130" s="88"/>
      <c r="DE130" s="67"/>
    </row>
    <row r="131" spans="15:109" s="66" customFormat="1" ht="15" hidden="1" customHeight="1">
      <c r="O131" s="69"/>
      <c r="P131" s="69"/>
      <c r="Q131" s="69"/>
      <c r="R131" s="69"/>
      <c r="S131" s="69"/>
      <c r="Z131" s="69"/>
      <c r="AA131" s="69"/>
      <c r="AC131" s="67"/>
      <c r="AF131" s="73"/>
      <c r="AG131" s="74"/>
      <c r="DB131" s="67"/>
      <c r="DC131" s="67"/>
      <c r="DD131" s="88"/>
      <c r="DE131" s="67"/>
    </row>
    <row r="132" spans="15:109" s="66" customFormat="1" ht="15" hidden="1" customHeight="1">
      <c r="O132" s="69"/>
      <c r="P132" s="69"/>
      <c r="Q132" s="69"/>
      <c r="R132" s="69"/>
      <c r="S132" s="69"/>
      <c r="Z132" s="69"/>
      <c r="AA132" s="69"/>
      <c r="AC132" s="67"/>
      <c r="AF132" s="73"/>
      <c r="AG132" s="74"/>
      <c r="DB132" s="67"/>
      <c r="DC132" s="67"/>
      <c r="DD132" s="88"/>
      <c r="DE132" s="67"/>
    </row>
    <row r="133" spans="15:109" s="66" customFormat="1" ht="15" hidden="1" customHeight="1">
      <c r="O133" s="69"/>
      <c r="P133" s="69"/>
      <c r="Q133" s="69"/>
      <c r="R133" s="69"/>
      <c r="S133" s="69"/>
      <c r="T133" s="69"/>
      <c r="U133" s="69"/>
      <c r="V133" s="69"/>
      <c r="W133" s="69"/>
      <c r="X133" s="69"/>
      <c r="Y133" s="69"/>
      <c r="Z133" s="69"/>
      <c r="AA133" s="69"/>
      <c r="AC133" s="67"/>
      <c r="AF133" s="73"/>
      <c r="AG133" s="74"/>
      <c r="DB133" s="67"/>
      <c r="DC133" s="67"/>
      <c r="DD133" s="88"/>
      <c r="DE133" s="67"/>
    </row>
    <row r="134" spans="15:109" s="66" customFormat="1" ht="15" hidden="1" customHeight="1">
      <c r="O134" s="69"/>
      <c r="P134" s="69"/>
      <c r="Q134" s="69"/>
      <c r="R134" s="69"/>
      <c r="S134" s="69"/>
      <c r="T134" s="69"/>
      <c r="U134" s="69"/>
      <c r="V134" s="69"/>
      <c r="W134" s="69"/>
      <c r="X134" s="69"/>
      <c r="Y134" s="69"/>
      <c r="Z134" s="69"/>
      <c r="AA134" s="69"/>
      <c r="AC134" s="67"/>
      <c r="AF134" s="73"/>
      <c r="AG134" s="74"/>
      <c r="DB134" s="67"/>
      <c r="DC134" s="67"/>
      <c r="DD134" s="88"/>
      <c r="DE134" s="67"/>
    </row>
    <row r="135" spans="15:109" s="66" customFormat="1" ht="15" hidden="1" customHeight="1">
      <c r="O135" s="69"/>
      <c r="P135" s="69"/>
      <c r="Q135" s="69"/>
      <c r="R135" s="69"/>
      <c r="S135" s="69"/>
      <c r="T135" s="69"/>
      <c r="U135" s="69"/>
      <c r="V135" s="69"/>
      <c r="W135" s="69"/>
      <c r="X135" s="69"/>
      <c r="Y135" s="69"/>
      <c r="Z135" s="69"/>
      <c r="AA135" s="69"/>
      <c r="AC135" s="67"/>
      <c r="AF135" s="73"/>
      <c r="AG135" s="74"/>
      <c r="DB135" s="67"/>
      <c r="DC135" s="67"/>
      <c r="DD135" s="88"/>
      <c r="DE135" s="67"/>
    </row>
    <row r="136" spans="15:109" s="66" customFormat="1" ht="15" hidden="1" customHeight="1">
      <c r="O136" s="69"/>
      <c r="P136" s="69"/>
      <c r="Q136" s="69"/>
      <c r="R136" s="69"/>
      <c r="S136" s="69"/>
      <c r="Z136" s="69"/>
      <c r="AA136" s="69"/>
      <c r="AC136" s="67"/>
      <c r="AF136" s="73"/>
      <c r="AG136" s="74"/>
      <c r="DB136" s="67"/>
      <c r="DC136" s="67"/>
      <c r="DD136" s="88"/>
      <c r="DE136" s="67"/>
    </row>
    <row r="137" spans="15:109" s="66" customFormat="1" ht="15" hidden="1" customHeight="1">
      <c r="O137" s="69"/>
      <c r="P137" s="69"/>
      <c r="Q137" s="69"/>
      <c r="R137" s="69"/>
      <c r="S137" s="69"/>
      <c r="Z137" s="69"/>
      <c r="AA137" s="69"/>
      <c r="AC137" s="67"/>
      <c r="AF137" s="73"/>
      <c r="AG137" s="74"/>
      <c r="DB137" s="67"/>
      <c r="DC137" s="67"/>
      <c r="DD137" s="88"/>
      <c r="DE137" s="67"/>
    </row>
    <row r="138" spans="15:109" s="66" customFormat="1" ht="15" hidden="1" customHeight="1">
      <c r="O138" s="69"/>
      <c r="P138" s="69"/>
      <c r="Q138" s="69"/>
      <c r="R138" s="69"/>
      <c r="S138" s="69"/>
      <c r="Z138" s="69"/>
      <c r="AA138" s="69"/>
      <c r="AC138" s="67"/>
      <c r="AF138" s="73"/>
      <c r="AG138" s="74"/>
      <c r="DB138" s="67"/>
      <c r="DC138" s="67"/>
      <c r="DD138" s="88"/>
      <c r="DE138" s="67"/>
    </row>
    <row r="139" spans="15:109" s="66" customFormat="1" ht="15" hidden="1" customHeight="1">
      <c r="O139" s="69"/>
      <c r="P139" s="69"/>
      <c r="Q139" s="69"/>
      <c r="R139" s="69"/>
      <c r="S139" s="69"/>
      <c r="T139" s="69"/>
      <c r="U139" s="69"/>
      <c r="V139" s="69"/>
      <c r="W139" s="69"/>
      <c r="X139" s="69"/>
      <c r="Y139" s="69"/>
      <c r="Z139" s="69"/>
      <c r="AA139" s="69"/>
      <c r="AC139" s="67"/>
      <c r="AF139" s="73"/>
      <c r="AG139" s="74"/>
      <c r="DB139" s="67"/>
      <c r="DC139" s="67"/>
      <c r="DD139" s="88"/>
      <c r="DE139" s="67"/>
    </row>
    <row r="140" spans="15:109" s="66" customFormat="1" ht="15" hidden="1" customHeight="1">
      <c r="O140" s="69"/>
      <c r="P140" s="69"/>
      <c r="Q140" s="69"/>
      <c r="R140" s="69"/>
      <c r="S140" s="69"/>
      <c r="T140" s="69"/>
      <c r="U140" s="69"/>
      <c r="V140" s="69"/>
      <c r="W140" s="69"/>
      <c r="X140" s="69"/>
      <c r="Y140" s="69"/>
      <c r="Z140" s="69"/>
      <c r="AA140" s="69"/>
      <c r="AC140" s="67"/>
      <c r="AF140" s="73"/>
      <c r="AG140" s="74"/>
      <c r="DB140" s="67"/>
      <c r="DC140" s="67"/>
      <c r="DD140" s="88"/>
      <c r="DE140" s="67"/>
    </row>
    <row r="141" spans="15:109" s="66" customFormat="1" ht="15" hidden="1" customHeight="1">
      <c r="O141" s="69"/>
      <c r="P141" s="69"/>
      <c r="Q141" s="69"/>
      <c r="R141" s="69"/>
      <c r="S141" s="69"/>
      <c r="T141" s="69"/>
      <c r="U141" s="69"/>
      <c r="V141" s="69"/>
      <c r="W141" s="69"/>
      <c r="X141" s="69"/>
      <c r="Y141" s="69"/>
      <c r="Z141" s="69"/>
      <c r="AA141" s="69"/>
      <c r="AC141" s="67"/>
      <c r="AF141" s="73"/>
      <c r="AG141" s="74"/>
      <c r="DB141" s="67"/>
      <c r="DC141" s="67"/>
      <c r="DD141" s="88"/>
      <c r="DE141" s="67"/>
    </row>
    <row r="142" spans="15:109" s="66" customFormat="1" ht="15" hidden="1" customHeight="1">
      <c r="O142" s="69"/>
      <c r="P142" s="69"/>
      <c r="Q142" s="69"/>
      <c r="R142" s="69"/>
      <c r="S142" s="69"/>
      <c r="Z142" s="69"/>
      <c r="AA142" s="69"/>
      <c r="AC142" s="67"/>
      <c r="AF142" s="73"/>
      <c r="AG142" s="74"/>
      <c r="DB142" s="67"/>
      <c r="DC142" s="67"/>
      <c r="DD142" s="88"/>
      <c r="DE142" s="67"/>
    </row>
    <row r="143" spans="15:109" s="66" customFormat="1" ht="15" hidden="1" customHeight="1">
      <c r="O143" s="69"/>
      <c r="P143" s="69"/>
      <c r="Q143" s="69"/>
      <c r="R143" s="69"/>
      <c r="S143" s="69"/>
      <c r="Z143" s="69"/>
      <c r="AA143" s="69"/>
      <c r="AC143" s="67"/>
      <c r="AF143" s="73"/>
      <c r="AG143" s="74"/>
      <c r="DB143" s="67"/>
      <c r="DC143" s="67"/>
      <c r="DD143" s="88"/>
      <c r="DE143" s="67"/>
    </row>
    <row r="144" spans="15:109" s="66" customFormat="1" ht="15" hidden="1" customHeight="1">
      <c r="O144" s="69"/>
      <c r="P144" s="69"/>
      <c r="Q144" s="69"/>
      <c r="R144" s="69"/>
      <c r="S144" s="69"/>
      <c r="Z144" s="69"/>
      <c r="AA144" s="69"/>
      <c r="AC144" s="67"/>
      <c r="AF144" s="73"/>
      <c r="AG144" s="74"/>
      <c r="DB144" s="67"/>
      <c r="DC144" s="67"/>
      <c r="DD144" s="88"/>
      <c r="DE144" s="67"/>
    </row>
    <row r="145" spans="15:109" s="66" customFormat="1" ht="15" hidden="1" customHeight="1">
      <c r="O145" s="69"/>
      <c r="P145" s="69"/>
      <c r="Q145" s="69"/>
      <c r="R145" s="69"/>
      <c r="S145" s="69"/>
      <c r="T145" s="69"/>
      <c r="U145" s="69"/>
      <c r="V145" s="69"/>
      <c r="W145" s="69"/>
      <c r="X145" s="69"/>
      <c r="Y145" s="69"/>
      <c r="Z145" s="69"/>
      <c r="AA145" s="69"/>
      <c r="AC145" s="67"/>
      <c r="AF145" s="73"/>
      <c r="AG145" s="74"/>
      <c r="DB145" s="67"/>
      <c r="DC145" s="67"/>
      <c r="DD145" s="88"/>
      <c r="DE145" s="67"/>
    </row>
    <row r="146" spans="15:109" s="66" customFormat="1" ht="15" hidden="1" customHeight="1">
      <c r="O146" s="69"/>
      <c r="P146" s="69"/>
      <c r="Q146" s="69"/>
      <c r="R146" s="69"/>
      <c r="S146" s="69"/>
      <c r="T146" s="69"/>
      <c r="U146" s="69"/>
      <c r="V146" s="69"/>
      <c r="W146" s="69"/>
      <c r="X146" s="69"/>
      <c r="Y146" s="69"/>
      <c r="Z146" s="69"/>
      <c r="AA146" s="69"/>
      <c r="AC146" s="67"/>
      <c r="AF146" s="73"/>
      <c r="AG146" s="74"/>
      <c r="DB146" s="67"/>
      <c r="DC146" s="67"/>
      <c r="DD146" s="88"/>
      <c r="DE146" s="67"/>
    </row>
    <row r="147" spans="15:109" s="66" customFormat="1" ht="15" hidden="1" customHeight="1">
      <c r="O147" s="69"/>
      <c r="P147" s="69"/>
      <c r="Q147" s="69"/>
      <c r="R147" s="69"/>
      <c r="S147" s="69"/>
      <c r="T147" s="69"/>
      <c r="U147" s="69"/>
      <c r="V147" s="69"/>
      <c r="W147" s="69"/>
      <c r="X147" s="69"/>
      <c r="Y147" s="69"/>
      <c r="Z147" s="69"/>
      <c r="AA147" s="69"/>
      <c r="AC147" s="67"/>
      <c r="AF147" s="73"/>
      <c r="AG147" s="74"/>
      <c r="DB147" s="67"/>
      <c r="DC147" s="67"/>
      <c r="DD147" s="88"/>
      <c r="DE147" s="67"/>
    </row>
    <row r="148" spans="15:109" s="66" customFormat="1" ht="15" hidden="1" customHeight="1">
      <c r="O148" s="69"/>
      <c r="P148" s="69"/>
      <c r="Q148" s="69"/>
      <c r="R148" s="69"/>
      <c r="S148" s="69"/>
      <c r="Z148" s="69"/>
      <c r="AA148" s="69"/>
      <c r="AC148" s="67"/>
      <c r="AF148" s="73"/>
      <c r="AG148" s="74"/>
      <c r="DB148" s="67"/>
      <c r="DC148" s="67"/>
      <c r="DD148" s="88"/>
      <c r="DE148" s="67"/>
    </row>
    <row r="149" spans="15:109" s="66" customFormat="1" ht="15" hidden="1" customHeight="1">
      <c r="O149" s="69"/>
      <c r="P149" s="69"/>
      <c r="Q149" s="69"/>
      <c r="R149" s="69"/>
      <c r="S149" s="69"/>
      <c r="Z149" s="69"/>
      <c r="AA149" s="69"/>
      <c r="AC149" s="67"/>
      <c r="AF149" s="73"/>
      <c r="AG149" s="74"/>
      <c r="DB149" s="67"/>
      <c r="DC149" s="67"/>
      <c r="DD149" s="88"/>
      <c r="DE149" s="67"/>
    </row>
    <row r="150" spans="15:109" s="66" customFormat="1" ht="15" hidden="1" customHeight="1">
      <c r="O150" s="69"/>
      <c r="P150" s="69"/>
      <c r="Q150" s="69"/>
      <c r="R150" s="69"/>
      <c r="S150" s="69"/>
      <c r="Z150" s="69"/>
      <c r="AA150" s="69"/>
      <c r="AC150" s="67"/>
      <c r="AF150" s="73"/>
      <c r="AG150" s="74"/>
      <c r="DB150" s="67"/>
      <c r="DC150" s="67"/>
      <c r="DD150" s="88"/>
      <c r="DE150" s="67"/>
    </row>
    <row r="151" spans="15:109" s="66" customFormat="1" ht="15" hidden="1" customHeight="1">
      <c r="O151" s="69"/>
      <c r="P151" s="69"/>
      <c r="Q151" s="69"/>
      <c r="R151" s="69"/>
      <c r="S151" s="69"/>
      <c r="T151" s="69"/>
      <c r="U151" s="69"/>
      <c r="V151" s="69"/>
      <c r="W151" s="69"/>
      <c r="X151" s="69"/>
      <c r="Y151" s="69"/>
      <c r="Z151" s="69"/>
      <c r="AA151" s="69"/>
      <c r="AC151" s="67"/>
      <c r="AF151" s="73"/>
      <c r="AG151" s="74"/>
      <c r="DB151" s="67"/>
      <c r="DC151" s="67"/>
      <c r="DD151" s="88"/>
      <c r="DE151" s="67"/>
    </row>
    <row r="152" spans="15:109" s="66" customFormat="1" ht="15" hidden="1" customHeight="1">
      <c r="O152" s="69"/>
      <c r="P152" s="69"/>
      <c r="Q152" s="69"/>
      <c r="R152" s="69"/>
      <c r="S152" s="69"/>
      <c r="T152" s="69"/>
      <c r="U152" s="69"/>
      <c r="V152" s="69"/>
      <c r="W152" s="69"/>
      <c r="X152" s="69"/>
      <c r="Y152" s="69"/>
      <c r="Z152" s="69"/>
      <c r="AA152" s="69"/>
      <c r="AC152" s="67"/>
      <c r="AF152" s="73"/>
      <c r="AG152" s="74"/>
      <c r="DB152" s="67"/>
      <c r="DC152" s="67"/>
      <c r="DD152" s="88"/>
      <c r="DE152" s="67"/>
    </row>
    <row r="153" spans="15:109" s="66" customFormat="1" ht="15" hidden="1" customHeight="1">
      <c r="O153" s="69"/>
      <c r="P153" s="69"/>
      <c r="Q153" s="69"/>
      <c r="R153" s="69"/>
      <c r="S153" s="69"/>
      <c r="T153" s="69"/>
      <c r="U153" s="69"/>
      <c r="V153" s="69"/>
      <c r="W153" s="69"/>
      <c r="X153" s="69"/>
      <c r="Y153" s="69"/>
      <c r="Z153" s="69"/>
      <c r="AA153" s="69"/>
      <c r="AC153" s="67"/>
      <c r="AF153" s="73"/>
      <c r="AG153" s="74"/>
      <c r="DB153" s="67"/>
      <c r="DC153" s="67"/>
      <c r="DD153" s="88"/>
      <c r="DE153" s="67"/>
    </row>
    <row r="154" spans="15:109" s="66" customFormat="1" ht="15" hidden="1" customHeight="1">
      <c r="O154" s="69"/>
      <c r="P154" s="69"/>
      <c r="Q154" s="69"/>
      <c r="R154" s="69"/>
      <c r="S154" s="69"/>
      <c r="Z154" s="69"/>
      <c r="AA154" s="69"/>
      <c r="AC154" s="67"/>
      <c r="AF154" s="73"/>
      <c r="AG154" s="74"/>
      <c r="DB154" s="67"/>
      <c r="DC154" s="67"/>
      <c r="DD154" s="88"/>
      <c r="DE154" s="67"/>
    </row>
    <row r="155" spans="15:109" s="66" customFormat="1" ht="15" hidden="1" customHeight="1">
      <c r="O155" s="69"/>
      <c r="P155" s="69"/>
      <c r="Q155" s="69"/>
      <c r="R155" s="69"/>
      <c r="S155" s="69"/>
      <c r="Z155" s="69"/>
      <c r="AA155" s="69"/>
      <c r="AC155" s="67"/>
      <c r="AF155" s="73"/>
      <c r="AG155" s="74"/>
      <c r="DB155" s="67"/>
      <c r="DC155" s="67"/>
      <c r="DD155" s="88"/>
      <c r="DE155" s="67"/>
    </row>
    <row r="156" spans="15:109" s="66" customFormat="1" ht="15" hidden="1" customHeight="1">
      <c r="O156" s="69"/>
      <c r="P156" s="69"/>
      <c r="Q156" s="69"/>
      <c r="R156" s="69"/>
      <c r="S156" s="69"/>
      <c r="Z156" s="69"/>
      <c r="AA156" s="69"/>
      <c r="AC156" s="67"/>
      <c r="AF156" s="73"/>
      <c r="AG156" s="74"/>
      <c r="DB156" s="67"/>
      <c r="DC156" s="67"/>
      <c r="DD156" s="88"/>
      <c r="DE156" s="67"/>
    </row>
    <row r="157" spans="15:109" s="66" customFormat="1" ht="15" hidden="1" customHeight="1">
      <c r="O157" s="69"/>
      <c r="P157" s="69"/>
      <c r="Q157" s="69"/>
      <c r="R157" s="69"/>
      <c r="S157" s="69"/>
      <c r="T157" s="69"/>
      <c r="U157" s="69"/>
      <c r="V157" s="69"/>
      <c r="W157" s="69"/>
      <c r="X157" s="69"/>
      <c r="Y157" s="69"/>
      <c r="Z157" s="69"/>
      <c r="AA157" s="69"/>
      <c r="AC157" s="67"/>
      <c r="AF157" s="73"/>
      <c r="AG157" s="74"/>
      <c r="DB157" s="67"/>
      <c r="DC157" s="67"/>
      <c r="DD157" s="88"/>
      <c r="DE157" s="67"/>
    </row>
    <row r="158" spans="15:109" s="66" customFormat="1" ht="15" hidden="1" customHeight="1">
      <c r="O158" s="69"/>
      <c r="P158" s="69"/>
      <c r="Q158" s="69"/>
      <c r="R158" s="69"/>
      <c r="S158" s="69"/>
      <c r="T158" s="69"/>
      <c r="U158" s="69"/>
      <c r="V158" s="69"/>
      <c r="W158" s="69"/>
      <c r="X158" s="69"/>
      <c r="Y158" s="69"/>
      <c r="Z158" s="69"/>
      <c r="AA158" s="69"/>
      <c r="AC158" s="67"/>
      <c r="AF158" s="73"/>
      <c r="AG158" s="74"/>
      <c r="DB158" s="67"/>
      <c r="DC158" s="67"/>
      <c r="DD158" s="88"/>
      <c r="DE158" s="67"/>
    </row>
    <row r="159" spans="15:109" s="66" customFormat="1" ht="15" hidden="1" customHeight="1">
      <c r="O159" s="69"/>
      <c r="P159" s="69"/>
      <c r="Q159" s="69"/>
      <c r="R159" s="69"/>
      <c r="S159" s="69"/>
      <c r="T159" s="69"/>
      <c r="U159" s="69"/>
      <c r="V159" s="69"/>
      <c r="W159" s="69"/>
      <c r="X159" s="69"/>
      <c r="Y159" s="69"/>
      <c r="Z159" s="69"/>
      <c r="AA159" s="69"/>
      <c r="AC159" s="67"/>
      <c r="AF159" s="73"/>
      <c r="AG159" s="74"/>
      <c r="DB159" s="67"/>
      <c r="DC159" s="67"/>
      <c r="DD159" s="88" t="s">
        <v>1404</v>
      </c>
      <c r="DE159" s="67"/>
    </row>
    <row r="160" spans="15:109" s="66" customFormat="1" ht="15" hidden="1" customHeight="1">
      <c r="O160" s="69"/>
      <c r="P160" s="69"/>
      <c r="Q160" s="69"/>
      <c r="R160" s="69"/>
      <c r="S160" s="69"/>
      <c r="Z160" s="69"/>
      <c r="AA160" s="69"/>
      <c r="AC160" s="67"/>
      <c r="AF160" s="73"/>
      <c r="AG160" s="74"/>
      <c r="DB160" s="67"/>
      <c r="DC160" s="67"/>
      <c r="DD160" s="88" t="s">
        <v>1405</v>
      </c>
      <c r="DE160" s="67"/>
    </row>
    <row r="161" spans="2:109" s="66" customFormat="1" ht="15" hidden="1" customHeight="1">
      <c r="O161" s="69"/>
      <c r="P161" s="69"/>
      <c r="Q161" s="69"/>
      <c r="R161" s="69"/>
      <c r="S161" s="69"/>
      <c r="Z161" s="69"/>
      <c r="AA161" s="69"/>
      <c r="AC161" s="67"/>
      <c r="AF161" s="73"/>
      <c r="AG161" s="74"/>
      <c r="DB161" s="67"/>
      <c r="DC161" s="67"/>
      <c r="DD161" s="88" t="s">
        <v>1406</v>
      </c>
      <c r="DE161" s="67"/>
    </row>
    <row r="162" spans="2:109" s="66" customFormat="1" ht="15" hidden="1" customHeight="1">
      <c r="O162" s="69"/>
      <c r="P162" s="69"/>
      <c r="Q162" s="165"/>
      <c r="R162" s="165"/>
      <c r="S162" s="165"/>
      <c r="T162" s="165"/>
      <c r="U162" s="165"/>
      <c r="V162" s="165"/>
      <c r="W162" s="165"/>
      <c r="X162" s="165"/>
      <c r="Y162" s="165"/>
      <c r="Z162" s="165"/>
      <c r="AA162" s="165"/>
      <c r="AC162" s="67"/>
      <c r="AF162" s="73"/>
      <c r="AG162" s="74"/>
      <c r="DB162" s="67"/>
      <c r="DC162" s="67"/>
      <c r="DD162" s="88" t="s">
        <v>1407</v>
      </c>
      <c r="DE162" s="67"/>
    </row>
    <row r="163" spans="2:109" s="66" customFormat="1" ht="15" hidden="1" customHeight="1">
      <c r="O163" s="69"/>
      <c r="P163" s="69"/>
      <c r="Q163" s="115"/>
      <c r="R163" s="115"/>
      <c r="S163" s="115"/>
      <c r="T163" s="115"/>
      <c r="U163" s="115"/>
      <c r="V163" s="115"/>
      <c r="W163" s="115"/>
      <c r="X163" s="115"/>
      <c r="Y163" s="115"/>
      <c r="Z163" s="115"/>
      <c r="AA163" s="115"/>
      <c r="AC163" s="67"/>
      <c r="AF163" s="73"/>
      <c r="AG163" s="74"/>
      <c r="DB163" s="67"/>
      <c r="DC163" s="67"/>
      <c r="DD163" s="88" t="s">
        <v>1408</v>
      </c>
      <c r="DE163" s="67"/>
    </row>
    <row r="164" spans="2:109" s="66" customFormat="1" ht="15" hidden="1" customHeight="1">
      <c r="B164" s="69"/>
      <c r="C164" s="69"/>
      <c r="D164" s="69"/>
      <c r="E164" s="69"/>
      <c r="F164" s="69"/>
      <c r="G164" s="69"/>
      <c r="H164" s="69"/>
      <c r="I164" s="69"/>
      <c r="J164" s="69"/>
      <c r="K164" s="70"/>
      <c r="L164" s="69"/>
      <c r="M164" s="69"/>
      <c r="N164" s="69"/>
      <c r="O164" s="69"/>
      <c r="P164" s="69"/>
      <c r="Q164" s="115"/>
      <c r="R164" s="115"/>
      <c r="S164" s="115"/>
      <c r="T164" s="115"/>
      <c r="U164" s="115"/>
      <c r="V164" s="115"/>
      <c r="W164" s="115"/>
      <c r="X164" s="115"/>
      <c r="Y164" s="115"/>
      <c r="Z164" s="115"/>
      <c r="AA164" s="115"/>
      <c r="AC164" s="67"/>
      <c r="AF164" s="73"/>
      <c r="AG164" s="74"/>
      <c r="DB164" s="67"/>
      <c r="DC164" s="67"/>
      <c r="DD164" s="88" t="s">
        <v>1409</v>
      </c>
      <c r="DE164" s="67"/>
    </row>
    <row r="165" spans="2:109" s="66" customFormat="1" ht="15" hidden="1" customHeight="1">
      <c r="B165" s="69"/>
      <c r="C165" s="69"/>
      <c r="D165" s="69"/>
      <c r="E165" s="69"/>
      <c r="F165" s="69"/>
      <c r="G165" s="69"/>
      <c r="H165" s="69"/>
      <c r="I165" s="69"/>
      <c r="J165" s="69"/>
      <c r="K165" s="70"/>
      <c r="L165" s="69"/>
      <c r="M165" s="69"/>
      <c r="N165" s="69"/>
      <c r="O165" s="69"/>
      <c r="P165" s="69"/>
      <c r="Q165" s="115"/>
      <c r="R165" s="115"/>
      <c r="S165" s="115"/>
      <c r="T165" s="115"/>
      <c r="U165" s="115"/>
      <c r="V165" s="115"/>
      <c r="W165" s="115"/>
      <c r="X165" s="115"/>
      <c r="Y165" s="115"/>
      <c r="Z165" s="115"/>
      <c r="AA165" s="115"/>
      <c r="AC165" s="67"/>
      <c r="AF165" s="73"/>
      <c r="AG165" s="74"/>
      <c r="DB165" s="67"/>
      <c r="DC165" s="67"/>
      <c r="DD165" s="88" t="s">
        <v>1410</v>
      </c>
      <c r="DE165" s="67"/>
    </row>
  </sheetData>
  <sheetProtection password="CEE2" sheet="1" objects="1" scenarios="1" formatCells="0" formatColumns="0" formatRows="0" insertColumns="0" insertRows="0" insertHyperlinks="0" sort="0" autoFilter="0" pivotTables="0"/>
  <mergeCells count="22">
    <mergeCell ref="R12:AG12"/>
    <mergeCell ref="AF14:AF18"/>
    <mergeCell ref="AF20:AF24"/>
    <mergeCell ref="AF26:AF30"/>
    <mergeCell ref="G4:K4"/>
    <mergeCell ref="G6:K6"/>
    <mergeCell ref="N4:AH6"/>
    <mergeCell ref="B8:AH8"/>
    <mergeCell ref="C12:O12"/>
    <mergeCell ref="B10:AH10"/>
    <mergeCell ref="S14:U14"/>
    <mergeCell ref="C67:O67"/>
    <mergeCell ref="AF56:AF60"/>
    <mergeCell ref="R103:AG103"/>
    <mergeCell ref="R111:AG111"/>
    <mergeCell ref="J14:L14"/>
    <mergeCell ref="AF32:AF36"/>
    <mergeCell ref="AF38:AF42"/>
    <mergeCell ref="AF44:AF48"/>
    <mergeCell ref="AF50:AF54"/>
    <mergeCell ref="R90:AG90"/>
    <mergeCell ref="R67:AG67"/>
  </mergeCells>
  <phoneticPr fontId="2" type="noConversion"/>
  <conditionalFormatting sqref="H69 H75 H81 H87 H93 H99 H105 H111 Y69 Y74 Y79 Y84 Y92 Y97 Y105 Y113 H16:H63">
    <cfRule type="expression" dxfId="571" priority="1" stopIfTrue="1">
      <formula>J16&gt;L16</formula>
    </cfRule>
    <cfRule type="expression" dxfId="570" priority="2" stopIfTrue="1">
      <formula>J16&lt;L16</formula>
    </cfRule>
  </conditionalFormatting>
  <conditionalFormatting sqref="N69 N75 N81 N87 N93 N99 N105 N111 AE69 AE74 AE79 AE84 AE92 AE97 AE105 AE113 N16:N63">
    <cfRule type="expression" dxfId="569" priority="3" stopIfTrue="1">
      <formula>L16&gt;J16</formula>
    </cfRule>
    <cfRule type="expression" dxfId="568" priority="4" stopIfTrue="1">
      <formula>L16&lt;J16</formula>
    </cfRule>
  </conditionalFormatting>
  <conditionalFormatting sqref="J69 J75 J81 J87 J93 J99 J105 J111 AA69 AA74 AA79 AA84 AA92 AA97 AA113 AA105">
    <cfRule type="expression" dxfId="567" priority="5" stopIfTrue="1">
      <formula>J69&gt;L69</formula>
    </cfRule>
    <cfRule type="expression" dxfId="566" priority="6" stopIfTrue="1">
      <formula>J69&lt;L69</formula>
    </cfRule>
  </conditionalFormatting>
  <conditionalFormatting sqref="L69 L75 L81 L87 L93 L99 L105 L111 AC69 AC74 AC79 AC84 AC92 AC97 AC113 AC105">
    <cfRule type="expression" dxfId="565" priority="7" stopIfTrue="1">
      <formula>L69&gt;J69</formula>
    </cfRule>
    <cfRule type="expression" dxfId="564" priority="8" stopIfTrue="1">
      <formula>L69&lt;J69</formula>
    </cfRule>
  </conditionalFormatting>
  <conditionalFormatting sqref="AA70:AA72 AC70:AC72 AA75:AA77 AC75:AC77 AA80:AA82 AC80:AC82 AA85:AA87 AC85:AC87 AA93:AA95 AC93:AC95 AA98:AA100 AC98:AC100 AA106:AA108 AC106:AC108 AA114:AA116 AC114:AC116 J112:J114 L112:L114 J70:J72 L70:L72 J76:J78 L76:L78 J82:J84 L82:L84 J88:J90 L88:L90 J94:J96 L94:L96 J100:J102 L100:L102 J106:J108 L106:L108 J16:J63 L16:L63">
    <cfRule type="expression" dxfId="563" priority="9" stopIfTrue="1">
      <formula>ISBLANK(J16)</formula>
    </cfRule>
  </conditionalFormatting>
  <conditionalFormatting sqref="S15:AD16">
    <cfRule type="expression" dxfId="562" priority="10" stopIfTrue="1">
      <formula>SUM($V$15:$V$18)=12</formula>
    </cfRule>
  </conditionalFormatting>
  <conditionalFormatting sqref="S21:AD22">
    <cfRule type="expression" dxfId="561" priority="11" stopIfTrue="1">
      <formula>SUM($V$21:$V$24)=12</formula>
    </cfRule>
  </conditionalFormatting>
  <conditionalFormatting sqref="S27:AD28">
    <cfRule type="expression" dxfId="560" priority="12" stopIfTrue="1">
      <formula>SUM($V$27:$V$30)=12</formula>
    </cfRule>
  </conditionalFormatting>
  <conditionalFormatting sqref="S33:AD34">
    <cfRule type="expression" dxfId="559" priority="13" stopIfTrue="1">
      <formula>SUM($V$33:$V$36)=12</formula>
    </cfRule>
  </conditionalFormatting>
  <conditionalFormatting sqref="S39:AD40">
    <cfRule type="expression" dxfId="558" priority="14" stopIfTrue="1">
      <formula>SUM($V$39:$V$42)=12</formula>
    </cfRule>
  </conditionalFormatting>
  <conditionalFormatting sqref="S45:AD46">
    <cfRule type="expression" dxfId="557" priority="15" stopIfTrue="1">
      <formula>SUM($V$45:$V$48)=12</formula>
    </cfRule>
  </conditionalFormatting>
  <conditionalFormatting sqref="S51:AD52">
    <cfRule type="expression" dxfId="556" priority="16" stopIfTrue="1">
      <formula>SUM($V$51:$V$54)=12</formula>
    </cfRule>
  </conditionalFormatting>
  <conditionalFormatting sqref="S57:AD58">
    <cfRule type="expression" dxfId="555" priority="17" stopIfTrue="1">
      <formula>SUM($V$57:$V$60)=12</formula>
    </cfRule>
  </conditionalFormatting>
  <conditionalFormatting sqref="AJ14:AK14">
    <cfRule type="expression" dxfId="554" priority="18" stopIfTrue="1">
      <formula>AND(SUM($V$15:$V$18)=12,$AJ15&lt;&gt;"")</formula>
    </cfRule>
  </conditionalFormatting>
  <conditionalFormatting sqref="AJ20:AK20">
    <cfRule type="expression" dxfId="553" priority="19" stopIfTrue="1">
      <formula>AND(SUM($V$21:$V$24)=12,$AJ21&lt;&gt;"")</formula>
    </cfRule>
  </conditionalFormatting>
  <conditionalFormatting sqref="AJ21:AK23">
    <cfRule type="expression" dxfId="552" priority="20" stopIfTrue="1">
      <formula>AND(SUM($V$21:$V$24)=12,$AJ21&lt;&gt;"")</formula>
    </cfRule>
  </conditionalFormatting>
  <conditionalFormatting sqref="AJ24:AK24">
    <cfRule type="expression" dxfId="551" priority="21" stopIfTrue="1">
      <formula>AND(SUM($V$21:$V$24)=12,$AJ24&lt;&gt;"")</formula>
    </cfRule>
  </conditionalFormatting>
  <conditionalFormatting sqref="AJ15:AK18">
    <cfRule type="expression" dxfId="550" priority="22" stopIfTrue="1">
      <formula>AND(SUM($V$15:$V$18)=12,$AJ15&lt;&gt;"")</formula>
    </cfRule>
  </conditionalFormatting>
  <conditionalFormatting sqref="AJ26:AK26">
    <cfRule type="expression" dxfId="549" priority="23" stopIfTrue="1">
      <formula>AND(SUM($V$27:$V$30)=12,$AJ27&lt;&gt;"")</formula>
    </cfRule>
  </conditionalFormatting>
  <conditionalFormatting sqref="AJ27:AK30">
    <cfRule type="expression" dxfId="548" priority="24" stopIfTrue="1">
      <formula>AND(SUM($V$27:$V$30)=12,$AJ27&lt;&gt;"")</formula>
    </cfRule>
  </conditionalFormatting>
  <conditionalFormatting sqref="AJ32:AK32">
    <cfRule type="expression" dxfId="547" priority="25" stopIfTrue="1">
      <formula>AND(SUM($V$33:$V$36)=12,$AJ33&lt;&gt;"")</formula>
    </cfRule>
  </conditionalFormatting>
  <conditionalFormatting sqref="AJ33:AK36">
    <cfRule type="expression" dxfId="546" priority="26" stopIfTrue="1">
      <formula>AND(SUM($V$33:$V$36)=12,$AJ33&lt;&gt;"")</formula>
    </cfRule>
  </conditionalFormatting>
  <conditionalFormatting sqref="AJ38:AK38">
    <cfRule type="expression" dxfId="545" priority="27" stopIfTrue="1">
      <formula>AND(SUM($V$39:$V$42)=12,$AJ39&lt;&gt;"")</formula>
    </cfRule>
  </conditionalFormatting>
  <conditionalFormatting sqref="AJ39:AK42">
    <cfRule type="expression" dxfId="544" priority="28" stopIfTrue="1">
      <formula>AND(SUM($V$39:$V$42)=12,$AJ39&lt;&gt;"")</formula>
    </cfRule>
  </conditionalFormatting>
  <conditionalFormatting sqref="AJ44:AK44 AJ50:AK50">
    <cfRule type="expression" dxfId="543" priority="29" stopIfTrue="1">
      <formula>AND(SUM($V$45:$V$48)=12,$AJ45&lt;&gt;"")</formula>
    </cfRule>
  </conditionalFormatting>
  <conditionalFormatting sqref="AJ45:AK48 AJ51:AK54">
    <cfRule type="expression" dxfId="542" priority="30" stopIfTrue="1">
      <formula>AND(SUM($V$45:$V$48)=12,$AJ45&lt;&gt;"")</formula>
    </cfRule>
  </conditionalFormatting>
  <conditionalFormatting sqref="AJ56:AK56">
    <cfRule type="expression" dxfId="541" priority="31" stopIfTrue="1">
      <formula>AND(SUM($V$57:$V$60)=12,$AJ57&lt;&gt;"")</formula>
    </cfRule>
  </conditionalFormatting>
  <conditionalFormatting sqref="AJ57:AK60">
    <cfRule type="expression" dxfId="540" priority="32" stopIfTrue="1">
      <formula>AND(SUM($V$57:$V$60)=12,$AJ57&lt;&gt;"")</formula>
    </cfRule>
  </conditionalFormatting>
  <dataValidations count="2">
    <dataValidation type="list" allowBlank="1" showInputMessage="1" showErrorMessage="1" sqref="G6">
      <formula1>Cities</formula1>
    </dataValidation>
    <dataValidation type="list" allowBlank="1" showInputMessage="1" showErrorMessage="1" sqref="G4">
      <formula1>Countries</formula1>
    </dataValidation>
  </dataValidations>
  <hyperlinks>
    <hyperlink ref="S4:Y6" r:id="rId1" display="VISIT WWW.EXCELTEMPLATE.NET FOR MORE TEMPLATES"/>
    <hyperlink ref="N4" r:id="rId2" display="VISIT WWW.EXCELTEMPLATE.NET FOR MORE TEMPLATES AND UPDATES"/>
    <hyperlink ref="N4:AC6" r:id="rId3" display="http://exceltemplate.net/"/>
  </hyperlinks>
  <printOptions horizontalCentered="1" verticalCentered="1"/>
  <pageMargins left="0.39" right="0.32" top="0.28999999999999998" bottom="0.39" header="0.21" footer="0.26"/>
  <pageSetup scale="10" orientation="portrait" horizontalDpi="300" verticalDpi="300" r:id="rId4"/>
  <headerFooter alignWithMargins="0">
    <oddFooter>&amp;C
copyright (c) exceltemplate.net 2010</oddFooter>
  </headerFooter>
  <drawing r:id="rId5"/>
  <legacyDrawing r:id="rId6"/>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CS126"/>
  <sheetViews>
    <sheetView showGridLines="0" tabSelected="1" zoomScaleNormal="100" workbookViewId="0">
      <selection activeCell="B6" sqref="B6:C7"/>
    </sheetView>
  </sheetViews>
  <sheetFormatPr defaultColWidth="0" defaultRowHeight="14.4" zeroHeight="1"/>
  <cols>
    <col min="1" max="1" width="2.44140625" style="204" customWidth="1"/>
    <col min="2" max="2" width="3.6640625" style="204" customWidth="1"/>
    <col min="3" max="3" width="4.109375" style="204" customWidth="1"/>
    <col min="4" max="4" width="6.33203125" style="204" customWidth="1"/>
    <col min="5" max="5" width="8.21875" style="204" customWidth="1"/>
    <col min="6" max="6" width="6.88671875" style="205" customWidth="1"/>
    <col min="7" max="7" width="20.6640625" style="204" customWidth="1"/>
    <col min="8" max="8" width="1.77734375" style="204" customWidth="1"/>
    <col min="9" max="9" width="3.44140625" style="204" customWidth="1"/>
    <col min="10" max="10" width="1.77734375" style="206" customWidth="1"/>
    <col min="11" max="11" width="3.44140625" style="204" customWidth="1"/>
    <col min="12" max="12" width="1.6640625" style="204" customWidth="1"/>
    <col min="13" max="13" width="20.6640625" style="204" customWidth="1"/>
    <col min="14" max="14" width="2.44140625" style="204" customWidth="1"/>
    <col min="15" max="15" width="1.77734375" style="204" customWidth="1"/>
    <col min="16" max="16" width="20.6640625" style="204" customWidth="1"/>
    <col min="17" max="17" width="1.6640625" style="204" customWidth="1"/>
    <col min="18" max="18" width="3.44140625" style="204" customWidth="1"/>
    <col min="19" max="19" width="1.77734375" style="206" customWidth="1"/>
    <col min="20" max="20" width="3.44140625" style="204" customWidth="1"/>
    <col min="21" max="21" width="1.6640625" style="204" customWidth="1"/>
    <col min="22" max="22" width="17.5546875" style="204" customWidth="1"/>
    <col min="23" max="23" width="3.44140625" style="204" customWidth="1"/>
    <col min="24" max="24" width="1.77734375" style="206" customWidth="1"/>
    <col min="25" max="25" width="3.44140625" style="204" customWidth="1"/>
    <col min="26" max="26" width="1.77734375" style="204" customWidth="1"/>
    <col min="27" max="27" width="3.44140625" style="204" customWidth="1"/>
    <col min="28" max="28" width="1.77734375" style="206" customWidth="1"/>
    <col min="29" max="29" width="3.44140625" style="204" customWidth="1"/>
    <col min="30" max="30" width="5.77734375" style="206" customWidth="1"/>
    <col min="31" max="31" width="9.109375" style="204" customWidth="1"/>
    <col min="32" max="32" width="2.6640625" style="204" customWidth="1"/>
    <col min="33" max="33" width="9.109375" style="204" hidden="1" customWidth="1"/>
    <col min="34" max="90" width="0" style="204" hidden="1" customWidth="1"/>
    <col min="91" max="94" width="0" style="207" hidden="1" customWidth="1"/>
    <col min="95" max="97" width="0" style="204" hidden="1" customWidth="1"/>
    <col min="98" max="16384" width="9.109375" style="204" hidden="1"/>
  </cols>
  <sheetData>
    <row r="1" spans="2:97" s="166" customFormat="1" ht="15" customHeight="1">
      <c r="J1" s="167"/>
      <c r="S1" s="167"/>
      <c r="X1" s="167"/>
      <c r="AB1" s="167"/>
      <c r="AD1" s="167"/>
      <c r="CM1" s="168"/>
      <c r="CN1" s="168"/>
      <c r="CO1" s="168"/>
      <c r="CP1" s="168"/>
    </row>
    <row r="2" spans="2:97" s="166" customFormat="1" ht="15" customHeight="1">
      <c r="J2" s="167"/>
      <c r="S2" s="167"/>
      <c r="X2" s="167"/>
      <c r="AB2" s="167"/>
      <c r="AD2" s="167"/>
      <c r="CM2" s="168"/>
      <c r="CN2" s="168"/>
      <c r="CO2" s="168"/>
      <c r="CP2" s="168"/>
    </row>
    <row r="3" spans="2:97" s="166" customFormat="1" ht="15" customHeight="1">
      <c r="J3" s="167"/>
      <c r="S3" s="167"/>
      <c r="X3" s="167"/>
      <c r="AB3" s="167"/>
      <c r="AD3" s="167"/>
      <c r="CM3" s="168"/>
      <c r="CN3" s="168"/>
      <c r="CO3" s="168"/>
      <c r="CP3" s="168"/>
    </row>
    <row r="4" spans="2:97" s="166" customFormat="1" ht="25.05" customHeight="1">
      <c r="B4" s="297" t="s">
        <v>3871</v>
      </c>
      <c r="C4" s="298"/>
      <c r="D4" s="307" t="str">
        <f ca="1">IF(INDIRECT("'Player Name'!"&amp;"$c"&amp;B8)&lt;&gt;"",INDIRECT("'Player Name'!"&amp;"$c"&amp;B8),"")</f>
        <v>John 1</v>
      </c>
      <c r="E4" s="308"/>
      <c r="F4" s="308"/>
      <c r="G4" s="308"/>
      <c r="H4" s="308"/>
      <c r="I4" s="308"/>
      <c r="J4" s="308"/>
      <c r="K4" s="308"/>
      <c r="L4" s="308"/>
      <c r="M4" s="309"/>
      <c r="S4" s="167"/>
      <c r="X4" s="167"/>
      <c r="AB4" s="167"/>
      <c r="CM4" s="168"/>
      <c r="CN4" s="168"/>
      <c r="CO4" s="168"/>
      <c r="CP4" s="168"/>
    </row>
    <row r="5" spans="2:97" s="173" customFormat="1" ht="15" customHeight="1">
      <c r="B5" s="169"/>
      <c r="C5" s="169"/>
      <c r="D5" s="170"/>
      <c r="E5" s="170"/>
      <c r="F5" s="170"/>
      <c r="G5" s="171" t="s">
        <v>848</v>
      </c>
      <c r="H5" s="294" t="s">
        <v>3872</v>
      </c>
      <c r="I5" s="294"/>
      <c r="J5" s="294"/>
      <c r="K5" s="294"/>
      <c r="L5" s="295"/>
      <c r="M5" s="171" t="s">
        <v>3870</v>
      </c>
      <c r="N5" s="166"/>
      <c r="O5" s="166"/>
      <c r="P5" s="172"/>
      <c r="Q5" s="166"/>
      <c r="R5" s="166"/>
      <c r="S5" s="167"/>
      <c r="T5" s="166"/>
      <c r="U5" s="166"/>
      <c r="V5" s="166"/>
      <c r="W5" s="166"/>
      <c r="X5" s="167"/>
      <c r="Y5" s="166"/>
      <c r="Z5" s="166"/>
      <c r="AA5" s="166"/>
      <c r="AB5" s="167"/>
      <c r="AC5" s="296"/>
      <c r="AD5" s="296"/>
      <c r="AE5" s="296"/>
      <c r="CM5" s="174"/>
      <c r="CN5" s="174"/>
      <c r="CO5" s="174"/>
      <c r="CP5" s="174"/>
    </row>
    <row r="6" spans="2:97" s="166" customFormat="1" ht="15" customHeight="1">
      <c r="B6" s="318">
        <f>B8-5</f>
        <v>1</v>
      </c>
      <c r="C6" s="318"/>
      <c r="D6" s="315" t="s">
        <v>3868</v>
      </c>
      <c r="E6" s="315"/>
      <c r="F6" s="315"/>
      <c r="G6" s="175">
        <f>SUM(AD15:AD62)</f>
        <v>0</v>
      </c>
      <c r="H6" s="310">
        <f>SUM(AD66:AD81)</f>
        <v>0</v>
      </c>
      <c r="I6" s="311"/>
      <c r="J6" s="311"/>
      <c r="K6" s="311"/>
      <c r="L6" s="311"/>
      <c r="M6" s="176">
        <f>H6+G6</f>
        <v>0</v>
      </c>
      <c r="X6" s="167"/>
      <c r="AB6" s="167"/>
      <c r="CM6" s="168"/>
      <c r="CN6" s="168"/>
      <c r="CO6" s="168"/>
      <c r="CP6" s="168"/>
    </row>
    <row r="7" spans="2:97" s="166" customFormat="1" ht="15" customHeight="1">
      <c r="B7" s="318"/>
      <c r="C7" s="319"/>
      <c r="D7" s="316" t="s">
        <v>3869</v>
      </c>
      <c r="E7" s="317"/>
      <c r="F7" s="317"/>
      <c r="G7" s="177"/>
      <c r="H7" s="312"/>
      <c r="I7" s="312"/>
      <c r="J7" s="312"/>
      <c r="K7" s="312"/>
      <c r="L7" s="313"/>
      <c r="M7" s="178">
        <f ca="1">INDEX('Player Leaderboard'!$A$9:$A$23,MATCH($D4,'Player Leaderboard'!$B$9:$B$23,0),0)</f>
        <v>1</v>
      </c>
      <c r="P7" s="209"/>
      <c r="S7" s="167"/>
      <c r="X7" s="167"/>
      <c r="AB7" s="167"/>
      <c r="AC7" s="320" t="str">
        <f>HYPERLINK("["&amp;Setup!$C$5&amp;"]'Player ("&amp;B8-4&amp;")'!B6","Next Player ("&amp;B8-4&amp;") &gt;&gt;")</f>
        <v>Next Player (2) &gt;&gt;</v>
      </c>
      <c r="AD7" s="320"/>
      <c r="AE7" s="320"/>
      <c r="CM7" s="168"/>
      <c r="CN7" s="168"/>
      <c r="CO7" s="168"/>
      <c r="CP7" s="168"/>
    </row>
    <row r="8" spans="2:97" s="166" customFormat="1" ht="15" customHeight="1">
      <c r="B8" s="208">
        <v>6</v>
      </c>
      <c r="J8" s="167"/>
      <c r="S8" s="167"/>
      <c r="X8" s="167"/>
      <c r="AB8" s="167"/>
      <c r="AD8" s="167"/>
      <c r="CM8" s="168"/>
      <c r="CN8" s="168"/>
      <c r="CO8" s="168"/>
      <c r="CP8" s="168"/>
    </row>
    <row r="9" spans="2:97" s="166" customFormat="1" ht="15" customHeight="1">
      <c r="B9" s="314" t="s">
        <v>491</v>
      </c>
      <c r="C9" s="314"/>
      <c r="D9" s="314"/>
      <c r="E9" s="314"/>
      <c r="F9" s="314"/>
      <c r="G9" s="314"/>
      <c r="H9" s="314"/>
      <c r="I9" s="314"/>
      <c r="J9" s="314"/>
      <c r="K9" s="314"/>
      <c r="L9" s="314"/>
      <c r="M9" s="314"/>
      <c r="N9" s="314"/>
      <c r="P9" s="303" t="s">
        <v>492</v>
      </c>
      <c r="Q9" s="304"/>
      <c r="R9" s="304"/>
      <c r="S9" s="304"/>
      <c r="T9" s="304"/>
      <c r="U9" s="304"/>
      <c r="V9" s="304"/>
      <c r="W9" s="304"/>
      <c r="X9" s="304"/>
      <c r="Y9" s="304"/>
      <c r="Z9" s="304"/>
      <c r="AA9" s="304"/>
      <c r="AB9" s="304"/>
      <c r="AC9" s="304"/>
      <c r="AD9" s="304"/>
      <c r="AE9" s="305"/>
      <c r="CM9" s="168"/>
      <c r="CN9" s="168"/>
      <c r="CO9" s="168"/>
      <c r="CP9" s="168"/>
    </row>
    <row r="10" spans="2:97" s="166" customFormat="1" ht="15" customHeight="1">
      <c r="B10" s="180"/>
      <c r="C10" s="180"/>
      <c r="D10" s="180"/>
      <c r="E10" s="180"/>
      <c r="F10" s="180"/>
      <c r="G10" s="180"/>
      <c r="H10" s="180"/>
      <c r="I10" s="180"/>
      <c r="J10" s="181"/>
      <c r="K10" s="180"/>
      <c r="L10" s="180"/>
      <c r="M10" s="180"/>
      <c r="N10" s="180"/>
      <c r="O10" s="180"/>
      <c r="P10" s="180"/>
      <c r="Q10" s="180"/>
      <c r="R10" s="180"/>
      <c r="S10" s="180"/>
      <c r="T10" s="180"/>
      <c r="U10" s="180"/>
      <c r="V10" s="180"/>
      <c r="W10" s="180"/>
      <c r="X10" s="180"/>
      <c r="Y10" s="180"/>
      <c r="Z10" s="180"/>
      <c r="AA10" s="180"/>
      <c r="AB10" s="180"/>
      <c r="AC10" s="180"/>
      <c r="AD10" s="180"/>
      <c r="AE10" s="180"/>
      <c r="AF10" s="180"/>
      <c r="AG10" s="180"/>
      <c r="CM10" s="168"/>
      <c r="CN10" s="168"/>
      <c r="CO10" s="168"/>
      <c r="CP10" s="168"/>
    </row>
    <row r="11" spans="2:97" s="166" customFormat="1" ht="15" customHeight="1">
      <c r="B11" s="300" t="str">
        <f>Tournament!B10</f>
        <v>Group Stages</v>
      </c>
      <c r="C11" s="301"/>
      <c r="D11" s="301"/>
      <c r="E11" s="301"/>
      <c r="F11" s="301"/>
      <c r="G11" s="301"/>
      <c r="H11" s="301"/>
      <c r="I11" s="301"/>
      <c r="J11" s="301"/>
      <c r="K11" s="301"/>
      <c r="L11" s="301"/>
      <c r="M11" s="301"/>
      <c r="N11" s="302"/>
      <c r="P11" s="303" t="str">
        <f>B11</f>
        <v>Group Stages</v>
      </c>
      <c r="Q11" s="304"/>
      <c r="R11" s="304"/>
      <c r="S11" s="304"/>
      <c r="T11" s="304"/>
      <c r="U11" s="304"/>
      <c r="V11" s="304"/>
      <c r="W11" s="304"/>
      <c r="X11" s="304"/>
      <c r="Y11" s="304"/>
      <c r="Z11" s="304"/>
      <c r="AA11" s="304"/>
      <c r="AB11" s="304"/>
      <c r="AC11" s="304"/>
      <c r="AD11" s="304"/>
      <c r="AE11" s="305"/>
      <c r="CM11" s="168"/>
      <c r="CN11" s="168"/>
      <c r="CO11" s="168"/>
      <c r="CP11" s="168"/>
    </row>
    <row r="12" spans="2:97" s="166" customFormat="1" ht="15" customHeight="1">
      <c r="B12" s="182"/>
      <c r="C12" s="180"/>
      <c r="D12" s="180"/>
      <c r="E12" s="180"/>
      <c r="F12" s="180"/>
      <c r="G12" s="180"/>
      <c r="H12" s="180"/>
      <c r="I12" s="180"/>
      <c r="J12" s="181"/>
      <c r="K12" s="180"/>
      <c r="L12" s="180"/>
      <c r="M12" s="180"/>
      <c r="N12" s="183"/>
      <c r="P12" s="182"/>
      <c r="Q12" s="180"/>
      <c r="R12" s="180"/>
      <c r="S12" s="180"/>
      <c r="T12" s="180"/>
      <c r="U12" s="180"/>
      <c r="V12" s="180"/>
      <c r="W12" s="180"/>
      <c r="X12" s="180"/>
      <c r="Y12" s="180"/>
      <c r="Z12" s="180"/>
      <c r="AA12" s="180"/>
      <c r="AB12" s="180"/>
      <c r="AC12" s="180"/>
      <c r="AD12" s="180"/>
      <c r="AE12" s="183"/>
      <c r="CM12" s="168"/>
      <c r="CN12" s="168"/>
      <c r="CO12" s="168"/>
      <c r="CP12" s="168"/>
    </row>
    <row r="13" spans="2:97" s="166" customFormat="1" ht="15" customHeight="1">
      <c r="B13" s="182"/>
      <c r="C13" s="184" t="str">
        <f>Tournament!D14</f>
        <v>Match #</v>
      </c>
      <c r="D13" s="184" t="str">
        <f>Tournament!E14</f>
        <v>Group</v>
      </c>
      <c r="E13" s="184" t="str">
        <f>Tournament!F14</f>
        <v>Date</v>
      </c>
      <c r="F13" s="184" t="str">
        <f>Tournament!G14</f>
        <v>Time</v>
      </c>
      <c r="G13" s="184" t="str">
        <f>Tournament!H14</f>
        <v>Country</v>
      </c>
      <c r="H13" s="184"/>
      <c r="I13" s="306" t="str">
        <f>Tournament!J14</f>
        <v>Score</v>
      </c>
      <c r="J13" s="306"/>
      <c r="K13" s="306"/>
      <c r="L13" s="184"/>
      <c r="M13" s="184" t="str">
        <f>Tournament!N14</f>
        <v>Country</v>
      </c>
      <c r="N13" s="183"/>
      <c r="P13" s="185" t="str">
        <f>G13</f>
        <v>Country</v>
      </c>
      <c r="Q13" s="184"/>
      <c r="R13" s="306" t="str">
        <f>I13</f>
        <v>Score</v>
      </c>
      <c r="S13" s="306"/>
      <c r="T13" s="306"/>
      <c r="U13" s="184"/>
      <c r="V13" s="184" t="str">
        <f>M13</f>
        <v>Country</v>
      </c>
      <c r="W13" s="306"/>
      <c r="X13" s="306"/>
      <c r="Y13" s="306"/>
      <c r="Z13" s="184"/>
      <c r="AA13" s="306"/>
      <c r="AB13" s="306"/>
      <c r="AC13" s="306"/>
      <c r="AD13" s="184" t="s">
        <v>3277</v>
      </c>
      <c r="AE13" s="183"/>
      <c r="CP13" s="168"/>
      <c r="CQ13" s="186"/>
      <c r="CR13" s="187"/>
      <c r="CS13" s="168"/>
    </row>
    <row r="14" spans="2:97" s="166" customFormat="1" ht="15" customHeight="1">
      <c r="B14" s="182"/>
      <c r="C14" s="180"/>
      <c r="D14" s="180"/>
      <c r="E14" s="180"/>
      <c r="F14" s="180"/>
      <c r="G14" s="180"/>
      <c r="H14" s="180"/>
      <c r="I14" s="180"/>
      <c r="J14" s="180"/>
      <c r="K14" s="180"/>
      <c r="L14" s="180"/>
      <c r="M14" s="180"/>
      <c r="N14" s="183"/>
      <c r="P14" s="182"/>
      <c r="Q14" s="180"/>
      <c r="R14" s="180"/>
      <c r="S14" s="180"/>
      <c r="T14" s="180"/>
      <c r="U14" s="180"/>
      <c r="V14" s="180"/>
      <c r="W14" s="180"/>
      <c r="X14" s="180"/>
      <c r="Y14" s="180"/>
      <c r="Z14" s="180"/>
      <c r="AA14" s="180"/>
      <c r="AB14" s="180"/>
      <c r="AC14" s="180"/>
      <c r="AD14" s="181"/>
      <c r="AE14" s="183"/>
      <c r="CP14" s="168"/>
      <c r="CQ14" s="186"/>
      <c r="CR14" s="187"/>
      <c r="CS14" s="168"/>
    </row>
    <row r="15" spans="2:97" s="166" customFormat="1" ht="15" customHeight="1">
      <c r="B15" s="182"/>
      <c r="C15" s="181">
        <f>Tournament!D16</f>
        <v>1</v>
      </c>
      <c r="D15" s="181" t="str">
        <f>Tournament!E16</f>
        <v>A</v>
      </c>
      <c r="E15" s="188">
        <f>Tournament!F16</f>
        <v>41802.708333333336</v>
      </c>
      <c r="F15" s="189">
        <f>Tournament!G16</f>
        <v>41802.708333333336</v>
      </c>
      <c r="G15" s="190" t="str">
        <f>Tournament!H16</f>
        <v>Brazil</v>
      </c>
      <c r="H15" s="180"/>
      <c r="I15" s="9"/>
      <c r="J15" s="191" t="s">
        <v>3088</v>
      </c>
      <c r="K15" s="9"/>
      <c r="L15" s="180"/>
      <c r="M15" s="180" t="str">
        <f>Tournament!N16</f>
        <v>Croatia</v>
      </c>
      <c r="N15" s="183"/>
      <c r="O15" s="180"/>
      <c r="P15" s="192" t="str">
        <f>G15</f>
        <v>Brazil</v>
      </c>
      <c r="Q15" s="193"/>
      <c r="R15" s="194">
        <f>IF(Tournament!J16&lt;&gt;"",Tournament!J16,"")</f>
        <v>3</v>
      </c>
      <c r="S15" s="194" t="s">
        <v>3088</v>
      </c>
      <c r="T15" s="194">
        <f>IF(Tournament!L16&lt;&gt;"",Tournament!L16,"")</f>
        <v>1</v>
      </c>
      <c r="U15" s="193"/>
      <c r="V15" s="193" t="str">
        <f>M15</f>
        <v>Croatia</v>
      </c>
      <c r="W15" s="194"/>
      <c r="X15" s="194"/>
      <c r="Y15" s="194"/>
      <c r="Z15" s="194"/>
      <c r="AA15" s="194"/>
      <c r="AB15" s="194"/>
      <c r="AC15" s="194"/>
      <c r="AD15" s="195" t="str">
        <f>IF(AND(I15&lt;&gt;"",K15&lt;&gt;"",R15&lt;&gt;"",T15&lt;&gt;""),IF(AND(I15=R15,K15=T15),Setup!$D$10,IF((I15-K15)=(R15-T15),Setup!$D$11,IF(AND((I15&gt;K15),(R15&gt;T15)),Setup!$D$12,IF(AND((K15&gt;I15),(T15&gt;R15)),Setup!$D$12,0)))),"")</f>
        <v/>
      </c>
      <c r="AE15" s="183"/>
      <c r="CP15" s="168"/>
      <c r="CQ15" s="186"/>
      <c r="CR15" s="187"/>
      <c r="CS15" s="168"/>
    </row>
    <row r="16" spans="2:97" s="166" customFormat="1" ht="15" customHeight="1">
      <c r="B16" s="182"/>
      <c r="C16" s="181">
        <f>Tournament!D17</f>
        <v>2</v>
      </c>
      <c r="D16" s="181" t="str">
        <f>Tournament!E17</f>
        <v>A</v>
      </c>
      <c r="E16" s="188">
        <f>Tournament!F17</f>
        <v>41803.541666666664</v>
      </c>
      <c r="F16" s="189">
        <f>Tournament!G17</f>
        <v>41803.541666666664</v>
      </c>
      <c r="G16" s="190" t="str">
        <f>Tournament!H17</f>
        <v>Mexico</v>
      </c>
      <c r="H16" s="180"/>
      <c r="I16" s="9"/>
      <c r="J16" s="191" t="s">
        <v>3088</v>
      </c>
      <c r="K16" s="9"/>
      <c r="L16" s="180"/>
      <c r="M16" s="180" t="str">
        <f>Tournament!N17</f>
        <v>Cameroon</v>
      </c>
      <c r="N16" s="183"/>
      <c r="P16" s="192" t="str">
        <f t="shared" ref="P16:P62" si="0">G16</f>
        <v>Mexico</v>
      </c>
      <c r="Q16" s="193"/>
      <c r="R16" s="194">
        <f>IF(Tournament!J17&lt;&gt;"",Tournament!J17,"")</f>
        <v>1</v>
      </c>
      <c r="S16" s="194" t="s">
        <v>3088</v>
      </c>
      <c r="T16" s="194">
        <f>IF(Tournament!L17&lt;&gt;"",Tournament!L17,"")</f>
        <v>0</v>
      </c>
      <c r="U16" s="193"/>
      <c r="V16" s="193" t="str">
        <f t="shared" ref="V16:V62" si="1">M16</f>
        <v>Cameroon</v>
      </c>
      <c r="W16" s="194"/>
      <c r="X16" s="194"/>
      <c r="Y16" s="194"/>
      <c r="Z16" s="194"/>
      <c r="AA16" s="194"/>
      <c r="AB16" s="194"/>
      <c r="AC16" s="194"/>
      <c r="AD16" s="195" t="str">
        <f>IF(AND(I16&lt;&gt;"",K16&lt;&gt;"",R16&lt;&gt;"",T16&lt;&gt;""),IF(AND(I16=R16,K16=T16),Setup!$D$10,IF((I16-K16)=(R16-T16),Setup!$D$11,IF(AND((I16&gt;K16),(R16&gt;T16)),Setup!$D$12,IF(AND((K16&gt;I16),(T16&gt;R16)),Setup!$D$12,0)))),"")</f>
        <v/>
      </c>
      <c r="AE16" s="183"/>
      <c r="AI16" s="179" t="s">
        <v>3904</v>
      </c>
      <c r="CP16" s="168"/>
      <c r="CQ16" s="186"/>
      <c r="CR16" s="187"/>
      <c r="CS16" s="168"/>
    </row>
    <row r="17" spans="2:97" s="166" customFormat="1" ht="15" customHeight="1">
      <c r="B17" s="182"/>
      <c r="C17" s="181">
        <f>Tournament!D18</f>
        <v>3</v>
      </c>
      <c r="D17" s="181" t="str">
        <f>Tournament!E18</f>
        <v>B</v>
      </c>
      <c r="E17" s="188">
        <f>Tournament!F18</f>
        <v>41803.666666666664</v>
      </c>
      <c r="F17" s="189">
        <f>Tournament!G18</f>
        <v>41803.666666666664</v>
      </c>
      <c r="G17" s="190" t="str">
        <f>Tournament!H18</f>
        <v>Spain</v>
      </c>
      <c r="H17" s="180"/>
      <c r="I17" s="9"/>
      <c r="J17" s="191" t="s">
        <v>3088</v>
      </c>
      <c r="K17" s="9"/>
      <c r="L17" s="180"/>
      <c r="M17" s="180" t="str">
        <f>Tournament!N18</f>
        <v>Netherlands</v>
      </c>
      <c r="N17" s="183"/>
      <c r="P17" s="192" t="str">
        <f t="shared" si="0"/>
        <v>Spain</v>
      </c>
      <c r="Q17" s="193"/>
      <c r="R17" s="194">
        <f>IF(Tournament!J18&lt;&gt;"",Tournament!J18,"")</f>
        <v>1</v>
      </c>
      <c r="S17" s="194" t="s">
        <v>3088</v>
      </c>
      <c r="T17" s="194">
        <f>IF(Tournament!L18&lt;&gt;"",Tournament!L18,"")</f>
        <v>5</v>
      </c>
      <c r="U17" s="193"/>
      <c r="V17" s="193" t="str">
        <f t="shared" si="1"/>
        <v>Netherlands</v>
      </c>
      <c r="W17" s="194"/>
      <c r="X17" s="194"/>
      <c r="Y17" s="194"/>
      <c r="Z17" s="194"/>
      <c r="AA17" s="194"/>
      <c r="AB17" s="194"/>
      <c r="AC17" s="194"/>
      <c r="AD17" s="195" t="str">
        <f>IF(AND(I17&lt;&gt;"",K17&lt;&gt;"",R17&lt;&gt;"",T17&lt;&gt;""),IF(AND(I17=R17,K17=T17),Setup!$D$10,IF((I17-K17)=(R17-T17),Setup!$D$11,IF(AND((I17&gt;K17),(R17&gt;T17)),Setup!$D$12,IF(AND((K17&gt;I17),(T17&gt;R17)),Setup!$D$12,0)))),"")</f>
        <v/>
      </c>
      <c r="AE17" s="183"/>
      <c r="CP17" s="168"/>
      <c r="CQ17" s="186"/>
      <c r="CR17" s="187"/>
      <c r="CS17" s="168"/>
    </row>
    <row r="18" spans="2:97" s="166" customFormat="1" ht="15" customHeight="1">
      <c r="B18" s="182"/>
      <c r="C18" s="181">
        <f>Tournament!D19</f>
        <v>4</v>
      </c>
      <c r="D18" s="181" t="str">
        <f>Tournament!E19</f>
        <v>B</v>
      </c>
      <c r="E18" s="188">
        <f>Tournament!F19</f>
        <v>41803.791666666664</v>
      </c>
      <c r="F18" s="189">
        <f>Tournament!G19</f>
        <v>41803.791666666664</v>
      </c>
      <c r="G18" s="190" t="str">
        <f>Tournament!H19</f>
        <v>Chile</v>
      </c>
      <c r="H18" s="180"/>
      <c r="I18" s="9"/>
      <c r="J18" s="191" t="s">
        <v>3088</v>
      </c>
      <c r="K18" s="9"/>
      <c r="L18" s="180"/>
      <c r="M18" s="180" t="str">
        <f>Tournament!N19</f>
        <v>Australia</v>
      </c>
      <c r="N18" s="183"/>
      <c r="P18" s="192" t="str">
        <f t="shared" si="0"/>
        <v>Chile</v>
      </c>
      <c r="Q18" s="193"/>
      <c r="R18" s="194">
        <f>IF(Tournament!J19&lt;&gt;"",Tournament!J19,"")</f>
        <v>3</v>
      </c>
      <c r="S18" s="194" t="s">
        <v>3088</v>
      </c>
      <c r="T18" s="194">
        <f>IF(Tournament!L19&lt;&gt;"",Tournament!L19,"")</f>
        <v>1</v>
      </c>
      <c r="U18" s="193"/>
      <c r="V18" s="193" t="str">
        <f t="shared" si="1"/>
        <v>Australia</v>
      </c>
      <c r="W18" s="194"/>
      <c r="X18" s="194"/>
      <c r="Y18" s="194"/>
      <c r="Z18" s="194"/>
      <c r="AA18" s="194"/>
      <c r="AB18" s="194"/>
      <c r="AC18" s="194"/>
      <c r="AD18" s="195" t="str">
        <f>IF(AND(I18&lt;&gt;"",K18&lt;&gt;"",R18&lt;&gt;"",T18&lt;&gt;""),IF(AND(I18=R18,K18=T18),Setup!$D$10,IF((I18-K18)=(R18-T18),Setup!$D$11,IF(AND((I18&gt;K18),(R18&gt;T18)),Setup!$D$12,IF(AND((K18&gt;I18),(T18&gt;R18)),Setup!$D$12,0)))),"")</f>
        <v/>
      </c>
      <c r="AE18" s="183"/>
      <c r="CP18" s="168"/>
      <c r="CQ18" s="186"/>
      <c r="CR18" s="187"/>
      <c r="CS18" s="168"/>
    </row>
    <row r="19" spans="2:97" s="166" customFormat="1" ht="15" customHeight="1">
      <c r="B19" s="182"/>
      <c r="C19" s="181">
        <f>Tournament!D20</f>
        <v>5</v>
      </c>
      <c r="D19" s="181" t="str">
        <f>Tournament!E20</f>
        <v>C</v>
      </c>
      <c r="E19" s="188">
        <f>Tournament!F20</f>
        <v>41804.541666666664</v>
      </c>
      <c r="F19" s="189">
        <f>Tournament!G20</f>
        <v>41804.541666666664</v>
      </c>
      <c r="G19" s="190" t="str">
        <f>Tournament!H20</f>
        <v>Colombia</v>
      </c>
      <c r="H19" s="180"/>
      <c r="I19" s="9"/>
      <c r="J19" s="191" t="s">
        <v>3088</v>
      </c>
      <c r="K19" s="9"/>
      <c r="L19" s="180"/>
      <c r="M19" s="180" t="str">
        <f>Tournament!N20</f>
        <v>Greece</v>
      </c>
      <c r="N19" s="183"/>
      <c r="P19" s="192" t="str">
        <f t="shared" si="0"/>
        <v>Colombia</v>
      </c>
      <c r="Q19" s="193"/>
      <c r="R19" s="194" t="str">
        <f>IF(Tournament!J20&lt;&gt;"",Tournament!J20,"")</f>
        <v/>
      </c>
      <c r="S19" s="194" t="s">
        <v>3088</v>
      </c>
      <c r="T19" s="194" t="str">
        <f>IF(Tournament!L20&lt;&gt;"",Tournament!L20,"")</f>
        <v/>
      </c>
      <c r="U19" s="193"/>
      <c r="V19" s="193" t="str">
        <f t="shared" si="1"/>
        <v>Greece</v>
      </c>
      <c r="W19" s="194"/>
      <c r="X19" s="194"/>
      <c r="Y19" s="194"/>
      <c r="Z19" s="194"/>
      <c r="AA19" s="194"/>
      <c r="AB19" s="194"/>
      <c r="AC19" s="194"/>
      <c r="AD19" s="195" t="str">
        <f>IF(AND(I19&lt;&gt;"",K19&lt;&gt;"",R19&lt;&gt;"",T19&lt;&gt;""),IF(AND(I19=R19,K19=T19),Setup!$D$10,IF((I19-K19)=(R19-T19),Setup!$D$11,IF(AND((I19&gt;K19),(R19&gt;T19)),Setup!$D$12,IF(AND((K19&gt;I19),(T19&gt;R19)),Setup!$D$12,0)))),"")</f>
        <v/>
      </c>
      <c r="AE19" s="183"/>
      <c r="CP19" s="168"/>
      <c r="CQ19" s="186"/>
      <c r="CR19" s="187"/>
      <c r="CS19" s="168"/>
    </row>
    <row r="20" spans="2:97" s="166" customFormat="1" ht="15" customHeight="1">
      <c r="B20" s="182"/>
      <c r="C20" s="181">
        <f>Tournament!D21</f>
        <v>6</v>
      </c>
      <c r="D20" s="181" t="str">
        <f>Tournament!E21</f>
        <v>C</v>
      </c>
      <c r="E20" s="188">
        <f>Tournament!F21</f>
        <v>41804.916666666664</v>
      </c>
      <c r="F20" s="189">
        <f>Tournament!G21</f>
        <v>41804.916666666664</v>
      </c>
      <c r="G20" s="190" t="str">
        <f>Tournament!H21</f>
        <v>Ivory Coast</v>
      </c>
      <c r="H20" s="180"/>
      <c r="I20" s="9"/>
      <c r="J20" s="191" t="s">
        <v>3088</v>
      </c>
      <c r="K20" s="9"/>
      <c r="L20" s="180"/>
      <c r="M20" s="180" t="str">
        <f>Tournament!N21</f>
        <v>Japan</v>
      </c>
      <c r="N20" s="183"/>
      <c r="P20" s="192" t="str">
        <f t="shared" si="0"/>
        <v>Ivory Coast</v>
      </c>
      <c r="Q20" s="193"/>
      <c r="R20" s="194" t="str">
        <f>IF(Tournament!J21&lt;&gt;"",Tournament!J21,"")</f>
        <v/>
      </c>
      <c r="S20" s="194" t="s">
        <v>3088</v>
      </c>
      <c r="T20" s="194" t="str">
        <f>IF(Tournament!L21&lt;&gt;"",Tournament!L21,"")</f>
        <v/>
      </c>
      <c r="U20" s="193"/>
      <c r="V20" s="193" t="str">
        <f t="shared" si="1"/>
        <v>Japan</v>
      </c>
      <c r="W20" s="194"/>
      <c r="X20" s="194"/>
      <c r="Y20" s="194"/>
      <c r="Z20" s="194"/>
      <c r="AA20" s="194"/>
      <c r="AB20" s="194"/>
      <c r="AC20" s="194"/>
      <c r="AD20" s="195" t="str">
        <f>IF(AND(I20&lt;&gt;"",K20&lt;&gt;"",R20&lt;&gt;"",T20&lt;&gt;""),IF(AND(I20=R20,K20=T20),Setup!$D$10,IF((I20-K20)=(R20-T20),Setup!$D$11,IF(AND((I20&gt;K20),(R20&gt;T20)),Setup!$D$12,IF(AND((K20&gt;I20),(T20&gt;R20)),Setup!$D$12,0)))),"")</f>
        <v/>
      </c>
      <c r="AE20" s="183"/>
      <c r="CP20" s="168"/>
      <c r="CQ20" s="186"/>
      <c r="CR20" s="187"/>
      <c r="CS20" s="168"/>
    </row>
    <row r="21" spans="2:97" s="166" customFormat="1" ht="15" customHeight="1">
      <c r="B21" s="182"/>
      <c r="C21" s="181">
        <f>Tournament!D22</f>
        <v>7</v>
      </c>
      <c r="D21" s="181" t="str">
        <f>Tournament!E22</f>
        <v>D</v>
      </c>
      <c r="E21" s="188">
        <f>Tournament!F22</f>
        <v>41804.666666666664</v>
      </c>
      <c r="F21" s="189">
        <f>Tournament!G22</f>
        <v>41804.666666666664</v>
      </c>
      <c r="G21" s="190" t="str">
        <f>Tournament!H22</f>
        <v>Uruguay</v>
      </c>
      <c r="H21" s="180"/>
      <c r="I21" s="9"/>
      <c r="J21" s="191" t="s">
        <v>3088</v>
      </c>
      <c r="K21" s="9"/>
      <c r="L21" s="180"/>
      <c r="M21" s="180" t="str">
        <f>Tournament!N22</f>
        <v>Costa Rica</v>
      </c>
      <c r="N21" s="183"/>
      <c r="P21" s="192" t="str">
        <f t="shared" si="0"/>
        <v>Uruguay</v>
      </c>
      <c r="Q21" s="193"/>
      <c r="R21" s="194" t="str">
        <f>IF(Tournament!J22&lt;&gt;"",Tournament!J22,"")</f>
        <v/>
      </c>
      <c r="S21" s="194" t="s">
        <v>3088</v>
      </c>
      <c r="T21" s="194" t="str">
        <f>IF(Tournament!L22&lt;&gt;"",Tournament!L22,"")</f>
        <v/>
      </c>
      <c r="U21" s="193"/>
      <c r="V21" s="193" t="str">
        <f t="shared" si="1"/>
        <v>Costa Rica</v>
      </c>
      <c r="W21" s="194"/>
      <c r="X21" s="194"/>
      <c r="Y21" s="194"/>
      <c r="Z21" s="194"/>
      <c r="AA21" s="194"/>
      <c r="AB21" s="194"/>
      <c r="AC21" s="194"/>
      <c r="AD21" s="195" t="str">
        <f>IF(AND(I21&lt;&gt;"",K21&lt;&gt;"",R21&lt;&gt;"",T21&lt;&gt;""),IF(AND(I21=R21,K21=T21),Setup!$D$10,IF((I21-K21)=(R21-T21),Setup!$D$11,IF(AND((I21&gt;K21),(R21&gt;T21)),Setup!$D$12,IF(AND((K21&gt;I21),(T21&gt;R21)),Setup!$D$12,0)))),"")</f>
        <v/>
      </c>
      <c r="AE21" s="183"/>
      <c r="CP21" s="168"/>
      <c r="CQ21" s="196"/>
      <c r="CR21" s="187"/>
      <c r="CS21" s="168"/>
    </row>
    <row r="22" spans="2:97" s="166" customFormat="1" ht="15" customHeight="1">
      <c r="B22" s="182"/>
      <c r="C22" s="181">
        <f>Tournament!D23</f>
        <v>8</v>
      </c>
      <c r="D22" s="181" t="str">
        <f>Tournament!E23</f>
        <v>D</v>
      </c>
      <c r="E22" s="188">
        <f>Tournament!F23</f>
        <v>41804.791666666664</v>
      </c>
      <c r="F22" s="189">
        <f>Tournament!G23</f>
        <v>41804.791666666664</v>
      </c>
      <c r="G22" s="190" t="str">
        <f>Tournament!H23</f>
        <v>England</v>
      </c>
      <c r="H22" s="180"/>
      <c r="I22" s="9"/>
      <c r="J22" s="191" t="s">
        <v>3088</v>
      </c>
      <c r="K22" s="9"/>
      <c r="L22" s="180"/>
      <c r="M22" s="180" t="str">
        <f>Tournament!N23</f>
        <v>Italy</v>
      </c>
      <c r="N22" s="183"/>
      <c r="P22" s="192" t="str">
        <f t="shared" si="0"/>
        <v>England</v>
      </c>
      <c r="Q22" s="193"/>
      <c r="R22" s="194" t="str">
        <f>IF(Tournament!J23&lt;&gt;"",Tournament!J23,"")</f>
        <v/>
      </c>
      <c r="S22" s="194" t="s">
        <v>3088</v>
      </c>
      <c r="T22" s="194" t="str">
        <f>IF(Tournament!L23&lt;&gt;"",Tournament!L23,"")</f>
        <v/>
      </c>
      <c r="U22" s="193"/>
      <c r="V22" s="193" t="str">
        <f t="shared" si="1"/>
        <v>Italy</v>
      </c>
      <c r="W22" s="194"/>
      <c r="X22" s="194"/>
      <c r="Y22" s="194"/>
      <c r="Z22" s="194"/>
      <c r="AA22" s="194"/>
      <c r="AB22" s="194"/>
      <c r="AC22" s="194"/>
      <c r="AD22" s="195" t="str">
        <f>IF(AND(I22&lt;&gt;"",K22&lt;&gt;"",R22&lt;&gt;"",T22&lt;&gt;""),IF(AND(I22=R22,K22=T22),Setup!$D$10,IF((I22-K22)=(R22-T22),Setup!$D$11,IF(AND((I22&gt;K22),(R22&gt;T22)),Setup!$D$12,IF(AND((K22&gt;I22),(T22&gt;R22)),Setup!$D$12,0)))),"")</f>
        <v/>
      </c>
      <c r="AE22" s="183"/>
      <c r="CP22" s="168"/>
      <c r="CQ22" s="186"/>
      <c r="CR22" s="187"/>
      <c r="CS22" s="168"/>
    </row>
    <row r="23" spans="2:97" s="166" customFormat="1" ht="15" customHeight="1">
      <c r="B23" s="182"/>
      <c r="C23" s="181">
        <f>Tournament!D24</f>
        <v>9</v>
      </c>
      <c r="D23" s="181" t="str">
        <f>Tournament!E24</f>
        <v>E</v>
      </c>
      <c r="E23" s="188">
        <f>Tournament!F24</f>
        <v>41805.541666666664</v>
      </c>
      <c r="F23" s="189">
        <f>Tournament!G24</f>
        <v>41805.541666666664</v>
      </c>
      <c r="G23" s="190" t="str">
        <f>Tournament!H24</f>
        <v>Switzerland</v>
      </c>
      <c r="H23" s="180"/>
      <c r="I23" s="9"/>
      <c r="J23" s="191" t="s">
        <v>3088</v>
      </c>
      <c r="K23" s="9"/>
      <c r="L23" s="180"/>
      <c r="M23" s="180" t="str">
        <f>Tournament!N24</f>
        <v>Ecuador</v>
      </c>
      <c r="N23" s="183"/>
      <c r="P23" s="192" t="str">
        <f t="shared" si="0"/>
        <v>Switzerland</v>
      </c>
      <c r="Q23" s="193"/>
      <c r="R23" s="194" t="str">
        <f>IF(Tournament!J24&lt;&gt;"",Tournament!J24,"")</f>
        <v/>
      </c>
      <c r="S23" s="194" t="s">
        <v>3088</v>
      </c>
      <c r="T23" s="194" t="str">
        <f>IF(Tournament!L24&lt;&gt;"",Tournament!L24,"")</f>
        <v/>
      </c>
      <c r="U23" s="193"/>
      <c r="V23" s="193" t="str">
        <f t="shared" si="1"/>
        <v>Ecuador</v>
      </c>
      <c r="W23" s="194"/>
      <c r="X23" s="194"/>
      <c r="Y23" s="194"/>
      <c r="Z23" s="194"/>
      <c r="AA23" s="194"/>
      <c r="AB23" s="194"/>
      <c r="AC23" s="194"/>
      <c r="AD23" s="195" t="str">
        <f>IF(AND(I23&lt;&gt;"",K23&lt;&gt;"",R23&lt;&gt;"",T23&lt;&gt;""),IF(AND(I23=R23,K23=T23),Setup!$D$10,IF((I23-K23)=(R23-T23),Setup!$D$11,IF(AND((I23&gt;K23),(R23&gt;T23)),Setup!$D$12,IF(AND((K23&gt;I23),(T23&gt;R23)),Setup!$D$12,0)))),"")</f>
        <v/>
      </c>
      <c r="AE23" s="183"/>
      <c r="CP23" s="168"/>
      <c r="CQ23" s="186"/>
      <c r="CR23" s="187"/>
      <c r="CS23" s="168"/>
    </row>
    <row r="24" spans="2:97" s="166" customFormat="1" ht="15" customHeight="1">
      <c r="B24" s="182"/>
      <c r="C24" s="181">
        <f>Tournament!D25</f>
        <v>10</v>
      </c>
      <c r="D24" s="181" t="str">
        <f>Tournament!E25</f>
        <v>E</v>
      </c>
      <c r="E24" s="188">
        <f>Tournament!F25</f>
        <v>41805.666666666664</v>
      </c>
      <c r="F24" s="189">
        <f>Tournament!G25</f>
        <v>41805.666666666664</v>
      </c>
      <c r="G24" s="190" t="str">
        <f>Tournament!H25</f>
        <v>France</v>
      </c>
      <c r="H24" s="180"/>
      <c r="I24" s="9"/>
      <c r="J24" s="191" t="s">
        <v>3088</v>
      </c>
      <c r="K24" s="9"/>
      <c r="L24" s="180"/>
      <c r="M24" s="180" t="str">
        <f>Tournament!N25</f>
        <v>Honduras</v>
      </c>
      <c r="N24" s="183"/>
      <c r="P24" s="192" t="str">
        <f t="shared" si="0"/>
        <v>France</v>
      </c>
      <c r="Q24" s="193"/>
      <c r="R24" s="194" t="str">
        <f>IF(Tournament!J25&lt;&gt;"",Tournament!J25,"")</f>
        <v/>
      </c>
      <c r="S24" s="194" t="s">
        <v>3088</v>
      </c>
      <c r="T24" s="194" t="str">
        <f>IF(Tournament!L25&lt;&gt;"",Tournament!L25,"")</f>
        <v/>
      </c>
      <c r="U24" s="193"/>
      <c r="V24" s="193" t="str">
        <f t="shared" si="1"/>
        <v>Honduras</v>
      </c>
      <c r="W24" s="194"/>
      <c r="X24" s="194"/>
      <c r="Y24" s="194"/>
      <c r="Z24" s="194"/>
      <c r="AA24" s="194"/>
      <c r="AB24" s="194"/>
      <c r="AC24" s="194"/>
      <c r="AD24" s="195" t="str">
        <f>IF(AND(I24&lt;&gt;"",K24&lt;&gt;"",R24&lt;&gt;"",T24&lt;&gt;""),IF(AND(I24=R24,K24=T24),Setup!$D$10,IF((I24-K24)=(R24-T24),Setup!$D$11,IF(AND((I24&gt;K24),(R24&gt;T24)),Setup!$D$12,IF(AND((K24&gt;I24),(T24&gt;R24)),Setup!$D$12,0)))),"")</f>
        <v/>
      </c>
      <c r="AE24" s="183"/>
      <c r="CP24" s="168"/>
      <c r="CQ24" s="186"/>
      <c r="CR24" s="187"/>
      <c r="CS24" s="168"/>
    </row>
    <row r="25" spans="2:97" s="166" customFormat="1" ht="15" customHeight="1">
      <c r="B25" s="182"/>
      <c r="C25" s="181">
        <f>Tournament!D26</f>
        <v>11</v>
      </c>
      <c r="D25" s="181" t="str">
        <f>Tournament!E26</f>
        <v>F</v>
      </c>
      <c r="E25" s="188">
        <f>Tournament!F26</f>
        <v>41805.791666666664</v>
      </c>
      <c r="F25" s="189">
        <f>Tournament!G26</f>
        <v>41805.791666666664</v>
      </c>
      <c r="G25" s="190" t="str">
        <f>Tournament!H26</f>
        <v>Argentina</v>
      </c>
      <c r="H25" s="180"/>
      <c r="I25" s="9"/>
      <c r="J25" s="191" t="s">
        <v>3088</v>
      </c>
      <c r="K25" s="9"/>
      <c r="L25" s="180"/>
      <c r="M25" s="180" t="str">
        <f>Tournament!N26</f>
        <v>Bosnia-Herzegovina</v>
      </c>
      <c r="N25" s="183"/>
      <c r="P25" s="192" t="str">
        <f t="shared" si="0"/>
        <v>Argentina</v>
      </c>
      <c r="Q25" s="193"/>
      <c r="R25" s="194" t="str">
        <f>IF(Tournament!J26&lt;&gt;"",Tournament!J26,"")</f>
        <v/>
      </c>
      <c r="S25" s="194" t="s">
        <v>3088</v>
      </c>
      <c r="T25" s="194" t="str">
        <f>IF(Tournament!L26&lt;&gt;"",Tournament!L26,"")</f>
        <v/>
      </c>
      <c r="U25" s="193"/>
      <c r="V25" s="193" t="str">
        <f t="shared" si="1"/>
        <v>Bosnia-Herzegovina</v>
      </c>
      <c r="W25" s="194"/>
      <c r="X25" s="194"/>
      <c r="Y25" s="194"/>
      <c r="Z25" s="194"/>
      <c r="AA25" s="194"/>
      <c r="AB25" s="194"/>
      <c r="AC25" s="194"/>
      <c r="AD25" s="195" t="str">
        <f>IF(AND(I25&lt;&gt;"",K25&lt;&gt;"",R25&lt;&gt;"",T25&lt;&gt;""),IF(AND(I25=R25,K25=T25),Setup!$D$10,IF((I25-K25)=(R25-T25),Setup!$D$11,IF(AND((I25&gt;K25),(R25&gt;T25)),Setup!$D$12,IF(AND((K25&gt;I25),(T25&gt;R25)),Setup!$D$12,0)))),"")</f>
        <v/>
      </c>
      <c r="AE25" s="183"/>
      <c r="CP25" s="168"/>
      <c r="CQ25" s="186"/>
      <c r="CR25" s="187"/>
      <c r="CS25" s="168"/>
    </row>
    <row r="26" spans="2:97" s="166" customFormat="1" ht="15" customHeight="1">
      <c r="B26" s="182"/>
      <c r="C26" s="181">
        <f>Tournament!D27</f>
        <v>12</v>
      </c>
      <c r="D26" s="181" t="str">
        <f>Tournament!E27</f>
        <v>F</v>
      </c>
      <c r="E26" s="188">
        <f>Tournament!F27</f>
        <v>41806.666666666664</v>
      </c>
      <c r="F26" s="189">
        <f>Tournament!G27</f>
        <v>41806.666666666664</v>
      </c>
      <c r="G26" s="190" t="str">
        <f>Tournament!H27</f>
        <v>Iran</v>
      </c>
      <c r="H26" s="180"/>
      <c r="I26" s="9"/>
      <c r="J26" s="191" t="s">
        <v>3088</v>
      </c>
      <c r="K26" s="9"/>
      <c r="L26" s="180"/>
      <c r="M26" s="180" t="str">
        <f>Tournament!N27</f>
        <v>Nigeria</v>
      </c>
      <c r="N26" s="183"/>
      <c r="P26" s="192" t="str">
        <f t="shared" si="0"/>
        <v>Iran</v>
      </c>
      <c r="Q26" s="193"/>
      <c r="R26" s="194" t="str">
        <f>IF(Tournament!J27&lt;&gt;"",Tournament!J27,"")</f>
        <v/>
      </c>
      <c r="S26" s="194" t="s">
        <v>3088</v>
      </c>
      <c r="T26" s="194" t="str">
        <f>IF(Tournament!L27&lt;&gt;"",Tournament!L27,"")</f>
        <v/>
      </c>
      <c r="U26" s="193"/>
      <c r="V26" s="193" t="str">
        <f t="shared" si="1"/>
        <v>Nigeria</v>
      </c>
      <c r="W26" s="194"/>
      <c r="X26" s="194"/>
      <c r="Y26" s="194"/>
      <c r="Z26" s="194"/>
      <c r="AA26" s="194"/>
      <c r="AB26" s="194"/>
      <c r="AC26" s="194"/>
      <c r="AD26" s="195" t="str">
        <f>IF(AND(I26&lt;&gt;"",K26&lt;&gt;"",R26&lt;&gt;"",T26&lt;&gt;""),IF(AND(I26=R26,K26=T26),Setup!$D$10,IF((I26-K26)=(R26-T26),Setup!$D$11,IF(AND((I26&gt;K26),(R26&gt;T26)),Setup!$D$12,IF(AND((K26&gt;I26),(T26&gt;R26)),Setup!$D$12,0)))),"")</f>
        <v/>
      </c>
      <c r="AE26" s="183"/>
      <c r="CP26" s="168"/>
      <c r="CQ26" s="186"/>
      <c r="CR26" s="187"/>
      <c r="CS26" s="168"/>
    </row>
    <row r="27" spans="2:97" s="166" customFormat="1" ht="15" customHeight="1">
      <c r="B27" s="182"/>
      <c r="C27" s="181">
        <f>Tournament!D28</f>
        <v>13</v>
      </c>
      <c r="D27" s="181" t="str">
        <f>Tournament!E28</f>
        <v>G</v>
      </c>
      <c r="E27" s="188">
        <f>Tournament!F28</f>
        <v>41806.541666666664</v>
      </c>
      <c r="F27" s="189">
        <f>Tournament!G28</f>
        <v>41806.541666666664</v>
      </c>
      <c r="G27" s="190" t="str">
        <f>Tournament!H28</f>
        <v>Germany</v>
      </c>
      <c r="H27" s="180"/>
      <c r="I27" s="9"/>
      <c r="J27" s="191" t="s">
        <v>3088</v>
      </c>
      <c r="K27" s="9"/>
      <c r="L27" s="180"/>
      <c r="M27" s="180" t="str">
        <f>Tournament!N28</f>
        <v>Portugal</v>
      </c>
      <c r="N27" s="183"/>
      <c r="P27" s="192" t="str">
        <f t="shared" si="0"/>
        <v>Germany</v>
      </c>
      <c r="Q27" s="193"/>
      <c r="R27" s="194" t="str">
        <f>IF(Tournament!J28&lt;&gt;"",Tournament!J28,"")</f>
        <v/>
      </c>
      <c r="S27" s="194" t="s">
        <v>3088</v>
      </c>
      <c r="T27" s="194" t="str">
        <f>IF(Tournament!L28&lt;&gt;"",Tournament!L28,"")</f>
        <v/>
      </c>
      <c r="U27" s="193"/>
      <c r="V27" s="193" t="str">
        <f t="shared" si="1"/>
        <v>Portugal</v>
      </c>
      <c r="W27" s="194"/>
      <c r="X27" s="194"/>
      <c r="Y27" s="194"/>
      <c r="Z27" s="194"/>
      <c r="AA27" s="194"/>
      <c r="AB27" s="194"/>
      <c r="AC27" s="194"/>
      <c r="AD27" s="195" t="str">
        <f>IF(AND(I27&lt;&gt;"",K27&lt;&gt;"",R27&lt;&gt;"",T27&lt;&gt;""),IF(AND(I27=R27,K27=T27),Setup!$D$10,IF((I27-K27)=(R27-T27),Setup!$D$11,IF(AND((I27&gt;K27),(R27&gt;T27)),Setup!$D$12,IF(AND((K27&gt;I27),(T27&gt;R27)),Setup!$D$12,0)))),"")</f>
        <v/>
      </c>
      <c r="AE27" s="183"/>
      <c r="CP27" s="168"/>
      <c r="CQ27" s="186"/>
      <c r="CR27" s="187"/>
      <c r="CS27" s="168"/>
    </row>
    <row r="28" spans="2:97" s="166" customFormat="1" ht="15" customHeight="1">
      <c r="B28" s="182"/>
      <c r="C28" s="181">
        <f>Tournament!D29</f>
        <v>14</v>
      </c>
      <c r="D28" s="181" t="str">
        <f>Tournament!E29</f>
        <v>G</v>
      </c>
      <c r="E28" s="188">
        <f>Tournament!F29</f>
        <v>41806.791666666664</v>
      </c>
      <c r="F28" s="189">
        <f>Tournament!G29</f>
        <v>41806.791666666664</v>
      </c>
      <c r="G28" s="190" t="str">
        <f>Tournament!H29</f>
        <v>Ghana</v>
      </c>
      <c r="H28" s="180"/>
      <c r="I28" s="9"/>
      <c r="J28" s="191" t="s">
        <v>3088</v>
      </c>
      <c r="K28" s="9"/>
      <c r="L28" s="180"/>
      <c r="M28" s="180" t="str">
        <f>Tournament!N29</f>
        <v>USA</v>
      </c>
      <c r="N28" s="183"/>
      <c r="P28" s="192" t="str">
        <f t="shared" si="0"/>
        <v>Ghana</v>
      </c>
      <c r="Q28" s="193"/>
      <c r="R28" s="194" t="str">
        <f>IF(Tournament!J29&lt;&gt;"",Tournament!J29,"")</f>
        <v/>
      </c>
      <c r="S28" s="194" t="s">
        <v>3088</v>
      </c>
      <c r="T28" s="194" t="str">
        <f>IF(Tournament!L29&lt;&gt;"",Tournament!L29,"")</f>
        <v/>
      </c>
      <c r="U28" s="193"/>
      <c r="V28" s="193" t="str">
        <f t="shared" si="1"/>
        <v>USA</v>
      </c>
      <c r="W28" s="194"/>
      <c r="X28" s="194"/>
      <c r="Y28" s="194"/>
      <c r="Z28" s="194"/>
      <c r="AA28" s="194"/>
      <c r="AB28" s="194"/>
      <c r="AC28" s="194"/>
      <c r="AD28" s="195" t="str">
        <f>IF(AND(I28&lt;&gt;"",K28&lt;&gt;"",R28&lt;&gt;"",T28&lt;&gt;""),IF(AND(I28=R28,K28=T28),Setup!$D$10,IF((I28-K28)=(R28-T28),Setup!$D$11,IF(AND((I28&gt;K28),(R28&gt;T28)),Setup!$D$12,IF(AND((K28&gt;I28),(T28&gt;R28)),Setup!$D$12,0)))),"")</f>
        <v/>
      </c>
      <c r="AE28" s="183"/>
      <c r="CP28" s="168"/>
      <c r="CQ28" s="186"/>
      <c r="CR28" s="187"/>
      <c r="CS28" s="168"/>
    </row>
    <row r="29" spans="2:97" s="166" customFormat="1" ht="15" customHeight="1">
      <c r="B29" s="182"/>
      <c r="C29" s="181">
        <f>Tournament!D30</f>
        <v>15</v>
      </c>
      <c r="D29" s="181" t="str">
        <f>Tournament!E30</f>
        <v>H</v>
      </c>
      <c r="E29" s="188">
        <f>Tournament!F30</f>
        <v>41807.541666666664</v>
      </c>
      <c r="F29" s="189">
        <f>Tournament!G30</f>
        <v>41807.541666666664</v>
      </c>
      <c r="G29" s="190" t="str">
        <f>Tournament!H30</f>
        <v>Belgium</v>
      </c>
      <c r="H29" s="180"/>
      <c r="I29" s="9"/>
      <c r="J29" s="191" t="s">
        <v>3088</v>
      </c>
      <c r="K29" s="9"/>
      <c r="L29" s="180"/>
      <c r="M29" s="180" t="str">
        <f>Tournament!N30</f>
        <v>Algeria</v>
      </c>
      <c r="N29" s="183"/>
      <c r="P29" s="192" t="str">
        <f t="shared" si="0"/>
        <v>Belgium</v>
      </c>
      <c r="Q29" s="193"/>
      <c r="R29" s="194" t="str">
        <f>IF(Tournament!J30&lt;&gt;"",Tournament!J30,"")</f>
        <v/>
      </c>
      <c r="S29" s="194" t="s">
        <v>3088</v>
      </c>
      <c r="T29" s="194" t="str">
        <f>IF(Tournament!L30&lt;&gt;"",Tournament!L30,"")</f>
        <v/>
      </c>
      <c r="U29" s="193"/>
      <c r="V29" s="193" t="str">
        <f t="shared" si="1"/>
        <v>Algeria</v>
      </c>
      <c r="W29" s="194"/>
      <c r="X29" s="194"/>
      <c r="Y29" s="194"/>
      <c r="Z29" s="194"/>
      <c r="AA29" s="194"/>
      <c r="AB29" s="194"/>
      <c r="AC29" s="194"/>
      <c r="AD29" s="195" t="str">
        <f>IF(AND(I29&lt;&gt;"",K29&lt;&gt;"",R29&lt;&gt;"",T29&lt;&gt;""),IF(AND(I29=R29,K29=T29),Setup!$D$10,IF((I29-K29)=(R29-T29),Setup!$D$11,IF(AND((I29&gt;K29),(R29&gt;T29)),Setup!$D$12,IF(AND((K29&gt;I29),(T29&gt;R29)),Setup!$D$12,0)))),"")</f>
        <v/>
      </c>
      <c r="AE29" s="183"/>
      <c r="CP29" s="168"/>
      <c r="CQ29" s="186"/>
      <c r="CR29" s="187"/>
      <c r="CS29" s="168"/>
    </row>
    <row r="30" spans="2:97" s="166" customFormat="1" ht="15" customHeight="1">
      <c r="B30" s="182"/>
      <c r="C30" s="181">
        <f>Tournament!D31</f>
        <v>16</v>
      </c>
      <c r="D30" s="181" t="str">
        <f>Tournament!E31</f>
        <v>H</v>
      </c>
      <c r="E30" s="188">
        <f>Tournament!F31</f>
        <v>41807.791666666664</v>
      </c>
      <c r="F30" s="189">
        <f>Tournament!G31</f>
        <v>41807.791666666664</v>
      </c>
      <c r="G30" s="190" t="str">
        <f>Tournament!H31</f>
        <v>Russia</v>
      </c>
      <c r="H30" s="180"/>
      <c r="I30" s="9"/>
      <c r="J30" s="191" t="s">
        <v>3088</v>
      </c>
      <c r="K30" s="9"/>
      <c r="L30" s="180"/>
      <c r="M30" s="180" t="str">
        <f>Tournament!N31</f>
        <v>South Korea</v>
      </c>
      <c r="N30" s="183"/>
      <c r="P30" s="192" t="str">
        <f t="shared" si="0"/>
        <v>Russia</v>
      </c>
      <c r="Q30" s="193"/>
      <c r="R30" s="194" t="str">
        <f>IF(Tournament!J31&lt;&gt;"",Tournament!J31,"")</f>
        <v/>
      </c>
      <c r="S30" s="194" t="s">
        <v>3088</v>
      </c>
      <c r="T30" s="194" t="str">
        <f>IF(Tournament!L31&lt;&gt;"",Tournament!L31,"")</f>
        <v/>
      </c>
      <c r="U30" s="193"/>
      <c r="V30" s="193" t="str">
        <f t="shared" si="1"/>
        <v>South Korea</v>
      </c>
      <c r="W30" s="194"/>
      <c r="X30" s="194"/>
      <c r="Y30" s="194"/>
      <c r="Z30" s="194"/>
      <c r="AA30" s="194"/>
      <c r="AB30" s="194"/>
      <c r="AC30" s="194"/>
      <c r="AD30" s="195" t="str">
        <f>IF(AND(I30&lt;&gt;"",K30&lt;&gt;"",R30&lt;&gt;"",T30&lt;&gt;""),IF(AND(I30=R30,K30=T30),Setup!$D$10,IF((I30-K30)=(R30-T30),Setup!$D$11,IF(AND((I30&gt;K30),(R30&gt;T30)),Setup!$D$12,IF(AND((K30&gt;I30),(T30&gt;R30)),Setup!$D$12,0)))),"")</f>
        <v/>
      </c>
      <c r="AE30" s="183"/>
      <c r="CP30" s="168"/>
      <c r="CQ30" s="186"/>
      <c r="CR30" s="187"/>
      <c r="CS30" s="168"/>
    </row>
    <row r="31" spans="2:97" s="166" customFormat="1" ht="15" customHeight="1">
      <c r="B31" s="182"/>
      <c r="C31" s="181">
        <f>Tournament!D32</f>
        <v>17</v>
      </c>
      <c r="D31" s="181" t="str">
        <f>Tournament!E32</f>
        <v>A</v>
      </c>
      <c r="E31" s="188">
        <f>Tournament!F32</f>
        <v>41807.666666666664</v>
      </c>
      <c r="F31" s="189">
        <f>Tournament!G32</f>
        <v>41807.666666666664</v>
      </c>
      <c r="G31" s="190" t="str">
        <f>Tournament!H32</f>
        <v>Brazil</v>
      </c>
      <c r="H31" s="180"/>
      <c r="I31" s="9"/>
      <c r="J31" s="191" t="s">
        <v>3088</v>
      </c>
      <c r="K31" s="9"/>
      <c r="L31" s="180"/>
      <c r="M31" s="180" t="str">
        <f>Tournament!N32</f>
        <v>Mexico</v>
      </c>
      <c r="N31" s="183"/>
      <c r="P31" s="192" t="str">
        <f t="shared" si="0"/>
        <v>Brazil</v>
      </c>
      <c r="Q31" s="193"/>
      <c r="R31" s="194" t="str">
        <f>IF(Tournament!J32&lt;&gt;"",Tournament!J32,"")</f>
        <v/>
      </c>
      <c r="S31" s="194" t="s">
        <v>3088</v>
      </c>
      <c r="T31" s="194" t="str">
        <f>IF(Tournament!L32&lt;&gt;"",Tournament!L32,"")</f>
        <v/>
      </c>
      <c r="U31" s="193"/>
      <c r="V31" s="193" t="str">
        <f t="shared" si="1"/>
        <v>Mexico</v>
      </c>
      <c r="W31" s="194"/>
      <c r="X31" s="194"/>
      <c r="Y31" s="194"/>
      <c r="Z31" s="194"/>
      <c r="AA31" s="194"/>
      <c r="AB31" s="194"/>
      <c r="AC31" s="194"/>
      <c r="AD31" s="195" t="str">
        <f>IF(AND(I31&lt;&gt;"",K31&lt;&gt;"",R31&lt;&gt;"",T31&lt;&gt;""),IF(AND(I31=R31,K31=T31),Setup!$D$10,IF((I31-K31)=(R31-T31),Setup!$D$11,IF(AND((I31&gt;K31),(R31&gt;T31)),Setup!$D$12,IF(AND((K31&gt;I31),(T31&gt;R31)),Setup!$D$12,0)))),"")</f>
        <v/>
      </c>
      <c r="AE31" s="183"/>
      <c r="CP31" s="168"/>
      <c r="CQ31" s="186"/>
      <c r="CR31" s="187"/>
      <c r="CS31" s="168"/>
    </row>
    <row r="32" spans="2:97" s="166" customFormat="1" ht="15" customHeight="1">
      <c r="B32" s="182"/>
      <c r="C32" s="181">
        <f>Tournament!D33</f>
        <v>18</v>
      </c>
      <c r="D32" s="181" t="str">
        <f>Tournament!E33</f>
        <v>A</v>
      </c>
      <c r="E32" s="188">
        <f>Tournament!F33</f>
        <v>41808.791666666664</v>
      </c>
      <c r="F32" s="189">
        <f>Tournament!G33</f>
        <v>41808.791666666664</v>
      </c>
      <c r="G32" s="190" t="str">
        <f>Tournament!H33</f>
        <v>Cameroon</v>
      </c>
      <c r="H32" s="180"/>
      <c r="I32" s="9"/>
      <c r="J32" s="191" t="s">
        <v>3088</v>
      </c>
      <c r="K32" s="9"/>
      <c r="L32" s="180"/>
      <c r="M32" s="180" t="str">
        <f>Tournament!N33</f>
        <v>Croatia</v>
      </c>
      <c r="N32" s="183"/>
      <c r="P32" s="192" t="str">
        <f t="shared" si="0"/>
        <v>Cameroon</v>
      </c>
      <c r="Q32" s="193"/>
      <c r="R32" s="194" t="str">
        <f>IF(Tournament!J33&lt;&gt;"",Tournament!J33,"")</f>
        <v/>
      </c>
      <c r="S32" s="194" t="s">
        <v>3088</v>
      </c>
      <c r="T32" s="194" t="str">
        <f>IF(Tournament!L33&lt;&gt;"",Tournament!L33,"")</f>
        <v/>
      </c>
      <c r="U32" s="193"/>
      <c r="V32" s="193" t="str">
        <f t="shared" si="1"/>
        <v>Croatia</v>
      </c>
      <c r="W32" s="194"/>
      <c r="X32" s="194"/>
      <c r="Y32" s="194"/>
      <c r="Z32" s="194"/>
      <c r="AA32" s="194"/>
      <c r="AB32" s="194"/>
      <c r="AC32" s="194"/>
      <c r="AD32" s="195" t="str">
        <f>IF(AND(I32&lt;&gt;"",K32&lt;&gt;"",R32&lt;&gt;"",T32&lt;&gt;""),IF(AND(I32=R32,K32=T32),Setup!$D$10,IF((I32-K32)=(R32-T32),Setup!$D$11,IF(AND((I32&gt;K32),(R32&gt;T32)),Setup!$D$12,IF(AND((K32&gt;I32),(T32&gt;R32)),Setup!$D$12,0)))),"")</f>
        <v/>
      </c>
      <c r="AE32" s="183"/>
      <c r="CP32" s="168"/>
      <c r="CQ32" s="186"/>
      <c r="CR32" s="187"/>
      <c r="CS32" s="168"/>
    </row>
    <row r="33" spans="2:97" s="166" customFormat="1" ht="15" customHeight="1">
      <c r="B33" s="182"/>
      <c r="C33" s="181">
        <f>Tournament!D34</f>
        <v>19</v>
      </c>
      <c r="D33" s="181" t="str">
        <f>Tournament!E34</f>
        <v>B</v>
      </c>
      <c r="E33" s="188">
        <f>Tournament!F34</f>
        <v>41808.666666666664</v>
      </c>
      <c r="F33" s="189">
        <f>Tournament!G34</f>
        <v>41808.666666666664</v>
      </c>
      <c r="G33" s="190" t="str">
        <f>Tournament!H34</f>
        <v>Spain</v>
      </c>
      <c r="H33" s="180"/>
      <c r="I33" s="9"/>
      <c r="J33" s="191" t="s">
        <v>3088</v>
      </c>
      <c r="K33" s="9"/>
      <c r="L33" s="180"/>
      <c r="M33" s="180" t="str">
        <f>Tournament!N34</f>
        <v>Chile</v>
      </c>
      <c r="N33" s="183"/>
      <c r="P33" s="192" t="str">
        <f t="shared" si="0"/>
        <v>Spain</v>
      </c>
      <c r="Q33" s="193"/>
      <c r="R33" s="194" t="str">
        <f>IF(Tournament!J34&lt;&gt;"",Tournament!J34,"")</f>
        <v/>
      </c>
      <c r="S33" s="194" t="s">
        <v>3088</v>
      </c>
      <c r="T33" s="194" t="str">
        <f>IF(Tournament!L34&lt;&gt;"",Tournament!L34,"")</f>
        <v/>
      </c>
      <c r="U33" s="193"/>
      <c r="V33" s="193" t="str">
        <f t="shared" si="1"/>
        <v>Chile</v>
      </c>
      <c r="W33" s="194"/>
      <c r="X33" s="194"/>
      <c r="Y33" s="194"/>
      <c r="Z33" s="194"/>
      <c r="AA33" s="194"/>
      <c r="AB33" s="194"/>
      <c r="AC33" s="194"/>
      <c r="AD33" s="195" t="str">
        <f>IF(AND(I33&lt;&gt;"",K33&lt;&gt;"",R33&lt;&gt;"",T33&lt;&gt;""),IF(AND(I33=R33,K33=T33),Setup!$D$10,IF((I33-K33)=(R33-T33),Setup!$D$11,IF(AND((I33&gt;K33),(R33&gt;T33)),Setup!$D$12,IF(AND((K33&gt;I33),(T33&gt;R33)),Setup!$D$12,0)))),"")</f>
        <v/>
      </c>
      <c r="AE33" s="183"/>
      <c r="CP33" s="168"/>
      <c r="CQ33" s="186"/>
      <c r="CR33" s="187"/>
      <c r="CS33" s="168"/>
    </row>
    <row r="34" spans="2:97" s="166" customFormat="1" ht="15" customHeight="1">
      <c r="B34" s="182"/>
      <c r="C34" s="181">
        <f>Tournament!D35</f>
        <v>20</v>
      </c>
      <c r="D34" s="181" t="str">
        <f>Tournament!E35</f>
        <v>B</v>
      </c>
      <c r="E34" s="188">
        <f>Tournament!F35</f>
        <v>41808.541666666664</v>
      </c>
      <c r="F34" s="189">
        <f>Tournament!G35</f>
        <v>41808.541666666664</v>
      </c>
      <c r="G34" s="190" t="str">
        <f>Tournament!H35</f>
        <v>Australia</v>
      </c>
      <c r="H34" s="180"/>
      <c r="I34" s="9"/>
      <c r="J34" s="191" t="s">
        <v>3088</v>
      </c>
      <c r="K34" s="9"/>
      <c r="L34" s="180"/>
      <c r="M34" s="180" t="str">
        <f>Tournament!N35</f>
        <v>Netherlands</v>
      </c>
      <c r="N34" s="183"/>
      <c r="P34" s="192" t="str">
        <f t="shared" si="0"/>
        <v>Australia</v>
      </c>
      <c r="Q34" s="193"/>
      <c r="R34" s="194" t="str">
        <f>IF(Tournament!J35&lt;&gt;"",Tournament!J35,"")</f>
        <v/>
      </c>
      <c r="S34" s="194" t="s">
        <v>3088</v>
      </c>
      <c r="T34" s="194" t="str">
        <f>IF(Tournament!L35&lt;&gt;"",Tournament!L35,"")</f>
        <v/>
      </c>
      <c r="U34" s="193"/>
      <c r="V34" s="193" t="str">
        <f t="shared" si="1"/>
        <v>Netherlands</v>
      </c>
      <c r="W34" s="194"/>
      <c r="X34" s="194"/>
      <c r="Y34" s="194"/>
      <c r="Z34" s="194"/>
      <c r="AA34" s="194"/>
      <c r="AB34" s="194"/>
      <c r="AC34" s="194"/>
      <c r="AD34" s="195" t="str">
        <f>IF(AND(I34&lt;&gt;"",K34&lt;&gt;"",R34&lt;&gt;"",T34&lt;&gt;""),IF(AND(I34=R34,K34=T34),Setup!$D$10,IF((I34-K34)=(R34-T34),Setup!$D$11,IF(AND((I34&gt;K34),(R34&gt;T34)),Setup!$D$12,IF(AND((K34&gt;I34),(T34&gt;R34)),Setup!$D$12,0)))),"")</f>
        <v/>
      </c>
      <c r="AE34" s="183"/>
      <c r="CP34" s="168"/>
      <c r="CQ34" s="186"/>
      <c r="CR34" s="187"/>
      <c r="CS34" s="168"/>
    </row>
    <row r="35" spans="2:97" s="166" customFormat="1" ht="15" customHeight="1">
      <c r="B35" s="182"/>
      <c r="C35" s="181">
        <f>Tournament!D36</f>
        <v>21</v>
      </c>
      <c r="D35" s="181" t="str">
        <f>Tournament!E36</f>
        <v>C</v>
      </c>
      <c r="E35" s="188">
        <f>Tournament!F36</f>
        <v>41809.541666666664</v>
      </c>
      <c r="F35" s="189">
        <f>Tournament!G36</f>
        <v>41809.541666666664</v>
      </c>
      <c r="G35" s="190" t="str">
        <f>Tournament!H36</f>
        <v>Colombia</v>
      </c>
      <c r="H35" s="180"/>
      <c r="I35" s="9"/>
      <c r="J35" s="191" t="s">
        <v>3088</v>
      </c>
      <c r="K35" s="9"/>
      <c r="L35" s="180"/>
      <c r="M35" s="180" t="str">
        <f>Tournament!N36</f>
        <v>Ivory Coast</v>
      </c>
      <c r="N35" s="183"/>
      <c r="P35" s="192" t="str">
        <f t="shared" si="0"/>
        <v>Colombia</v>
      </c>
      <c r="Q35" s="193"/>
      <c r="R35" s="194" t="str">
        <f>IF(Tournament!J36&lt;&gt;"",Tournament!J36,"")</f>
        <v/>
      </c>
      <c r="S35" s="194" t="s">
        <v>3088</v>
      </c>
      <c r="T35" s="194" t="str">
        <f>IF(Tournament!L36&lt;&gt;"",Tournament!L36,"")</f>
        <v/>
      </c>
      <c r="U35" s="193"/>
      <c r="V35" s="193" t="str">
        <f t="shared" si="1"/>
        <v>Ivory Coast</v>
      </c>
      <c r="W35" s="194"/>
      <c r="X35" s="194"/>
      <c r="Y35" s="194"/>
      <c r="Z35" s="194"/>
      <c r="AA35" s="194"/>
      <c r="AB35" s="194"/>
      <c r="AC35" s="194"/>
      <c r="AD35" s="195" t="str">
        <f>IF(AND(I35&lt;&gt;"",K35&lt;&gt;"",R35&lt;&gt;"",T35&lt;&gt;""),IF(AND(I35=R35,K35=T35),Setup!$D$10,IF((I35-K35)=(R35-T35),Setup!$D$11,IF(AND((I35&gt;K35),(R35&gt;T35)),Setup!$D$12,IF(AND((K35&gt;I35),(T35&gt;R35)),Setup!$D$12,0)))),"")</f>
        <v/>
      </c>
      <c r="AE35" s="183"/>
      <c r="CP35" s="168"/>
      <c r="CQ35" s="186"/>
      <c r="CR35" s="187"/>
      <c r="CS35" s="168"/>
    </row>
    <row r="36" spans="2:97" s="166" customFormat="1" ht="15" customHeight="1">
      <c r="B36" s="182"/>
      <c r="C36" s="181">
        <f>Tournament!D37</f>
        <v>22</v>
      </c>
      <c r="D36" s="181" t="str">
        <f>Tournament!E37</f>
        <v>C</v>
      </c>
      <c r="E36" s="188">
        <f>Tournament!F37</f>
        <v>41809.791666666664</v>
      </c>
      <c r="F36" s="189">
        <f>Tournament!G37</f>
        <v>41809.791666666664</v>
      </c>
      <c r="G36" s="190" t="str">
        <f>Tournament!H37</f>
        <v>Japan</v>
      </c>
      <c r="H36" s="180"/>
      <c r="I36" s="9"/>
      <c r="J36" s="191" t="s">
        <v>3088</v>
      </c>
      <c r="K36" s="9"/>
      <c r="L36" s="180"/>
      <c r="M36" s="180" t="str">
        <f>Tournament!N37</f>
        <v>Greece</v>
      </c>
      <c r="N36" s="183"/>
      <c r="P36" s="192" t="str">
        <f t="shared" si="0"/>
        <v>Japan</v>
      </c>
      <c r="Q36" s="193"/>
      <c r="R36" s="194" t="str">
        <f>IF(Tournament!J37&lt;&gt;"",Tournament!J37,"")</f>
        <v/>
      </c>
      <c r="S36" s="194" t="s">
        <v>3088</v>
      </c>
      <c r="T36" s="194" t="str">
        <f>IF(Tournament!L37&lt;&gt;"",Tournament!L37,"")</f>
        <v/>
      </c>
      <c r="U36" s="193"/>
      <c r="V36" s="193" t="str">
        <f t="shared" si="1"/>
        <v>Greece</v>
      </c>
      <c r="W36" s="194"/>
      <c r="X36" s="194"/>
      <c r="Y36" s="194"/>
      <c r="Z36" s="194"/>
      <c r="AA36" s="194"/>
      <c r="AB36" s="194"/>
      <c r="AC36" s="194"/>
      <c r="AD36" s="195" t="str">
        <f>IF(AND(I36&lt;&gt;"",K36&lt;&gt;"",R36&lt;&gt;"",T36&lt;&gt;""),IF(AND(I36=R36,K36=T36),Setup!$D$10,IF((I36-K36)=(R36-T36),Setup!$D$11,IF(AND((I36&gt;K36),(R36&gt;T36)),Setup!$D$12,IF(AND((K36&gt;I36),(T36&gt;R36)),Setup!$D$12,0)))),"")</f>
        <v/>
      </c>
      <c r="AE36" s="183"/>
      <c r="CP36" s="168"/>
      <c r="CQ36" s="186"/>
      <c r="CR36" s="187"/>
      <c r="CS36" s="168"/>
    </row>
    <row r="37" spans="2:97" s="166" customFormat="1" ht="15" customHeight="1">
      <c r="B37" s="182"/>
      <c r="C37" s="181">
        <f>Tournament!D38</f>
        <v>23</v>
      </c>
      <c r="D37" s="181" t="str">
        <f>Tournament!E38</f>
        <v>D</v>
      </c>
      <c r="E37" s="188">
        <f>Tournament!F38</f>
        <v>41809.666666666664</v>
      </c>
      <c r="F37" s="189">
        <f>Tournament!G38</f>
        <v>41809.666666666664</v>
      </c>
      <c r="G37" s="190" t="str">
        <f>Tournament!H38</f>
        <v>Uruguay</v>
      </c>
      <c r="H37" s="180"/>
      <c r="I37" s="9"/>
      <c r="J37" s="191" t="s">
        <v>3088</v>
      </c>
      <c r="K37" s="9"/>
      <c r="L37" s="180"/>
      <c r="M37" s="180" t="str">
        <f>Tournament!N38</f>
        <v>England</v>
      </c>
      <c r="N37" s="183"/>
      <c r="P37" s="192" t="str">
        <f t="shared" si="0"/>
        <v>Uruguay</v>
      </c>
      <c r="Q37" s="193"/>
      <c r="R37" s="194" t="str">
        <f>IF(Tournament!J38&lt;&gt;"",Tournament!J38,"")</f>
        <v/>
      </c>
      <c r="S37" s="194" t="s">
        <v>3088</v>
      </c>
      <c r="T37" s="194" t="str">
        <f>IF(Tournament!L38&lt;&gt;"",Tournament!L38,"")</f>
        <v/>
      </c>
      <c r="U37" s="193"/>
      <c r="V37" s="193" t="str">
        <f t="shared" si="1"/>
        <v>England</v>
      </c>
      <c r="W37" s="194"/>
      <c r="X37" s="194"/>
      <c r="Y37" s="194"/>
      <c r="Z37" s="194"/>
      <c r="AA37" s="194"/>
      <c r="AB37" s="194"/>
      <c r="AC37" s="194"/>
      <c r="AD37" s="195" t="str">
        <f>IF(AND(I37&lt;&gt;"",K37&lt;&gt;"",R37&lt;&gt;"",T37&lt;&gt;""),IF(AND(I37=R37,K37=T37),Setup!$D$10,IF((I37-K37)=(R37-T37),Setup!$D$11,IF(AND((I37&gt;K37),(R37&gt;T37)),Setup!$D$12,IF(AND((K37&gt;I37),(T37&gt;R37)),Setup!$D$12,0)))),"")</f>
        <v/>
      </c>
      <c r="AE37" s="183"/>
      <c r="CP37" s="168"/>
      <c r="CQ37" s="186"/>
      <c r="CR37" s="187"/>
      <c r="CS37" s="168"/>
    </row>
    <row r="38" spans="2:97" s="166" customFormat="1" ht="15" customHeight="1">
      <c r="B38" s="182"/>
      <c r="C38" s="181">
        <f>Tournament!D39</f>
        <v>24</v>
      </c>
      <c r="D38" s="181" t="str">
        <f>Tournament!E39</f>
        <v>D</v>
      </c>
      <c r="E38" s="188">
        <f>Tournament!F39</f>
        <v>41810.541666666664</v>
      </c>
      <c r="F38" s="189">
        <f>Tournament!G39</f>
        <v>41810.541666666664</v>
      </c>
      <c r="G38" s="190" t="str">
        <f>Tournament!H39</f>
        <v>Italy</v>
      </c>
      <c r="H38" s="180"/>
      <c r="I38" s="9"/>
      <c r="J38" s="191" t="s">
        <v>3088</v>
      </c>
      <c r="K38" s="9"/>
      <c r="L38" s="180"/>
      <c r="M38" s="180" t="str">
        <f>Tournament!N39</f>
        <v>Costa Rica</v>
      </c>
      <c r="N38" s="183"/>
      <c r="P38" s="192" t="str">
        <f t="shared" si="0"/>
        <v>Italy</v>
      </c>
      <c r="Q38" s="193"/>
      <c r="R38" s="194" t="str">
        <f>IF(Tournament!J39&lt;&gt;"",Tournament!J39,"")</f>
        <v/>
      </c>
      <c r="S38" s="194" t="s">
        <v>3088</v>
      </c>
      <c r="T38" s="194" t="str">
        <f>IF(Tournament!L39&lt;&gt;"",Tournament!L39,"")</f>
        <v/>
      </c>
      <c r="U38" s="193"/>
      <c r="V38" s="193" t="str">
        <f t="shared" si="1"/>
        <v>Costa Rica</v>
      </c>
      <c r="W38" s="194"/>
      <c r="X38" s="194"/>
      <c r="Y38" s="194"/>
      <c r="Z38" s="194"/>
      <c r="AA38" s="194"/>
      <c r="AB38" s="194"/>
      <c r="AC38" s="194"/>
      <c r="AD38" s="195" t="str">
        <f>IF(AND(I38&lt;&gt;"",K38&lt;&gt;"",R38&lt;&gt;"",T38&lt;&gt;""),IF(AND(I38=R38,K38=T38),Setup!$D$10,IF((I38-K38)=(R38-T38),Setup!$D$11,IF(AND((I38&gt;K38),(R38&gt;T38)),Setup!$D$12,IF(AND((K38&gt;I38),(T38&gt;R38)),Setup!$D$12,0)))),"")</f>
        <v/>
      </c>
      <c r="AE38" s="183"/>
      <c r="CP38" s="168"/>
      <c r="CQ38" s="186"/>
      <c r="CR38" s="187"/>
      <c r="CS38" s="168"/>
    </row>
    <row r="39" spans="2:97" s="166" customFormat="1" ht="15" customHeight="1">
      <c r="B39" s="182"/>
      <c r="C39" s="181">
        <f>Tournament!D40</f>
        <v>25</v>
      </c>
      <c r="D39" s="181" t="str">
        <f>Tournament!E40</f>
        <v>E</v>
      </c>
      <c r="E39" s="188">
        <f>Tournament!F40</f>
        <v>41810.666666666664</v>
      </c>
      <c r="F39" s="189">
        <f>Tournament!G40</f>
        <v>41810.666666666664</v>
      </c>
      <c r="G39" s="190" t="str">
        <f>Tournament!H40</f>
        <v>Switzerland</v>
      </c>
      <c r="H39" s="180"/>
      <c r="I39" s="9"/>
      <c r="J39" s="191" t="s">
        <v>3088</v>
      </c>
      <c r="K39" s="9"/>
      <c r="L39" s="180"/>
      <c r="M39" s="180" t="str">
        <f>Tournament!N40</f>
        <v>France</v>
      </c>
      <c r="N39" s="183"/>
      <c r="P39" s="192" t="str">
        <f t="shared" si="0"/>
        <v>Switzerland</v>
      </c>
      <c r="Q39" s="193"/>
      <c r="R39" s="194" t="str">
        <f>IF(Tournament!J40&lt;&gt;"",Tournament!J40,"")</f>
        <v/>
      </c>
      <c r="S39" s="194" t="s">
        <v>3088</v>
      </c>
      <c r="T39" s="194" t="str">
        <f>IF(Tournament!L40&lt;&gt;"",Tournament!L40,"")</f>
        <v/>
      </c>
      <c r="U39" s="193"/>
      <c r="V39" s="193" t="str">
        <f t="shared" si="1"/>
        <v>France</v>
      </c>
      <c r="W39" s="194"/>
      <c r="X39" s="194"/>
      <c r="Y39" s="194"/>
      <c r="Z39" s="194"/>
      <c r="AA39" s="194"/>
      <c r="AB39" s="194"/>
      <c r="AC39" s="194"/>
      <c r="AD39" s="195" t="str">
        <f>IF(AND(I39&lt;&gt;"",K39&lt;&gt;"",R39&lt;&gt;"",T39&lt;&gt;""),IF(AND(I39=R39,K39=T39),Setup!$D$10,IF((I39-K39)=(R39-T39),Setup!$D$11,IF(AND((I39&gt;K39),(R39&gt;T39)),Setup!$D$12,IF(AND((K39&gt;I39),(T39&gt;R39)),Setup!$D$12,0)))),"")</f>
        <v/>
      </c>
      <c r="AE39" s="183"/>
      <c r="CP39" s="168"/>
      <c r="CQ39" s="186"/>
      <c r="CR39" s="187"/>
      <c r="CS39" s="168"/>
    </row>
    <row r="40" spans="2:97" s="166" customFormat="1" ht="15" customHeight="1">
      <c r="B40" s="182"/>
      <c r="C40" s="181">
        <f>Tournament!D41</f>
        <v>26</v>
      </c>
      <c r="D40" s="181" t="str">
        <f>Tournament!E41</f>
        <v>E</v>
      </c>
      <c r="E40" s="188">
        <f>Tournament!F41</f>
        <v>41810.791666666664</v>
      </c>
      <c r="F40" s="189">
        <f>Tournament!G41</f>
        <v>41810.791666666664</v>
      </c>
      <c r="G40" s="190" t="str">
        <f>Tournament!H41</f>
        <v>Honduras</v>
      </c>
      <c r="H40" s="180"/>
      <c r="I40" s="9"/>
      <c r="J40" s="191" t="s">
        <v>3088</v>
      </c>
      <c r="K40" s="9"/>
      <c r="L40" s="180"/>
      <c r="M40" s="180" t="str">
        <f>Tournament!N41</f>
        <v>Ecuador</v>
      </c>
      <c r="N40" s="183"/>
      <c r="P40" s="192" t="str">
        <f t="shared" si="0"/>
        <v>Honduras</v>
      </c>
      <c r="Q40" s="193"/>
      <c r="R40" s="194" t="str">
        <f>IF(Tournament!J41&lt;&gt;"",Tournament!J41,"")</f>
        <v/>
      </c>
      <c r="S40" s="194" t="s">
        <v>3088</v>
      </c>
      <c r="T40" s="194" t="str">
        <f>IF(Tournament!L41&lt;&gt;"",Tournament!L41,"")</f>
        <v/>
      </c>
      <c r="U40" s="193"/>
      <c r="V40" s="193" t="str">
        <f t="shared" si="1"/>
        <v>Ecuador</v>
      </c>
      <c r="W40" s="194"/>
      <c r="X40" s="194"/>
      <c r="Y40" s="194"/>
      <c r="Z40" s="194"/>
      <c r="AA40" s="194"/>
      <c r="AB40" s="194"/>
      <c r="AC40" s="194"/>
      <c r="AD40" s="195" t="str">
        <f>IF(AND(I40&lt;&gt;"",K40&lt;&gt;"",R40&lt;&gt;"",T40&lt;&gt;""),IF(AND(I40=R40,K40=T40),Setup!$D$10,IF((I40-K40)=(R40-T40),Setup!$D$11,IF(AND((I40&gt;K40),(R40&gt;T40)),Setup!$D$12,IF(AND((K40&gt;I40),(T40&gt;R40)),Setup!$D$12,0)))),"")</f>
        <v/>
      </c>
      <c r="AE40" s="183"/>
      <c r="CP40" s="168"/>
      <c r="CQ40" s="196"/>
      <c r="CR40" s="187"/>
      <c r="CS40" s="168"/>
    </row>
    <row r="41" spans="2:97" s="166" customFormat="1" ht="15" customHeight="1">
      <c r="B41" s="182"/>
      <c r="C41" s="181">
        <f>Tournament!D42</f>
        <v>27</v>
      </c>
      <c r="D41" s="181" t="str">
        <f>Tournament!E42</f>
        <v>F</v>
      </c>
      <c r="E41" s="188">
        <f>Tournament!F42</f>
        <v>41811.541666666664</v>
      </c>
      <c r="F41" s="189">
        <f>Tournament!G42</f>
        <v>41811.541666666664</v>
      </c>
      <c r="G41" s="190" t="str">
        <f>Tournament!H42</f>
        <v>Argentina</v>
      </c>
      <c r="H41" s="180"/>
      <c r="I41" s="9"/>
      <c r="J41" s="191" t="s">
        <v>3088</v>
      </c>
      <c r="K41" s="9"/>
      <c r="L41" s="180"/>
      <c r="M41" s="180" t="str">
        <f>Tournament!N42</f>
        <v>Iran</v>
      </c>
      <c r="N41" s="183"/>
      <c r="P41" s="192" t="str">
        <f t="shared" si="0"/>
        <v>Argentina</v>
      </c>
      <c r="Q41" s="193"/>
      <c r="R41" s="194" t="str">
        <f>IF(Tournament!J42&lt;&gt;"",Tournament!J42,"")</f>
        <v/>
      </c>
      <c r="S41" s="194" t="s">
        <v>3088</v>
      </c>
      <c r="T41" s="194" t="str">
        <f>IF(Tournament!L42&lt;&gt;"",Tournament!L42,"")</f>
        <v/>
      </c>
      <c r="U41" s="193"/>
      <c r="V41" s="193" t="str">
        <f t="shared" si="1"/>
        <v>Iran</v>
      </c>
      <c r="W41" s="194"/>
      <c r="X41" s="194"/>
      <c r="Y41" s="194"/>
      <c r="Z41" s="194"/>
      <c r="AA41" s="194"/>
      <c r="AB41" s="194"/>
      <c r="AC41" s="194"/>
      <c r="AD41" s="195" t="str">
        <f>IF(AND(I41&lt;&gt;"",K41&lt;&gt;"",R41&lt;&gt;"",T41&lt;&gt;""),IF(AND(I41=R41,K41=T41),Setup!$D$10,IF((I41-K41)=(R41-T41),Setup!$D$11,IF(AND((I41&gt;K41),(R41&gt;T41)),Setup!$D$12,IF(AND((K41&gt;I41),(T41&gt;R41)),Setup!$D$12,0)))),"")</f>
        <v/>
      </c>
      <c r="AE41" s="183"/>
      <c r="CP41" s="168"/>
      <c r="CQ41" s="196"/>
      <c r="CR41" s="187"/>
      <c r="CS41" s="168"/>
    </row>
    <row r="42" spans="2:97" s="166" customFormat="1" ht="15" customHeight="1">
      <c r="B42" s="182"/>
      <c r="C42" s="181">
        <f>Tournament!D43</f>
        <v>28</v>
      </c>
      <c r="D42" s="181" t="str">
        <f>Tournament!E43</f>
        <v>F</v>
      </c>
      <c r="E42" s="188">
        <f>Tournament!F43</f>
        <v>41811.791666666664</v>
      </c>
      <c r="F42" s="189">
        <f>Tournament!G43</f>
        <v>41811.791666666664</v>
      </c>
      <c r="G42" s="190" t="str">
        <f>Tournament!H43</f>
        <v>Nigeria</v>
      </c>
      <c r="H42" s="180"/>
      <c r="I42" s="9"/>
      <c r="J42" s="191" t="s">
        <v>3088</v>
      </c>
      <c r="K42" s="9"/>
      <c r="L42" s="180"/>
      <c r="M42" s="180" t="str">
        <f>Tournament!N43</f>
        <v>Bosnia-Herzegovina</v>
      </c>
      <c r="N42" s="183"/>
      <c r="P42" s="192" t="str">
        <f t="shared" si="0"/>
        <v>Nigeria</v>
      </c>
      <c r="Q42" s="193"/>
      <c r="R42" s="194" t="str">
        <f>IF(Tournament!J43&lt;&gt;"",Tournament!J43,"")</f>
        <v/>
      </c>
      <c r="S42" s="194" t="s">
        <v>3088</v>
      </c>
      <c r="T42" s="194" t="str">
        <f>IF(Tournament!L43&lt;&gt;"",Tournament!L43,"")</f>
        <v/>
      </c>
      <c r="U42" s="193"/>
      <c r="V42" s="193" t="str">
        <f t="shared" si="1"/>
        <v>Bosnia-Herzegovina</v>
      </c>
      <c r="W42" s="194"/>
      <c r="X42" s="194"/>
      <c r="Y42" s="194"/>
      <c r="Z42" s="194"/>
      <c r="AA42" s="194"/>
      <c r="AB42" s="194"/>
      <c r="AC42" s="194"/>
      <c r="AD42" s="195" t="str">
        <f>IF(AND(I42&lt;&gt;"",K42&lt;&gt;"",R42&lt;&gt;"",T42&lt;&gt;""),IF(AND(I42=R42,K42=T42),Setup!$D$10,IF((I42-K42)=(R42-T42),Setup!$D$11,IF(AND((I42&gt;K42),(R42&gt;T42)),Setup!$D$12,IF(AND((K42&gt;I42),(T42&gt;R42)),Setup!$D$12,0)))),"")</f>
        <v/>
      </c>
      <c r="AE42" s="183"/>
      <c r="CP42" s="168"/>
      <c r="CQ42" s="168"/>
      <c r="CR42" s="187"/>
      <c r="CS42" s="168"/>
    </row>
    <row r="43" spans="2:97" s="166" customFormat="1" ht="15" customHeight="1">
      <c r="B43" s="182"/>
      <c r="C43" s="181">
        <f>Tournament!D44</f>
        <v>29</v>
      </c>
      <c r="D43" s="181" t="str">
        <f>Tournament!E44</f>
        <v>G</v>
      </c>
      <c r="E43" s="188">
        <f>Tournament!F44</f>
        <v>41811.666666666664</v>
      </c>
      <c r="F43" s="189">
        <f>Tournament!G44</f>
        <v>41811.666666666664</v>
      </c>
      <c r="G43" s="190" t="str">
        <f>Tournament!H44</f>
        <v>Germany</v>
      </c>
      <c r="H43" s="180"/>
      <c r="I43" s="9"/>
      <c r="J43" s="191" t="s">
        <v>3088</v>
      </c>
      <c r="K43" s="9"/>
      <c r="L43" s="180"/>
      <c r="M43" s="180" t="str">
        <f>Tournament!N44</f>
        <v>Ghana</v>
      </c>
      <c r="N43" s="183"/>
      <c r="P43" s="192" t="str">
        <f t="shared" si="0"/>
        <v>Germany</v>
      </c>
      <c r="Q43" s="193"/>
      <c r="R43" s="194" t="str">
        <f>IF(Tournament!J44&lt;&gt;"",Tournament!J44,"")</f>
        <v/>
      </c>
      <c r="S43" s="194" t="s">
        <v>3088</v>
      </c>
      <c r="T43" s="194" t="str">
        <f>IF(Tournament!L44&lt;&gt;"",Tournament!L44,"")</f>
        <v/>
      </c>
      <c r="U43" s="193"/>
      <c r="V43" s="193" t="str">
        <f t="shared" si="1"/>
        <v>Ghana</v>
      </c>
      <c r="W43" s="194"/>
      <c r="X43" s="194"/>
      <c r="Y43" s="194"/>
      <c r="Z43" s="194"/>
      <c r="AA43" s="194"/>
      <c r="AB43" s="194"/>
      <c r="AC43" s="194"/>
      <c r="AD43" s="195" t="str">
        <f>IF(AND(I43&lt;&gt;"",K43&lt;&gt;"",R43&lt;&gt;"",T43&lt;&gt;""),IF(AND(I43=R43,K43=T43),Setup!$D$10,IF((I43-K43)=(R43-T43),Setup!$D$11,IF(AND((I43&gt;K43),(R43&gt;T43)),Setup!$D$12,IF(AND((K43&gt;I43),(T43&gt;R43)),Setup!$D$12,0)))),"")</f>
        <v/>
      </c>
      <c r="AE43" s="183"/>
      <c r="CP43" s="168"/>
      <c r="CQ43" s="168"/>
      <c r="CR43" s="187"/>
      <c r="CS43" s="168"/>
    </row>
    <row r="44" spans="2:97" s="166" customFormat="1" ht="15" customHeight="1">
      <c r="B44" s="182"/>
      <c r="C44" s="181">
        <f>Tournament!D45</f>
        <v>30</v>
      </c>
      <c r="D44" s="181" t="str">
        <f>Tournament!E45</f>
        <v>G</v>
      </c>
      <c r="E44" s="188">
        <f>Tournament!F45</f>
        <v>41812.791666666664</v>
      </c>
      <c r="F44" s="189">
        <f>Tournament!G45</f>
        <v>41812.791666666664</v>
      </c>
      <c r="G44" s="190" t="str">
        <f>Tournament!H45</f>
        <v>USA</v>
      </c>
      <c r="H44" s="180"/>
      <c r="I44" s="9"/>
      <c r="J44" s="191" t="s">
        <v>3088</v>
      </c>
      <c r="K44" s="9"/>
      <c r="L44" s="180"/>
      <c r="M44" s="180" t="str">
        <f>Tournament!N45</f>
        <v>Portugal</v>
      </c>
      <c r="N44" s="183"/>
      <c r="P44" s="192" t="str">
        <f t="shared" si="0"/>
        <v>USA</v>
      </c>
      <c r="Q44" s="193"/>
      <c r="R44" s="194" t="str">
        <f>IF(Tournament!J45&lt;&gt;"",Tournament!J45,"")</f>
        <v/>
      </c>
      <c r="S44" s="194" t="s">
        <v>3088</v>
      </c>
      <c r="T44" s="194" t="str">
        <f>IF(Tournament!L45&lt;&gt;"",Tournament!L45,"")</f>
        <v/>
      </c>
      <c r="U44" s="193"/>
      <c r="V44" s="193" t="str">
        <f t="shared" si="1"/>
        <v>Portugal</v>
      </c>
      <c r="W44" s="194"/>
      <c r="X44" s="194"/>
      <c r="Y44" s="194"/>
      <c r="Z44" s="194"/>
      <c r="AA44" s="194"/>
      <c r="AB44" s="194"/>
      <c r="AC44" s="194"/>
      <c r="AD44" s="195" t="str">
        <f>IF(AND(I44&lt;&gt;"",K44&lt;&gt;"",R44&lt;&gt;"",T44&lt;&gt;""),IF(AND(I44=R44,K44=T44),Setup!$D$10,IF((I44-K44)=(R44-T44),Setup!$D$11,IF(AND((I44&gt;K44),(R44&gt;T44)),Setup!$D$12,IF(AND((K44&gt;I44),(T44&gt;R44)),Setup!$D$12,0)))),"")</f>
        <v/>
      </c>
      <c r="AE44" s="183"/>
      <c r="CP44" s="168"/>
      <c r="CQ44" s="168"/>
      <c r="CR44" s="187"/>
      <c r="CS44" s="168"/>
    </row>
    <row r="45" spans="2:97" s="166" customFormat="1" ht="15" customHeight="1">
      <c r="B45" s="182"/>
      <c r="C45" s="181">
        <f>Tournament!D46</f>
        <v>31</v>
      </c>
      <c r="D45" s="181" t="str">
        <f>Tournament!E46</f>
        <v>H</v>
      </c>
      <c r="E45" s="188">
        <f>Tournament!F46</f>
        <v>41812.541666666664</v>
      </c>
      <c r="F45" s="189">
        <f>Tournament!G46</f>
        <v>41812.541666666664</v>
      </c>
      <c r="G45" s="190" t="str">
        <f>Tournament!H46</f>
        <v>Belgium</v>
      </c>
      <c r="H45" s="180"/>
      <c r="I45" s="9"/>
      <c r="J45" s="191" t="s">
        <v>3088</v>
      </c>
      <c r="K45" s="9"/>
      <c r="L45" s="180"/>
      <c r="M45" s="180" t="str">
        <f>Tournament!N46</f>
        <v>Russia</v>
      </c>
      <c r="N45" s="183"/>
      <c r="P45" s="192" t="str">
        <f t="shared" si="0"/>
        <v>Belgium</v>
      </c>
      <c r="Q45" s="193"/>
      <c r="R45" s="194" t="str">
        <f>IF(Tournament!J46&lt;&gt;"",Tournament!J46,"")</f>
        <v/>
      </c>
      <c r="S45" s="194" t="s">
        <v>3088</v>
      </c>
      <c r="T45" s="194" t="str">
        <f>IF(Tournament!L46&lt;&gt;"",Tournament!L46,"")</f>
        <v/>
      </c>
      <c r="U45" s="193"/>
      <c r="V45" s="193" t="str">
        <f t="shared" si="1"/>
        <v>Russia</v>
      </c>
      <c r="W45" s="194"/>
      <c r="X45" s="194"/>
      <c r="Y45" s="194"/>
      <c r="Z45" s="194"/>
      <c r="AA45" s="194"/>
      <c r="AB45" s="194"/>
      <c r="AC45" s="194"/>
      <c r="AD45" s="195" t="str">
        <f>IF(AND(I45&lt;&gt;"",K45&lt;&gt;"",R45&lt;&gt;"",T45&lt;&gt;""),IF(AND(I45=R45,K45=T45),Setup!$D$10,IF((I45-K45)=(R45-T45),Setup!$D$11,IF(AND((I45&gt;K45),(R45&gt;T45)),Setup!$D$12,IF(AND((K45&gt;I45),(T45&gt;R45)),Setup!$D$12,0)))),"")</f>
        <v/>
      </c>
      <c r="AE45" s="183"/>
      <c r="CP45" s="168"/>
      <c r="CQ45" s="168"/>
      <c r="CR45" s="187"/>
      <c r="CS45" s="168"/>
    </row>
    <row r="46" spans="2:97" s="166" customFormat="1" ht="15" customHeight="1">
      <c r="B46" s="182"/>
      <c r="C46" s="181">
        <f>Tournament!D47</f>
        <v>32</v>
      </c>
      <c r="D46" s="181" t="str">
        <f>Tournament!E47</f>
        <v>H</v>
      </c>
      <c r="E46" s="188">
        <f>Tournament!F47</f>
        <v>41812.666666666664</v>
      </c>
      <c r="F46" s="189">
        <f>Tournament!G47</f>
        <v>41812.666666666664</v>
      </c>
      <c r="G46" s="190" t="str">
        <f>Tournament!H47</f>
        <v>South Korea</v>
      </c>
      <c r="H46" s="180"/>
      <c r="I46" s="9"/>
      <c r="J46" s="191" t="s">
        <v>3088</v>
      </c>
      <c r="K46" s="9"/>
      <c r="L46" s="180"/>
      <c r="M46" s="180" t="str">
        <f>Tournament!N47</f>
        <v>Algeria</v>
      </c>
      <c r="N46" s="183"/>
      <c r="P46" s="192" t="str">
        <f t="shared" si="0"/>
        <v>South Korea</v>
      </c>
      <c r="Q46" s="193"/>
      <c r="R46" s="194" t="str">
        <f>IF(Tournament!J47&lt;&gt;"",Tournament!J47,"")</f>
        <v/>
      </c>
      <c r="S46" s="194" t="s">
        <v>3088</v>
      </c>
      <c r="T46" s="194" t="str">
        <f>IF(Tournament!L47&lt;&gt;"",Tournament!L47,"")</f>
        <v/>
      </c>
      <c r="U46" s="193"/>
      <c r="V46" s="193" t="str">
        <f t="shared" si="1"/>
        <v>Algeria</v>
      </c>
      <c r="W46" s="194"/>
      <c r="X46" s="194"/>
      <c r="Y46" s="194"/>
      <c r="Z46" s="194"/>
      <c r="AA46" s="194"/>
      <c r="AB46" s="194"/>
      <c r="AC46" s="194"/>
      <c r="AD46" s="195" t="str">
        <f>IF(AND(I46&lt;&gt;"",K46&lt;&gt;"",R46&lt;&gt;"",T46&lt;&gt;""),IF(AND(I46=R46,K46=T46),Setup!$D$10,IF((I46-K46)=(R46-T46),Setup!$D$11,IF(AND((I46&gt;K46),(R46&gt;T46)),Setup!$D$12,IF(AND((K46&gt;I46),(T46&gt;R46)),Setup!$D$12,0)))),"")</f>
        <v/>
      </c>
      <c r="AE46" s="183"/>
      <c r="CP46" s="168"/>
      <c r="CQ46" s="168"/>
      <c r="CR46" s="187"/>
      <c r="CS46" s="168"/>
    </row>
    <row r="47" spans="2:97" s="166" customFormat="1" ht="15" customHeight="1">
      <c r="B47" s="182"/>
      <c r="C47" s="181">
        <f>Tournament!D48</f>
        <v>33</v>
      </c>
      <c r="D47" s="181" t="str">
        <f>Tournament!E48</f>
        <v>A</v>
      </c>
      <c r="E47" s="188">
        <f>Tournament!F48</f>
        <v>41813.708333333336</v>
      </c>
      <c r="F47" s="189">
        <f>Tournament!G48</f>
        <v>41813.708333333336</v>
      </c>
      <c r="G47" s="190" t="str">
        <f>Tournament!H48</f>
        <v>Cameroon</v>
      </c>
      <c r="H47" s="180"/>
      <c r="I47" s="9"/>
      <c r="J47" s="191" t="s">
        <v>3088</v>
      </c>
      <c r="K47" s="9"/>
      <c r="L47" s="180"/>
      <c r="M47" s="180" t="str">
        <f>Tournament!N48</f>
        <v>Brazil</v>
      </c>
      <c r="N47" s="183"/>
      <c r="P47" s="192" t="str">
        <f t="shared" si="0"/>
        <v>Cameroon</v>
      </c>
      <c r="Q47" s="193"/>
      <c r="R47" s="194" t="str">
        <f>IF(Tournament!J48&lt;&gt;"",Tournament!J48,"")</f>
        <v/>
      </c>
      <c r="S47" s="194" t="s">
        <v>3088</v>
      </c>
      <c r="T47" s="194" t="str">
        <f>IF(Tournament!L48&lt;&gt;"",Tournament!L48,"")</f>
        <v/>
      </c>
      <c r="U47" s="193"/>
      <c r="V47" s="193" t="str">
        <f t="shared" si="1"/>
        <v>Brazil</v>
      </c>
      <c r="W47" s="194"/>
      <c r="X47" s="194"/>
      <c r="Y47" s="194"/>
      <c r="Z47" s="194"/>
      <c r="AA47" s="194"/>
      <c r="AB47" s="194"/>
      <c r="AC47" s="194"/>
      <c r="AD47" s="195" t="str">
        <f>IF(AND(I47&lt;&gt;"",K47&lt;&gt;"",R47&lt;&gt;"",T47&lt;&gt;""),IF(AND(I47=R47,K47=T47),Setup!$D$10,IF((I47-K47)=(R47-T47),Setup!$D$11,IF(AND((I47&gt;K47),(R47&gt;T47)),Setup!$D$12,IF(AND((K47&gt;I47),(T47&gt;R47)),Setup!$D$12,0)))),"")</f>
        <v/>
      </c>
      <c r="AE47" s="183"/>
      <c r="CP47" s="168"/>
      <c r="CQ47" s="168"/>
      <c r="CR47" s="187"/>
      <c r="CS47" s="168"/>
    </row>
    <row r="48" spans="2:97" s="166" customFormat="1" ht="15" customHeight="1">
      <c r="B48" s="182"/>
      <c r="C48" s="181">
        <f>Tournament!D49</f>
        <v>34</v>
      </c>
      <c r="D48" s="181" t="str">
        <f>Tournament!E49</f>
        <v>A</v>
      </c>
      <c r="E48" s="188">
        <f>Tournament!F49</f>
        <v>41813.708333333336</v>
      </c>
      <c r="F48" s="189">
        <f>Tournament!G49</f>
        <v>41813.708333333336</v>
      </c>
      <c r="G48" s="190" t="str">
        <f>Tournament!H49</f>
        <v>Croatia</v>
      </c>
      <c r="H48" s="180"/>
      <c r="I48" s="9"/>
      <c r="J48" s="191" t="s">
        <v>3088</v>
      </c>
      <c r="K48" s="9"/>
      <c r="L48" s="180"/>
      <c r="M48" s="180" t="str">
        <f>Tournament!N49</f>
        <v>Mexico</v>
      </c>
      <c r="N48" s="183"/>
      <c r="P48" s="192" t="str">
        <f t="shared" si="0"/>
        <v>Croatia</v>
      </c>
      <c r="Q48" s="193"/>
      <c r="R48" s="194" t="str">
        <f>IF(Tournament!J49&lt;&gt;"",Tournament!J49,"")</f>
        <v/>
      </c>
      <c r="S48" s="194" t="s">
        <v>3088</v>
      </c>
      <c r="T48" s="194" t="str">
        <f>IF(Tournament!L49&lt;&gt;"",Tournament!L49,"")</f>
        <v/>
      </c>
      <c r="U48" s="193"/>
      <c r="V48" s="193" t="str">
        <f t="shared" si="1"/>
        <v>Mexico</v>
      </c>
      <c r="W48" s="194"/>
      <c r="X48" s="194"/>
      <c r="Y48" s="194"/>
      <c r="Z48" s="194"/>
      <c r="AA48" s="194"/>
      <c r="AB48" s="194"/>
      <c r="AC48" s="194"/>
      <c r="AD48" s="195" t="str">
        <f>IF(AND(I48&lt;&gt;"",K48&lt;&gt;"",R48&lt;&gt;"",T48&lt;&gt;""),IF(AND(I48=R48,K48=T48),Setup!$D$10,IF((I48-K48)=(R48-T48),Setup!$D$11,IF(AND((I48&gt;K48),(R48&gt;T48)),Setup!$D$12,IF(AND((K48&gt;I48),(T48&gt;R48)),Setup!$D$12,0)))),"")</f>
        <v/>
      </c>
      <c r="AE48" s="183"/>
      <c r="CP48" s="168"/>
      <c r="CQ48" s="168"/>
      <c r="CR48" s="187"/>
      <c r="CS48" s="168"/>
    </row>
    <row r="49" spans="2:97" s="166" customFormat="1" ht="15" customHeight="1">
      <c r="B49" s="182"/>
      <c r="C49" s="181">
        <f>Tournament!D50</f>
        <v>35</v>
      </c>
      <c r="D49" s="181" t="str">
        <f>Tournament!E50</f>
        <v>B</v>
      </c>
      <c r="E49" s="188">
        <f>Tournament!F50</f>
        <v>41813.541666666664</v>
      </c>
      <c r="F49" s="189">
        <f>Tournament!G50</f>
        <v>41813.541666666664</v>
      </c>
      <c r="G49" s="190" t="str">
        <f>Tournament!H50</f>
        <v>Australia</v>
      </c>
      <c r="H49" s="180"/>
      <c r="I49" s="9"/>
      <c r="J49" s="191" t="s">
        <v>3088</v>
      </c>
      <c r="K49" s="9"/>
      <c r="L49" s="180"/>
      <c r="M49" s="180" t="str">
        <f>Tournament!N50</f>
        <v>Spain</v>
      </c>
      <c r="N49" s="183"/>
      <c r="P49" s="192" t="str">
        <f t="shared" si="0"/>
        <v>Australia</v>
      </c>
      <c r="Q49" s="193"/>
      <c r="R49" s="194" t="str">
        <f>IF(Tournament!J50&lt;&gt;"",Tournament!J50,"")</f>
        <v/>
      </c>
      <c r="S49" s="194" t="s">
        <v>3088</v>
      </c>
      <c r="T49" s="194" t="str">
        <f>IF(Tournament!L50&lt;&gt;"",Tournament!L50,"")</f>
        <v/>
      </c>
      <c r="U49" s="193"/>
      <c r="V49" s="193" t="str">
        <f t="shared" si="1"/>
        <v>Spain</v>
      </c>
      <c r="W49" s="194"/>
      <c r="X49" s="194"/>
      <c r="Y49" s="194"/>
      <c r="Z49" s="194"/>
      <c r="AA49" s="194"/>
      <c r="AB49" s="194"/>
      <c r="AC49" s="194"/>
      <c r="AD49" s="195" t="str">
        <f>IF(AND(I49&lt;&gt;"",K49&lt;&gt;"",R49&lt;&gt;"",T49&lt;&gt;""),IF(AND(I49=R49,K49=T49),Setup!$D$10,IF((I49-K49)=(R49-T49),Setup!$D$11,IF(AND((I49&gt;K49),(R49&gt;T49)),Setup!$D$12,IF(AND((K49&gt;I49),(T49&gt;R49)),Setup!$D$12,0)))),"")</f>
        <v/>
      </c>
      <c r="AE49" s="183"/>
      <c r="CP49" s="168"/>
      <c r="CQ49" s="168"/>
      <c r="CR49" s="187"/>
      <c r="CS49" s="168"/>
    </row>
    <row r="50" spans="2:97" s="166" customFormat="1" ht="15" customHeight="1">
      <c r="B50" s="182"/>
      <c r="C50" s="181">
        <f>Tournament!D51</f>
        <v>36</v>
      </c>
      <c r="D50" s="181" t="str">
        <f>Tournament!E51</f>
        <v>B</v>
      </c>
      <c r="E50" s="188">
        <f>Tournament!F51</f>
        <v>41813.541666666664</v>
      </c>
      <c r="F50" s="189">
        <f>Tournament!G51</f>
        <v>41813.541666666664</v>
      </c>
      <c r="G50" s="190" t="str">
        <f>Tournament!H51</f>
        <v>Netherlands</v>
      </c>
      <c r="H50" s="180"/>
      <c r="I50" s="9"/>
      <c r="J50" s="191" t="s">
        <v>3088</v>
      </c>
      <c r="K50" s="9"/>
      <c r="L50" s="180"/>
      <c r="M50" s="180" t="str">
        <f>Tournament!N51</f>
        <v>Chile</v>
      </c>
      <c r="N50" s="183"/>
      <c r="P50" s="192" t="str">
        <f t="shared" si="0"/>
        <v>Netherlands</v>
      </c>
      <c r="Q50" s="193"/>
      <c r="R50" s="194" t="str">
        <f>IF(Tournament!J51&lt;&gt;"",Tournament!J51,"")</f>
        <v/>
      </c>
      <c r="S50" s="194" t="s">
        <v>3088</v>
      </c>
      <c r="T50" s="194" t="str">
        <f>IF(Tournament!L51&lt;&gt;"",Tournament!L51,"")</f>
        <v/>
      </c>
      <c r="U50" s="193"/>
      <c r="V50" s="193" t="str">
        <f t="shared" si="1"/>
        <v>Chile</v>
      </c>
      <c r="W50" s="194"/>
      <c r="X50" s="194"/>
      <c r="Y50" s="194"/>
      <c r="Z50" s="194"/>
      <c r="AA50" s="194"/>
      <c r="AB50" s="194"/>
      <c r="AC50" s="194"/>
      <c r="AD50" s="195" t="str">
        <f>IF(AND(I50&lt;&gt;"",K50&lt;&gt;"",R50&lt;&gt;"",T50&lt;&gt;""),IF(AND(I50=R50,K50=T50),Setup!$D$10,IF((I50-K50)=(R50-T50),Setup!$D$11,IF(AND((I50&gt;K50),(R50&gt;T50)),Setup!$D$12,IF(AND((K50&gt;I50),(T50&gt;R50)),Setup!$D$12,0)))),"")</f>
        <v/>
      </c>
      <c r="AE50" s="183"/>
      <c r="CP50" s="168"/>
      <c r="CQ50" s="168"/>
      <c r="CR50" s="187"/>
      <c r="CS50" s="168"/>
    </row>
    <row r="51" spans="2:97" s="166" customFormat="1" ht="15" customHeight="1">
      <c r="B51" s="182"/>
      <c r="C51" s="181">
        <f>Tournament!D52</f>
        <v>37</v>
      </c>
      <c r="D51" s="181" t="str">
        <f>Tournament!E52</f>
        <v>C</v>
      </c>
      <c r="E51" s="188">
        <f>Tournament!F52</f>
        <v>41814.708333333336</v>
      </c>
      <c r="F51" s="189">
        <f>Tournament!G52</f>
        <v>41814.708333333336</v>
      </c>
      <c r="G51" s="190" t="str">
        <f>Tournament!H52</f>
        <v>Japan</v>
      </c>
      <c r="H51" s="180"/>
      <c r="I51" s="9"/>
      <c r="J51" s="191" t="s">
        <v>3088</v>
      </c>
      <c r="K51" s="9"/>
      <c r="L51" s="180"/>
      <c r="M51" s="180" t="str">
        <f>Tournament!N52</f>
        <v>Colombia</v>
      </c>
      <c r="N51" s="183"/>
      <c r="P51" s="192" t="str">
        <f t="shared" si="0"/>
        <v>Japan</v>
      </c>
      <c r="Q51" s="193"/>
      <c r="R51" s="194" t="str">
        <f>IF(Tournament!J52&lt;&gt;"",Tournament!J52,"")</f>
        <v/>
      </c>
      <c r="S51" s="194" t="s">
        <v>3088</v>
      </c>
      <c r="T51" s="194" t="str">
        <f>IF(Tournament!L52&lt;&gt;"",Tournament!L52,"")</f>
        <v/>
      </c>
      <c r="U51" s="193"/>
      <c r="V51" s="193" t="str">
        <f t="shared" si="1"/>
        <v>Colombia</v>
      </c>
      <c r="W51" s="194"/>
      <c r="X51" s="194"/>
      <c r="Y51" s="194"/>
      <c r="Z51" s="194"/>
      <c r="AA51" s="194"/>
      <c r="AB51" s="194"/>
      <c r="AC51" s="194"/>
      <c r="AD51" s="195" t="str">
        <f>IF(AND(I51&lt;&gt;"",K51&lt;&gt;"",R51&lt;&gt;"",T51&lt;&gt;""),IF(AND(I51=R51,K51=T51),Setup!$D$10,IF((I51-K51)=(R51-T51),Setup!$D$11,IF(AND((I51&gt;K51),(R51&gt;T51)),Setup!$D$12,IF(AND((K51&gt;I51),(T51&gt;R51)),Setup!$D$12,0)))),"")</f>
        <v/>
      </c>
      <c r="AE51" s="183"/>
      <c r="CP51" s="168"/>
      <c r="CQ51" s="168"/>
      <c r="CR51" s="187"/>
      <c r="CS51" s="168"/>
    </row>
    <row r="52" spans="2:97" s="166" customFormat="1" ht="15" customHeight="1">
      <c r="B52" s="182"/>
      <c r="C52" s="181">
        <f>Tournament!D53</f>
        <v>38</v>
      </c>
      <c r="D52" s="181" t="str">
        <f>Tournament!E53</f>
        <v>C</v>
      </c>
      <c r="E52" s="188">
        <f>Tournament!F53</f>
        <v>41814.708333333336</v>
      </c>
      <c r="F52" s="189">
        <f>Tournament!G53</f>
        <v>41814.708333333336</v>
      </c>
      <c r="G52" s="190" t="str">
        <f>Tournament!H53</f>
        <v>Greece</v>
      </c>
      <c r="H52" s="180"/>
      <c r="I52" s="9"/>
      <c r="J52" s="191" t="s">
        <v>3088</v>
      </c>
      <c r="K52" s="9"/>
      <c r="L52" s="180"/>
      <c r="M52" s="180" t="str">
        <f>Tournament!N53</f>
        <v>Ivory Coast</v>
      </c>
      <c r="N52" s="183"/>
      <c r="P52" s="192" t="str">
        <f t="shared" si="0"/>
        <v>Greece</v>
      </c>
      <c r="Q52" s="193"/>
      <c r="R52" s="194" t="str">
        <f>IF(Tournament!J53&lt;&gt;"",Tournament!J53,"")</f>
        <v/>
      </c>
      <c r="S52" s="194" t="s">
        <v>3088</v>
      </c>
      <c r="T52" s="194" t="str">
        <f>IF(Tournament!L53&lt;&gt;"",Tournament!L53,"")</f>
        <v/>
      </c>
      <c r="U52" s="193"/>
      <c r="V52" s="193" t="str">
        <f t="shared" si="1"/>
        <v>Ivory Coast</v>
      </c>
      <c r="W52" s="194"/>
      <c r="X52" s="194"/>
      <c r="Y52" s="194"/>
      <c r="Z52" s="194"/>
      <c r="AA52" s="194"/>
      <c r="AB52" s="194"/>
      <c r="AC52" s="194"/>
      <c r="AD52" s="195" t="str">
        <f>IF(AND(I52&lt;&gt;"",K52&lt;&gt;"",R52&lt;&gt;"",T52&lt;&gt;""),IF(AND(I52=R52,K52=T52),Setup!$D$10,IF((I52-K52)=(R52-T52),Setup!$D$11,IF(AND((I52&gt;K52),(R52&gt;T52)),Setup!$D$12,IF(AND((K52&gt;I52),(T52&gt;R52)),Setup!$D$12,0)))),"")</f>
        <v/>
      </c>
      <c r="AE52" s="183"/>
      <c r="CP52" s="168"/>
      <c r="CQ52" s="168"/>
      <c r="CR52" s="187"/>
      <c r="CS52" s="168"/>
    </row>
    <row r="53" spans="2:97" s="166" customFormat="1" ht="15" customHeight="1">
      <c r="B53" s="182"/>
      <c r="C53" s="181">
        <f>Tournament!D54</f>
        <v>39</v>
      </c>
      <c r="D53" s="181" t="str">
        <f>Tournament!E54</f>
        <v>D</v>
      </c>
      <c r="E53" s="188">
        <f>Tournament!F54</f>
        <v>41814.541666666664</v>
      </c>
      <c r="F53" s="189">
        <f>Tournament!G54</f>
        <v>41814.541666666664</v>
      </c>
      <c r="G53" s="190" t="str">
        <f>Tournament!H54</f>
        <v>Italy</v>
      </c>
      <c r="H53" s="180"/>
      <c r="I53" s="9"/>
      <c r="J53" s="191" t="s">
        <v>3088</v>
      </c>
      <c r="K53" s="9"/>
      <c r="L53" s="180"/>
      <c r="M53" s="180" t="str">
        <f>Tournament!N54</f>
        <v>Uruguay</v>
      </c>
      <c r="N53" s="183"/>
      <c r="P53" s="192" t="str">
        <f t="shared" si="0"/>
        <v>Italy</v>
      </c>
      <c r="Q53" s="193"/>
      <c r="R53" s="194" t="str">
        <f>IF(Tournament!J54&lt;&gt;"",Tournament!J54,"")</f>
        <v/>
      </c>
      <c r="S53" s="194" t="s">
        <v>3088</v>
      </c>
      <c r="T53" s="194" t="str">
        <f>IF(Tournament!L54&lt;&gt;"",Tournament!L54,"")</f>
        <v/>
      </c>
      <c r="U53" s="193"/>
      <c r="V53" s="193" t="str">
        <f t="shared" si="1"/>
        <v>Uruguay</v>
      </c>
      <c r="W53" s="194"/>
      <c r="X53" s="194"/>
      <c r="Y53" s="194"/>
      <c r="Z53" s="194"/>
      <c r="AA53" s="194"/>
      <c r="AB53" s="194"/>
      <c r="AC53" s="194"/>
      <c r="AD53" s="195" t="str">
        <f>IF(AND(I53&lt;&gt;"",K53&lt;&gt;"",R53&lt;&gt;"",T53&lt;&gt;""),IF(AND(I53=R53,K53=T53),Setup!$D$10,IF((I53-K53)=(R53-T53),Setup!$D$11,IF(AND((I53&gt;K53),(R53&gt;T53)),Setup!$D$12,IF(AND((K53&gt;I53),(T53&gt;R53)),Setup!$D$12,0)))),"")</f>
        <v/>
      </c>
      <c r="AE53" s="183"/>
      <c r="CP53" s="168"/>
      <c r="CQ53" s="168"/>
      <c r="CR53" s="187"/>
      <c r="CS53" s="168"/>
    </row>
    <row r="54" spans="2:97" s="166" customFormat="1" ht="15" customHeight="1">
      <c r="B54" s="182"/>
      <c r="C54" s="181">
        <f>Tournament!D55</f>
        <v>40</v>
      </c>
      <c r="D54" s="181" t="str">
        <f>Tournament!E55</f>
        <v>D</v>
      </c>
      <c r="E54" s="188">
        <f>Tournament!F55</f>
        <v>41814.541666666664</v>
      </c>
      <c r="F54" s="189">
        <f>Tournament!G55</f>
        <v>41814.541666666664</v>
      </c>
      <c r="G54" s="190" t="str">
        <f>Tournament!H55</f>
        <v>Costa Rica</v>
      </c>
      <c r="H54" s="180"/>
      <c r="I54" s="9"/>
      <c r="J54" s="191" t="s">
        <v>3088</v>
      </c>
      <c r="K54" s="9"/>
      <c r="L54" s="180"/>
      <c r="M54" s="180" t="str">
        <f>Tournament!N55</f>
        <v>England</v>
      </c>
      <c r="N54" s="183"/>
      <c r="P54" s="192" t="str">
        <f t="shared" si="0"/>
        <v>Costa Rica</v>
      </c>
      <c r="Q54" s="193"/>
      <c r="R54" s="194" t="str">
        <f>IF(Tournament!J55&lt;&gt;"",Tournament!J55,"")</f>
        <v/>
      </c>
      <c r="S54" s="194" t="s">
        <v>3088</v>
      </c>
      <c r="T54" s="194" t="str">
        <f>IF(Tournament!L55&lt;&gt;"",Tournament!L55,"")</f>
        <v/>
      </c>
      <c r="U54" s="193"/>
      <c r="V54" s="193" t="str">
        <f t="shared" si="1"/>
        <v>England</v>
      </c>
      <c r="W54" s="194"/>
      <c r="X54" s="194"/>
      <c r="Y54" s="194"/>
      <c r="Z54" s="194"/>
      <c r="AA54" s="194"/>
      <c r="AB54" s="194"/>
      <c r="AC54" s="194"/>
      <c r="AD54" s="195" t="str">
        <f>IF(AND(I54&lt;&gt;"",K54&lt;&gt;"",R54&lt;&gt;"",T54&lt;&gt;""),IF(AND(I54=R54,K54=T54),Setup!$D$10,IF((I54-K54)=(R54-T54),Setup!$D$11,IF(AND((I54&gt;K54),(R54&gt;T54)),Setup!$D$12,IF(AND((K54&gt;I54),(T54&gt;R54)),Setup!$D$12,0)))),"")</f>
        <v/>
      </c>
      <c r="AE54" s="183"/>
      <c r="CP54" s="168"/>
      <c r="CQ54" s="168"/>
      <c r="CR54" s="187"/>
      <c r="CS54" s="168"/>
    </row>
    <row r="55" spans="2:97" s="166" customFormat="1" ht="15" customHeight="1">
      <c r="B55" s="182"/>
      <c r="C55" s="181">
        <f>Tournament!D56</f>
        <v>41</v>
      </c>
      <c r="D55" s="181" t="str">
        <f>Tournament!E56</f>
        <v>E</v>
      </c>
      <c r="E55" s="188">
        <f>Tournament!F56</f>
        <v>41815.708333333336</v>
      </c>
      <c r="F55" s="189">
        <f>Tournament!G56</f>
        <v>41815.708333333336</v>
      </c>
      <c r="G55" s="190" t="str">
        <f>Tournament!H56</f>
        <v>Honduras</v>
      </c>
      <c r="H55" s="180"/>
      <c r="I55" s="9"/>
      <c r="J55" s="191" t="s">
        <v>3088</v>
      </c>
      <c r="K55" s="9"/>
      <c r="L55" s="180"/>
      <c r="M55" s="180" t="str">
        <f>Tournament!N56</f>
        <v>Switzerland</v>
      </c>
      <c r="N55" s="183"/>
      <c r="P55" s="192" t="str">
        <f t="shared" si="0"/>
        <v>Honduras</v>
      </c>
      <c r="Q55" s="193"/>
      <c r="R55" s="194" t="str">
        <f>IF(Tournament!J56&lt;&gt;"",Tournament!J56,"")</f>
        <v/>
      </c>
      <c r="S55" s="194" t="s">
        <v>3088</v>
      </c>
      <c r="T55" s="194" t="str">
        <f>IF(Tournament!L56&lt;&gt;"",Tournament!L56,"")</f>
        <v/>
      </c>
      <c r="U55" s="193"/>
      <c r="V55" s="193" t="str">
        <f t="shared" si="1"/>
        <v>Switzerland</v>
      </c>
      <c r="W55" s="194"/>
      <c r="X55" s="194"/>
      <c r="Y55" s="194"/>
      <c r="Z55" s="194"/>
      <c r="AA55" s="194"/>
      <c r="AB55" s="194"/>
      <c r="AC55" s="194"/>
      <c r="AD55" s="195" t="str">
        <f>IF(AND(I55&lt;&gt;"",K55&lt;&gt;"",R55&lt;&gt;"",T55&lt;&gt;""),IF(AND(I55=R55,K55=T55),Setup!$D$10,IF((I55-K55)=(R55-T55),Setup!$D$11,IF(AND((I55&gt;K55),(R55&gt;T55)),Setup!$D$12,IF(AND((K55&gt;I55),(T55&gt;R55)),Setup!$D$12,0)))),"")</f>
        <v/>
      </c>
      <c r="AE55" s="183"/>
      <c r="CP55" s="168"/>
      <c r="CQ55" s="168"/>
      <c r="CR55" s="187"/>
      <c r="CS55" s="168"/>
    </row>
    <row r="56" spans="2:97" s="166" customFormat="1" ht="15" customHeight="1">
      <c r="B56" s="182"/>
      <c r="C56" s="181">
        <f>Tournament!D57</f>
        <v>42</v>
      </c>
      <c r="D56" s="181" t="str">
        <f>Tournament!E57</f>
        <v>E</v>
      </c>
      <c r="E56" s="188">
        <f>Tournament!F57</f>
        <v>41815.708333333336</v>
      </c>
      <c r="F56" s="189">
        <f>Tournament!G57</f>
        <v>41815.708333333336</v>
      </c>
      <c r="G56" s="190" t="str">
        <f>Tournament!H57</f>
        <v>Ecuador</v>
      </c>
      <c r="H56" s="180"/>
      <c r="I56" s="9"/>
      <c r="J56" s="191" t="s">
        <v>3088</v>
      </c>
      <c r="K56" s="9"/>
      <c r="L56" s="180"/>
      <c r="M56" s="180" t="str">
        <f>Tournament!N57</f>
        <v>France</v>
      </c>
      <c r="N56" s="183"/>
      <c r="P56" s="192" t="str">
        <f t="shared" si="0"/>
        <v>Ecuador</v>
      </c>
      <c r="Q56" s="193"/>
      <c r="R56" s="194" t="str">
        <f>IF(Tournament!J57&lt;&gt;"",Tournament!J57,"")</f>
        <v/>
      </c>
      <c r="S56" s="194" t="s">
        <v>3088</v>
      </c>
      <c r="T56" s="194" t="str">
        <f>IF(Tournament!L57&lt;&gt;"",Tournament!L57,"")</f>
        <v/>
      </c>
      <c r="U56" s="193"/>
      <c r="V56" s="193" t="str">
        <f t="shared" si="1"/>
        <v>France</v>
      </c>
      <c r="W56" s="194"/>
      <c r="X56" s="194"/>
      <c r="Y56" s="194"/>
      <c r="Z56" s="194"/>
      <c r="AA56" s="194"/>
      <c r="AB56" s="194"/>
      <c r="AC56" s="194"/>
      <c r="AD56" s="195" t="str">
        <f>IF(AND(I56&lt;&gt;"",K56&lt;&gt;"",R56&lt;&gt;"",T56&lt;&gt;""),IF(AND(I56=R56,K56=T56),Setup!$D$10,IF((I56-K56)=(R56-T56),Setup!$D$11,IF(AND((I56&gt;K56),(R56&gt;T56)),Setup!$D$12,IF(AND((K56&gt;I56),(T56&gt;R56)),Setup!$D$12,0)))),"")</f>
        <v/>
      </c>
      <c r="AE56" s="183"/>
      <c r="CP56" s="168"/>
      <c r="CQ56" s="168"/>
      <c r="CR56" s="187"/>
      <c r="CS56" s="168"/>
    </row>
    <row r="57" spans="2:97" s="166" customFormat="1" ht="15" customHeight="1">
      <c r="B57" s="182"/>
      <c r="C57" s="181">
        <f>Tournament!D58</f>
        <v>43</v>
      </c>
      <c r="D57" s="181" t="str">
        <f>Tournament!E58</f>
        <v>F</v>
      </c>
      <c r="E57" s="188">
        <f>Tournament!F58</f>
        <v>41815.541666666664</v>
      </c>
      <c r="F57" s="189">
        <f>Tournament!G58</f>
        <v>41815.541666666664</v>
      </c>
      <c r="G57" s="190" t="str">
        <f>Tournament!H58</f>
        <v>Nigeria</v>
      </c>
      <c r="H57" s="180"/>
      <c r="I57" s="9"/>
      <c r="J57" s="191" t="s">
        <v>3088</v>
      </c>
      <c r="K57" s="9"/>
      <c r="L57" s="180"/>
      <c r="M57" s="180" t="str">
        <f>Tournament!N58</f>
        <v>Argentina</v>
      </c>
      <c r="N57" s="183"/>
      <c r="P57" s="192" t="str">
        <f t="shared" si="0"/>
        <v>Nigeria</v>
      </c>
      <c r="Q57" s="193"/>
      <c r="R57" s="194" t="str">
        <f>IF(Tournament!J58&lt;&gt;"",Tournament!J58,"")</f>
        <v/>
      </c>
      <c r="S57" s="194" t="s">
        <v>3088</v>
      </c>
      <c r="T57" s="194" t="str">
        <f>IF(Tournament!L58&lt;&gt;"",Tournament!L58,"")</f>
        <v/>
      </c>
      <c r="U57" s="193"/>
      <c r="V57" s="193" t="str">
        <f t="shared" si="1"/>
        <v>Argentina</v>
      </c>
      <c r="W57" s="194"/>
      <c r="X57" s="194"/>
      <c r="Y57" s="194"/>
      <c r="Z57" s="194"/>
      <c r="AA57" s="194"/>
      <c r="AB57" s="194"/>
      <c r="AC57" s="194"/>
      <c r="AD57" s="195" t="str">
        <f>IF(AND(I57&lt;&gt;"",K57&lt;&gt;"",R57&lt;&gt;"",T57&lt;&gt;""),IF(AND(I57=R57,K57=T57),Setup!$D$10,IF((I57-K57)=(R57-T57),Setup!$D$11,IF(AND((I57&gt;K57),(R57&gt;T57)),Setup!$D$12,IF(AND((K57&gt;I57),(T57&gt;R57)),Setup!$D$12,0)))),"")</f>
        <v/>
      </c>
      <c r="AE57" s="183"/>
      <c r="CP57" s="168"/>
      <c r="CQ57" s="168"/>
      <c r="CR57" s="187"/>
      <c r="CS57" s="168"/>
    </row>
    <row r="58" spans="2:97" s="166" customFormat="1" ht="15" customHeight="1">
      <c r="B58" s="182"/>
      <c r="C58" s="181">
        <f>Tournament!D59</f>
        <v>44</v>
      </c>
      <c r="D58" s="181" t="str">
        <f>Tournament!E59</f>
        <v>F</v>
      </c>
      <c r="E58" s="188">
        <f>Tournament!F59</f>
        <v>41815.541666666664</v>
      </c>
      <c r="F58" s="189">
        <f>Tournament!G59</f>
        <v>41815.541666666664</v>
      </c>
      <c r="G58" s="190" t="str">
        <f>Tournament!H59</f>
        <v>Bosnia-Herzegovina</v>
      </c>
      <c r="H58" s="180"/>
      <c r="I58" s="9"/>
      <c r="J58" s="191" t="s">
        <v>3088</v>
      </c>
      <c r="K58" s="9"/>
      <c r="L58" s="180"/>
      <c r="M58" s="180" t="str">
        <f>Tournament!N59</f>
        <v>Iran</v>
      </c>
      <c r="N58" s="183"/>
      <c r="P58" s="192" t="str">
        <f t="shared" si="0"/>
        <v>Bosnia-Herzegovina</v>
      </c>
      <c r="Q58" s="193"/>
      <c r="R58" s="194" t="str">
        <f>IF(Tournament!J59&lt;&gt;"",Tournament!J59,"")</f>
        <v/>
      </c>
      <c r="S58" s="194" t="s">
        <v>3088</v>
      </c>
      <c r="T58" s="194" t="str">
        <f>IF(Tournament!L59&lt;&gt;"",Tournament!L59,"")</f>
        <v/>
      </c>
      <c r="U58" s="193"/>
      <c r="V58" s="193" t="str">
        <f t="shared" si="1"/>
        <v>Iran</v>
      </c>
      <c r="W58" s="194"/>
      <c r="X58" s="194"/>
      <c r="Y58" s="194"/>
      <c r="Z58" s="194"/>
      <c r="AA58" s="194"/>
      <c r="AB58" s="194"/>
      <c r="AC58" s="194"/>
      <c r="AD58" s="195" t="str">
        <f>IF(AND(I58&lt;&gt;"",K58&lt;&gt;"",R58&lt;&gt;"",T58&lt;&gt;""),IF(AND(I58=R58,K58=T58),Setup!$D$10,IF((I58-K58)=(R58-T58),Setup!$D$11,IF(AND((I58&gt;K58),(R58&gt;T58)),Setup!$D$12,IF(AND((K58&gt;I58),(T58&gt;R58)),Setup!$D$12,0)))),"")</f>
        <v/>
      </c>
      <c r="AE58" s="183"/>
      <c r="CP58" s="168"/>
      <c r="CQ58" s="168"/>
      <c r="CR58" s="187"/>
      <c r="CS58" s="168"/>
    </row>
    <row r="59" spans="2:97" s="166" customFormat="1" ht="15" customHeight="1">
      <c r="B59" s="182"/>
      <c r="C59" s="181">
        <f>Tournament!D60</f>
        <v>45</v>
      </c>
      <c r="D59" s="181" t="str">
        <f>Tournament!E60</f>
        <v>G</v>
      </c>
      <c r="E59" s="188">
        <f>Tournament!F60</f>
        <v>41816.541666666664</v>
      </c>
      <c r="F59" s="189">
        <f>Tournament!G60</f>
        <v>41816.541666666664</v>
      </c>
      <c r="G59" s="190" t="str">
        <f>Tournament!H60</f>
        <v>USA</v>
      </c>
      <c r="H59" s="180"/>
      <c r="I59" s="9"/>
      <c r="J59" s="191" t="s">
        <v>3088</v>
      </c>
      <c r="K59" s="9"/>
      <c r="L59" s="180"/>
      <c r="M59" s="180" t="str">
        <f>Tournament!N60</f>
        <v>Germany</v>
      </c>
      <c r="N59" s="183"/>
      <c r="P59" s="192" t="str">
        <f t="shared" si="0"/>
        <v>USA</v>
      </c>
      <c r="Q59" s="193"/>
      <c r="R59" s="194" t="str">
        <f>IF(Tournament!J60&lt;&gt;"",Tournament!J60,"")</f>
        <v/>
      </c>
      <c r="S59" s="194" t="s">
        <v>3088</v>
      </c>
      <c r="T59" s="194" t="str">
        <f>IF(Tournament!L60&lt;&gt;"",Tournament!L60,"")</f>
        <v/>
      </c>
      <c r="U59" s="193"/>
      <c r="V59" s="193" t="str">
        <f t="shared" si="1"/>
        <v>Germany</v>
      </c>
      <c r="W59" s="194"/>
      <c r="X59" s="194"/>
      <c r="Y59" s="194"/>
      <c r="Z59" s="194"/>
      <c r="AA59" s="194"/>
      <c r="AB59" s="194"/>
      <c r="AC59" s="194"/>
      <c r="AD59" s="195" t="str">
        <f>IF(AND(I59&lt;&gt;"",K59&lt;&gt;"",R59&lt;&gt;"",T59&lt;&gt;""),IF(AND(I59=R59,K59=T59),Setup!$D$10,IF((I59-K59)=(R59-T59),Setup!$D$11,IF(AND((I59&gt;K59),(R59&gt;T59)),Setup!$D$12,IF(AND((K59&gt;I59),(T59&gt;R59)),Setup!$D$12,0)))),"")</f>
        <v/>
      </c>
      <c r="AE59" s="183"/>
      <c r="CP59" s="168"/>
      <c r="CQ59" s="168"/>
      <c r="CR59" s="187"/>
      <c r="CS59" s="168"/>
    </row>
    <row r="60" spans="2:97" s="166" customFormat="1" ht="15" customHeight="1">
      <c r="B60" s="182"/>
      <c r="C60" s="181">
        <f>Tournament!D61</f>
        <v>46</v>
      </c>
      <c r="D60" s="181" t="str">
        <f>Tournament!E61</f>
        <v>G</v>
      </c>
      <c r="E60" s="188">
        <f>Tournament!F61</f>
        <v>41816.541666666664</v>
      </c>
      <c r="F60" s="189">
        <f>Tournament!G61</f>
        <v>41816.541666666664</v>
      </c>
      <c r="G60" s="190" t="str">
        <f>Tournament!H61</f>
        <v>Portugal</v>
      </c>
      <c r="H60" s="180"/>
      <c r="I60" s="9"/>
      <c r="J60" s="191" t="s">
        <v>3088</v>
      </c>
      <c r="K60" s="9"/>
      <c r="L60" s="180"/>
      <c r="M60" s="180" t="str">
        <f>Tournament!N61</f>
        <v>Ghana</v>
      </c>
      <c r="N60" s="183"/>
      <c r="P60" s="192" t="str">
        <f t="shared" si="0"/>
        <v>Portugal</v>
      </c>
      <c r="Q60" s="193"/>
      <c r="R60" s="194" t="str">
        <f>IF(Tournament!J61&lt;&gt;"",Tournament!J61,"")</f>
        <v/>
      </c>
      <c r="S60" s="194" t="s">
        <v>3088</v>
      </c>
      <c r="T60" s="194" t="str">
        <f>IF(Tournament!L61&lt;&gt;"",Tournament!L61,"")</f>
        <v/>
      </c>
      <c r="U60" s="193"/>
      <c r="V60" s="193" t="str">
        <f t="shared" si="1"/>
        <v>Ghana</v>
      </c>
      <c r="W60" s="194"/>
      <c r="X60" s="194"/>
      <c r="Y60" s="194"/>
      <c r="Z60" s="194"/>
      <c r="AA60" s="194"/>
      <c r="AB60" s="194"/>
      <c r="AC60" s="194"/>
      <c r="AD60" s="195" t="str">
        <f>IF(AND(I60&lt;&gt;"",K60&lt;&gt;"",R60&lt;&gt;"",T60&lt;&gt;""),IF(AND(I60=R60,K60=T60),Setup!$D$10,IF((I60-K60)=(R60-T60),Setup!$D$11,IF(AND((I60&gt;K60),(R60&gt;T60)),Setup!$D$12,IF(AND((K60&gt;I60),(T60&gt;R60)),Setup!$D$12,0)))),"")</f>
        <v/>
      </c>
      <c r="AE60" s="183"/>
      <c r="CN60" s="168"/>
      <c r="CO60" s="168"/>
      <c r="CP60" s="187"/>
      <c r="CQ60" s="168"/>
    </row>
    <row r="61" spans="2:97" s="166" customFormat="1" ht="15" customHeight="1">
      <c r="B61" s="182"/>
      <c r="C61" s="181">
        <f>Tournament!D62</f>
        <v>47</v>
      </c>
      <c r="D61" s="181" t="str">
        <f>Tournament!E62</f>
        <v>H</v>
      </c>
      <c r="E61" s="188">
        <f>Tournament!F62</f>
        <v>41816.708333333336</v>
      </c>
      <c r="F61" s="189">
        <f>Tournament!G62</f>
        <v>41816.708333333336</v>
      </c>
      <c r="G61" s="190" t="str">
        <f>Tournament!H62</f>
        <v>South Korea</v>
      </c>
      <c r="H61" s="180"/>
      <c r="I61" s="9"/>
      <c r="J61" s="191" t="s">
        <v>3088</v>
      </c>
      <c r="K61" s="9"/>
      <c r="L61" s="180"/>
      <c r="M61" s="180" t="str">
        <f>Tournament!N62</f>
        <v>Belgium</v>
      </c>
      <c r="N61" s="183"/>
      <c r="P61" s="192" t="str">
        <f t="shared" si="0"/>
        <v>South Korea</v>
      </c>
      <c r="Q61" s="193"/>
      <c r="R61" s="194" t="str">
        <f>IF(Tournament!J62&lt;&gt;"",Tournament!J62,"")</f>
        <v/>
      </c>
      <c r="S61" s="194" t="s">
        <v>3088</v>
      </c>
      <c r="T61" s="194" t="str">
        <f>IF(Tournament!L62&lt;&gt;"",Tournament!L62,"")</f>
        <v/>
      </c>
      <c r="U61" s="193"/>
      <c r="V61" s="193" t="str">
        <f t="shared" si="1"/>
        <v>Belgium</v>
      </c>
      <c r="W61" s="194"/>
      <c r="X61" s="194"/>
      <c r="Y61" s="194"/>
      <c r="Z61" s="194"/>
      <c r="AA61" s="194"/>
      <c r="AB61" s="194"/>
      <c r="AC61" s="194"/>
      <c r="AD61" s="195" t="str">
        <f>IF(AND(I61&lt;&gt;"",K61&lt;&gt;"",R61&lt;&gt;"",T61&lt;&gt;""),IF(AND(I61=R61,K61=T61),Setup!$D$10,IF((I61-K61)=(R61-T61),Setup!$D$11,IF(AND((I61&gt;K61),(R61&gt;T61)),Setup!$D$12,IF(AND((K61&gt;I61),(T61&gt;R61)),Setup!$D$12,0)))),"")</f>
        <v/>
      </c>
      <c r="AE61" s="183"/>
      <c r="CM61" s="168"/>
      <c r="CN61" s="168"/>
      <c r="CO61" s="187"/>
      <c r="CP61" s="168"/>
    </row>
    <row r="62" spans="2:97" s="166" customFormat="1" ht="15" customHeight="1">
      <c r="B62" s="182"/>
      <c r="C62" s="181">
        <f>Tournament!D63</f>
        <v>48</v>
      </c>
      <c r="D62" s="181" t="str">
        <f>Tournament!E63</f>
        <v>H</v>
      </c>
      <c r="E62" s="188">
        <f>Tournament!F63</f>
        <v>41816.708333333336</v>
      </c>
      <c r="F62" s="189">
        <f>Tournament!G63</f>
        <v>41816.708333333336</v>
      </c>
      <c r="G62" s="190" t="str">
        <f>Tournament!H63</f>
        <v>Algeria</v>
      </c>
      <c r="H62" s="180"/>
      <c r="I62" s="9"/>
      <c r="J62" s="191" t="s">
        <v>3088</v>
      </c>
      <c r="K62" s="9"/>
      <c r="L62" s="180"/>
      <c r="M62" s="180" t="str">
        <f>Tournament!N63</f>
        <v>Russia</v>
      </c>
      <c r="N62" s="183"/>
      <c r="P62" s="192" t="str">
        <f t="shared" si="0"/>
        <v>Algeria</v>
      </c>
      <c r="Q62" s="193"/>
      <c r="R62" s="194" t="str">
        <f>IF(Tournament!J63&lt;&gt;"",Tournament!J63,"")</f>
        <v/>
      </c>
      <c r="S62" s="194" t="s">
        <v>3088</v>
      </c>
      <c r="T62" s="194" t="str">
        <f>IF(Tournament!L63&lt;&gt;"",Tournament!L63,"")</f>
        <v/>
      </c>
      <c r="U62" s="193"/>
      <c r="V62" s="193" t="str">
        <f t="shared" si="1"/>
        <v>Russia</v>
      </c>
      <c r="AD62" s="195" t="str">
        <f>IF(AND(I62&lt;&gt;"",K62&lt;&gt;"",R62&lt;&gt;"",T62&lt;&gt;""),IF(AND(I62=R62,K62=T62),Setup!$D$10,IF((I62-K62)=(R62-T62),Setup!$D$11,IF(AND((I62&gt;K62),(R62&gt;T62)),Setup!$D$12,IF(AND((K62&gt;I62),(T62&gt;R62)),Setup!$D$12,0)))),"")</f>
        <v/>
      </c>
      <c r="AE62" s="183"/>
      <c r="CM62" s="168"/>
      <c r="CN62" s="168"/>
      <c r="CO62" s="187"/>
      <c r="CP62" s="168"/>
    </row>
    <row r="63" spans="2:97" s="166" customFormat="1" ht="15" customHeight="1">
      <c r="B63" s="182"/>
      <c r="C63" s="181"/>
      <c r="D63" s="181"/>
      <c r="E63" s="188"/>
      <c r="F63" s="189"/>
      <c r="G63" s="190"/>
      <c r="H63" s="180"/>
      <c r="I63" s="191"/>
      <c r="J63" s="191"/>
      <c r="K63" s="191"/>
      <c r="L63" s="180"/>
      <c r="M63" s="180"/>
      <c r="N63" s="183"/>
      <c r="P63" s="192"/>
      <c r="Q63" s="193"/>
      <c r="R63" s="194"/>
      <c r="S63" s="194"/>
      <c r="T63" s="194"/>
      <c r="U63" s="193"/>
      <c r="V63" s="193"/>
      <c r="AD63" s="181"/>
      <c r="AE63" s="183"/>
      <c r="CM63" s="168"/>
      <c r="CN63" s="168"/>
      <c r="CO63" s="187"/>
      <c r="CP63" s="168"/>
    </row>
    <row r="64" spans="2:97" s="166" customFormat="1" ht="15" customHeight="1">
      <c r="B64" s="300" t="s">
        <v>3544</v>
      </c>
      <c r="C64" s="301"/>
      <c r="D64" s="301"/>
      <c r="E64" s="301"/>
      <c r="F64" s="301"/>
      <c r="G64" s="301"/>
      <c r="H64" s="301"/>
      <c r="I64" s="301"/>
      <c r="J64" s="301"/>
      <c r="K64" s="301"/>
      <c r="L64" s="301"/>
      <c r="M64" s="301"/>
      <c r="N64" s="302"/>
      <c r="P64" s="303" t="str">
        <f>B64</f>
        <v>Knock Out Stages</v>
      </c>
      <c r="Q64" s="304"/>
      <c r="R64" s="304"/>
      <c r="S64" s="304"/>
      <c r="T64" s="304"/>
      <c r="U64" s="304"/>
      <c r="V64" s="304"/>
      <c r="W64" s="304"/>
      <c r="X64" s="304"/>
      <c r="Y64" s="304"/>
      <c r="Z64" s="304"/>
      <c r="AA64" s="304"/>
      <c r="AB64" s="304"/>
      <c r="AC64" s="304"/>
      <c r="AD64" s="304"/>
      <c r="AE64" s="305"/>
      <c r="CM64" s="168"/>
      <c r="CN64" s="168"/>
      <c r="CO64" s="187"/>
      <c r="CP64" s="168"/>
    </row>
    <row r="65" spans="2:94" s="166" customFormat="1" ht="15" customHeight="1">
      <c r="B65" s="182"/>
      <c r="C65" s="181"/>
      <c r="D65" s="181"/>
      <c r="E65" s="188"/>
      <c r="F65" s="189"/>
      <c r="G65" s="190"/>
      <c r="H65" s="180"/>
      <c r="I65" s="191"/>
      <c r="J65" s="191"/>
      <c r="K65" s="191"/>
      <c r="L65" s="180"/>
      <c r="M65" s="180"/>
      <c r="N65" s="183"/>
      <c r="P65" s="192"/>
      <c r="Q65" s="193"/>
      <c r="R65" s="299" t="s">
        <v>3554</v>
      </c>
      <c r="S65" s="299"/>
      <c r="T65" s="299"/>
      <c r="U65" s="193"/>
      <c r="V65" s="193"/>
      <c r="W65" s="299" t="s">
        <v>3546</v>
      </c>
      <c r="X65" s="299"/>
      <c r="Y65" s="299"/>
      <c r="Z65" s="197"/>
      <c r="AA65" s="299" t="s">
        <v>3547</v>
      </c>
      <c r="AB65" s="299"/>
      <c r="AC65" s="299"/>
      <c r="AD65" s="181"/>
      <c r="AE65" s="183"/>
      <c r="CM65" s="168"/>
      <c r="CN65" s="168"/>
      <c r="CO65" s="187"/>
      <c r="CP65" s="168"/>
    </row>
    <row r="66" spans="2:94" s="166" customFormat="1" ht="15" customHeight="1">
      <c r="B66" s="182"/>
      <c r="C66" s="181">
        <v>49</v>
      </c>
      <c r="D66" s="181" t="s">
        <v>3548</v>
      </c>
      <c r="E66" s="188">
        <f>Tournament!F69</f>
        <v>41818.541666666664</v>
      </c>
      <c r="F66" s="189">
        <f>Tournament!G69</f>
        <v>41818.541666666664</v>
      </c>
      <c r="G66" s="190" t="str">
        <f>Tournament!H69</f>
        <v>Group A Winner</v>
      </c>
      <c r="H66" s="180"/>
      <c r="I66" s="9"/>
      <c r="J66" s="191" t="s">
        <v>3088</v>
      </c>
      <c r="K66" s="9"/>
      <c r="L66" s="180"/>
      <c r="M66" s="198" t="str">
        <f>Tournament!N69</f>
        <v>Group B Runner Up</v>
      </c>
      <c r="N66" s="183"/>
      <c r="P66" s="192" t="str">
        <f t="shared" ref="P66:P81" si="2">G66</f>
        <v>Group A Winner</v>
      </c>
      <c r="Q66" s="193"/>
      <c r="R66" s="194" t="str">
        <f>IF($Z$67=0,IF($Z$66=0,IF(Tournament!J70&lt;&gt;"",Tournament!J70,""),IF(Tournament!J70&lt;&gt;"",Tournament!J70+Tournament!J71,"")),IF(Tournament!J69&lt;&gt;"",Tournament!J69,""))</f>
        <v/>
      </c>
      <c r="S66" s="194" t="s">
        <v>3088</v>
      </c>
      <c r="T66" s="194" t="str">
        <f>IF($Z$67=0,IF($Z$66=0,IF(Tournament!L70&lt;&gt;"",Tournament!L70,""),IF(Tournament!L70&lt;&gt;"",Tournament!L70+Tournament!L71,"")),IF(Tournament!L69&lt;&gt;"",Tournament!L69,""))</f>
        <v/>
      </c>
      <c r="U66" s="193"/>
      <c r="V66" s="193" t="str">
        <f t="shared" ref="V66:V81" si="3">M66</f>
        <v>Group B Runner Up</v>
      </c>
      <c r="W66" s="191" t="str">
        <f>IF(Tournament!J71&lt;&gt;"",Tournament!J71,"")</f>
        <v/>
      </c>
      <c r="X66" s="199" t="s">
        <v>3088</v>
      </c>
      <c r="Y66" s="191" t="str">
        <f>IF(Tournament!L71&lt;&gt;"",Tournament!L71,"")</f>
        <v/>
      </c>
      <c r="Z66" s="199">
        <f>Setup!E16</f>
        <v>1</v>
      </c>
      <c r="AA66" s="191" t="str">
        <f>IF(Tournament!J72&lt;&gt;"",Tournament!J72,"")</f>
        <v/>
      </c>
      <c r="AB66" s="194" t="s">
        <v>3088</v>
      </c>
      <c r="AC66" s="191" t="str">
        <f>IF(Tournament!L72&lt;&gt;"",Tournament!L72,"")</f>
        <v/>
      </c>
      <c r="AD66" s="195" t="str">
        <f>IF(AND(I66&lt;&gt;"",K66&lt;&gt;"",R66&lt;&gt;"",T66&lt;&gt;""),IF(AND(I66=R66,K66=T66),Setup!$D$20,IF((I66-K66)=(R66-T66),Setup!$D$21,IF(AND((I66&gt;K66),(R66&gt;T66)),Setup!$D$22,IF(AND((K66&gt;I66),(T66&gt;R66)),Setup!$D$22,0)))),"")</f>
        <v/>
      </c>
      <c r="AE66" s="183"/>
      <c r="CM66" s="168"/>
      <c r="CN66" s="168"/>
      <c r="CO66" s="187"/>
      <c r="CP66" s="168"/>
    </row>
    <row r="67" spans="2:94" s="166" customFormat="1" ht="15" customHeight="1">
      <c r="B67" s="182"/>
      <c r="C67" s="181">
        <v>50</v>
      </c>
      <c r="D67" s="181" t="str">
        <f>D66</f>
        <v>R16</v>
      </c>
      <c r="E67" s="188">
        <f>Tournament!F75</f>
        <v>41818.708333333336</v>
      </c>
      <c r="F67" s="189">
        <f>Tournament!G75</f>
        <v>41818.708333333336</v>
      </c>
      <c r="G67" s="190" t="str">
        <f>Tournament!H75</f>
        <v>Group C Winner</v>
      </c>
      <c r="H67" s="180"/>
      <c r="I67" s="9"/>
      <c r="J67" s="191" t="s">
        <v>3088</v>
      </c>
      <c r="K67" s="9"/>
      <c r="L67" s="180"/>
      <c r="M67" s="198" t="str">
        <f>Tournament!N75</f>
        <v>Group D Runner Up</v>
      </c>
      <c r="N67" s="183"/>
      <c r="P67" s="192" t="str">
        <f t="shared" si="2"/>
        <v>Group C Winner</v>
      </c>
      <c r="Q67" s="193"/>
      <c r="R67" s="194" t="str">
        <f>IF($Z$67=0,IF($Z$66=0,IF(Tournament!J76&lt;&gt;"",Tournament!J76,""),IF(Tournament!J76&lt;&gt;"",Tournament!J76+Tournament!J77,"")),IF(Tournament!J75&lt;&gt;"",Tournament!J75,""))</f>
        <v/>
      </c>
      <c r="S67" s="194" t="s">
        <v>3088</v>
      </c>
      <c r="T67" s="194" t="str">
        <f>IF($Z$67=0,IF($Z$66=0,IF(Tournament!L76&lt;&gt;"",Tournament!L76,""),IF(Tournament!L76&lt;&gt;"",Tournament!L76+Tournament!L77,"")),IF(Tournament!L75&lt;&gt;"",Tournament!L75,""))</f>
        <v/>
      </c>
      <c r="U67" s="193"/>
      <c r="V67" s="193" t="str">
        <f t="shared" si="3"/>
        <v>Group D Runner Up</v>
      </c>
      <c r="W67" s="191" t="str">
        <f>IF(Tournament!J77&lt;&gt;"",Tournament!J77,"")</f>
        <v/>
      </c>
      <c r="X67" s="199" t="s">
        <v>3088</v>
      </c>
      <c r="Y67" s="191" t="str">
        <f>IF(Tournament!L77&lt;&gt;"",Tournament!L77,"")</f>
        <v/>
      </c>
      <c r="Z67" s="199">
        <f>Setup!E17</f>
        <v>0</v>
      </c>
      <c r="AA67" s="191" t="str">
        <f>IF(Tournament!J78&lt;&gt;"",Tournament!J78,"")</f>
        <v/>
      </c>
      <c r="AB67" s="194" t="s">
        <v>3088</v>
      </c>
      <c r="AC67" s="191" t="str">
        <f>IF(Tournament!L78&lt;&gt;"",Tournament!L78,"")</f>
        <v/>
      </c>
      <c r="AD67" s="195" t="str">
        <f>IF(AND(I67&lt;&gt;"",K67&lt;&gt;"",R67&lt;&gt;"",T67&lt;&gt;""),IF(AND(I67=R67,K67=T67),Setup!$D$20,IF((I67-K67)=(R67-T67),Setup!$D$21,IF(AND((I67&gt;K67),(R67&gt;T67)),Setup!$D$22,IF(AND((K67&gt;I67),(T67&gt;R67)),Setup!$D$22,0)))),"")</f>
        <v/>
      </c>
      <c r="AE67" s="183"/>
      <c r="CM67" s="168"/>
      <c r="CN67" s="168"/>
      <c r="CO67" s="187"/>
      <c r="CP67" s="168"/>
    </row>
    <row r="68" spans="2:94" s="166" customFormat="1" ht="15" customHeight="1">
      <c r="B68" s="182"/>
      <c r="C68" s="181">
        <v>52</v>
      </c>
      <c r="D68" s="181" t="str">
        <f t="shared" ref="D68:D73" si="4">D67</f>
        <v>R16</v>
      </c>
      <c r="E68" s="188">
        <f>Tournament!F81</f>
        <v>41819.708333333336</v>
      </c>
      <c r="F68" s="189">
        <f>Tournament!G81</f>
        <v>41819.708333333336</v>
      </c>
      <c r="G68" s="190" t="str">
        <f>Tournament!H81</f>
        <v>Group D Winner</v>
      </c>
      <c r="H68" s="180"/>
      <c r="I68" s="9"/>
      <c r="J68" s="191" t="s">
        <v>3088</v>
      </c>
      <c r="K68" s="9"/>
      <c r="L68" s="180"/>
      <c r="M68" s="198" t="str">
        <f>Tournament!N81</f>
        <v>Group C Runner Up</v>
      </c>
      <c r="N68" s="183"/>
      <c r="P68" s="192" t="str">
        <f t="shared" si="2"/>
        <v>Group D Winner</v>
      </c>
      <c r="Q68" s="193"/>
      <c r="R68" s="194" t="str">
        <f>IF($Z$67=0,IF($Z$66=0,IF(Tournament!J82&lt;&gt;"",Tournament!J82,""),IF(Tournament!J82&lt;&gt;"",Tournament!J82+Tournament!J83,"")),IF(Tournament!J81&lt;&gt;"",Tournament!J81,""))</f>
        <v/>
      </c>
      <c r="S68" s="194" t="s">
        <v>3088</v>
      </c>
      <c r="T68" s="194" t="str">
        <f>IF($Z$67=0,IF($Z$66=0,IF(Tournament!L82&lt;&gt;"",Tournament!L82,""),IF(Tournament!L82&lt;&gt;"",Tournament!L82+Tournament!L83,"")),IF(Tournament!L81&lt;&gt;"",Tournament!L81,""))</f>
        <v/>
      </c>
      <c r="U68" s="193"/>
      <c r="V68" s="193" t="str">
        <f t="shared" si="3"/>
        <v>Group C Runner Up</v>
      </c>
      <c r="W68" s="191" t="str">
        <f>IF(Tournament!J83&lt;&gt;"",Tournament!J83,"")</f>
        <v/>
      </c>
      <c r="X68" s="199" t="s">
        <v>3088</v>
      </c>
      <c r="Y68" s="191" t="str">
        <f>IF(Tournament!L83&lt;&gt;"",Tournament!L83,"")</f>
        <v/>
      </c>
      <c r="Z68" s="191"/>
      <c r="AA68" s="191" t="str">
        <f>IF(Tournament!J84&lt;&gt;"",Tournament!J84,"")</f>
        <v/>
      </c>
      <c r="AB68" s="194" t="s">
        <v>3088</v>
      </c>
      <c r="AC68" s="191" t="str">
        <f>IF(Tournament!L84&lt;&gt;"",Tournament!L84,"")</f>
        <v/>
      </c>
      <c r="AD68" s="195" t="str">
        <f>IF(AND(I68&lt;&gt;"",K68&lt;&gt;"",R68&lt;&gt;"",T68&lt;&gt;""),IF(AND(I68=R68,K68=T68),Setup!$D$20,IF((I68-K68)=(R68-T68),Setup!$D$21,IF(AND((I68&gt;K68),(R68&gt;T68)),Setup!$D$22,IF(AND((K68&gt;I68),(T68&gt;R68)),Setup!$D$22,0)))),"")</f>
        <v/>
      </c>
      <c r="AE68" s="183"/>
      <c r="CM68" s="168"/>
      <c r="CN68" s="168"/>
      <c r="CO68" s="187"/>
      <c r="CP68" s="168"/>
    </row>
    <row r="69" spans="2:94" s="166" customFormat="1" ht="15" customHeight="1">
      <c r="B69" s="182"/>
      <c r="C69" s="181">
        <v>51</v>
      </c>
      <c r="D69" s="181" t="str">
        <f t="shared" si="4"/>
        <v>R16</v>
      </c>
      <c r="E69" s="188">
        <f>Tournament!F87</f>
        <v>41819.541666666664</v>
      </c>
      <c r="F69" s="189">
        <f>Tournament!G93</f>
        <v>41820.541666666664</v>
      </c>
      <c r="G69" s="190" t="str">
        <f>Tournament!H87</f>
        <v>Group B Winner</v>
      </c>
      <c r="H69" s="180"/>
      <c r="I69" s="9"/>
      <c r="J69" s="191" t="s">
        <v>3088</v>
      </c>
      <c r="K69" s="9"/>
      <c r="L69" s="180"/>
      <c r="M69" s="198" t="str">
        <f>Tournament!N87</f>
        <v>Group A Runner Up</v>
      </c>
      <c r="N69" s="183"/>
      <c r="P69" s="192" t="str">
        <f t="shared" si="2"/>
        <v>Group B Winner</v>
      </c>
      <c r="Q69" s="193"/>
      <c r="R69" s="194" t="str">
        <f>IF($Z$67=0,IF($Z$66=0,IF(Tournament!J88&lt;&gt;"",Tournament!J88,""),IF(Tournament!J88&lt;&gt;"",Tournament!J88+Tournament!J89,"")),IF(Tournament!J87&lt;&gt;"",Tournament!J87,""))</f>
        <v/>
      </c>
      <c r="S69" s="194" t="s">
        <v>3088</v>
      </c>
      <c r="T69" s="194" t="str">
        <f>IF($Z$67=0,IF($Z$66=0,IF(Tournament!L88&lt;&gt;"",Tournament!L88,""),IF(Tournament!L88&lt;&gt;"",Tournament!L88+Tournament!L89,"")),IF(Tournament!L87&lt;&gt;"",Tournament!L87,""))</f>
        <v/>
      </c>
      <c r="U69" s="193"/>
      <c r="V69" s="193" t="str">
        <f t="shared" si="3"/>
        <v>Group A Runner Up</v>
      </c>
      <c r="W69" s="191" t="str">
        <f>IF(Tournament!J89&lt;&gt;"",Tournament!J89,"")</f>
        <v/>
      </c>
      <c r="X69" s="199" t="s">
        <v>3088</v>
      </c>
      <c r="Y69" s="191" t="str">
        <f>IF(Tournament!L89&lt;&gt;"",Tournament!L89,"")</f>
        <v/>
      </c>
      <c r="Z69" s="191"/>
      <c r="AA69" s="191" t="str">
        <f>IF(Tournament!J90&lt;&gt;"",Tournament!J90,"")</f>
        <v/>
      </c>
      <c r="AB69" s="194" t="s">
        <v>3088</v>
      </c>
      <c r="AC69" s="191" t="str">
        <f>IF(Tournament!L90&lt;&gt;"",Tournament!L90,"")</f>
        <v/>
      </c>
      <c r="AD69" s="195" t="str">
        <f>IF(AND(I69&lt;&gt;"",K69&lt;&gt;"",R69&lt;&gt;"",T69&lt;&gt;""),IF(AND(I69=R69,K69=T69),Setup!$D$20,IF((I69-K69)=(R69-T69),Setup!$D$21,IF(AND((I69&gt;K69),(R69&gt;T69)),Setup!$D$22,IF(AND((K69&gt;I69),(T69&gt;R69)),Setup!$D$22,0)))),"")</f>
        <v/>
      </c>
      <c r="AE69" s="183"/>
      <c r="CM69" s="168"/>
      <c r="CN69" s="168"/>
      <c r="CO69" s="187"/>
      <c r="CP69" s="168"/>
    </row>
    <row r="70" spans="2:94" s="166" customFormat="1" ht="15" customHeight="1">
      <c r="B70" s="182"/>
      <c r="C70" s="181">
        <v>53</v>
      </c>
      <c r="D70" s="181" t="str">
        <f t="shared" si="4"/>
        <v>R16</v>
      </c>
      <c r="E70" s="188">
        <f>Tournament!F93</f>
        <v>41820.541666666664</v>
      </c>
      <c r="F70" s="189">
        <f>Tournament!G93</f>
        <v>41820.541666666664</v>
      </c>
      <c r="G70" s="190" t="str">
        <f>Tournament!H93</f>
        <v>Group E Winner</v>
      </c>
      <c r="H70" s="180"/>
      <c r="I70" s="9"/>
      <c r="J70" s="191" t="s">
        <v>3088</v>
      </c>
      <c r="K70" s="9"/>
      <c r="L70" s="180"/>
      <c r="M70" s="198" t="str">
        <f>Tournament!N93</f>
        <v>Group F Runner Up</v>
      </c>
      <c r="N70" s="183"/>
      <c r="P70" s="192" t="str">
        <f t="shared" si="2"/>
        <v>Group E Winner</v>
      </c>
      <c r="Q70" s="193"/>
      <c r="R70" s="194" t="str">
        <f>IF($Z$67=0,IF($Z$66=0,IF(Tournament!J94&lt;&gt;"",Tournament!J94,""),IF(Tournament!J94&lt;&gt;"",Tournament!J94+Tournament!J95,"")),IF(Tournament!J93&lt;&gt;"",Tournament!J93,""))</f>
        <v/>
      </c>
      <c r="S70" s="194" t="s">
        <v>3088</v>
      </c>
      <c r="T70" s="194" t="str">
        <f>IF($Z$67=0,IF($Z$66=0,IF(Tournament!L94&lt;&gt;"",Tournament!L94,""),IF(Tournament!L94&lt;&gt;"",Tournament!L94+Tournament!L95,"")),IF(Tournament!L93&lt;&gt;"",Tournament!L93,""))</f>
        <v/>
      </c>
      <c r="U70" s="193"/>
      <c r="V70" s="193" t="str">
        <f t="shared" si="3"/>
        <v>Group F Runner Up</v>
      </c>
      <c r="W70" s="191" t="str">
        <f>IF(Tournament!J95&lt;&gt;"",Tournament!J95,"")</f>
        <v/>
      </c>
      <c r="X70" s="199" t="s">
        <v>3088</v>
      </c>
      <c r="Y70" s="191" t="str">
        <f>IF(Tournament!L95&lt;&gt;"",Tournament!L95,"")</f>
        <v/>
      </c>
      <c r="Z70" s="191"/>
      <c r="AA70" s="191" t="str">
        <f>IF(Tournament!J96&lt;&gt;"",Tournament!J96,"")</f>
        <v/>
      </c>
      <c r="AB70" s="194" t="s">
        <v>3088</v>
      </c>
      <c r="AC70" s="191" t="str">
        <f>IF(Tournament!L96&lt;&gt;"",Tournament!L96,"")</f>
        <v/>
      </c>
      <c r="AD70" s="195" t="str">
        <f>IF(AND(I70&lt;&gt;"",K70&lt;&gt;"",R70&lt;&gt;"",T70&lt;&gt;""),IF(AND(I70=R70,K70=T70),Setup!$D$20,IF((I70-K70)=(R70-T70),Setup!$D$21,IF(AND((I70&gt;K70),(R70&gt;T70)),Setup!$D$22,IF(AND((K70&gt;I70),(T70&gt;R70)),Setup!$D$22,0)))),"")</f>
        <v/>
      </c>
      <c r="AE70" s="183"/>
      <c r="CM70" s="168"/>
      <c r="CN70" s="168"/>
      <c r="CO70" s="187"/>
      <c r="CP70" s="168"/>
    </row>
    <row r="71" spans="2:94" s="166" customFormat="1" ht="15" customHeight="1">
      <c r="B71" s="182"/>
      <c r="C71" s="181">
        <v>54</v>
      </c>
      <c r="D71" s="181" t="str">
        <f t="shared" si="4"/>
        <v>R16</v>
      </c>
      <c r="E71" s="188">
        <f>Tournament!F99</f>
        <v>41820.708333333336</v>
      </c>
      <c r="F71" s="189">
        <f>Tournament!G99</f>
        <v>41820.708333333336</v>
      </c>
      <c r="G71" s="190" t="str">
        <f>Tournament!H99</f>
        <v>Group G Winner</v>
      </c>
      <c r="H71" s="180"/>
      <c r="I71" s="9"/>
      <c r="J71" s="191" t="s">
        <v>3088</v>
      </c>
      <c r="K71" s="9"/>
      <c r="L71" s="180"/>
      <c r="M71" s="198" t="str">
        <f>Tournament!N99</f>
        <v>Group H Runner Up</v>
      </c>
      <c r="N71" s="183"/>
      <c r="P71" s="192" t="str">
        <f t="shared" si="2"/>
        <v>Group G Winner</v>
      </c>
      <c r="Q71" s="193"/>
      <c r="R71" s="194" t="str">
        <f>IF($Z$67=0,IF($Z$66=0,IF(Tournament!J100&lt;&gt;"",Tournament!J100,""),IF(Tournament!J100&lt;&gt;"",Tournament!J100+Tournament!J101,"")),IF(Tournament!J99&lt;&gt;"",Tournament!J99,""))</f>
        <v/>
      </c>
      <c r="S71" s="194" t="s">
        <v>3088</v>
      </c>
      <c r="T71" s="194" t="str">
        <f>IF($Z$67=0,IF($Z$66=0,IF(Tournament!L100&lt;&gt;"",Tournament!L100,""),IF(Tournament!L100&lt;&gt;"",Tournament!L100+Tournament!L101,"")),IF(Tournament!L99&lt;&gt;"",Tournament!L99,""))</f>
        <v/>
      </c>
      <c r="U71" s="193"/>
      <c r="V71" s="193" t="str">
        <f t="shared" si="3"/>
        <v>Group H Runner Up</v>
      </c>
      <c r="W71" s="191" t="str">
        <f>IF(Tournament!J101&lt;&gt;"",Tournament!J101,"")</f>
        <v/>
      </c>
      <c r="X71" s="199" t="s">
        <v>3088</v>
      </c>
      <c r="Y71" s="191" t="str">
        <f>IF(Tournament!L101&lt;&gt;"",Tournament!L101,"")</f>
        <v/>
      </c>
      <c r="Z71" s="191"/>
      <c r="AA71" s="191" t="str">
        <f>IF(Tournament!J102&lt;&gt;"",Tournament!J102,"")</f>
        <v/>
      </c>
      <c r="AB71" s="194" t="s">
        <v>3088</v>
      </c>
      <c r="AC71" s="191" t="str">
        <f>IF(Tournament!L102&lt;&gt;"",Tournament!L102,"")</f>
        <v/>
      </c>
      <c r="AD71" s="195" t="str">
        <f>IF(AND(I71&lt;&gt;"",K71&lt;&gt;"",R71&lt;&gt;"",T71&lt;&gt;""),IF(AND(I71=R71,K71=T71),Setup!$D$20,IF((I71-K71)=(R71-T71),Setup!$D$21,IF(AND((I71&gt;K71),(R71&gt;T71)),Setup!$D$22,IF(AND((K71&gt;I71),(T71&gt;R71)),Setup!$D$22,0)))),"")</f>
        <v/>
      </c>
      <c r="AE71" s="183"/>
      <c r="CM71" s="168"/>
      <c r="CN71" s="168"/>
      <c r="CO71" s="187"/>
      <c r="CP71" s="168"/>
    </row>
    <row r="72" spans="2:94" s="166" customFormat="1" ht="15" customHeight="1">
      <c r="B72" s="182"/>
      <c r="C72" s="181">
        <v>55</v>
      </c>
      <c r="D72" s="181" t="str">
        <f t="shared" si="4"/>
        <v>R16</v>
      </c>
      <c r="E72" s="188">
        <f>Tournament!F105</f>
        <v>41821.541666666664</v>
      </c>
      <c r="F72" s="189">
        <f>Tournament!G105</f>
        <v>41821.541666666664</v>
      </c>
      <c r="G72" s="190" t="str">
        <f>Tournament!H105</f>
        <v>Group F Winner</v>
      </c>
      <c r="H72" s="180"/>
      <c r="I72" s="9"/>
      <c r="J72" s="191" t="s">
        <v>3088</v>
      </c>
      <c r="K72" s="9"/>
      <c r="L72" s="180"/>
      <c r="M72" s="198" t="str">
        <f>Tournament!N105</f>
        <v>Group E Runner Up</v>
      </c>
      <c r="N72" s="183"/>
      <c r="P72" s="192" t="str">
        <f t="shared" si="2"/>
        <v>Group F Winner</v>
      </c>
      <c r="Q72" s="193"/>
      <c r="R72" s="194" t="str">
        <f>IF($Z$67=0,IF($Z$66=0,IF(Tournament!J106&lt;&gt;"",Tournament!J106,""),IF(Tournament!J106&lt;&gt;"",Tournament!J106+Tournament!J107,"")),IF(Tournament!J105&lt;&gt;"",Tournament!J105,""))</f>
        <v/>
      </c>
      <c r="S72" s="194" t="s">
        <v>3088</v>
      </c>
      <c r="T72" s="194" t="str">
        <f>IF($Z$67=0,IF($Z$66=0,IF(Tournament!L106&lt;&gt;"",Tournament!L106,""),IF(Tournament!L106&lt;&gt;"",Tournament!L106+Tournament!L107,"")),IF(Tournament!L105&lt;&gt;"",Tournament!L105,""))</f>
        <v/>
      </c>
      <c r="U72" s="193"/>
      <c r="V72" s="193" t="str">
        <f t="shared" si="3"/>
        <v>Group E Runner Up</v>
      </c>
      <c r="W72" s="191" t="str">
        <f>IF(Tournament!J107&lt;&gt;"",Tournament!J107,"")</f>
        <v/>
      </c>
      <c r="X72" s="199" t="s">
        <v>3088</v>
      </c>
      <c r="Y72" s="191" t="str">
        <f>IF(Tournament!L107&lt;&gt;"",Tournament!L107,"")</f>
        <v/>
      </c>
      <c r="Z72" s="191"/>
      <c r="AA72" s="191" t="str">
        <f>IF(Tournament!J108&lt;&gt;"",Tournament!J108,"")</f>
        <v/>
      </c>
      <c r="AB72" s="194" t="s">
        <v>3088</v>
      </c>
      <c r="AC72" s="191" t="str">
        <f>IF(Tournament!L108&lt;&gt;"",Tournament!L108,"")</f>
        <v/>
      </c>
      <c r="AD72" s="195" t="str">
        <f>IF(AND(I72&lt;&gt;"",K72&lt;&gt;"",R72&lt;&gt;"",T72&lt;&gt;""),IF(AND(I72=R72,K72=T72),Setup!$D$20,IF((I72-K72)=(R72-T72),Setup!$D$21,IF(AND((I72&gt;K72),(R72&gt;T72)),Setup!$D$22,IF(AND((K72&gt;I72),(T72&gt;R72)),Setup!$D$22,0)))),"")</f>
        <v/>
      </c>
      <c r="AE72" s="183"/>
      <c r="CM72" s="168"/>
      <c r="CN72" s="168"/>
      <c r="CO72" s="187"/>
      <c r="CP72" s="168"/>
    </row>
    <row r="73" spans="2:94" s="166" customFormat="1" ht="15" customHeight="1">
      <c r="B73" s="182"/>
      <c r="C73" s="181">
        <v>56</v>
      </c>
      <c r="D73" s="181" t="str">
        <f t="shared" si="4"/>
        <v>R16</v>
      </c>
      <c r="E73" s="188">
        <f>Tournament!F111</f>
        <v>41821.708333333336</v>
      </c>
      <c r="F73" s="189">
        <f>Tournament!G111</f>
        <v>41821.708333333336</v>
      </c>
      <c r="G73" s="190" t="str">
        <f>Tournament!H111</f>
        <v>Group H Winner</v>
      </c>
      <c r="H73" s="180"/>
      <c r="I73" s="9"/>
      <c r="J73" s="191" t="s">
        <v>3088</v>
      </c>
      <c r="K73" s="9"/>
      <c r="L73" s="180"/>
      <c r="M73" s="198" t="str">
        <f>Tournament!N111</f>
        <v>Group G Runner Up</v>
      </c>
      <c r="N73" s="183"/>
      <c r="P73" s="192" t="str">
        <f t="shared" si="2"/>
        <v>Group H Winner</v>
      </c>
      <c r="Q73" s="193"/>
      <c r="R73" s="194" t="str">
        <f>IF($Z$67=0,IF($Z$66=0,IF(Tournament!J112&lt;&gt;"",Tournament!J112,""),IF(Tournament!J112&lt;&gt;"",Tournament!J112+Tournament!J113,"")),IF(Tournament!J111&lt;&gt;"",Tournament!J111,""))</f>
        <v/>
      </c>
      <c r="S73" s="194" t="s">
        <v>3088</v>
      </c>
      <c r="T73" s="194" t="str">
        <f>IF($Z$67=0,IF($Z$66=0,IF(Tournament!L112&lt;&gt;"",Tournament!L112,""),IF(Tournament!L112&lt;&gt;"",Tournament!L112+Tournament!L113,"")),IF(Tournament!L111&lt;&gt;"",Tournament!L111,""))</f>
        <v/>
      </c>
      <c r="U73" s="193"/>
      <c r="V73" s="193" t="str">
        <f t="shared" si="3"/>
        <v>Group G Runner Up</v>
      </c>
      <c r="W73" s="191" t="str">
        <f>IF(Tournament!J113&lt;&gt;"",Tournament!J113,"")</f>
        <v/>
      </c>
      <c r="X73" s="199" t="s">
        <v>3088</v>
      </c>
      <c r="Y73" s="191" t="str">
        <f>IF(Tournament!L113&lt;&gt;"",Tournament!L113,"")</f>
        <v/>
      </c>
      <c r="Z73" s="191"/>
      <c r="AA73" s="191" t="str">
        <f>IF(Tournament!J114&lt;&gt;"",Tournament!J114,"")</f>
        <v/>
      </c>
      <c r="AB73" s="194" t="s">
        <v>3088</v>
      </c>
      <c r="AC73" s="191" t="str">
        <f>IF(Tournament!L114&lt;&gt;"",Tournament!L114,"")</f>
        <v/>
      </c>
      <c r="AD73" s="195" t="str">
        <f>IF(AND(I73&lt;&gt;"",K73&lt;&gt;"",R73&lt;&gt;"",T73&lt;&gt;""),IF(AND(I73=R73,K73=T73),Setup!$D$20,IF((I73-K73)=(R73-T73),Setup!$D$21,IF(AND((I73&gt;K73),(R73&gt;T73)),Setup!$D$22,IF(AND((K73&gt;I73),(T73&gt;R73)),Setup!$D$22,0)))),"")</f>
        <v/>
      </c>
      <c r="AE73" s="183"/>
      <c r="CM73" s="168"/>
      <c r="CN73" s="168"/>
      <c r="CO73" s="187"/>
      <c r="CP73" s="168"/>
    </row>
    <row r="74" spans="2:94" s="166" customFormat="1" ht="15" customHeight="1">
      <c r="B74" s="182"/>
      <c r="C74" s="181">
        <v>58</v>
      </c>
      <c r="D74" s="181" t="s">
        <v>3549</v>
      </c>
      <c r="E74" s="188">
        <f>Tournament!T69</f>
        <v>41824.541666666664</v>
      </c>
      <c r="F74" s="189">
        <f>Tournament!U69</f>
        <v>41824.541666666664</v>
      </c>
      <c r="G74" s="190" t="str">
        <f>Tournament!Y69</f>
        <v>Match 53 Winner</v>
      </c>
      <c r="H74" s="180"/>
      <c r="I74" s="9"/>
      <c r="J74" s="191" t="s">
        <v>3088</v>
      </c>
      <c r="K74" s="9"/>
      <c r="L74" s="180"/>
      <c r="M74" s="198" t="str">
        <f>Tournament!AE69</f>
        <v>Match 54 Winner</v>
      </c>
      <c r="N74" s="183"/>
      <c r="P74" s="192" t="str">
        <f t="shared" si="2"/>
        <v>Match 53 Winner</v>
      </c>
      <c r="Q74" s="193"/>
      <c r="R74" s="194" t="str">
        <f>IF($Z$67=0,IF($Z$66=0,IF(Tournament!AA70&lt;&gt;"",Tournament!AA70,""),IF(Tournament!AA70&lt;&gt;"",Tournament!AA70+Tournament!AA71,"")),IF(Tournament!AA69&lt;&gt;"",Tournament!AA69,""))</f>
        <v/>
      </c>
      <c r="S74" s="194" t="s">
        <v>3088</v>
      </c>
      <c r="T74" s="194" t="str">
        <f>IF($Z$67=0,IF($Z$66=0,IF(Tournament!AC70&lt;&gt;"",Tournament!AC70,""),IF(Tournament!AC70&lt;&gt;"",Tournament!AC70+Tournament!AC71,"")),IF(Tournament!AC69&lt;&gt;"",Tournament!AC69,""))</f>
        <v/>
      </c>
      <c r="U74" s="193"/>
      <c r="V74" s="193" t="str">
        <f t="shared" si="3"/>
        <v>Match 54 Winner</v>
      </c>
      <c r="W74" s="191" t="str">
        <f>IF(Tournament!AA71&lt;&gt;"",Tournament!AA71,"")</f>
        <v/>
      </c>
      <c r="X74" s="199" t="s">
        <v>3088</v>
      </c>
      <c r="Y74" s="191" t="str">
        <f>IF(Tournament!AC71&lt;&gt;"",Tournament!AC71,"")</f>
        <v/>
      </c>
      <c r="Z74" s="191"/>
      <c r="AA74" s="191" t="str">
        <f>IF(Tournament!AA72&lt;&gt;"",Tournament!AA72,"")</f>
        <v/>
      </c>
      <c r="AB74" s="194" t="s">
        <v>3088</v>
      </c>
      <c r="AC74" s="191" t="str">
        <f>IF(Tournament!AC72&lt;&gt;"",Tournament!AC72,"")</f>
        <v/>
      </c>
      <c r="AD74" s="195" t="str">
        <f>IF(AND(I74&lt;&gt;"",K74&lt;&gt;"",R74&lt;&gt;"",T74&lt;&gt;""),IF(AND(I74=R74,K74=T74),Setup!$E$20,IF((I74-K74)=(R74-T74),Setup!$E$21,IF(AND((I74&gt;K74),(R74&gt;T74)),Setup!$E$22,IF(AND((K74&gt;I74),(T74&gt;R74)),Setup!$E$22,0)))),"")</f>
        <v/>
      </c>
      <c r="AE74" s="183"/>
      <c r="CM74" s="168"/>
      <c r="CN74" s="168"/>
      <c r="CO74" s="187"/>
      <c r="CP74" s="168"/>
    </row>
    <row r="75" spans="2:94" s="166" customFormat="1" ht="15" customHeight="1">
      <c r="B75" s="182"/>
      <c r="C75" s="181">
        <v>57</v>
      </c>
      <c r="D75" s="181" t="str">
        <f>D74</f>
        <v>QF</v>
      </c>
      <c r="E75" s="188">
        <f>Tournament!T74</f>
        <v>41824.708333333336</v>
      </c>
      <c r="F75" s="189">
        <f>Tournament!U74</f>
        <v>41824.708333333336</v>
      </c>
      <c r="G75" s="190" t="str">
        <f>Tournament!Y74</f>
        <v>Match 49 Winner</v>
      </c>
      <c r="H75" s="180"/>
      <c r="I75" s="9"/>
      <c r="J75" s="191" t="s">
        <v>3088</v>
      </c>
      <c r="K75" s="9"/>
      <c r="L75" s="180"/>
      <c r="M75" s="198" t="str">
        <f>Tournament!AE74</f>
        <v>Match 50 Winner</v>
      </c>
      <c r="N75" s="183"/>
      <c r="P75" s="192" t="str">
        <f t="shared" si="2"/>
        <v>Match 49 Winner</v>
      </c>
      <c r="Q75" s="193"/>
      <c r="R75" s="194" t="str">
        <f>IF($Z$67=0,IF($Z$66=0,IF(Tournament!AA75&lt;&gt;"",Tournament!AA75,""),IF(Tournament!AA75&lt;&gt;"",Tournament!AA75+Tournament!AA76,"")),IF(Tournament!AA74&lt;&gt;"",Tournament!AA74,""))</f>
        <v/>
      </c>
      <c r="S75" s="194" t="s">
        <v>3088</v>
      </c>
      <c r="T75" s="194" t="str">
        <f>IF($Z$67=0,IF($Z$66=0,IF(Tournament!AC75&lt;&gt;"",Tournament!AC75,""),IF(Tournament!AC75&lt;&gt;"",Tournament!AC75+Tournament!AC76,"")),IF(Tournament!AC74&lt;&gt;"",Tournament!AC74,""))</f>
        <v/>
      </c>
      <c r="U75" s="193"/>
      <c r="V75" s="193" t="str">
        <f t="shared" si="3"/>
        <v>Match 50 Winner</v>
      </c>
      <c r="W75" s="191" t="str">
        <f>IF(Tournament!AA76&lt;&gt;"",Tournament!AA76,"")</f>
        <v/>
      </c>
      <c r="X75" s="199" t="s">
        <v>3088</v>
      </c>
      <c r="Y75" s="191" t="str">
        <f>IF(Tournament!AC76&lt;&gt;"",Tournament!AC76,"")</f>
        <v/>
      </c>
      <c r="Z75" s="191"/>
      <c r="AA75" s="191" t="str">
        <f>IF(Tournament!AA77&lt;&gt;"",Tournament!AA77,"")</f>
        <v/>
      </c>
      <c r="AB75" s="194" t="s">
        <v>3088</v>
      </c>
      <c r="AC75" s="191" t="str">
        <f>IF(Tournament!AC77&lt;&gt;"",Tournament!AC77,"")</f>
        <v/>
      </c>
      <c r="AD75" s="195" t="str">
        <f>IF(AND(I75&lt;&gt;"",K75&lt;&gt;"",R75&lt;&gt;"",T75&lt;&gt;""),IF(AND(I75=R75,K75=T75),Setup!$E$20,IF((I75-K75)=(R75-T75),Setup!$E$21,IF(AND((I75&gt;K75),(R75&gt;T75)),Setup!$E$22,IF(AND((K75&gt;I75),(T75&gt;R75)),Setup!$E$22,0)))),"")</f>
        <v/>
      </c>
      <c r="AE75" s="183"/>
      <c r="CM75" s="168"/>
      <c r="CN75" s="168"/>
      <c r="CO75" s="187"/>
      <c r="CP75" s="168"/>
    </row>
    <row r="76" spans="2:94" s="166" customFormat="1" ht="15" customHeight="1">
      <c r="B76" s="182"/>
      <c r="C76" s="181">
        <v>59</v>
      </c>
      <c r="D76" s="181" t="str">
        <f>D75</f>
        <v>QF</v>
      </c>
      <c r="E76" s="188">
        <f>Tournament!T79</f>
        <v>41825.708333333336</v>
      </c>
      <c r="F76" s="189">
        <f>Tournament!U79</f>
        <v>41825.708333333336</v>
      </c>
      <c r="G76" s="190" t="str">
        <f>Tournament!Y79</f>
        <v>Match 51 Winner</v>
      </c>
      <c r="H76" s="180"/>
      <c r="I76" s="9"/>
      <c r="J76" s="191" t="s">
        <v>3088</v>
      </c>
      <c r="K76" s="9"/>
      <c r="L76" s="180"/>
      <c r="M76" s="198" t="str">
        <f>Tournament!AE79</f>
        <v>Match 52 Winner</v>
      </c>
      <c r="N76" s="183"/>
      <c r="P76" s="192" t="str">
        <f t="shared" si="2"/>
        <v>Match 51 Winner</v>
      </c>
      <c r="Q76" s="193"/>
      <c r="R76" s="194" t="str">
        <f>IF($Z$67=0,IF($Z$66=0,IF(Tournament!AA80&lt;&gt;"",Tournament!AA80,""),IF(Tournament!AA80&lt;&gt;"",Tournament!AA80+Tournament!AA81,"")),IF(Tournament!AA79&lt;&gt;"",Tournament!AA79,""))</f>
        <v/>
      </c>
      <c r="S76" s="194" t="s">
        <v>3088</v>
      </c>
      <c r="T76" s="194" t="str">
        <f>IF($Z$67=0,IF($Z$66=0,IF(Tournament!AC80&lt;&gt;"",Tournament!AC80,""),IF(Tournament!AC80&lt;&gt;"",Tournament!AC80+Tournament!AC81,"")),IF(Tournament!AC79&lt;&gt;"",Tournament!AC79,""))</f>
        <v/>
      </c>
      <c r="U76" s="193"/>
      <c r="V76" s="193" t="str">
        <f t="shared" si="3"/>
        <v>Match 52 Winner</v>
      </c>
      <c r="W76" s="191" t="str">
        <f>IF(Tournament!AA81&lt;&gt;"",Tournament!AA81,"")</f>
        <v/>
      </c>
      <c r="X76" s="199" t="s">
        <v>3088</v>
      </c>
      <c r="Y76" s="191" t="str">
        <f>IF(Tournament!AC81&lt;&gt;"",Tournament!AC81,"")</f>
        <v/>
      </c>
      <c r="Z76" s="191"/>
      <c r="AA76" s="191" t="str">
        <f>IF(Tournament!AA82&lt;&gt;"",Tournament!AA82,"")</f>
        <v/>
      </c>
      <c r="AB76" s="194" t="s">
        <v>3088</v>
      </c>
      <c r="AC76" s="191" t="str">
        <f>IF(Tournament!AC82&lt;&gt;"",Tournament!AC82,"")</f>
        <v/>
      </c>
      <c r="AD76" s="195" t="str">
        <f>IF(AND(I76&lt;&gt;"",K76&lt;&gt;"",R76&lt;&gt;"",T76&lt;&gt;""),IF(AND(I76=R76,K76=T76),Setup!$E$20,IF((I76-K76)=(R76-T76),Setup!$E$21,IF(AND((I76&gt;K76),(R76&gt;T76)),Setup!$E$22,IF(AND((K76&gt;I76),(T76&gt;R76)),Setup!$E$22,0)))),"")</f>
        <v/>
      </c>
      <c r="AE76" s="183"/>
      <c r="CM76" s="168"/>
      <c r="CN76" s="168"/>
      <c r="CO76" s="187"/>
      <c r="CP76" s="168"/>
    </row>
    <row r="77" spans="2:94" s="166" customFormat="1" ht="15" customHeight="1">
      <c r="B77" s="182"/>
      <c r="C77" s="181">
        <v>60</v>
      </c>
      <c r="D77" s="181" t="str">
        <f>D76</f>
        <v>QF</v>
      </c>
      <c r="E77" s="188">
        <f>Tournament!T84</f>
        <v>41825.541666666664</v>
      </c>
      <c r="F77" s="189">
        <f>Tournament!U84</f>
        <v>41825.541666666664</v>
      </c>
      <c r="G77" s="190" t="str">
        <f>Tournament!Y84</f>
        <v>Match 55 Winner</v>
      </c>
      <c r="H77" s="180"/>
      <c r="I77" s="9"/>
      <c r="J77" s="191" t="s">
        <v>3088</v>
      </c>
      <c r="K77" s="9"/>
      <c r="L77" s="180"/>
      <c r="M77" s="198" t="str">
        <f>Tournament!AE84</f>
        <v>Match 56 Winner</v>
      </c>
      <c r="N77" s="183"/>
      <c r="P77" s="192" t="str">
        <f t="shared" si="2"/>
        <v>Match 55 Winner</v>
      </c>
      <c r="Q77" s="193"/>
      <c r="R77" s="194" t="str">
        <f>IF($Z$67=0,IF($Z$66=0,IF(Tournament!AA85&lt;&gt;"",Tournament!AA85,""),IF(Tournament!AA85&lt;&gt;"",Tournament!AA85+Tournament!AA86,"")),IF(Tournament!AA84&lt;&gt;"",Tournament!AA84,""))</f>
        <v/>
      </c>
      <c r="S77" s="194" t="s">
        <v>3088</v>
      </c>
      <c r="T77" s="194" t="str">
        <f>IF($Z$67=0,IF($Z$66=0,IF(Tournament!AC85&lt;&gt;"",Tournament!AC85,""),IF(Tournament!AC85&lt;&gt;"",Tournament!AC85+Tournament!AC86,"")),IF(Tournament!AC84&lt;&gt;"",Tournament!AC84,""))</f>
        <v/>
      </c>
      <c r="U77" s="193"/>
      <c r="V77" s="193" t="str">
        <f t="shared" si="3"/>
        <v>Match 56 Winner</v>
      </c>
      <c r="W77" s="191" t="str">
        <f>IF(Tournament!AA86&lt;&gt;"",Tournament!AA86,"")</f>
        <v/>
      </c>
      <c r="X77" s="199" t="s">
        <v>3088</v>
      </c>
      <c r="Y77" s="191" t="str">
        <f>IF(Tournament!AC86&lt;&gt;"",Tournament!AC86,"")</f>
        <v/>
      </c>
      <c r="Z77" s="191"/>
      <c r="AA77" s="191" t="str">
        <f>IF(Tournament!AA87&lt;&gt;"",Tournament!AA87,"")</f>
        <v/>
      </c>
      <c r="AB77" s="194" t="s">
        <v>3088</v>
      </c>
      <c r="AC77" s="191" t="str">
        <f>IF(Tournament!AC87&lt;&gt;"",Tournament!AC87,"")</f>
        <v/>
      </c>
      <c r="AD77" s="195" t="str">
        <f>IF(AND(I77&lt;&gt;"",K77&lt;&gt;"",R77&lt;&gt;"",T77&lt;&gt;""),IF(AND(I77=R77,K77=T77),Setup!$E$20,IF((I77-K77)=(R77-T77),Setup!$E$21,IF(AND((I77&gt;K77),(R77&gt;T77)),Setup!$E$22,IF(AND((K77&gt;I77),(T77&gt;R77)),Setup!$E$22,0)))),"")</f>
        <v/>
      </c>
      <c r="AE77" s="183"/>
      <c r="CM77" s="168"/>
      <c r="CN77" s="168"/>
      <c r="CO77" s="187"/>
      <c r="CP77" s="168"/>
    </row>
    <row r="78" spans="2:94" s="166" customFormat="1" ht="15" customHeight="1">
      <c r="B78" s="182"/>
      <c r="C78" s="181">
        <v>61</v>
      </c>
      <c r="D78" s="181" t="s">
        <v>3550</v>
      </c>
      <c r="E78" s="188">
        <f>Tournament!T92</f>
        <v>41828.708333333336</v>
      </c>
      <c r="F78" s="189">
        <f>Tournament!U92</f>
        <v>41828.708333333336</v>
      </c>
      <c r="G78" s="190" t="str">
        <f>Tournament!Y92</f>
        <v>Match 57 Winner</v>
      </c>
      <c r="H78" s="180"/>
      <c r="I78" s="9"/>
      <c r="J78" s="191" t="s">
        <v>3088</v>
      </c>
      <c r="K78" s="9"/>
      <c r="L78" s="180"/>
      <c r="M78" s="198" t="str">
        <f>Tournament!AE92</f>
        <v>Match 58 Winner</v>
      </c>
      <c r="N78" s="183"/>
      <c r="P78" s="192" t="str">
        <f t="shared" si="2"/>
        <v>Match 57 Winner</v>
      </c>
      <c r="Q78" s="193"/>
      <c r="R78" s="194" t="str">
        <f>IF($Z$67=0,IF($Z$66=0,IF(Tournament!AA93&lt;&gt;"",Tournament!AA93,""),IF(Tournament!AA93&lt;&gt;"",Tournament!AA93+Tournament!AA94,"")),IF(Tournament!AA92&lt;&gt;"",Tournament!AA92,""))</f>
        <v/>
      </c>
      <c r="S78" s="194" t="s">
        <v>3088</v>
      </c>
      <c r="T78" s="194" t="str">
        <f>IF($Z$67=0,IF($Z$66=0,IF(Tournament!AC93&lt;&gt;"",Tournament!AC93,""),IF(Tournament!AC93&lt;&gt;"",Tournament!AC93+Tournament!AC94,"")),IF(Tournament!AC92&lt;&gt;"",Tournament!AC92,""))</f>
        <v/>
      </c>
      <c r="U78" s="193"/>
      <c r="V78" s="193" t="str">
        <f t="shared" si="3"/>
        <v>Match 58 Winner</v>
      </c>
      <c r="W78" s="191" t="str">
        <f>IF(Tournament!AA94&lt;&gt;"",Tournament!AA94,"")</f>
        <v/>
      </c>
      <c r="X78" s="199" t="s">
        <v>3088</v>
      </c>
      <c r="Y78" s="191" t="str">
        <f>IF(Tournament!AC94&lt;&gt;"",Tournament!AC94,"")</f>
        <v/>
      </c>
      <c r="Z78" s="191"/>
      <c r="AA78" s="191" t="str">
        <f>IF(Tournament!AA95&lt;&gt;"",Tournament!AA95,"")</f>
        <v/>
      </c>
      <c r="AB78" s="194" t="s">
        <v>3088</v>
      </c>
      <c r="AC78" s="191" t="str">
        <f>IF(Tournament!AC95&lt;&gt;"",Tournament!AC95,"")</f>
        <v/>
      </c>
      <c r="AD78" s="195" t="str">
        <f>IF(AND(I78&lt;&gt;"",K78&lt;&gt;"",R78&lt;&gt;"",T78&lt;&gt;""),IF(AND(I78=R78,K78=T78),Setup!$F$20,IF((I78-K78)=(R78-T78),Setup!$F$21,IF(AND((I78&gt;K78),(R78&gt;T78)),Setup!$F$22,IF(AND((K78&gt;I78),(T78&gt;R78)),Setup!$F$22,0)))),"")</f>
        <v/>
      </c>
      <c r="AE78" s="183"/>
      <c r="CM78" s="168"/>
      <c r="CN78" s="168"/>
      <c r="CO78" s="187"/>
      <c r="CP78" s="168"/>
    </row>
    <row r="79" spans="2:94" s="166" customFormat="1" ht="15" customHeight="1">
      <c r="B79" s="182"/>
      <c r="C79" s="181">
        <v>62</v>
      </c>
      <c r="D79" s="181" t="str">
        <f>D78</f>
        <v>SF</v>
      </c>
      <c r="E79" s="188">
        <f>Tournament!T97</f>
        <v>41829.708333333336</v>
      </c>
      <c r="F79" s="189">
        <f>Tournament!U97</f>
        <v>41829.708333333336</v>
      </c>
      <c r="G79" s="190" t="str">
        <f>Tournament!Y97</f>
        <v>Match 59 Winner</v>
      </c>
      <c r="H79" s="180"/>
      <c r="I79" s="9"/>
      <c r="J79" s="191" t="s">
        <v>3088</v>
      </c>
      <c r="K79" s="9"/>
      <c r="L79" s="180"/>
      <c r="M79" s="198" t="str">
        <f>Tournament!AE97</f>
        <v>Match 60 Winner</v>
      </c>
      <c r="N79" s="183"/>
      <c r="P79" s="192" t="str">
        <f t="shared" si="2"/>
        <v>Match 59 Winner</v>
      </c>
      <c r="Q79" s="193"/>
      <c r="R79" s="194" t="str">
        <f>IF($Z$67=0,IF($Z$66=0,IF(Tournament!AA98&lt;&gt;"",Tournament!AA98,""),IF(Tournament!AA98&lt;&gt;"",Tournament!AA98+Tournament!AA99,"")),IF(Tournament!AA97&lt;&gt;"",Tournament!AA97,""))</f>
        <v/>
      </c>
      <c r="S79" s="194" t="s">
        <v>3088</v>
      </c>
      <c r="T79" s="194" t="str">
        <f>IF($Z$67=0,IF($Z$66=0,IF(Tournament!AC98&lt;&gt;"",Tournament!AC98,""),IF(Tournament!AC98&lt;&gt;"",Tournament!AC98+Tournament!AC99,"")),IF(Tournament!AC97&lt;&gt;"",Tournament!AC97,""))</f>
        <v/>
      </c>
      <c r="U79" s="193"/>
      <c r="V79" s="193" t="str">
        <f t="shared" si="3"/>
        <v>Match 60 Winner</v>
      </c>
      <c r="W79" s="191" t="str">
        <f>IF(Tournament!AA99&lt;&gt;"",Tournament!AA99,"")</f>
        <v/>
      </c>
      <c r="X79" s="199" t="s">
        <v>3088</v>
      </c>
      <c r="Y79" s="191" t="str">
        <f>IF(Tournament!AC99&lt;&gt;"",Tournament!AC99,"")</f>
        <v/>
      </c>
      <c r="Z79" s="191"/>
      <c r="AA79" s="191" t="str">
        <f>IF(Tournament!AA100&lt;&gt;"",Tournament!AA100,"")</f>
        <v/>
      </c>
      <c r="AB79" s="194" t="s">
        <v>3088</v>
      </c>
      <c r="AC79" s="191" t="str">
        <f>IF(Tournament!AC100&lt;&gt;"",Tournament!AC100,"")</f>
        <v/>
      </c>
      <c r="AD79" s="195" t="str">
        <f>IF(AND(I79&lt;&gt;"",K79&lt;&gt;"",R79&lt;&gt;"",T79&lt;&gt;""),IF(AND(I79=R79,K79=T79),Setup!$F$20,IF((I79-K79)=(R79-T79),Setup!$F$21,IF(AND((I79&gt;K79),(R79&gt;T79)),Setup!$F$22,IF(AND((K79&gt;I79),(T79&gt;R79)),Setup!$F$22,0)))),"")</f>
        <v/>
      </c>
      <c r="AE79" s="183"/>
      <c r="CM79" s="168"/>
      <c r="CN79" s="168"/>
      <c r="CO79" s="187"/>
      <c r="CP79" s="168"/>
    </row>
    <row r="80" spans="2:94" s="166" customFormat="1" ht="15" customHeight="1">
      <c r="B80" s="182"/>
      <c r="C80" s="181">
        <v>63</v>
      </c>
      <c r="D80" s="181" t="s">
        <v>3551</v>
      </c>
      <c r="E80" s="188">
        <f>Tournament!T105</f>
        <v>41832.708333333336</v>
      </c>
      <c r="F80" s="189">
        <f>Tournament!U105</f>
        <v>41832.708333333336</v>
      </c>
      <c r="G80" s="190" t="str">
        <f>Tournament!Y105</f>
        <v>Match 61 Loser</v>
      </c>
      <c r="H80" s="180"/>
      <c r="I80" s="9"/>
      <c r="J80" s="191" t="s">
        <v>3088</v>
      </c>
      <c r="K80" s="9"/>
      <c r="L80" s="180"/>
      <c r="M80" s="198" t="str">
        <f>Tournament!AE105</f>
        <v>Match 62 Loser</v>
      </c>
      <c r="N80" s="183"/>
      <c r="P80" s="192" t="str">
        <f t="shared" si="2"/>
        <v>Match 61 Loser</v>
      </c>
      <c r="Q80" s="193"/>
      <c r="R80" s="194" t="str">
        <f>IF($Z$67=0,IF($Z$66=0,IF(Tournament!AA106&lt;&gt;"",Tournament!AA106,""),IF(Tournament!AA106&lt;&gt;"",Tournament!AA106+Tournament!AA107,"")),IF(Tournament!AA105&lt;&gt;"",Tournament!AA105,""))</f>
        <v/>
      </c>
      <c r="S80" s="194" t="s">
        <v>3088</v>
      </c>
      <c r="T80" s="194" t="str">
        <f>IF($Z$67=0,IF($Z$66=0,IF(Tournament!AC106&lt;&gt;"",Tournament!AC106,""),IF(Tournament!AC106&lt;&gt;"",Tournament!AC106+Tournament!AC107,"")),IF(Tournament!AC105&lt;&gt;"",Tournament!AC105,""))</f>
        <v/>
      </c>
      <c r="U80" s="193"/>
      <c r="V80" s="193" t="str">
        <f t="shared" si="3"/>
        <v>Match 62 Loser</v>
      </c>
      <c r="W80" s="191" t="str">
        <f>IF(Tournament!AA107&lt;&gt;"",Tournament!AA107,"")</f>
        <v/>
      </c>
      <c r="X80" s="199" t="s">
        <v>3088</v>
      </c>
      <c r="Y80" s="191" t="str">
        <f>IF(Tournament!AC107&lt;&gt;"",Tournament!AC107,"")</f>
        <v/>
      </c>
      <c r="Z80" s="191"/>
      <c r="AA80" s="191" t="str">
        <f>IF(Tournament!AA108&lt;&gt;"",Tournament!AA108,"")</f>
        <v/>
      </c>
      <c r="AB80" s="194" t="s">
        <v>3088</v>
      </c>
      <c r="AC80" s="191" t="str">
        <f>IF(Tournament!AC108&lt;&gt;"",Tournament!AC108,"")</f>
        <v/>
      </c>
      <c r="AD80" s="195" t="str">
        <f>IF(AND(I80&lt;&gt;"",K80&lt;&gt;"",R80&lt;&gt;"",T80&lt;&gt;""),IF(AND(I80=R80,K80=T80),Setup!$G$20,IF((I80-K80)=(R80-T80),Setup!$G$21,IF(AND((I80&gt;K80),(R80&gt;T80)),Setup!$G$22,IF(AND((K80&gt;I80),(T80&gt;R80)),Setup!$G$22,0)))),"")</f>
        <v/>
      </c>
      <c r="AE80" s="183"/>
      <c r="CM80" s="168"/>
      <c r="CN80" s="168"/>
      <c r="CO80" s="187"/>
      <c r="CP80" s="168"/>
    </row>
    <row r="81" spans="2:94" s="166" customFormat="1" ht="15" customHeight="1">
      <c r="B81" s="182"/>
      <c r="C81" s="181">
        <v>64</v>
      </c>
      <c r="D81" s="181" t="s">
        <v>3105</v>
      </c>
      <c r="E81" s="188">
        <f>Tournament!T113</f>
        <v>41833.666666666664</v>
      </c>
      <c r="F81" s="189">
        <f>Tournament!U113</f>
        <v>41833.666666666664</v>
      </c>
      <c r="G81" s="190" t="str">
        <f>Tournament!Y113</f>
        <v>Match 61 Winner</v>
      </c>
      <c r="H81" s="180"/>
      <c r="I81" s="9"/>
      <c r="J81" s="191" t="s">
        <v>3088</v>
      </c>
      <c r="K81" s="9"/>
      <c r="L81" s="180"/>
      <c r="M81" s="198" t="str">
        <f>Tournament!AE113</f>
        <v>Match 62 Winner</v>
      </c>
      <c r="N81" s="183"/>
      <c r="P81" s="192" t="str">
        <f t="shared" si="2"/>
        <v>Match 61 Winner</v>
      </c>
      <c r="Q81" s="193"/>
      <c r="R81" s="194" t="str">
        <f>IF($Z$67=0,IF($Z$66=0,IF(Tournament!AA114&lt;&gt;"",Tournament!AA114,""),IF(Tournament!AA114&lt;&gt;"",Tournament!AA114+Tournament!AA115,"")),IF(Tournament!AA113&lt;&gt;"",Tournament!AA113,""))</f>
        <v/>
      </c>
      <c r="S81" s="194" t="s">
        <v>3088</v>
      </c>
      <c r="T81" s="194" t="str">
        <f>IF($Z$67=0,IF($Z$66=0,IF(Tournament!AC114&lt;&gt;"",Tournament!AC114,""),IF(Tournament!AC114&lt;&gt;"",Tournament!AC114+Tournament!AC115,"")),IF(Tournament!AC113&lt;&gt;"",Tournament!AC113,""))</f>
        <v/>
      </c>
      <c r="U81" s="193"/>
      <c r="V81" s="193" t="str">
        <f t="shared" si="3"/>
        <v>Match 62 Winner</v>
      </c>
      <c r="W81" s="191" t="str">
        <f>IF(Tournament!AA115&lt;&gt;"",Tournament!AA115,"")</f>
        <v/>
      </c>
      <c r="X81" s="199" t="s">
        <v>3088</v>
      </c>
      <c r="Y81" s="191" t="str">
        <f>IF(Tournament!AC115&lt;&gt;"",Tournament!AC115,"")</f>
        <v/>
      </c>
      <c r="Z81" s="191"/>
      <c r="AA81" s="191" t="str">
        <f>IF(Tournament!AA116&lt;&gt;"",Tournament!AA116,"")</f>
        <v/>
      </c>
      <c r="AB81" s="194" t="s">
        <v>3088</v>
      </c>
      <c r="AC81" s="191" t="str">
        <f>IF(Tournament!AC116&lt;&gt;"",Tournament!AC116,"")</f>
        <v/>
      </c>
      <c r="AD81" s="195" t="str">
        <f>IF(AND(I81&lt;&gt;"",K81&lt;&gt;"",R81&lt;&gt;"",T81&lt;&gt;""),IF(AND(I81=R81,K81=T81),Setup!$H$20,IF((I81-K81)=(R81-T81),Setup!$H$21,IF(AND((I81&gt;K81),(R81&gt;T81)),Setup!$H$22,IF(AND((K81&gt;I81),(T81&gt;R81)),Setup!$H$22,0)))),"")</f>
        <v/>
      </c>
      <c r="AE81" s="183"/>
      <c r="CM81" s="168"/>
      <c r="CN81" s="168"/>
      <c r="CO81" s="187"/>
      <c r="CP81" s="168"/>
    </row>
    <row r="82" spans="2:94" s="166" customFormat="1" ht="15" customHeight="1">
      <c r="B82" s="200"/>
      <c r="C82" s="201"/>
      <c r="D82" s="201"/>
      <c r="E82" s="201"/>
      <c r="F82" s="201"/>
      <c r="G82" s="201"/>
      <c r="H82" s="201"/>
      <c r="I82" s="201"/>
      <c r="J82" s="202"/>
      <c r="K82" s="201"/>
      <c r="L82" s="201"/>
      <c r="M82" s="201"/>
      <c r="N82" s="203"/>
      <c r="P82" s="200"/>
      <c r="Q82" s="201"/>
      <c r="R82" s="201"/>
      <c r="S82" s="202"/>
      <c r="T82" s="201"/>
      <c r="U82" s="201"/>
      <c r="V82" s="201"/>
      <c r="W82" s="201"/>
      <c r="X82" s="202"/>
      <c r="Y82" s="201"/>
      <c r="Z82" s="201"/>
      <c r="AA82" s="201"/>
      <c r="AB82" s="202"/>
      <c r="AC82" s="201"/>
      <c r="AD82" s="202"/>
      <c r="AE82" s="203"/>
      <c r="CM82" s="168"/>
      <c r="CN82" s="168"/>
      <c r="CO82" s="187"/>
      <c r="CP82" s="168"/>
    </row>
    <row r="83" spans="2:94" s="166" customFormat="1" ht="15" customHeight="1">
      <c r="B83" s="166" t="s">
        <v>3905</v>
      </c>
      <c r="N83" s="180"/>
      <c r="AD83" s="167"/>
      <c r="CM83" s="168"/>
      <c r="CN83" s="168"/>
      <c r="CO83" s="187"/>
      <c r="CP83" s="168"/>
    </row>
    <row r="84" spans="2:94" s="166" customFormat="1" ht="15" hidden="1" customHeight="1">
      <c r="N84" s="180"/>
      <c r="AD84" s="167"/>
      <c r="CM84" s="168"/>
      <c r="CN84" s="168"/>
      <c r="CO84" s="187"/>
      <c r="CP84" s="168"/>
    </row>
    <row r="85" spans="2:94" s="166" customFormat="1" ht="15" hidden="1" customHeight="1">
      <c r="N85" s="180"/>
      <c r="AD85" s="167"/>
      <c r="CM85" s="168"/>
      <c r="CN85" s="168"/>
      <c r="CO85" s="187"/>
      <c r="CP85" s="168"/>
    </row>
    <row r="86" spans="2:94" s="166" customFormat="1" ht="15" hidden="1" customHeight="1">
      <c r="N86" s="180"/>
      <c r="AD86" s="167"/>
      <c r="CM86" s="168"/>
      <c r="CN86" s="168"/>
      <c r="CO86" s="187"/>
      <c r="CP86" s="168"/>
    </row>
    <row r="87" spans="2:94" s="166" customFormat="1" ht="15" hidden="1" customHeight="1">
      <c r="N87" s="180"/>
      <c r="AD87" s="167"/>
      <c r="CM87" s="168"/>
      <c r="CN87" s="168"/>
      <c r="CO87" s="187"/>
      <c r="CP87" s="168"/>
    </row>
    <row r="88" spans="2:94" s="166" customFormat="1" ht="15" hidden="1" customHeight="1">
      <c r="N88" s="180"/>
      <c r="AD88" s="167"/>
      <c r="CM88" s="168"/>
      <c r="CN88" s="168"/>
      <c r="CO88" s="187"/>
      <c r="CP88" s="168"/>
    </row>
    <row r="89" spans="2:94" s="166" customFormat="1" ht="15" hidden="1" customHeight="1">
      <c r="N89" s="180"/>
      <c r="AD89" s="167"/>
      <c r="CM89" s="168"/>
      <c r="CN89" s="168"/>
      <c r="CO89" s="187"/>
      <c r="CP89" s="168"/>
    </row>
    <row r="90" spans="2:94" s="166" customFormat="1" ht="15" hidden="1" customHeight="1">
      <c r="N90" s="180"/>
      <c r="AD90" s="167"/>
      <c r="CM90" s="168"/>
      <c r="CN90" s="168"/>
      <c r="CO90" s="187"/>
      <c r="CP90" s="168"/>
    </row>
    <row r="91" spans="2:94" s="166" customFormat="1" ht="15" hidden="1" customHeight="1">
      <c r="N91" s="180"/>
      <c r="AD91" s="167"/>
      <c r="CM91" s="168"/>
      <c r="CN91" s="168"/>
      <c r="CO91" s="187"/>
      <c r="CP91" s="168"/>
    </row>
    <row r="92" spans="2:94" s="166" customFormat="1" ht="15" hidden="1" customHeight="1">
      <c r="N92" s="180"/>
      <c r="AD92" s="167"/>
      <c r="CM92" s="168"/>
      <c r="CN92" s="168"/>
      <c r="CO92" s="187"/>
      <c r="CP92" s="168"/>
    </row>
    <row r="93" spans="2:94" s="166" customFormat="1" ht="15" hidden="1" customHeight="1">
      <c r="N93" s="180"/>
      <c r="AD93" s="167"/>
      <c r="CM93" s="168"/>
      <c r="CN93" s="168"/>
      <c r="CO93" s="187"/>
      <c r="CP93" s="168"/>
    </row>
    <row r="94" spans="2:94" s="166" customFormat="1" ht="15" hidden="1" customHeight="1">
      <c r="N94" s="180"/>
      <c r="AD94" s="167"/>
      <c r="CM94" s="168"/>
      <c r="CN94" s="168"/>
      <c r="CO94" s="187"/>
      <c r="CP94" s="168"/>
    </row>
    <row r="95" spans="2:94" s="166" customFormat="1" ht="15" hidden="1" customHeight="1">
      <c r="N95" s="180"/>
      <c r="AD95" s="167"/>
      <c r="CM95" s="168"/>
      <c r="CN95" s="168"/>
      <c r="CO95" s="187"/>
      <c r="CP95" s="168"/>
    </row>
    <row r="96" spans="2:94" s="166" customFormat="1" ht="15" hidden="1" customHeight="1">
      <c r="N96" s="180"/>
      <c r="AD96" s="167"/>
      <c r="CM96" s="168"/>
      <c r="CN96" s="168"/>
      <c r="CO96" s="187"/>
      <c r="CP96" s="168"/>
    </row>
    <row r="97" spans="14:94" s="166" customFormat="1" ht="15" hidden="1" customHeight="1">
      <c r="N97" s="180"/>
      <c r="AD97" s="167"/>
      <c r="CM97" s="168"/>
      <c r="CN97" s="168"/>
      <c r="CO97" s="187"/>
      <c r="CP97" s="168"/>
    </row>
    <row r="98" spans="14:94" s="166" customFormat="1" ht="15" hidden="1" customHeight="1">
      <c r="N98" s="180"/>
      <c r="AD98" s="167"/>
      <c r="CM98" s="168"/>
      <c r="CN98" s="168"/>
      <c r="CO98" s="187"/>
      <c r="CP98" s="168"/>
    </row>
    <row r="99" spans="14:94" s="166" customFormat="1" ht="15" hidden="1" customHeight="1">
      <c r="N99" s="180"/>
      <c r="AD99" s="167"/>
      <c r="CM99" s="168"/>
      <c r="CN99" s="168"/>
      <c r="CO99" s="187"/>
      <c r="CP99" s="168"/>
    </row>
    <row r="100" spans="14:94" s="166" customFormat="1" ht="15" hidden="1" customHeight="1">
      <c r="N100" s="180"/>
      <c r="AD100" s="167"/>
      <c r="CM100" s="168"/>
      <c r="CN100" s="168"/>
      <c r="CO100" s="187"/>
      <c r="CP100" s="168"/>
    </row>
    <row r="101" spans="14:94" s="166" customFormat="1" ht="15" hidden="1" customHeight="1">
      <c r="N101" s="180"/>
      <c r="AD101" s="167"/>
      <c r="CM101" s="168"/>
      <c r="CN101" s="168"/>
      <c r="CO101" s="187"/>
      <c r="CP101" s="168"/>
    </row>
    <row r="102" spans="14:94" s="166" customFormat="1" ht="15" hidden="1" customHeight="1">
      <c r="N102" s="180"/>
      <c r="AD102" s="167"/>
      <c r="CM102" s="168"/>
      <c r="CN102" s="168"/>
      <c r="CO102" s="187"/>
      <c r="CP102" s="168"/>
    </row>
    <row r="103" spans="14:94" s="166" customFormat="1" ht="15" hidden="1" customHeight="1">
      <c r="N103" s="180"/>
      <c r="AD103" s="167"/>
      <c r="CM103" s="168"/>
      <c r="CN103" s="168"/>
      <c r="CO103" s="187"/>
      <c r="CP103" s="168"/>
    </row>
    <row r="104" spans="14:94" s="166" customFormat="1" ht="15" hidden="1" customHeight="1">
      <c r="N104" s="180"/>
      <c r="AD104" s="167"/>
      <c r="CM104" s="168"/>
      <c r="CN104" s="168"/>
      <c r="CO104" s="187"/>
      <c r="CP104" s="168"/>
    </row>
    <row r="105" spans="14:94" s="166" customFormat="1" ht="15" hidden="1" customHeight="1">
      <c r="N105" s="180"/>
      <c r="AD105" s="167"/>
      <c r="CM105" s="168"/>
      <c r="CN105" s="168"/>
      <c r="CO105" s="187"/>
      <c r="CP105" s="168"/>
    </row>
    <row r="106" spans="14:94" s="166" customFormat="1" ht="15" hidden="1" customHeight="1">
      <c r="N106" s="180"/>
      <c r="AD106" s="167"/>
      <c r="CM106" s="168"/>
      <c r="CN106" s="168"/>
      <c r="CO106" s="187"/>
      <c r="CP106" s="168"/>
    </row>
    <row r="107" spans="14:94" s="166" customFormat="1" ht="15" hidden="1" customHeight="1">
      <c r="N107" s="180"/>
      <c r="AD107" s="167"/>
      <c r="CM107" s="168"/>
      <c r="CN107" s="168"/>
      <c r="CO107" s="187"/>
      <c r="CP107" s="168"/>
    </row>
    <row r="108" spans="14:94" s="166" customFormat="1" ht="15" hidden="1" customHeight="1">
      <c r="N108" s="180"/>
      <c r="AD108" s="167"/>
      <c r="CM108" s="168"/>
      <c r="CN108" s="168"/>
      <c r="CO108" s="187"/>
      <c r="CP108" s="168"/>
    </row>
    <row r="109" spans="14:94" s="166" customFormat="1" ht="15" hidden="1" customHeight="1">
      <c r="N109" s="180"/>
      <c r="AD109" s="167"/>
      <c r="CM109" s="168"/>
      <c r="CN109" s="168"/>
      <c r="CO109" s="187"/>
      <c r="CP109" s="168"/>
    </row>
    <row r="110" spans="14:94" s="166" customFormat="1" ht="15" hidden="1" customHeight="1">
      <c r="N110" s="180"/>
      <c r="AD110" s="167"/>
      <c r="CM110" s="168"/>
      <c r="CN110" s="168"/>
      <c r="CO110" s="187"/>
      <c r="CP110" s="168"/>
    </row>
    <row r="111" spans="14:94" s="166" customFormat="1" ht="15" hidden="1" customHeight="1">
      <c r="N111" s="180"/>
      <c r="AD111" s="167"/>
      <c r="CM111" s="168"/>
      <c r="CN111" s="168"/>
      <c r="CO111" s="187"/>
      <c r="CP111" s="168"/>
    </row>
    <row r="112" spans="14:94" s="166" customFormat="1" ht="15" hidden="1" customHeight="1">
      <c r="N112" s="180"/>
      <c r="AD112" s="167"/>
      <c r="CM112" s="168"/>
      <c r="CN112" s="168"/>
      <c r="CO112" s="187"/>
      <c r="CP112" s="168"/>
    </row>
    <row r="113" spans="2:94" s="166" customFormat="1" ht="15" hidden="1" customHeight="1">
      <c r="N113" s="180"/>
      <c r="AD113" s="167"/>
      <c r="CM113" s="168"/>
      <c r="CN113" s="168"/>
      <c r="CO113" s="187"/>
      <c r="CP113" s="168"/>
    </row>
    <row r="114" spans="2:94" s="166" customFormat="1" ht="15" hidden="1" customHeight="1">
      <c r="N114" s="180"/>
      <c r="AD114" s="167"/>
      <c r="CM114" s="168"/>
      <c r="CN114" s="168"/>
      <c r="CO114" s="187"/>
      <c r="CP114" s="168"/>
    </row>
    <row r="115" spans="2:94" s="166" customFormat="1" ht="15" hidden="1" customHeight="1">
      <c r="N115" s="180"/>
      <c r="AD115" s="167"/>
      <c r="CM115" s="168"/>
      <c r="CN115" s="168"/>
      <c r="CO115" s="187"/>
      <c r="CP115" s="168"/>
    </row>
    <row r="116" spans="2:94" s="166" customFormat="1" ht="15" hidden="1" customHeight="1">
      <c r="N116" s="180"/>
      <c r="AD116" s="167"/>
      <c r="CM116" s="168"/>
      <c r="CN116" s="168"/>
      <c r="CO116" s="187"/>
      <c r="CP116" s="168"/>
    </row>
    <row r="117" spans="2:94" s="166" customFormat="1" ht="15" hidden="1" customHeight="1">
      <c r="N117" s="180"/>
      <c r="AD117" s="167"/>
      <c r="CM117" s="168"/>
      <c r="CN117" s="168"/>
      <c r="CO117" s="187"/>
      <c r="CP117" s="168"/>
    </row>
    <row r="118" spans="2:94" s="166" customFormat="1" ht="15" hidden="1" customHeight="1">
      <c r="N118" s="180"/>
      <c r="AD118" s="167"/>
      <c r="CM118" s="168"/>
      <c r="CN118" s="168"/>
      <c r="CO118" s="187"/>
      <c r="CP118" s="168"/>
    </row>
    <row r="119" spans="2:94" s="166" customFormat="1" ht="15" hidden="1" customHeight="1">
      <c r="N119" s="180"/>
      <c r="AD119" s="167"/>
      <c r="CM119" s="168"/>
      <c r="CN119" s="168"/>
      <c r="CO119" s="187"/>
      <c r="CP119" s="168"/>
    </row>
    <row r="120" spans="2:94" s="166" customFormat="1" ht="15" hidden="1" customHeight="1">
      <c r="N120" s="180"/>
      <c r="AD120" s="167"/>
      <c r="CM120" s="168"/>
      <c r="CN120" s="168"/>
      <c r="CO120" s="187" t="s">
        <v>1404</v>
      </c>
      <c r="CP120" s="168"/>
    </row>
    <row r="121" spans="2:94" s="166" customFormat="1" ht="15" hidden="1" customHeight="1">
      <c r="N121" s="180"/>
      <c r="AD121" s="167"/>
      <c r="CM121" s="168"/>
      <c r="CN121" s="168"/>
      <c r="CO121" s="187" t="s">
        <v>1405</v>
      </c>
      <c r="CP121" s="168"/>
    </row>
    <row r="122" spans="2:94" s="166" customFormat="1" ht="15" hidden="1" customHeight="1">
      <c r="N122" s="180"/>
      <c r="AD122" s="167"/>
      <c r="CM122" s="168"/>
      <c r="CN122" s="168"/>
      <c r="CO122" s="187" t="s">
        <v>1406</v>
      </c>
      <c r="CP122" s="168"/>
    </row>
    <row r="123" spans="2:94" s="166" customFormat="1" ht="15" hidden="1" customHeight="1">
      <c r="N123" s="180"/>
      <c r="AD123" s="167"/>
      <c r="CM123" s="168"/>
      <c r="CN123" s="168"/>
      <c r="CO123" s="187" t="s">
        <v>1407</v>
      </c>
      <c r="CP123" s="168"/>
    </row>
    <row r="124" spans="2:94" s="166" customFormat="1" ht="15" hidden="1" customHeight="1">
      <c r="N124" s="180"/>
      <c r="AD124" s="167"/>
      <c r="CM124" s="168"/>
      <c r="CN124" s="168"/>
      <c r="CO124" s="187" t="s">
        <v>1408</v>
      </c>
      <c r="CP124" s="168"/>
    </row>
    <row r="125" spans="2:94" s="166" customFormat="1" ht="15" hidden="1" customHeight="1">
      <c r="B125" s="180"/>
      <c r="C125" s="180"/>
      <c r="D125" s="180"/>
      <c r="E125" s="180"/>
      <c r="F125" s="180"/>
      <c r="G125" s="180"/>
      <c r="H125" s="180"/>
      <c r="I125" s="180"/>
      <c r="J125" s="181"/>
      <c r="K125" s="180"/>
      <c r="L125" s="180"/>
      <c r="M125" s="180"/>
      <c r="N125" s="180"/>
      <c r="P125" s="180"/>
      <c r="Q125" s="180"/>
      <c r="R125" s="180"/>
      <c r="S125" s="181"/>
      <c r="T125" s="180"/>
      <c r="U125" s="180"/>
      <c r="V125" s="180"/>
      <c r="W125" s="180"/>
      <c r="X125" s="181"/>
      <c r="Y125" s="180"/>
      <c r="Z125" s="180"/>
      <c r="AA125" s="180"/>
      <c r="AB125" s="181"/>
      <c r="AC125" s="180"/>
      <c r="AD125" s="167"/>
      <c r="CM125" s="168"/>
      <c r="CN125" s="168"/>
      <c r="CO125" s="187" t="s">
        <v>1409</v>
      </c>
      <c r="CP125" s="168"/>
    </row>
    <row r="126" spans="2:94" s="166" customFormat="1" ht="15" hidden="1" customHeight="1">
      <c r="B126" s="180"/>
      <c r="C126" s="180"/>
      <c r="D126" s="180"/>
      <c r="E126" s="180"/>
      <c r="F126" s="180"/>
      <c r="G126" s="180"/>
      <c r="H126" s="180"/>
      <c r="I126" s="180"/>
      <c r="J126" s="181"/>
      <c r="K126" s="180"/>
      <c r="L126" s="180"/>
      <c r="M126" s="180"/>
      <c r="N126" s="180"/>
      <c r="P126" s="180"/>
      <c r="Q126" s="180"/>
      <c r="R126" s="180"/>
      <c r="S126" s="181"/>
      <c r="T126" s="180"/>
      <c r="U126" s="180"/>
      <c r="V126" s="180"/>
      <c r="W126" s="180"/>
      <c r="X126" s="181"/>
      <c r="Y126" s="180"/>
      <c r="Z126" s="180"/>
      <c r="AA126" s="180"/>
      <c r="AB126" s="181"/>
      <c r="AC126" s="180"/>
      <c r="AD126" s="167"/>
      <c r="CM126" s="168"/>
      <c r="CN126" s="168"/>
      <c r="CO126" s="187" t="s">
        <v>1410</v>
      </c>
      <c r="CP126" s="168"/>
    </row>
  </sheetData>
  <sheetProtection password="CE4F" sheet="1" objects="1" scenarios="1" formatCells="0" formatColumns="0" formatRows="0" insertColumns="0" insertRows="0" insertHyperlinks="0" sort="0" autoFilter="0" pivotTables="0"/>
  <mergeCells count="23">
    <mergeCell ref="AA13:AC13"/>
    <mergeCell ref="W65:Y65"/>
    <mergeCell ref="D6:F6"/>
    <mergeCell ref="D7:F7"/>
    <mergeCell ref="B6:C7"/>
    <mergeCell ref="AC7:AE7"/>
    <mergeCell ref="P11:AE11"/>
    <mergeCell ref="H5:L5"/>
    <mergeCell ref="AC5:AE5"/>
    <mergeCell ref="B4:C4"/>
    <mergeCell ref="AA65:AC65"/>
    <mergeCell ref="B64:N64"/>
    <mergeCell ref="P64:AE64"/>
    <mergeCell ref="R13:T13"/>
    <mergeCell ref="I13:K13"/>
    <mergeCell ref="D4:M4"/>
    <mergeCell ref="H6:L6"/>
    <mergeCell ref="H7:L7"/>
    <mergeCell ref="R65:T65"/>
    <mergeCell ref="W13:Y13"/>
    <mergeCell ref="B9:N9"/>
    <mergeCell ref="P9:AE9"/>
    <mergeCell ref="B11:N11"/>
  </mergeCells>
  <phoneticPr fontId="2" type="noConversion"/>
  <conditionalFormatting sqref="G15:G62 G66:G81">
    <cfRule type="expression" dxfId="539" priority="31" stopIfTrue="1">
      <formula>I15&gt;K15</formula>
    </cfRule>
    <cfRule type="expression" dxfId="538" priority="32" stopIfTrue="1">
      <formula>I15&lt;K15</formula>
    </cfRule>
  </conditionalFormatting>
  <conditionalFormatting sqref="M15:M62">
    <cfRule type="expression" dxfId="537" priority="33" stopIfTrue="1">
      <formula>K15&gt;I15</formula>
    </cfRule>
    <cfRule type="expression" dxfId="536" priority="34" stopIfTrue="1">
      <formula>K15&lt;I15</formula>
    </cfRule>
  </conditionalFormatting>
  <conditionalFormatting sqref="S15:S62 S66:S81">
    <cfRule type="expression" dxfId="535" priority="37" stopIfTrue="1">
      <formula>AND($R15&lt;&gt;"",$T15&lt;&gt;"")</formula>
    </cfRule>
  </conditionalFormatting>
  <conditionalFormatting sqref="P15:R62 P66:R81 T66:T81">
    <cfRule type="expression" dxfId="534" priority="38" stopIfTrue="1">
      <formula>AND($R15&gt;$T15,$R15&lt;&gt;"",$T15&lt;&gt;"")</formula>
    </cfRule>
    <cfRule type="expression" dxfId="533" priority="39" stopIfTrue="1">
      <formula>AND($R15&lt;$T15,$R15&lt;&gt;"",$T15&lt;&gt;"")</formula>
    </cfRule>
    <cfRule type="expression" dxfId="532" priority="40" stopIfTrue="1">
      <formula>AND($R15&lt;&gt;"",$T15&lt;&gt;"")</formula>
    </cfRule>
  </conditionalFormatting>
  <conditionalFormatting sqref="U66:V81 T15:V62">
    <cfRule type="expression" dxfId="531" priority="41" stopIfTrue="1">
      <formula>AND($T15&gt;$R15,$R15&lt;&gt;"",$T15&lt;&gt;"")</formula>
    </cfRule>
    <cfRule type="expression" dxfId="530" priority="42" stopIfTrue="1">
      <formula>AND($T15&lt;$R15,$R15&lt;&gt;"",$T15&lt;&gt;"")</formula>
    </cfRule>
    <cfRule type="expression" dxfId="529" priority="43" stopIfTrue="1">
      <formula>AND($R15&lt;&gt;"",$T15&lt;&gt;"")</formula>
    </cfRule>
  </conditionalFormatting>
  <conditionalFormatting sqref="O15">
    <cfRule type="expression" dxfId="528" priority="44" stopIfTrue="1">
      <formula>#REF!&gt;#REF!</formula>
    </cfRule>
    <cfRule type="expression" dxfId="527" priority="45" stopIfTrue="1">
      <formula>#REF!&lt;#REF!</formula>
    </cfRule>
  </conditionalFormatting>
  <conditionalFormatting sqref="I15:I62 K15:K62 K66:K81 I66:I81">
    <cfRule type="expression" dxfId="526" priority="46" stopIfTrue="1">
      <formula>ISBLANK(I15)</formula>
    </cfRule>
  </conditionalFormatting>
  <conditionalFormatting sqref="X15:X61">
    <cfRule type="expression" dxfId="525" priority="14" stopIfTrue="1">
      <formula>AND($R15&lt;&gt;"",$T15&lt;&gt;"")</formula>
    </cfRule>
  </conditionalFormatting>
  <conditionalFormatting sqref="W15:W61">
    <cfRule type="expression" dxfId="524" priority="15" stopIfTrue="1">
      <formula>AND($R15&gt;$T15,$R15&lt;&gt;"",$T15&lt;&gt;"")</formula>
    </cfRule>
    <cfRule type="expression" dxfId="523" priority="16" stopIfTrue="1">
      <formula>AND($R15&lt;$T15,$R15&lt;&gt;"",$T15&lt;&gt;"")</formula>
    </cfRule>
    <cfRule type="expression" dxfId="522" priority="17" stopIfTrue="1">
      <formula>AND($R15&lt;&gt;"",$T15&lt;&gt;"")</formula>
    </cfRule>
  </conditionalFormatting>
  <conditionalFormatting sqref="Y15:Z61">
    <cfRule type="expression" dxfId="521" priority="18" stopIfTrue="1">
      <formula>AND($T15&gt;$R15,$R15&lt;&gt;"",$T15&lt;&gt;"")</formula>
    </cfRule>
    <cfRule type="expression" dxfId="520" priority="19" stopIfTrue="1">
      <formula>AND($T15&lt;$R15,$R15&lt;&gt;"",$T15&lt;&gt;"")</formula>
    </cfRule>
    <cfRule type="expression" dxfId="519" priority="20" stopIfTrue="1">
      <formula>AND($R15&lt;&gt;"",$T15&lt;&gt;"")</formula>
    </cfRule>
  </conditionalFormatting>
  <conditionalFormatting sqref="AB15:AB61">
    <cfRule type="expression" dxfId="518" priority="7" stopIfTrue="1">
      <formula>AND($R15&lt;&gt;"",$T15&lt;&gt;"")</formula>
    </cfRule>
  </conditionalFormatting>
  <conditionalFormatting sqref="AA15:AA61">
    <cfRule type="expression" dxfId="517" priority="8" stopIfTrue="1">
      <formula>AND($R15&gt;$T15,$R15&lt;&gt;"",$T15&lt;&gt;"")</formula>
    </cfRule>
    <cfRule type="expression" dxfId="516" priority="9" stopIfTrue="1">
      <formula>AND($R15&lt;$T15,$R15&lt;&gt;"",$T15&lt;&gt;"")</formula>
    </cfRule>
    <cfRule type="expression" dxfId="515" priority="10" stopIfTrue="1">
      <formula>AND($R15&lt;&gt;"",$T15&lt;&gt;"")</formula>
    </cfRule>
  </conditionalFormatting>
  <conditionalFormatting sqref="AC15:AC61">
    <cfRule type="expression" dxfId="514" priority="11" stopIfTrue="1">
      <formula>AND($T15&gt;$R15,$R15&lt;&gt;"",$T15&lt;&gt;"")</formula>
    </cfRule>
    <cfRule type="expression" dxfId="513" priority="12" stopIfTrue="1">
      <formula>AND($T15&lt;$R15,$R15&lt;&gt;"",$T15&lt;&gt;"")</formula>
    </cfRule>
    <cfRule type="expression" dxfId="512" priority="13" stopIfTrue="1">
      <formula>AND($R15&lt;&gt;"",$T15&lt;&gt;"")</formula>
    </cfRule>
  </conditionalFormatting>
  <conditionalFormatting sqref="M66:M81">
    <cfRule type="expression" dxfId="511" priority="79">
      <formula>K66&gt;I66</formula>
    </cfRule>
    <cfRule type="expression" dxfId="510" priority="80">
      <formula>$K66&lt;$I66</formula>
    </cfRule>
  </conditionalFormatting>
  <conditionalFormatting sqref="X66:X81">
    <cfRule type="expression" dxfId="509" priority="6">
      <formula>AND($W66&lt;&gt;"",$Y66&lt;&gt;"")</formula>
    </cfRule>
  </conditionalFormatting>
  <conditionalFormatting sqref="AB66:AB81">
    <cfRule type="expression" dxfId="508" priority="5">
      <formula>AND($AA66&lt;&gt;"",$AC66&lt;&gt;"")</formula>
    </cfRule>
  </conditionalFormatting>
  <conditionalFormatting sqref="AA65:AC65">
    <cfRule type="expression" dxfId="507" priority="4">
      <formula>$Z$67=1</formula>
    </cfRule>
  </conditionalFormatting>
  <conditionalFormatting sqref="W65:Y65">
    <cfRule type="expression" dxfId="506" priority="3">
      <formula>OR($Z$66=1,$Z$67=1)</formula>
    </cfRule>
  </conditionalFormatting>
  <conditionalFormatting sqref="W66:Y81">
    <cfRule type="expression" dxfId="505" priority="2">
      <formula>OR($Z$66=1,$Z$67=1)</formula>
    </cfRule>
  </conditionalFormatting>
  <conditionalFormatting sqref="AA66:AC81">
    <cfRule type="expression" dxfId="504" priority="1">
      <formula>$Z$67=1</formula>
    </cfRule>
  </conditionalFormatting>
  <printOptions horizontalCentered="1" verticalCentered="1"/>
  <pageMargins left="0.39" right="0.32" top="0.28999999999999998" bottom="0.39" header="0.21" footer="0.26"/>
  <pageSetup scale="59" orientation="portrait" horizontalDpi="300" verticalDpi="300" r:id="rId1"/>
  <headerFooter alignWithMargins="0">
    <oddFooter xml:space="preserve">&amp;C
</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S126"/>
  <sheetViews>
    <sheetView showGridLines="0" zoomScaleNormal="100" workbookViewId="0">
      <selection activeCell="P7" sqref="P7"/>
    </sheetView>
  </sheetViews>
  <sheetFormatPr defaultColWidth="0" defaultRowHeight="14.4" customHeight="1" zeroHeight="1"/>
  <cols>
    <col min="1" max="1" width="2.44140625" style="204" customWidth="1"/>
    <col min="2" max="2" width="3.6640625" style="204" customWidth="1"/>
    <col min="3" max="3" width="4.109375" style="204" customWidth="1"/>
    <col min="4" max="4" width="6.33203125" style="204" customWidth="1"/>
    <col min="5" max="5" width="8.21875" style="204" customWidth="1"/>
    <col min="6" max="6" width="6.88671875" style="205" customWidth="1"/>
    <col min="7" max="7" width="20.6640625" style="204" customWidth="1"/>
    <col min="8" max="8" width="1.77734375" style="204" customWidth="1"/>
    <col min="9" max="9" width="3.44140625" style="204" customWidth="1"/>
    <col min="10" max="10" width="1.77734375" style="206" customWidth="1"/>
    <col min="11" max="11" width="3.44140625" style="204" customWidth="1"/>
    <col min="12" max="12" width="1.6640625" style="204" customWidth="1"/>
    <col min="13" max="13" width="20.6640625" style="204" customWidth="1"/>
    <col min="14" max="14" width="2.44140625" style="204" customWidth="1"/>
    <col min="15" max="15" width="1.77734375" style="204" customWidth="1"/>
    <col min="16" max="16" width="20.6640625" style="204" customWidth="1"/>
    <col min="17" max="17" width="1.6640625" style="204" customWidth="1"/>
    <col min="18" max="18" width="3.44140625" style="204" customWidth="1"/>
    <col min="19" max="19" width="1.77734375" style="206" customWidth="1"/>
    <col min="20" max="20" width="3.44140625" style="204" customWidth="1"/>
    <col min="21" max="21" width="1.6640625" style="204" customWidth="1"/>
    <col min="22" max="22" width="17.5546875" style="204" customWidth="1"/>
    <col min="23" max="23" width="3.44140625" style="204" customWidth="1"/>
    <col min="24" max="24" width="1.77734375" style="206" customWidth="1"/>
    <col min="25" max="25" width="3.44140625" style="204" customWidth="1"/>
    <col min="26" max="26" width="1.77734375" style="204" customWidth="1"/>
    <col min="27" max="27" width="3.44140625" style="204" customWidth="1"/>
    <col min="28" max="28" width="1.77734375" style="206" customWidth="1"/>
    <col min="29" max="29" width="3.44140625" style="204" customWidth="1"/>
    <col min="30" max="30" width="5.77734375" style="206" customWidth="1"/>
    <col min="31" max="31" width="9.109375" style="204" customWidth="1"/>
    <col min="32" max="32" width="2.6640625" style="204" customWidth="1"/>
    <col min="33" max="33" width="9.109375" style="204" hidden="1" customWidth="1"/>
    <col min="34" max="90" width="0" style="204" hidden="1" customWidth="1"/>
    <col min="91" max="94" width="0" style="207" hidden="1" customWidth="1"/>
    <col min="95" max="97" width="0" style="204" hidden="1" customWidth="1"/>
    <col min="98" max="16384" width="9.109375" style="204" hidden="1"/>
  </cols>
  <sheetData>
    <row r="1" spans="2:97" s="166" customFormat="1" ht="15" customHeight="1">
      <c r="J1" s="167"/>
      <c r="S1" s="167"/>
      <c r="X1" s="167"/>
      <c r="AB1" s="167"/>
      <c r="AD1" s="167"/>
      <c r="CM1" s="168"/>
      <c r="CN1" s="168"/>
      <c r="CO1" s="168"/>
      <c r="CP1" s="168"/>
    </row>
    <row r="2" spans="2:97" s="166" customFormat="1" ht="15" customHeight="1">
      <c r="J2" s="167"/>
      <c r="S2" s="167"/>
      <c r="X2" s="167"/>
      <c r="AB2" s="167"/>
      <c r="AD2" s="167"/>
      <c r="CM2" s="168"/>
      <c r="CN2" s="168"/>
      <c r="CO2" s="168"/>
      <c r="CP2" s="168"/>
    </row>
    <row r="3" spans="2:97" s="166" customFormat="1" ht="15" customHeight="1">
      <c r="J3" s="167"/>
      <c r="S3" s="167"/>
      <c r="X3" s="167"/>
      <c r="AB3" s="167"/>
      <c r="AD3" s="167"/>
      <c r="CM3" s="168"/>
      <c r="CN3" s="168"/>
      <c r="CO3" s="168"/>
      <c r="CP3" s="168"/>
    </row>
    <row r="4" spans="2:97" s="166" customFormat="1" ht="25.05" customHeight="1">
      <c r="B4" s="297" t="s">
        <v>3871</v>
      </c>
      <c r="C4" s="298"/>
      <c r="D4" s="307" t="str">
        <f ca="1">IF(INDIRECT("'Player Name'!"&amp;"$c"&amp;B8)&lt;&gt;"",INDIRECT("'Player Name'!"&amp;"$c"&amp;B8),"")</f>
        <v>John 2</v>
      </c>
      <c r="E4" s="308"/>
      <c r="F4" s="308"/>
      <c r="G4" s="308"/>
      <c r="H4" s="308"/>
      <c r="I4" s="308"/>
      <c r="J4" s="308"/>
      <c r="K4" s="308"/>
      <c r="L4" s="308"/>
      <c r="M4" s="309"/>
      <c r="S4" s="167"/>
      <c r="X4" s="167"/>
      <c r="AB4" s="167"/>
      <c r="CM4" s="168"/>
      <c r="CN4" s="168"/>
      <c r="CO4" s="168"/>
      <c r="CP4" s="168"/>
    </row>
    <row r="5" spans="2:97" s="173" customFormat="1" ht="15" customHeight="1">
      <c r="B5" s="169"/>
      <c r="C5" s="169"/>
      <c r="D5" s="170"/>
      <c r="E5" s="170"/>
      <c r="F5" s="170"/>
      <c r="G5" s="171" t="s">
        <v>848</v>
      </c>
      <c r="H5" s="294" t="s">
        <v>3872</v>
      </c>
      <c r="I5" s="294"/>
      <c r="J5" s="294"/>
      <c r="K5" s="294"/>
      <c r="L5" s="295"/>
      <c r="M5" s="171" t="s">
        <v>3870</v>
      </c>
      <c r="N5" s="166"/>
      <c r="O5" s="166"/>
      <c r="P5" s="172"/>
      <c r="Q5" s="166"/>
      <c r="R5" s="166"/>
      <c r="S5" s="167"/>
      <c r="T5" s="166"/>
      <c r="U5" s="166"/>
      <c r="V5" s="166"/>
      <c r="W5" s="166"/>
      <c r="X5" s="167"/>
      <c r="Y5" s="166"/>
      <c r="Z5" s="166"/>
      <c r="AA5" s="166"/>
      <c r="AB5" s="167"/>
      <c r="AC5" s="296"/>
      <c r="AD5" s="296"/>
      <c r="AE5" s="296"/>
      <c r="CM5" s="174"/>
      <c r="CN5" s="174"/>
      <c r="CO5" s="174"/>
      <c r="CP5" s="174"/>
    </row>
    <row r="6" spans="2:97" s="166" customFormat="1" ht="15" customHeight="1">
      <c r="B6" s="318">
        <f>B8-5</f>
        <v>2</v>
      </c>
      <c r="C6" s="318"/>
      <c r="D6" s="315" t="s">
        <v>3868</v>
      </c>
      <c r="E6" s="315"/>
      <c r="F6" s="315"/>
      <c r="G6" s="175">
        <f>SUM(AD15:AD62)</f>
        <v>0</v>
      </c>
      <c r="H6" s="310">
        <f>SUM(AD66:AD81)</f>
        <v>0</v>
      </c>
      <c r="I6" s="311"/>
      <c r="J6" s="311"/>
      <c r="K6" s="311"/>
      <c r="L6" s="311"/>
      <c r="M6" s="176">
        <f>H6+G6</f>
        <v>0</v>
      </c>
      <c r="X6" s="167"/>
      <c r="AB6" s="167"/>
      <c r="CM6" s="168"/>
      <c r="CN6" s="168"/>
      <c r="CO6" s="168"/>
      <c r="CP6" s="168"/>
    </row>
    <row r="7" spans="2:97" s="166" customFormat="1" ht="15" customHeight="1">
      <c r="B7" s="318"/>
      <c r="C7" s="319"/>
      <c r="D7" s="316" t="s">
        <v>3869</v>
      </c>
      <c r="E7" s="317"/>
      <c r="F7" s="317"/>
      <c r="G7" s="177"/>
      <c r="H7" s="312"/>
      <c r="I7" s="312"/>
      <c r="J7" s="312"/>
      <c r="K7" s="312"/>
      <c r="L7" s="313"/>
      <c r="M7" s="178">
        <f ca="1">INDEX('Player Leaderboard'!$A$9:$A$23,MATCH($D4,'Player Leaderboard'!$B$9:$B$23,0),0)</f>
        <v>2</v>
      </c>
      <c r="P7" s="172" t="str">
        <f>HYPERLINK("["&amp;Setup!$C$5&amp;"]'Player'!b6","&lt;&lt; Previous Player ("&amp;B8-6&amp;")")</f>
        <v>&lt;&lt; Previous Player (1)</v>
      </c>
      <c r="S7" s="167"/>
      <c r="X7" s="167"/>
      <c r="AB7" s="167"/>
      <c r="AC7" s="320" t="str">
        <f>HYPERLINK("["&amp;Setup!$C$5&amp;"]'Player ("&amp;B8-4&amp;")'!B6","Next Player ("&amp;B8-4&amp;") &gt;&gt;")</f>
        <v>Next Player (3) &gt;&gt;</v>
      </c>
      <c r="AD7" s="320"/>
      <c r="AE7" s="320"/>
      <c r="CM7" s="168"/>
      <c r="CN7" s="168"/>
      <c r="CO7" s="168"/>
      <c r="CP7" s="168"/>
    </row>
    <row r="8" spans="2:97" s="166" customFormat="1" ht="15" customHeight="1">
      <c r="B8" s="208">
        <v>7</v>
      </c>
      <c r="J8" s="167"/>
      <c r="S8" s="167"/>
      <c r="X8" s="167"/>
      <c r="AB8" s="167"/>
      <c r="AD8" s="167"/>
      <c r="CM8" s="168"/>
      <c r="CN8" s="168"/>
      <c r="CO8" s="168"/>
      <c r="CP8" s="168"/>
    </row>
    <row r="9" spans="2:97" s="166" customFormat="1" ht="15" customHeight="1">
      <c r="B9" s="314" t="s">
        <v>491</v>
      </c>
      <c r="C9" s="314"/>
      <c r="D9" s="314"/>
      <c r="E9" s="314"/>
      <c r="F9" s="314"/>
      <c r="G9" s="314"/>
      <c r="H9" s="314"/>
      <c r="I9" s="314"/>
      <c r="J9" s="314"/>
      <c r="K9" s="314"/>
      <c r="L9" s="314"/>
      <c r="M9" s="314"/>
      <c r="N9" s="314"/>
      <c r="P9" s="303" t="s">
        <v>492</v>
      </c>
      <c r="Q9" s="304"/>
      <c r="R9" s="304"/>
      <c r="S9" s="304"/>
      <c r="T9" s="304"/>
      <c r="U9" s="304"/>
      <c r="V9" s="304"/>
      <c r="W9" s="304"/>
      <c r="X9" s="304"/>
      <c r="Y9" s="304"/>
      <c r="Z9" s="304"/>
      <c r="AA9" s="304"/>
      <c r="AB9" s="304"/>
      <c r="AC9" s="304"/>
      <c r="AD9" s="304"/>
      <c r="AE9" s="305"/>
      <c r="CM9" s="168"/>
      <c r="CN9" s="168"/>
      <c r="CO9" s="168"/>
      <c r="CP9" s="168"/>
    </row>
    <row r="10" spans="2:97" s="166" customFormat="1" ht="15" customHeight="1">
      <c r="B10" s="180"/>
      <c r="C10" s="180"/>
      <c r="D10" s="180"/>
      <c r="E10" s="180"/>
      <c r="F10" s="180"/>
      <c r="G10" s="180"/>
      <c r="H10" s="180"/>
      <c r="I10" s="180"/>
      <c r="J10" s="181"/>
      <c r="K10" s="180"/>
      <c r="L10" s="180"/>
      <c r="M10" s="180"/>
      <c r="N10" s="180"/>
      <c r="O10" s="180"/>
      <c r="P10" s="180"/>
      <c r="Q10" s="180"/>
      <c r="R10" s="180"/>
      <c r="S10" s="180"/>
      <c r="T10" s="180"/>
      <c r="U10" s="180"/>
      <c r="V10" s="180"/>
      <c r="W10" s="180"/>
      <c r="X10" s="180"/>
      <c r="Y10" s="180"/>
      <c r="Z10" s="180"/>
      <c r="AA10" s="180"/>
      <c r="AB10" s="180"/>
      <c r="AC10" s="180"/>
      <c r="AD10" s="180"/>
      <c r="AE10" s="180"/>
      <c r="AF10" s="180"/>
      <c r="AG10" s="180"/>
      <c r="CM10" s="168"/>
      <c r="CN10" s="168"/>
      <c r="CO10" s="168"/>
      <c r="CP10" s="168"/>
    </row>
    <row r="11" spans="2:97" s="166" customFormat="1" ht="15" customHeight="1">
      <c r="B11" s="300" t="str">
        <f>Tournament!B10</f>
        <v>Group Stages</v>
      </c>
      <c r="C11" s="301"/>
      <c r="D11" s="301"/>
      <c r="E11" s="301"/>
      <c r="F11" s="301"/>
      <c r="G11" s="301"/>
      <c r="H11" s="301"/>
      <c r="I11" s="301"/>
      <c r="J11" s="301"/>
      <c r="K11" s="301"/>
      <c r="L11" s="301"/>
      <c r="M11" s="301"/>
      <c r="N11" s="302"/>
      <c r="P11" s="303" t="str">
        <f>B11</f>
        <v>Group Stages</v>
      </c>
      <c r="Q11" s="304"/>
      <c r="R11" s="304"/>
      <c r="S11" s="304"/>
      <c r="T11" s="304"/>
      <c r="U11" s="304"/>
      <c r="V11" s="304"/>
      <c r="W11" s="304"/>
      <c r="X11" s="304"/>
      <c r="Y11" s="304"/>
      <c r="Z11" s="304"/>
      <c r="AA11" s="304"/>
      <c r="AB11" s="304"/>
      <c r="AC11" s="304"/>
      <c r="AD11" s="304"/>
      <c r="AE11" s="305"/>
      <c r="CM11" s="168"/>
      <c r="CN11" s="168"/>
      <c r="CO11" s="168"/>
      <c r="CP11" s="168"/>
    </row>
    <row r="12" spans="2:97" s="166" customFormat="1" ht="15" customHeight="1">
      <c r="B12" s="182"/>
      <c r="C12" s="180"/>
      <c r="D12" s="180"/>
      <c r="E12" s="180"/>
      <c r="F12" s="180"/>
      <c r="G12" s="180"/>
      <c r="H12" s="180"/>
      <c r="I12" s="180"/>
      <c r="J12" s="181"/>
      <c r="K12" s="180"/>
      <c r="L12" s="180"/>
      <c r="M12" s="180"/>
      <c r="N12" s="183"/>
      <c r="P12" s="182"/>
      <c r="Q12" s="180"/>
      <c r="R12" s="180"/>
      <c r="S12" s="180"/>
      <c r="T12" s="180"/>
      <c r="U12" s="180"/>
      <c r="V12" s="180"/>
      <c r="W12" s="180"/>
      <c r="X12" s="180"/>
      <c r="Y12" s="180"/>
      <c r="Z12" s="180"/>
      <c r="AA12" s="180"/>
      <c r="AB12" s="180"/>
      <c r="AC12" s="180"/>
      <c r="AD12" s="180"/>
      <c r="AE12" s="183"/>
      <c r="CM12" s="168"/>
      <c r="CN12" s="168"/>
      <c r="CO12" s="168"/>
      <c r="CP12" s="168"/>
    </row>
    <row r="13" spans="2:97" s="166" customFormat="1" ht="15" customHeight="1">
      <c r="B13" s="182"/>
      <c r="C13" s="184" t="str">
        <f>Tournament!D14</f>
        <v>Match #</v>
      </c>
      <c r="D13" s="184" t="str">
        <f>Tournament!E14</f>
        <v>Group</v>
      </c>
      <c r="E13" s="184" t="str">
        <f>Tournament!F14</f>
        <v>Date</v>
      </c>
      <c r="F13" s="184" t="str">
        <f>Tournament!G14</f>
        <v>Time</v>
      </c>
      <c r="G13" s="184" t="str">
        <f>Tournament!H14</f>
        <v>Country</v>
      </c>
      <c r="H13" s="184"/>
      <c r="I13" s="306" t="str">
        <f>Tournament!J14</f>
        <v>Score</v>
      </c>
      <c r="J13" s="306"/>
      <c r="K13" s="306"/>
      <c r="L13" s="184"/>
      <c r="M13" s="184" t="str">
        <f>Tournament!N14</f>
        <v>Country</v>
      </c>
      <c r="N13" s="183"/>
      <c r="P13" s="185" t="str">
        <f>G13</f>
        <v>Country</v>
      </c>
      <c r="Q13" s="184"/>
      <c r="R13" s="306" t="str">
        <f>I13</f>
        <v>Score</v>
      </c>
      <c r="S13" s="306"/>
      <c r="T13" s="306"/>
      <c r="U13" s="184"/>
      <c r="V13" s="184" t="str">
        <f>M13</f>
        <v>Country</v>
      </c>
      <c r="W13" s="306"/>
      <c r="X13" s="306"/>
      <c r="Y13" s="306"/>
      <c r="Z13" s="184"/>
      <c r="AA13" s="306"/>
      <c r="AB13" s="306"/>
      <c r="AC13" s="306"/>
      <c r="AD13" s="184" t="s">
        <v>3277</v>
      </c>
      <c r="AE13" s="183"/>
      <c r="CP13" s="168"/>
      <c r="CQ13" s="186"/>
      <c r="CR13" s="187"/>
      <c r="CS13" s="168"/>
    </row>
    <row r="14" spans="2:97" s="166" customFormat="1" ht="15" customHeight="1">
      <c r="B14" s="182"/>
      <c r="C14" s="180"/>
      <c r="D14" s="180"/>
      <c r="E14" s="180"/>
      <c r="F14" s="180"/>
      <c r="G14" s="180"/>
      <c r="H14" s="180"/>
      <c r="I14" s="180"/>
      <c r="J14" s="180"/>
      <c r="K14" s="180"/>
      <c r="L14" s="180"/>
      <c r="M14" s="180"/>
      <c r="N14" s="183"/>
      <c r="P14" s="182"/>
      <c r="Q14" s="180"/>
      <c r="R14" s="180"/>
      <c r="S14" s="180"/>
      <c r="T14" s="180"/>
      <c r="U14" s="180"/>
      <c r="V14" s="180"/>
      <c r="W14" s="180"/>
      <c r="X14" s="180"/>
      <c r="Y14" s="180"/>
      <c r="Z14" s="180"/>
      <c r="AA14" s="180"/>
      <c r="AB14" s="180"/>
      <c r="AC14" s="180"/>
      <c r="AD14" s="181"/>
      <c r="AE14" s="183"/>
      <c r="CP14" s="168"/>
      <c r="CQ14" s="186"/>
      <c r="CR14" s="187"/>
      <c r="CS14" s="168"/>
    </row>
    <row r="15" spans="2:97" s="166" customFormat="1" ht="15" customHeight="1">
      <c r="B15" s="182"/>
      <c r="C15" s="181">
        <f>Tournament!D16</f>
        <v>1</v>
      </c>
      <c r="D15" s="181" t="str">
        <f>Tournament!E16</f>
        <v>A</v>
      </c>
      <c r="E15" s="188">
        <f>Tournament!F16</f>
        <v>41802.708333333336</v>
      </c>
      <c r="F15" s="189">
        <f>Tournament!G16</f>
        <v>41802.708333333336</v>
      </c>
      <c r="G15" s="190" t="str">
        <f>Tournament!H16</f>
        <v>Brazil</v>
      </c>
      <c r="H15" s="180"/>
      <c r="I15" s="9"/>
      <c r="J15" s="191" t="s">
        <v>3088</v>
      </c>
      <c r="K15" s="9"/>
      <c r="L15" s="180"/>
      <c r="M15" s="180" t="str">
        <f>Tournament!N16</f>
        <v>Croatia</v>
      </c>
      <c r="N15" s="183"/>
      <c r="O15" s="180"/>
      <c r="P15" s="192" t="str">
        <f>G15</f>
        <v>Brazil</v>
      </c>
      <c r="Q15" s="193"/>
      <c r="R15" s="194">
        <f>IF(Tournament!J16&lt;&gt;"",Tournament!J16,"")</f>
        <v>3</v>
      </c>
      <c r="S15" s="194" t="s">
        <v>3088</v>
      </c>
      <c r="T15" s="194">
        <f>IF(Tournament!L16&lt;&gt;"",Tournament!L16,"")</f>
        <v>1</v>
      </c>
      <c r="U15" s="193"/>
      <c r="V15" s="193" t="str">
        <f>M15</f>
        <v>Croatia</v>
      </c>
      <c r="W15" s="194"/>
      <c r="X15" s="194"/>
      <c r="Y15" s="194"/>
      <c r="Z15" s="194"/>
      <c r="AA15" s="194"/>
      <c r="AB15" s="194"/>
      <c r="AC15" s="194"/>
      <c r="AD15" s="195" t="str">
        <f>IF(AND(I15&lt;&gt;"",K15&lt;&gt;"",R15&lt;&gt;"",T15&lt;&gt;""),IF(AND(I15=R15,K15=T15),Setup!$D$10,IF((I15-K15)=(R15-T15),Setup!$D$11,IF(AND((I15&gt;K15),(R15&gt;T15)),Setup!$D$12,IF(AND((K15&gt;I15),(T15&gt;R15)),Setup!$D$12,0)))),"")</f>
        <v/>
      </c>
      <c r="AE15" s="183"/>
      <c r="CP15" s="168"/>
      <c r="CQ15" s="186"/>
      <c r="CR15" s="187"/>
      <c r="CS15" s="168"/>
    </row>
    <row r="16" spans="2:97" s="166" customFormat="1" ht="15" customHeight="1">
      <c r="B16" s="182"/>
      <c r="C16" s="181">
        <f>Tournament!D17</f>
        <v>2</v>
      </c>
      <c r="D16" s="181" t="str">
        <f>Tournament!E17</f>
        <v>A</v>
      </c>
      <c r="E16" s="188">
        <f>Tournament!F17</f>
        <v>41803.541666666664</v>
      </c>
      <c r="F16" s="189">
        <f>Tournament!G17</f>
        <v>41803.541666666664</v>
      </c>
      <c r="G16" s="190" t="str">
        <f>Tournament!H17</f>
        <v>Mexico</v>
      </c>
      <c r="H16" s="180"/>
      <c r="I16" s="9"/>
      <c r="J16" s="191" t="s">
        <v>3088</v>
      </c>
      <c r="K16" s="9"/>
      <c r="L16" s="180"/>
      <c r="M16" s="180" t="str">
        <f>Tournament!N17</f>
        <v>Cameroon</v>
      </c>
      <c r="N16" s="183"/>
      <c r="P16" s="192" t="str">
        <f t="shared" ref="P16:P62" si="0">G16</f>
        <v>Mexico</v>
      </c>
      <c r="Q16" s="193"/>
      <c r="R16" s="194">
        <f>IF(Tournament!J17&lt;&gt;"",Tournament!J17,"")</f>
        <v>1</v>
      </c>
      <c r="S16" s="194" t="s">
        <v>3088</v>
      </c>
      <c r="T16" s="194">
        <f>IF(Tournament!L17&lt;&gt;"",Tournament!L17,"")</f>
        <v>0</v>
      </c>
      <c r="U16" s="193"/>
      <c r="V16" s="193" t="str">
        <f t="shared" ref="V16:V62" si="1">M16</f>
        <v>Cameroon</v>
      </c>
      <c r="W16" s="194"/>
      <c r="X16" s="194"/>
      <c r="Y16" s="194"/>
      <c r="Z16" s="194"/>
      <c r="AA16" s="194"/>
      <c r="AB16" s="194"/>
      <c r="AC16" s="194"/>
      <c r="AD16" s="195" t="str">
        <f>IF(AND(I16&lt;&gt;"",K16&lt;&gt;"",R16&lt;&gt;"",T16&lt;&gt;""),IF(AND(I16=R16,K16=T16),Setup!$D$10,IF((I16-K16)=(R16-T16),Setup!$D$11,IF(AND((I16&gt;K16),(R16&gt;T16)),Setup!$D$12,IF(AND((K16&gt;I16),(T16&gt;R16)),Setup!$D$12,0)))),"")</f>
        <v/>
      </c>
      <c r="AE16" s="183"/>
      <c r="AI16" s="179" t="s">
        <v>3904</v>
      </c>
      <c r="CP16" s="168"/>
      <c r="CQ16" s="186"/>
      <c r="CR16" s="187"/>
      <c r="CS16" s="168"/>
    </row>
    <row r="17" spans="2:97" s="166" customFormat="1" ht="15" customHeight="1">
      <c r="B17" s="182"/>
      <c r="C17" s="181">
        <f>Tournament!D18</f>
        <v>3</v>
      </c>
      <c r="D17" s="181" t="str">
        <f>Tournament!E18</f>
        <v>B</v>
      </c>
      <c r="E17" s="188">
        <f>Tournament!F18</f>
        <v>41803.666666666664</v>
      </c>
      <c r="F17" s="189">
        <f>Tournament!G18</f>
        <v>41803.666666666664</v>
      </c>
      <c r="G17" s="190" t="str">
        <f>Tournament!H18</f>
        <v>Spain</v>
      </c>
      <c r="H17" s="180"/>
      <c r="I17" s="9"/>
      <c r="J17" s="191" t="s">
        <v>3088</v>
      </c>
      <c r="K17" s="9"/>
      <c r="L17" s="180"/>
      <c r="M17" s="180" t="str">
        <f>Tournament!N18</f>
        <v>Netherlands</v>
      </c>
      <c r="N17" s="183"/>
      <c r="P17" s="192" t="str">
        <f t="shared" si="0"/>
        <v>Spain</v>
      </c>
      <c r="Q17" s="193"/>
      <c r="R17" s="194">
        <f>IF(Tournament!J18&lt;&gt;"",Tournament!J18,"")</f>
        <v>1</v>
      </c>
      <c r="S17" s="194" t="s">
        <v>3088</v>
      </c>
      <c r="T17" s="194">
        <f>IF(Tournament!L18&lt;&gt;"",Tournament!L18,"")</f>
        <v>5</v>
      </c>
      <c r="U17" s="193"/>
      <c r="V17" s="193" t="str">
        <f t="shared" si="1"/>
        <v>Netherlands</v>
      </c>
      <c r="W17" s="194"/>
      <c r="X17" s="194"/>
      <c r="Y17" s="194"/>
      <c r="Z17" s="194"/>
      <c r="AA17" s="194"/>
      <c r="AB17" s="194"/>
      <c r="AC17" s="194"/>
      <c r="AD17" s="195" t="str">
        <f>IF(AND(I17&lt;&gt;"",K17&lt;&gt;"",R17&lt;&gt;"",T17&lt;&gt;""),IF(AND(I17=R17,K17=T17),Setup!$D$10,IF((I17-K17)=(R17-T17),Setup!$D$11,IF(AND((I17&gt;K17),(R17&gt;T17)),Setup!$D$12,IF(AND((K17&gt;I17),(T17&gt;R17)),Setup!$D$12,0)))),"")</f>
        <v/>
      </c>
      <c r="AE17" s="183"/>
      <c r="CP17" s="168"/>
      <c r="CQ17" s="186"/>
      <c r="CR17" s="187"/>
      <c r="CS17" s="168"/>
    </row>
    <row r="18" spans="2:97" s="166" customFormat="1" ht="15" customHeight="1">
      <c r="B18" s="182"/>
      <c r="C18" s="181">
        <f>Tournament!D19</f>
        <v>4</v>
      </c>
      <c r="D18" s="181" t="str">
        <f>Tournament!E19</f>
        <v>B</v>
      </c>
      <c r="E18" s="188">
        <f>Tournament!F19</f>
        <v>41803.791666666664</v>
      </c>
      <c r="F18" s="189">
        <f>Tournament!G19</f>
        <v>41803.791666666664</v>
      </c>
      <c r="G18" s="190" t="str">
        <f>Tournament!H19</f>
        <v>Chile</v>
      </c>
      <c r="H18" s="180"/>
      <c r="I18" s="9"/>
      <c r="J18" s="191" t="s">
        <v>3088</v>
      </c>
      <c r="K18" s="9"/>
      <c r="L18" s="180"/>
      <c r="M18" s="180" t="str">
        <f>Tournament!N19</f>
        <v>Australia</v>
      </c>
      <c r="N18" s="183"/>
      <c r="P18" s="192" t="str">
        <f t="shared" si="0"/>
        <v>Chile</v>
      </c>
      <c r="Q18" s="193"/>
      <c r="R18" s="194">
        <f>IF(Tournament!J19&lt;&gt;"",Tournament!J19,"")</f>
        <v>3</v>
      </c>
      <c r="S18" s="194" t="s">
        <v>3088</v>
      </c>
      <c r="T18" s="194">
        <f>IF(Tournament!L19&lt;&gt;"",Tournament!L19,"")</f>
        <v>1</v>
      </c>
      <c r="U18" s="193"/>
      <c r="V18" s="193" t="str">
        <f t="shared" si="1"/>
        <v>Australia</v>
      </c>
      <c r="W18" s="194"/>
      <c r="X18" s="194"/>
      <c r="Y18" s="194"/>
      <c r="Z18" s="194"/>
      <c r="AA18" s="194"/>
      <c r="AB18" s="194"/>
      <c r="AC18" s="194"/>
      <c r="AD18" s="195" t="str">
        <f>IF(AND(I18&lt;&gt;"",K18&lt;&gt;"",R18&lt;&gt;"",T18&lt;&gt;""),IF(AND(I18=R18,K18=T18),Setup!$D$10,IF((I18-K18)=(R18-T18),Setup!$D$11,IF(AND((I18&gt;K18),(R18&gt;T18)),Setup!$D$12,IF(AND((K18&gt;I18),(T18&gt;R18)),Setup!$D$12,0)))),"")</f>
        <v/>
      </c>
      <c r="AE18" s="183"/>
      <c r="CP18" s="168"/>
      <c r="CQ18" s="186"/>
      <c r="CR18" s="187"/>
      <c r="CS18" s="168"/>
    </row>
    <row r="19" spans="2:97" s="166" customFormat="1" ht="15" customHeight="1">
      <c r="B19" s="182"/>
      <c r="C19" s="181">
        <f>Tournament!D20</f>
        <v>5</v>
      </c>
      <c r="D19" s="181" t="str">
        <f>Tournament!E20</f>
        <v>C</v>
      </c>
      <c r="E19" s="188">
        <f>Tournament!F20</f>
        <v>41804.541666666664</v>
      </c>
      <c r="F19" s="189">
        <f>Tournament!G20</f>
        <v>41804.541666666664</v>
      </c>
      <c r="G19" s="190" t="str">
        <f>Tournament!H20</f>
        <v>Colombia</v>
      </c>
      <c r="H19" s="180"/>
      <c r="I19" s="9"/>
      <c r="J19" s="191" t="s">
        <v>3088</v>
      </c>
      <c r="K19" s="9"/>
      <c r="L19" s="180"/>
      <c r="M19" s="180" t="str">
        <f>Tournament!N20</f>
        <v>Greece</v>
      </c>
      <c r="N19" s="183"/>
      <c r="P19" s="192" t="str">
        <f t="shared" si="0"/>
        <v>Colombia</v>
      </c>
      <c r="Q19" s="193"/>
      <c r="R19" s="194" t="str">
        <f>IF(Tournament!J20&lt;&gt;"",Tournament!J20,"")</f>
        <v/>
      </c>
      <c r="S19" s="194" t="s">
        <v>3088</v>
      </c>
      <c r="T19" s="194" t="str">
        <f>IF(Tournament!L20&lt;&gt;"",Tournament!L20,"")</f>
        <v/>
      </c>
      <c r="U19" s="193"/>
      <c r="V19" s="193" t="str">
        <f t="shared" si="1"/>
        <v>Greece</v>
      </c>
      <c r="W19" s="194"/>
      <c r="X19" s="194"/>
      <c r="Y19" s="194"/>
      <c r="Z19" s="194"/>
      <c r="AA19" s="194"/>
      <c r="AB19" s="194"/>
      <c r="AC19" s="194"/>
      <c r="AD19" s="195" t="str">
        <f>IF(AND(I19&lt;&gt;"",K19&lt;&gt;"",R19&lt;&gt;"",T19&lt;&gt;""),IF(AND(I19=R19,K19=T19),Setup!$D$10,IF((I19-K19)=(R19-T19),Setup!$D$11,IF(AND((I19&gt;K19),(R19&gt;T19)),Setup!$D$12,IF(AND((K19&gt;I19),(T19&gt;R19)),Setup!$D$12,0)))),"")</f>
        <v/>
      </c>
      <c r="AE19" s="183"/>
      <c r="CP19" s="168"/>
      <c r="CQ19" s="186"/>
      <c r="CR19" s="187"/>
      <c r="CS19" s="168"/>
    </row>
    <row r="20" spans="2:97" s="166" customFormat="1" ht="15" customHeight="1">
      <c r="B20" s="182"/>
      <c r="C20" s="181">
        <f>Tournament!D21</f>
        <v>6</v>
      </c>
      <c r="D20" s="181" t="str">
        <f>Tournament!E21</f>
        <v>C</v>
      </c>
      <c r="E20" s="188">
        <f>Tournament!F21</f>
        <v>41804.916666666664</v>
      </c>
      <c r="F20" s="189">
        <f>Tournament!G21</f>
        <v>41804.916666666664</v>
      </c>
      <c r="G20" s="190" t="str">
        <f>Tournament!H21</f>
        <v>Ivory Coast</v>
      </c>
      <c r="H20" s="180"/>
      <c r="I20" s="9"/>
      <c r="J20" s="191" t="s">
        <v>3088</v>
      </c>
      <c r="K20" s="9"/>
      <c r="L20" s="180"/>
      <c r="M20" s="180" t="str">
        <f>Tournament!N21</f>
        <v>Japan</v>
      </c>
      <c r="N20" s="183"/>
      <c r="P20" s="192" t="str">
        <f t="shared" si="0"/>
        <v>Ivory Coast</v>
      </c>
      <c r="Q20" s="193"/>
      <c r="R20" s="194" t="str">
        <f>IF(Tournament!J21&lt;&gt;"",Tournament!J21,"")</f>
        <v/>
      </c>
      <c r="S20" s="194" t="s">
        <v>3088</v>
      </c>
      <c r="T20" s="194" t="str">
        <f>IF(Tournament!L21&lt;&gt;"",Tournament!L21,"")</f>
        <v/>
      </c>
      <c r="U20" s="193"/>
      <c r="V20" s="193" t="str">
        <f t="shared" si="1"/>
        <v>Japan</v>
      </c>
      <c r="W20" s="194"/>
      <c r="X20" s="194"/>
      <c r="Y20" s="194"/>
      <c r="Z20" s="194"/>
      <c r="AA20" s="194"/>
      <c r="AB20" s="194"/>
      <c r="AC20" s="194"/>
      <c r="AD20" s="195" t="str">
        <f>IF(AND(I20&lt;&gt;"",K20&lt;&gt;"",R20&lt;&gt;"",T20&lt;&gt;""),IF(AND(I20=R20,K20=T20),Setup!$D$10,IF((I20-K20)=(R20-T20),Setup!$D$11,IF(AND((I20&gt;K20),(R20&gt;T20)),Setup!$D$12,IF(AND((K20&gt;I20),(T20&gt;R20)),Setup!$D$12,0)))),"")</f>
        <v/>
      </c>
      <c r="AE20" s="183"/>
      <c r="CP20" s="168"/>
      <c r="CQ20" s="186"/>
      <c r="CR20" s="187"/>
      <c r="CS20" s="168"/>
    </row>
    <row r="21" spans="2:97" s="166" customFormat="1" ht="15" customHeight="1">
      <c r="B21" s="182"/>
      <c r="C21" s="181">
        <f>Tournament!D22</f>
        <v>7</v>
      </c>
      <c r="D21" s="181" t="str">
        <f>Tournament!E22</f>
        <v>D</v>
      </c>
      <c r="E21" s="188">
        <f>Tournament!F22</f>
        <v>41804.666666666664</v>
      </c>
      <c r="F21" s="189">
        <f>Tournament!G22</f>
        <v>41804.666666666664</v>
      </c>
      <c r="G21" s="190" t="str">
        <f>Tournament!H22</f>
        <v>Uruguay</v>
      </c>
      <c r="H21" s="180"/>
      <c r="I21" s="9"/>
      <c r="J21" s="191" t="s">
        <v>3088</v>
      </c>
      <c r="K21" s="9"/>
      <c r="L21" s="180"/>
      <c r="M21" s="180" t="str">
        <f>Tournament!N22</f>
        <v>Costa Rica</v>
      </c>
      <c r="N21" s="183"/>
      <c r="P21" s="192" t="str">
        <f t="shared" si="0"/>
        <v>Uruguay</v>
      </c>
      <c r="Q21" s="193"/>
      <c r="R21" s="194" t="str">
        <f>IF(Tournament!J22&lt;&gt;"",Tournament!J22,"")</f>
        <v/>
      </c>
      <c r="S21" s="194" t="s">
        <v>3088</v>
      </c>
      <c r="T21" s="194" t="str">
        <f>IF(Tournament!L22&lt;&gt;"",Tournament!L22,"")</f>
        <v/>
      </c>
      <c r="U21" s="193"/>
      <c r="V21" s="193" t="str">
        <f t="shared" si="1"/>
        <v>Costa Rica</v>
      </c>
      <c r="W21" s="194"/>
      <c r="X21" s="194"/>
      <c r="Y21" s="194"/>
      <c r="Z21" s="194"/>
      <c r="AA21" s="194"/>
      <c r="AB21" s="194"/>
      <c r="AC21" s="194"/>
      <c r="AD21" s="195" t="str">
        <f>IF(AND(I21&lt;&gt;"",K21&lt;&gt;"",R21&lt;&gt;"",T21&lt;&gt;""),IF(AND(I21=R21,K21=T21),Setup!$D$10,IF((I21-K21)=(R21-T21),Setup!$D$11,IF(AND((I21&gt;K21),(R21&gt;T21)),Setup!$D$12,IF(AND((K21&gt;I21),(T21&gt;R21)),Setup!$D$12,0)))),"")</f>
        <v/>
      </c>
      <c r="AE21" s="183"/>
      <c r="CP21" s="168"/>
      <c r="CQ21" s="196"/>
      <c r="CR21" s="187"/>
      <c r="CS21" s="168"/>
    </row>
    <row r="22" spans="2:97" s="166" customFormat="1" ht="15" customHeight="1">
      <c r="B22" s="182"/>
      <c r="C22" s="181">
        <f>Tournament!D23</f>
        <v>8</v>
      </c>
      <c r="D22" s="181" t="str">
        <f>Tournament!E23</f>
        <v>D</v>
      </c>
      <c r="E22" s="188">
        <f>Tournament!F23</f>
        <v>41804.791666666664</v>
      </c>
      <c r="F22" s="189">
        <f>Tournament!G23</f>
        <v>41804.791666666664</v>
      </c>
      <c r="G22" s="190" t="str">
        <f>Tournament!H23</f>
        <v>England</v>
      </c>
      <c r="H22" s="180"/>
      <c r="I22" s="9"/>
      <c r="J22" s="191" t="s">
        <v>3088</v>
      </c>
      <c r="K22" s="9"/>
      <c r="L22" s="180"/>
      <c r="M22" s="180" t="str">
        <f>Tournament!N23</f>
        <v>Italy</v>
      </c>
      <c r="N22" s="183"/>
      <c r="P22" s="192" t="str">
        <f t="shared" si="0"/>
        <v>England</v>
      </c>
      <c r="Q22" s="193"/>
      <c r="R22" s="194" t="str">
        <f>IF(Tournament!J23&lt;&gt;"",Tournament!J23,"")</f>
        <v/>
      </c>
      <c r="S22" s="194" t="s">
        <v>3088</v>
      </c>
      <c r="T22" s="194" t="str">
        <f>IF(Tournament!L23&lt;&gt;"",Tournament!L23,"")</f>
        <v/>
      </c>
      <c r="U22" s="193"/>
      <c r="V22" s="193" t="str">
        <f t="shared" si="1"/>
        <v>Italy</v>
      </c>
      <c r="W22" s="194"/>
      <c r="X22" s="194"/>
      <c r="Y22" s="194"/>
      <c r="Z22" s="194"/>
      <c r="AA22" s="194"/>
      <c r="AB22" s="194"/>
      <c r="AC22" s="194"/>
      <c r="AD22" s="195" t="str">
        <f>IF(AND(I22&lt;&gt;"",K22&lt;&gt;"",R22&lt;&gt;"",T22&lt;&gt;""),IF(AND(I22=R22,K22=T22),Setup!$D$10,IF((I22-K22)=(R22-T22),Setup!$D$11,IF(AND((I22&gt;K22),(R22&gt;T22)),Setup!$D$12,IF(AND((K22&gt;I22),(T22&gt;R22)),Setup!$D$12,0)))),"")</f>
        <v/>
      </c>
      <c r="AE22" s="183"/>
      <c r="CP22" s="168"/>
      <c r="CQ22" s="186"/>
      <c r="CR22" s="187"/>
      <c r="CS22" s="168"/>
    </row>
    <row r="23" spans="2:97" s="166" customFormat="1" ht="15" customHeight="1">
      <c r="B23" s="182"/>
      <c r="C23" s="181">
        <f>Tournament!D24</f>
        <v>9</v>
      </c>
      <c r="D23" s="181" t="str">
        <f>Tournament!E24</f>
        <v>E</v>
      </c>
      <c r="E23" s="188">
        <f>Tournament!F24</f>
        <v>41805.541666666664</v>
      </c>
      <c r="F23" s="189">
        <f>Tournament!G24</f>
        <v>41805.541666666664</v>
      </c>
      <c r="G23" s="190" t="str">
        <f>Tournament!H24</f>
        <v>Switzerland</v>
      </c>
      <c r="H23" s="180"/>
      <c r="I23" s="9"/>
      <c r="J23" s="191" t="s">
        <v>3088</v>
      </c>
      <c r="K23" s="9"/>
      <c r="L23" s="180"/>
      <c r="M23" s="180" t="str">
        <f>Tournament!N24</f>
        <v>Ecuador</v>
      </c>
      <c r="N23" s="183"/>
      <c r="P23" s="192" t="str">
        <f t="shared" si="0"/>
        <v>Switzerland</v>
      </c>
      <c r="Q23" s="193"/>
      <c r="R23" s="194" t="str">
        <f>IF(Tournament!J24&lt;&gt;"",Tournament!J24,"")</f>
        <v/>
      </c>
      <c r="S23" s="194" t="s">
        <v>3088</v>
      </c>
      <c r="T23" s="194" t="str">
        <f>IF(Tournament!L24&lt;&gt;"",Tournament!L24,"")</f>
        <v/>
      </c>
      <c r="U23" s="193"/>
      <c r="V23" s="193" t="str">
        <f t="shared" si="1"/>
        <v>Ecuador</v>
      </c>
      <c r="W23" s="194"/>
      <c r="X23" s="194"/>
      <c r="Y23" s="194"/>
      <c r="Z23" s="194"/>
      <c r="AA23" s="194"/>
      <c r="AB23" s="194"/>
      <c r="AC23" s="194"/>
      <c r="AD23" s="195" t="str">
        <f>IF(AND(I23&lt;&gt;"",K23&lt;&gt;"",R23&lt;&gt;"",T23&lt;&gt;""),IF(AND(I23=R23,K23=T23),Setup!$D$10,IF((I23-K23)=(R23-T23),Setup!$D$11,IF(AND((I23&gt;K23),(R23&gt;T23)),Setup!$D$12,IF(AND((K23&gt;I23),(T23&gt;R23)),Setup!$D$12,0)))),"")</f>
        <v/>
      </c>
      <c r="AE23" s="183"/>
      <c r="CP23" s="168"/>
      <c r="CQ23" s="186"/>
      <c r="CR23" s="187"/>
      <c r="CS23" s="168"/>
    </row>
    <row r="24" spans="2:97" s="166" customFormat="1" ht="15" customHeight="1">
      <c r="B24" s="182"/>
      <c r="C24" s="181">
        <f>Tournament!D25</f>
        <v>10</v>
      </c>
      <c r="D24" s="181" t="str">
        <f>Tournament!E25</f>
        <v>E</v>
      </c>
      <c r="E24" s="188">
        <f>Tournament!F25</f>
        <v>41805.666666666664</v>
      </c>
      <c r="F24" s="189">
        <f>Tournament!G25</f>
        <v>41805.666666666664</v>
      </c>
      <c r="G24" s="190" t="str">
        <f>Tournament!H25</f>
        <v>France</v>
      </c>
      <c r="H24" s="180"/>
      <c r="I24" s="9"/>
      <c r="J24" s="191" t="s">
        <v>3088</v>
      </c>
      <c r="K24" s="9"/>
      <c r="L24" s="180"/>
      <c r="M24" s="180" t="str">
        <f>Tournament!N25</f>
        <v>Honduras</v>
      </c>
      <c r="N24" s="183"/>
      <c r="P24" s="192" t="str">
        <f t="shared" si="0"/>
        <v>France</v>
      </c>
      <c r="Q24" s="193"/>
      <c r="R24" s="194" t="str">
        <f>IF(Tournament!J25&lt;&gt;"",Tournament!J25,"")</f>
        <v/>
      </c>
      <c r="S24" s="194" t="s">
        <v>3088</v>
      </c>
      <c r="T24" s="194" t="str">
        <f>IF(Tournament!L25&lt;&gt;"",Tournament!L25,"")</f>
        <v/>
      </c>
      <c r="U24" s="193"/>
      <c r="V24" s="193" t="str">
        <f t="shared" si="1"/>
        <v>Honduras</v>
      </c>
      <c r="W24" s="194"/>
      <c r="X24" s="194"/>
      <c r="Y24" s="194"/>
      <c r="Z24" s="194"/>
      <c r="AA24" s="194"/>
      <c r="AB24" s="194"/>
      <c r="AC24" s="194"/>
      <c r="AD24" s="195" t="str">
        <f>IF(AND(I24&lt;&gt;"",K24&lt;&gt;"",R24&lt;&gt;"",T24&lt;&gt;""),IF(AND(I24=R24,K24=T24),Setup!$D$10,IF((I24-K24)=(R24-T24),Setup!$D$11,IF(AND((I24&gt;K24),(R24&gt;T24)),Setup!$D$12,IF(AND((K24&gt;I24),(T24&gt;R24)),Setup!$D$12,0)))),"")</f>
        <v/>
      </c>
      <c r="AE24" s="183"/>
      <c r="CP24" s="168"/>
      <c r="CQ24" s="186"/>
      <c r="CR24" s="187"/>
      <c r="CS24" s="168"/>
    </row>
    <row r="25" spans="2:97" s="166" customFormat="1" ht="15" customHeight="1">
      <c r="B25" s="182"/>
      <c r="C25" s="181">
        <f>Tournament!D26</f>
        <v>11</v>
      </c>
      <c r="D25" s="181" t="str">
        <f>Tournament!E26</f>
        <v>F</v>
      </c>
      <c r="E25" s="188">
        <f>Tournament!F26</f>
        <v>41805.791666666664</v>
      </c>
      <c r="F25" s="189">
        <f>Tournament!G26</f>
        <v>41805.791666666664</v>
      </c>
      <c r="G25" s="190" t="str">
        <f>Tournament!H26</f>
        <v>Argentina</v>
      </c>
      <c r="H25" s="180"/>
      <c r="I25" s="9"/>
      <c r="J25" s="191" t="s">
        <v>3088</v>
      </c>
      <c r="K25" s="9"/>
      <c r="L25" s="180"/>
      <c r="M25" s="180" t="str">
        <f>Tournament!N26</f>
        <v>Bosnia-Herzegovina</v>
      </c>
      <c r="N25" s="183"/>
      <c r="P25" s="192" t="str">
        <f t="shared" si="0"/>
        <v>Argentina</v>
      </c>
      <c r="Q25" s="193"/>
      <c r="R25" s="194" t="str">
        <f>IF(Tournament!J26&lt;&gt;"",Tournament!J26,"")</f>
        <v/>
      </c>
      <c r="S25" s="194" t="s">
        <v>3088</v>
      </c>
      <c r="T25" s="194" t="str">
        <f>IF(Tournament!L26&lt;&gt;"",Tournament!L26,"")</f>
        <v/>
      </c>
      <c r="U25" s="193"/>
      <c r="V25" s="193" t="str">
        <f t="shared" si="1"/>
        <v>Bosnia-Herzegovina</v>
      </c>
      <c r="W25" s="194"/>
      <c r="X25" s="194"/>
      <c r="Y25" s="194"/>
      <c r="Z25" s="194"/>
      <c r="AA25" s="194"/>
      <c r="AB25" s="194"/>
      <c r="AC25" s="194"/>
      <c r="AD25" s="195" t="str">
        <f>IF(AND(I25&lt;&gt;"",K25&lt;&gt;"",R25&lt;&gt;"",T25&lt;&gt;""),IF(AND(I25=R25,K25=T25),Setup!$D$10,IF((I25-K25)=(R25-T25),Setup!$D$11,IF(AND((I25&gt;K25),(R25&gt;T25)),Setup!$D$12,IF(AND((K25&gt;I25),(T25&gt;R25)),Setup!$D$12,0)))),"")</f>
        <v/>
      </c>
      <c r="AE25" s="183"/>
      <c r="CP25" s="168"/>
      <c r="CQ25" s="186"/>
      <c r="CR25" s="187"/>
      <c r="CS25" s="168"/>
    </row>
    <row r="26" spans="2:97" s="166" customFormat="1" ht="15" customHeight="1">
      <c r="B26" s="182"/>
      <c r="C26" s="181">
        <f>Tournament!D27</f>
        <v>12</v>
      </c>
      <c r="D26" s="181" t="str">
        <f>Tournament!E27</f>
        <v>F</v>
      </c>
      <c r="E26" s="188">
        <f>Tournament!F27</f>
        <v>41806.666666666664</v>
      </c>
      <c r="F26" s="189">
        <f>Tournament!G27</f>
        <v>41806.666666666664</v>
      </c>
      <c r="G26" s="190" t="str">
        <f>Tournament!H27</f>
        <v>Iran</v>
      </c>
      <c r="H26" s="180"/>
      <c r="I26" s="9"/>
      <c r="J26" s="191" t="s">
        <v>3088</v>
      </c>
      <c r="K26" s="9"/>
      <c r="L26" s="180"/>
      <c r="M26" s="180" t="str">
        <f>Tournament!N27</f>
        <v>Nigeria</v>
      </c>
      <c r="N26" s="183"/>
      <c r="P26" s="192" t="str">
        <f t="shared" si="0"/>
        <v>Iran</v>
      </c>
      <c r="Q26" s="193"/>
      <c r="R26" s="194" t="str">
        <f>IF(Tournament!J27&lt;&gt;"",Tournament!J27,"")</f>
        <v/>
      </c>
      <c r="S26" s="194" t="s">
        <v>3088</v>
      </c>
      <c r="T26" s="194" t="str">
        <f>IF(Tournament!L27&lt;&gt;"",Tournament!L27,"")</f>
        <v/>
      </c>
      <c r="U26" s="193"/>
      <c r="V26" s="193" t="str">
        <f t="shared" si="1"/>
        <v>Nigeria</v>
      </c>
      <c r="W26" s="194"/>
      <c r="X26" s="194"/>
      <c r="Y26" s="194"/>
      <c r="Z26" s="194"/>
      <c r="AA26" s="194"/>
      <c r="AB26" s="194"/>
      <c r="AC26" s="194"/>
      <c r="AD26" s="195" t="str">
        <f>IF(AND(I26&lt;&gt;"",K26&lt;&gt;"",R26&lt;&gt;"",T26&lt;&gt;""),IF(AND(I26=R26,K26=T26),Setup!$D$10,IF((I26-K26)=(R26-T26),Setup!$D$11,IF(AND((I26&gt;K26),(R26&gt;T26)),Setup!$D$12,IF(AND((K26&gt;I26),(T26&gt;R26)),Setup!$D$12,0)))),"")</f>
        <v/>
      </c>
      <c r="AE26" s="183"/>
      <c r="CP26" s="168"/>
      <c r="CQ26" s="186"/>
      <c r="CR26" s="187"/>
      <c r="CS26" s="168"/>
    </row>
    <row r="27" spans="2:97" s="166" customFormat="1" ht="15" customHeight="1">
      <c r="B27" s="182"/>
      <c r="C27" s="181">
        <f>Tournament!D28</f>
        <v>13</v>
      </c>
      <c r="D27" s="181" t="str">
        <f>Tournament!E28</f>
        <v>G</v>
      </c>
      <c r="E27" s="188">
        <f>Tournament!F28</f>
        <v>41806.541666666664</v>
      </c>
      <c r="F27" s="189">
        <f>Tournament!G28</f>
        <v>41806.541666666664</v>
      </c>
      <c r="G27" s="190" t="str">
        <f>Tournament!H28</f>
        <v>Germany</v>
      </c>
      <c r="H27" s="180"/>
      <c r="I27" s="9"/>
      <c r="J27" s="191" t="s">
        <v>3088</v>
      </c>
      <c r="K27" s="9"/>
      <c r="L27" s="180"/>
      <c r="M27" s="180" t="str">
        <f>Tournament!N28</f>
        <v>Portugal</v>
      </c>
      <c r="N27" s="183"/>
      <c r="P27" s="192" t="str">
        <f t="shared" si="0"/>
        <v>Germany</v>
      </c>
      <c r="Q27" s="193"/>
      <c r="R27" s="194" t="str">
        <f>IF(Tournament!J28&lt;&gt;"",Tournament!J28,"")</f>
        <v/>
      </c>
      <c r="S27" s="194" t="s">
        <v>3088</v>
      </c>
      <c r="T27" s="194" t="str">
        <f>IF(Tournament!L28&lt;&gt;"",Tournament!L28,"")</f>
        <v/>
      </c>
      <c r="U27" s="193"/>
      <c r="V27" s="193" t="str">
        <f t="shared" si="1"/>
        <v>Portugal</v>
      </c>
      <c r="W27" s="194"/>
      <c r="X27" s="194"/>
      <c r="Y27" s="194"/>
      <c r="Z27" s="194"/>
      <c r="AA27" s="194"/>
      <c r="AB27" s="194"/>
      <c r="AC27" s="194"/>
      <c r="AD27" s="195" t="str">
        <f>IF(AND(I27&lt;&gt;"",K27&lt;&gt;"",R27&lt;&gt;"",T27&lt;&gt;""),IF(AND(I27=R27,K27=T27),Setup!$D$10,IF((I27-K27)=(R27-T27),Setup!$D$11,IF(AND((I27&gt;K27),(R27&gt;T27)),Setup!$D$12,IF(AND((K27&gt;I27),(T27&gt;R27)),Setup!$D$12,0)))),"")</f>
        <v/>
      </c>
      <c r="AE27" s="183"/>
      <c r="CP27" s="168"/>
      <c r="CQ27" s="186"/>
      <c r="CR27" s="187"/>
      <c r="CS27" s="168"/>
    </row>
    <row r="28" spans="2:97" s="166" customFormat="1" ht="15" customHeight="1">
      <c r="B28" s="182"/>
      <c r="C28" s="181">
        <f>Tournament!D29</f>
        <v>14</v>
      </c>
      <c r="D28" s="181" t="str">
        <f>Tournament!E29</f>
        <v>G</v>
      </c>
      <c r="E28" s="188">
        <f>Tournament!F29</f>
        <v>41806.791666666664</v>
      </c>
      <c r="F28" s="189">
        <f>Tournament!G29</f>
        <v>41806.791666666664</v>
      </c>
      <c r="G28" s="190" t="str">
        <f>Tournament!H29</f>
        <v>Ghana</v>
      </c>
      <c r="H28" s="180"/>
      <c r="I28" s="9"/>
      <c r="J28" s="191" t="s">
        <v>3088</v>
      </c>
      <c r="K28" s="9"/>
      <c r="L28" s="180"/>
      <c r="M28" s="180" t="str">
        <f>Tournament!N29</f>
        <v>USA</v>
      </c>
      <c r="N28" s="183"/>
      <c r="P28" s="192" t="str">
        <f t="shared" si="0"/>
        <v>Ghana</v>
      </c>
      <c r="Q28" s="193"/>
      <c r="R28" s="194" t="str">
        <f>IF(Tournament!J29&lt;&gt;"",Tournament!J29,"")</f>
        <v/>
      </c>
      <c r="S28" s="194" t="s">
        <v>3088</v>
      </c>
      <c r="T28" s="194" t="str">
        <f>IF(Tournament!L29&lt;&gt;"",Tournament!L29,"")</f>
        <v/>
      </c>
      <c r="U28" s="193"/>
      <c r="V28" s="193" t="str">
        <f t="shared" si="1"/>
        <v>USA</v>
      </c>
      <c r="W28" s="194"/>
      <c r="X28" s="194"/>
      <c r="Y28" s="194"/>
      <c r="Z28" s="194"/>
      <c r="AA28" s="194"/>
      <c r="AB28" s="194"/>
      <c r="AC28" s="194"/>
      <c r="AD28" s="195" t="str">
        <f>IF(AND(I28&lt;&gt;"",K28&lt;&gt;"",R28&lt;&gt;"",T28&lt;&gt;""),IF(AND(I28=R28,K28=T28),Setup!$D$10,IF((I28-K28)=(R28-T28),Setup!$D$11,IF(AND((I28&gt;K28),(R28&gt;T28)),Setup!$D$12,IF(AND((K28&gt;I28),(T28&gt;R28)),Setup!$D$12,0)))),"")</f>
        <v/>
      </c>
      <c r="AE28" s="183"/>
      <c r="CP28" s="168"/>
      <c r="CQ28" s="186"/>
      <c r="CR28" s="187"/>
      <c r="CS28" s="168"/>
    </row>
    <row r="29" spans="2:97" s="166" customFormat="1" ht="15" customHeight="1">
      <c r="B29" s="182"/>
      <c r="C29" s="181">
        <f>Tournament!D30</f>
        <v>15</v>
      </c>
      <c r="D29" s="181" t="str">
        <f>Tournament!E30</f>
        <v>H</v>
      </c>
      <c r="E29" s="188">
        <f>Tournament!F30</f>
        <v>41807.541666666664</v>
      </c>
      <c r="F29" s="189">
        <f>Tournament!G30</f>
        <v>41807.541666666664</v>
      </c>
      <c r="G29" s="190" t="str">
        <f>Tournament!H30</f>
        <v>Belgium</v>
      </c>
      <c r="H29" s="180"/>
      <c r="I29" s="9"/>
      <c r="J29" s="191" t="s">
        <v>3088</v>
      </c>
      <c r="K29" s="9"/>
      <c r="L29" s="180"/>
      <c r="M29" s="180" t="str">
        <f>Tournament!N30</f>
        <v>Algeria</v>
      </c>
      <c r="N29" s="183"/>
      <c r="P29" s="192" t="str">
        <f t="shared" si="0"/>
        <v>Belgium</v>
      </c>
      <c r="Q29" s="193"/>
      <c r="R29" s="194" t="str">
        <f>IF(Tournament!J30&lt;&gt;"",Tournament!J30,"")</f>
        <v/>
      </c>
      <c r="S29" s="194" t="s">
        <v>3088</v>
      </c>
      <c r="T29" s="194" t="str">
        <f>IF(Tournament!L30&lt;&gt;"",Tournament!L30,"")</f>
        <v/>
      </c>
      <c r="U29" s="193"/>
      <c r="V29" s="193" t="str">
        <f t="shared" si="1"/>
        <v>Algeria</v>
      </c>
      <c r="W29" s="194"/>
      <c r="X29" s="194"/>
      <c r="Y29" s="194"/>
      <c r="Z29" s="194"/>
      <c r="AA29" s="194"/>
      <c r="AB29" s="194"/>
      <c r="AC29" s="194"/>
      <c r="AD29" s="195" t="str">
        <f>IF(AND(I29&lt;&gt;"",K29&lt;&gt;"",R29&lt;&gt;"",T29&lt;&gt;""),IF(AND(I29=R29,K29=T29),Setup!$D$10,IF((I29-K29)=(R29-T29),Setup!$D$11,IF(AND((I29&gt;K29),(R29&gt;T29)),Setup!$D$12,IF(AND((K29&gt;I29),(T29&gt;R29)),Setup!$D$12,0)))),"")</f>
        <v/>
      </c>
      <c r="AE29" s="183"/>
      <c r="CP29" s="168"/>
      <c r="CQ29" s="186"/>
      <c r="CR29" s="187"/>
      <c r="CS29" s="168"/>
    </row>
    <row r="30" spans="2:97" s="166" customFormat="1" ht="15" customHeight="1">
      <c r="B30" s="182"/>
      <c r="C30" s="181">
        <f>Tournament!D31</f>
        <v>16</v>
      </c>
      <c r="D30" s="181" t="str">
        <f>Tournament!E31</f>
        <v>H</v>
      </c>
      <c r="E30" s="188">
        <f>Tournament!F31</f>
        <v>41807.791666666664</v>
      </c>
      <c r="F30" s="189">
        <f>Tournament!G31</f>
        <v>41807.791666666664</v>
      </c>
      <c r="G30" s="190" t="str">
        <f>Tournament!H31</f>
        <v>Russia</v>
      </c>
      <c r="H30" s="180"/>
      <c r="I30" s="9"/>
      <c r="J30" s="191" t="s">
        <v>3088</v>
      </c>
      <c r="K30" s="9"/>
      <c r="L30" s="180"/>
      <c r="M30" s="180" t="str">
        <f>Tournament!N31</f>
        <v>South Korea</v>
      </c>
      <c r="N30" s="183"/>
      <c r="P30" s="192" t="str">
        <f t="shared" si="0"/>
        <v>Russia</v>
      </c>
      <c r="Q30" s="193"/>
      <c r="R30" s="194" t="str">
        <f>IF(Tournament!J31&lt;&gt;"",Tournament!J31,"")</f>
        <v/>
      </c>
      <c r="S30" s="194" t="s">
        <v>3088</v>
      </c>
      <c r="T30" s="194" t="str">
        <f>IF(Tournament!L31&lt;&gt;"",Tournament!L31,"")</f>
        <v/>
      </c>
      <c r="U30" s="193"/>
      <c r="V30" s="193" t="str">
        <f t="shared" si="1"/>
        <v>South Korea</v>
      </c>
      <c r="W30" s="194"/>
      <c r="X30" s="194"/>
      <c r="Y30" s="194"/>
      <c r="Z30" s="194"/>
      <c r="AA30" s="194"/>
      <c r="AB30" s="194"/>
      <c r="AC30" s="194"/>
      <c r="AD30" s="195" t="str">
        <f>IF(AND(I30&lt;&gt;"",K30&lt;&gt;"",R30&lt;&gt;"",T30&lt;&gt;""),IF(AND(I30=R30,K30=T30),Setup!$D$10,IF((I30-K30)=(R30-T30),Setup!$D$11,IF(AND((I30&gt;K30),(R30&gt;T30)),Setup!$D$12,IF(AND((K30&gt;I30),(T30&gt;R30)),Setup!$D$12,0)))),"")</f>
        <v/>
      </c>
      <c r="AE30" s="183"/>
      <c r="CP30" s="168"/>
      <c r="CQ30" s="186"/>
      <c r="CR30" s="187"/>
      <c r="CS30" s="168"/>
    </row>
    <row r="31" spans="2:97" s="166" customFormat="1" ht="15" customHeight="1">
      <c r="B31" s="182"/>
      <c r="C31" s="181">
        <f>Tournament!D32</f>
        <v>17</v>
      </c>
      <c r="D31" s="181" t="str">
        <f>Tournament!E32</f>
        <v>A</v>
      </c>
      <c r="E31" s="188">
        <f>Tournament!F32</f>
        <v>41807.666666666664</v>
      </c>
      <c r="F31" s="189">
        <f>Tournament!G32</f>
        <v>41807.666666666664</v>
      </c>
      <c r="G31" s="190" t="str">
        <f>Tournament!H32</f>
        <v>Brazil</v>
      </c>
      <c r="H31" s="180"/>
      <c r="I31" s="9"/>
      <c r="J31" s="191" t="s">
        <v>3088</v>
      </c>
      <c r="K31" s="9"/>
      <c r="L31" s="180"/>
      <c r="M31" s="180" t="str">
        <f>Tournament!N32</f>
        <v>Mexico</v>
      </c>
      <c r="N31" s="183"/>
      <c r="P31" s="192" t="str">
        <f t="shared" si="0"/>
        <v>Brazil</v>
      </c>
      <c r="Q31" s="193"/>
      <c r="R31" s="194" t="str">
        <f>IF(Tournament!J32&lt;&gt;"",Tournament!J32,"")</f>
        <v/>
      </c>
      <c r="S31" s="194" t="s">
        <v>3088</v>
      </c>
      <c r="T31" s="194" t="str">
        <f>IF(Tournament!L32&lt;&gt;"",Tournament!L32,"")</f>
        <v/>
      </c>
      <c r="U31" s="193"/>
      <c r="V31" s="193" t="str">
        <f t="shared" si="1"/>
        <v>Mexico</v>
      </c>
      <c r="W31" s="194"/>
      <c r="X31" s="194"/>
      <c r="Y31" s="194"/>
      <c r="Z31" s="194"/>
      <c r="AA31" s="194"/>
      <c r="AB31" s="194"/>
      <c r="AC31" s="194"/>
      <c r="AD31" s="195" t="str">
        <f>IF(AND(I31&lt;&gt;"",K31&lt;&gt;"",R31&lt;&gt;"",T31&lt;&gt;""),IF(AND(I31=R31,K31=T31),Setup!$D$10,IF((I31-K31)=(R31-T31),Setup!$D$11,IF(AND((I31&gt;K31),(R31&gt;T31)),Setup!$D$12,IF(AND((K31&gt;I31),(T31&gt;R31)),Setup!$D$12,0)))),"")</f>
        <v/>
      </c>
      <c r="AE31" s="183"/>
      <c r="CP31" s="168"/>
      <c r="CQ31" s="186"/>
      <c r="CR31" s="187"/>
      <c r="CS31" s="168"/>
    </row>
    <row r="32" spans="2:97" s="166" customFormat="1" ht="15" customHeight="1">
      <c r="B32" s="182"/>
      <c r="C32" s="181">
        <f>Tournament!D33</f>
        <v>18</v>
      </c>
      <c r="D32" s="181" t="str">
        <f>Tournament!E33</f>
        <v>A</v>
      </c>
      <c r="E32" s="188">
        <f>Tournament!F33</f>
        <v>41808.791666666664</v>
      </c>
      <c r="F32" s="189">
        <f>Tournament!G33</f>
        <v>41808.791666666664</v>
      </c>
      <c r="G32" s="190" t="str">
        <f>Tournament!H33</f>
        <v>Cameroon</v>
      </c>
      <c r="H32" s="180"/>
      <c r="I32" s="9"/>
      <c r="J32" s="191" t="s">
        <v>3088</v>
      </c>
      <c r="K32" s="9"/>
      <c r="L32" s="180"/>
      <c r="M32" s="180" t="str">
        <f>Tournament!N33</f>
        <v>Croatia</v>
      </c>
      <c r="N32" s="183"/>
      <c r="P32" s="192" t="str">
        <f t="shared" si="0"/>
        <v>Cameroon</v>
      </c>
      <c r="Q32" s="193"/>
      <c r="R32" s="194" t="str">
        <f>IF(Tournament!J33&lt;&gt;"",Tournament!J33,"")</f>
        <v/>
      </c>
      <c r="S32" s="194" t="s">
        <v>3088</v>
      </c>
      <c r="T32" s="194" t="str">
        <f>IF(Tournament!L33&lt;&gt;"",Tournament!L33,"")</f>
        <v/>
      </c>
      <c r="U32" s="193"/>
      <c r="V32" s="193" t="str">
        <f t="shared" si="1"/>
        <v>Croatia</v>
      </c>
      <c r="W32" s="194"/>
      <c r="X32" s="194"/>
      <c r="Y32" s="194"/>
      <c r="Z32" s="194"/>
      <c r="AA32" s="194"/>
      <c r="AB32" s="194"/>
      <c r="AC32" s="194"/>
      <c r="AD32" s="195" t="str">
        <f>IF(AND(I32&lt;&gt;"",K32&lt;&gt;"",R32&lt;&gt;"",T32&lt;&gt;""),IF(AND(I32=R32,K32=T32),Setup!$D$10,IF((I32-K32)=(R32-T32),Setup!$D$11,IF(AND((I32&gt;K32),(R32&gt;T32)),Setup!$D$12,IF(AND((K32&gt;I32),(T32&gt;R32)),Setup!$D$12,0)))),"")</f>
        <v/>
      </c>
      <c r="AE32" s="183"/>
      <c r="CP32" s="168"/>
      <c r="CQ32" s="186"/>
      <c r="CR32" s="187"/>
      <c r="CS32" s="168"/>
    </row>
    <row r="33" spans="2:97" s="166" customFormat="1" ht="15" customHeight="1">
      <c r="B33" s="182"/>
      <c r="C33" s="181">
        <f>Tournament!D34</f>
        <v>19</v>
      </c>
      <c r="D33" s="181" t="str">
        <f>Tournament!E34</f>
        <v>B</v>
      </c>
      <c r="E33" s="188">
        <f>Tournament!F34</f>
        <v>41808.666666666664</v>
      </c>
      <c r="F33" s="189">
        <f>Tournament!G34</f>
        <v>41808.666666666664</v>
      </c>
      <c r="G33" s="190" t="str">
        <f>Tournament!H34</f>
        <v>Spain</v>
      </c>
      <c r="H33" s="180"/>
      <c r="I33" s="9"/>
      <c r="J33" s="191" t="s">
        <v>3088</v>
      </c>
      <c r="K33" s="9"/>
      <c r="L33" s="180"/>
      <c r="M33" s="180" t="str">
        <f>Tournament!N34</f>
        <v>Chile</v>
      </c>
      <c r="N33" s="183"/>
      <c r="P33" s="192" t="str">
        <f t="shared" si="0"/>
        <v>Spain</v>
      </c>
      <c r="Q33" s="193"/>
      <c r="R33" s="194" t="str">
        <f>IF(Tournament!J34&lt;&gt;"",Tournament!J34,"")</f>
        <v/>
      </c>
      <c r="S33" s="194" t="s">
        <v>3088</v>
      </c>
      <c r="T33" s="194" t="str">
        <f>IF(Tournament!L34&lt;&gt;"",Tournament!L34,"")</f>
        <v/>
      </c>
      <c r="U33" s="193"/>
      <c r="V33" s="193" t="str">
        <f t="shared" si="1"/>
        <v>Chile</v>
      </c>
      <c r="W33" s="194"/>
      <c r="X33" s="194"/>
      <c r="Y33" s="194"/>
      <c r="Z33" s="194"/>
      <c r="AA33" s="194"/>
      <c r="AB33" s="194"/>
      <c r="AC33" s="194"/>
      <c r="AD33" s="195" t="str">
        <f>IF(AND(I33&lt;&gt;"",K33&lt;&gt;"",R33&lt;&gt;"",T33&lt;&gt;""),IF(AND(I33=R33,K33=T33),Setup!$D$10,IF((I33-K33)=(R33-T33),Setup!$D$11,IF(AND((I33&gt;K33),(R33&gt;T33)),Setup!$D$12,IF(AND((K33&gt;I33),(T33&gt;R33)),Setup!$D$12,0)))),"")</f>
        <v/>
      </c>
      <c r="AE33" s="183"/>
      <c r="CP33" s="168"/>
      <c r="CQ33" s="186"/>
      <c r="CR33" s="187"/>
      <c r="CS33" s="168"/>
    </row>
    <row r="34" spans="2:97" s="166" customFormat="1" ht="15" customHeight="1">
      <c r="B34" s="182"/>
      <c r="C34" s="181">
        <f>Tournament!D35</f>
        <v>20</v>
      </c>
      <c r="D34" s="181" t="str">
        <f>Tournament!E35</f>
        <v>B</v>
      </c>
      <c r="E34" s="188">
        <f>Tournament!F35</f>
        <v>41808.541666666664</v>
      </c>
      <c r="F34" s="189">
        <f>Tournament!G35</f>
        <v>41808.541666666664</v>
      </c>
      <c r="G34" s="190" t="str">
        <f>Tournament!H35</f>
        <v>Australia</v>
      </c>
      <c r="H34" s="180"/>
      <c r="I34" s="9"/>
      <c r="J34" s="191" t="s">
        <v>3088</v>
      </c>
      <c r="K34" s="9"/>
      <c r="L34" s="180"/>
      <c r="M34" s="180" t="str">
        <f>Tournament!N35</f>
        <v>Netherlands</v>
      </c>
      <c r="N34" s="183"/>
      <c r="P34" s="192" t="str">
        <f t="shared" si="0"/>
        <v>Australia</v>
      </c>
      <c r="Q34" s="193"/>
      <c r="R34" s="194" t="str">
        <f>IF(Tournament!J35&lt;&gt;"",Tournament!J35,"")</f>
        <v/>
      </c>
      <c r="S34" s="194" t="s">
        <v>3088</v>
      </c>
      <c r="T34" s="194" t="str">
        <f>IF(Tournament!L35&lt;&gt;"",Tournament!L35,"")</f>
        <v/>
      </c>
      <c r="U34" s="193"/>
      <c r="V34" s="193" t="str">
        <f t="shared" si="1"/>
        <v>Netherlands</v>
      </c>
      <c r="W34" s="194"/>
      <c r="X34" s="194"/>
      <c r="Y34" s="194"/>
      <c r="Z34" s="194"/>
      <c r="AA34" s="194"/>
      <c r="AB34" s="194"/>
      <c r="AC34" s="194"/>
      <c r="AD34" s="195" t="str">
        <f>IF(AND(I34&lt;&gt;"",K34&lt;&gt;"",R34&lt;&gt;"",T34&lt;&gt;""),IF(AND(I34=R34,K34=T34),Setup!$D$10,IF((I34-K34)=(R34-T34),Setup!$D$11,IF(AND((I34&gt;K34),(R34&gt;T34)),Setup!$D$12,IF(AND((K34&gt;I34),(T34&gt;R34)),Setup!$D$12,0)))),"")</f>
        <v/>
      </c>
      <c r="AE34" s="183"/>
      <c r="CP34" s="168"/>
      <c r="CQ34" s="186"/>
      <c r="CR34" s="187"/>
      <c r="CS34" s="168"/>
    </row>
    <row r="35" spans="2:97" s="166" customFormat="1" ht="15" customHeight="1">
      <c r="B35" s="182"/>
      <c r="C35" s="181">
        <f>Tournament!D36</f>
        <v>21</v>
      </c>
      <c r="D35" s="181" t="str">
        <f>Tournament!E36</f>
        <v>C</v>
      </c>
      <c r="E35" s="188">
        <f>Tournament!F36</f>
        <v>41809.541666666664</v>
      </c>
      <c r="F35" s="189">
        <f>Tournament!G36</f>
        <v>41809.541666666664</v>
      </c>
      <c r="G35" s="190" t="str">
        <f>Tournament!H36</f>
        <v>Colombia</v>
      </c>
      <c r="H35" s="180"/>
      <c r="I35" s="9"/>
      <c r="J35" s="191" t="s">
        <v>3088</v>
      </c>
      <c r="K35" s="9"/>
      <c r="L35" s="180"/>
      <c r="M35" s="180" t="str">
        <f>Tournament!N36</f>
        <v>Ivory Coast</v>
      </c>
      <c r="N35" s="183"/>
      <c r="P35" s="192" t="str">
        <f t="shared" si="0"/>
        <v>Colombia</v>
      </c>
      <c r="Q35" s="193"/>
      <c r="R35" s="194" t="str">
        <f>IF(Tournament!J36&lt;&gt;"",Tournament!J36,"")</f>
        <v/>
      </c>
      <c r="S35" s="194" t="s">
        <v>3088</v>
      </c>
      <c r="T35" s="194" t="str">
        <f>IF(Tournament!L36&lt;&gt;"",Tournament!L36,"")</f>
        <v/>
      </c>
      <c r="U35" s="193"/>
      <c r="V35" s="193" t="str">
        <f t="shared" si="1"/>
        <v>Ivory Coast</v>
      </c>
      <c r="W35" s="194"/>
      <c r="X35" s="194"/>
      <c r="Y35" s="194"/>
      <c r="Z35" s="194"/>
      <c r="AA35" s="194"/>
      <c r="AB35" s="194"/>
      <c r="AC35" s="194"/>
      <c r="AD35" s="195" t="str">
        <f>IF(AND(I35&lt;&gt;"",K35&lt;&gt;"",R35&lt;&gt;"",T35&lt;&gt;""),IF(AND(I35=R35,K35=T35),Setup!$D$10,IF((I35-K35)=(R35-T35),Setup!$D$11,IF(AND((I35&gt;K35),(R35&gt;T35)),Setup!$D$12,IF(AND((K35&gt;I35),(T35&gt;R35)),Setup!$D$12,0)))),"")</f>
        <v/>
      </c>
      <c r="AE35" s="183"/>
      <c r="CP35" s="168"/>
      <c r="CQ35" s="186"/>
      <c r="CR35" s="187"/>
      <c r="CS35" s="168"/>
    </row>
    <row r="36" spans="2:97" s="166" customFormat="1" ht="15" customHeight="1">
      <c r="B36" s="182"/>
      <c r="C36" s="181">
        <f>Tournament!D37</f>
        <v>22</v>
      </c>
      <c r="D36" s="181" t="str">
        <f>Tournament!E37</f>
        <v>C</v>
      </c>
      <c r="E36" s="188">
        <f>Tournament!F37</f>
        <v>41809.791666666664</v>
      </c>
      <c r="F36" s="189">
        <f>Tournament!G37</f>
        <v>41809.791666666664</v>
      </c>
      <c r="G36" s="190" t="str">
        <f>Tournament!H37</f>
        <v>Japan</v>
      </c>
      <c r="H36" s="180"/>
      <c r="I36" s="9"/>
      <c r="J36" s="191" t="s">
        <v>3088</v>
      </c>
      <c r="K36" s="9"/>
      <c r="L36" s="180"/>
      <c r="M36" s="180" t="str">
        <f>Tournament!N37</f>
        <v>Greece</v>
      </c>
      <c r="N36" s="183"/>
      <c r="P36" s="192" t="str">
        <f t="shared" si="0"/>
        <v>Japan</v>
      </c>
      <c r="Q36" s="193"/>
      <c r="R36" s="194" t="str">
        <f>IF(Tournament!J37&lt;&gt;"",Tournament!J37,"")</f>
        <v/>
      </c>
      <c r="S36" s="194" t="s">
        <v>3088</v>
      </c>
      <c r="T36" s="194" t="str">
        <f>IF(Tournament!L37&lt;&gt;"",Tournament!L37,"")</f>
        <v/>
      </c>
      <c r="U36" s="193"/>
      <c r="V36" s="193" t="str">
        <f t="shared" si="1"/>
        <v>Greece</v>
      </c>
      <c r="W36" s="194"/>
      <c r="X36" s="194"/>
      <c r="Y36" s="194"/>
      <c r="Z36" s="194"/>
      <c r="AA36" s="194"/>
      <c r="AB36" s="194"/>
      <c r="AC36" s="194"/>
      <c r="AD36" s="195" t="str">
        <f>IF(AND(I36&lt;&gt;"",K36&lt;&gt;"",R36&lt;&gt;"",T36&lt;&gt;""),IF(AND(I36=R36,K36=T36),Setup!$D$10,IF((I36-K36)=(R36-T36),Setup!$D$11,IF(AND((I36&gt;K36),(R36&gt;T36)),Setup!$D$12,IF(AND((K36&gt;I36),(T36&gt;R36)),Setup!$D$12,0)))),"")</f>
        <v/>
      </c>
      <c r="AE36" s="183"/>
      <c r="CP36" s="168"/>
      <c r="CQ36" s="186"/>
      <c r="CR36" s="187"/>
      <c r="CS36" s="168"/>
    </row>
    <row r="37" spans="2:97" s="166" customFormat="1" ht="15" customHeight="1">
      <c r="B37" s="182"/>
      <c r="C37" s="181">
        <f>Tournament!D38</f>
        <v>23</v>
      </c>
      <c r="D37" s="181" t="str">
        <f>Tournament!E38</f>
        <v>D</v>
      </c>
      <c r="E37" s="188">
        <f>Tournament!F38</f>
        <v>41809.666666666664</v>
      </c>
      <c r="F37" s="189">
        <f>Tournament!G38</f>
        <v>41809.666666666664</v>
      </c>
      <c r="G37" s="190" t="str">
        <f>Tournament!H38</f>
        <v>Uruguay</v>
      </c>
      <c r="H37" s="180"/>
      <c r="I37" s="9"/>
      <c r="J37" s="191" t="s">
        <v>3088</v>
      </c>
      <c r="K37" s="9"/>
      <c r="L37" s="180"/>
      <c r="M37" s="180" t="str">
        <f>Tournament!N38</f>
        <v>England</v>
      </c>
      <c r="N37" s="183"/>
      <c r="P37" s="192" t="str">
        <f t="shared" si="0"/>
        <v>Uruguay</v>
      </c>
      <c r="Q37" s="193"/>
      <c r="R37" s="194" t="str">
        <f>IF(Tournament!J38&lt;&gt;"",Tournament!J38,"")</f>
        <v/>
      </c>
      <c r="S37" s="194" t="s">
        <v>3088</v>
      </c>
      <c r="T37" s="194" t="str">
        <f>IF(Tournament!L38&lt;&gt;"",Tournament!L38,"")</f>
        <v/>
      </c>
      <c r="U37" s="193"/>
      <c r="V37" s="193" t="str">
        <f t="shared" si="1"/>
        <v>England</v>
      </c>
      <c r="W37" s="194"/>
      <c r="X37" s="194"/>
      <c r="Y37" s="194"/>
      <c r="Z37" s="194"/>
      <c r="AA37" s="194"/>
      <c r="AB37" s="194"/>
      <c r="AC37" s="194"/>
      <c r="AD37" s="195" t="str">
        <f>IF(AND(I37&lt;&gt;"",K37&lt;&gt;"",R37&lt;&gt;"",T37&lt;&gt;""),IF(AND(I37=R37,K37=T37),Setup!$D$10,IF((I37-K37)=(R37-T37),Setup!$D$11,IF(AND((I37&gt;K37),(R37&gt;T37)),Setup!$D$12,IF(AND((K37&gt;I37),(T37&gt;R37)),Setup!$D$12,0)))),"")</f>
        <v/>
      </c>
      <c r="AE37" s="183"/>
      <c r="CP37" s="168"/>
      <c r="CQ37" s="186"/>
      <c r="CR37" s="187"/>
      <c r="CS37" s="168"/>
    </row>
    <row r="38" spans="2:97" s="166" customFormat="1" ht="15" customHeight="1">
      <c r="B38" s="182"/>
      <c r="C38" s="181">
        <f>Tournament!D39</f>
        <v>24</v>
      </c>
      <c r="D38" s="181" t="str">
        <f>Tournament!E39</f>
        <v>D</v>
      </c>
      <c r="E38" s="188">
        <f>Tournament!F39</f>
        <v>41810.541666666664</v>
      </c>
      <c r="F38" s="189">
        <f>Tournament!G39</f>
        <v>41810.541666666664</v>
      </c>
      <c r="G38" s="190" t="str">
        <f>Tournament!H39</f>
        <v>Italy</v>
      </c>
      <c r="H38" s="180"/>
      <c r="I38" s="9"/>
      <c r="J38" s="191" t="s">
        <v>3088</v>
      </c>
      <c r="K38" s="9"/>
      <c r="L38" s="180"/>
      <c r="M38" s="180" t="str">
        <f>Tournament!N39</f>
        <v>Costa Rica</v>
      </c>
      <c r="N38" s="183"/>
      <c r="P38" s="192" t="str">
        <f t="shared" si="0"/>
        <v>Italy</v>
      </c>
      <c r="Q38" s="193"/>
      <c r="R38" s="194" t="str">
        <f>IF(Tournament!J39&lt;&gt;"",Tournament!J39,"")</f>
        <v/>
      </c>
      <c r="S38" s="194" t="s">
        <v>3088</v>
      </c>
      <c r="T38" s="194" t="str">
        <f>IF(Tournament!L39&lt;&gt;"",Tournament!L39,"")</f>
        <v/>
      </c>
      <c r="U38" s="193"/>
      <c r="V38" s="193" t="str">
        <f t="shared" si="1"/>
        <v>Costa Rica</v>
      </c>
      <c r="W38" s="194"/>
      <c r="X38" s="194"/>
      <c r="Y38" s="194"/>
      <c r="Z38" s="194"/>
      <c r="AA38" s="194"/>
      <c r="AB38" s="194"/>
      <c r="AC38" s="194"/>
      <c r="AD38" s="195" t="str">
        <f>IF(AND(I38&lt;&gt;"",K38&lt;&gt;"",R38&lt;&gt;"",T38&lt;&gt;""),IF(AND(I38=R38,K38=T38),Setup!$D$10,IF((I38-K38)=(R38-T38),Setup!$D$11,IF(AND((I38&gt;K38),(R38&gt;T38)),Setup!$D$12,IF(AND((K38&gt;I38),(T38&gt;R38)),Setup!$D$12,0)))),"")</f>
        <v/>
      </c>
      <c r="AE38" s="183"/>
      <c r="CP38" s="168"/>
      <c r="CQ38" s="186"/>
      <c r="CR38" s="187"/>
      <c r="CS38" s="168"/>
    </row>
    <row r="39" spans="2:97" s="166" customFormat="1" ht="15" customHeight="1">
      <c r="B39" s="182"/>
      <c r="C39" s="181">
        <f>Tournament!D40</f>
        <v>25</v>
      </c>
      <c r="D39" s="181" t="str">
        <f>Tournament!E40</f>
        <v>E</v>
      </c>
      <c r="E39" s="188">
        <f>Tournament!F40</f>
        <v>41810.666666666664</v>
      </c>
      <c r="F39" s="189">
        <f>Tournament!G40</f>
        <v>41810.666666666664</v>
      </c>
      <c r="G39" s="190" t="str">
        <f>Tournament!H40</f>
        <v>Switzerland</v>
      </c>
      <c r="H39" s="180"/>
      <c r="I39" s="9"/>
      <c r="J39" s="191" t="s">
        <v>3088</v>
      </c>
      <c r="K39" s="9"/>
      <c r="L39" s="180"/>
      <c r="M39" s="180" t="str">
        <f>Tournament!N40</f>
        <v>France</v>
      </c>
      <c r="N39" s="183"/>
      <c r="P39" s="192" t="str">
        <f t="shared" si="0"/>
        <v>Switzerland</v>
      </c>
      <c r="Q39" s="193"/>
      <c r="R39" s="194" t="str">
        <f>IF(Tournament!J40&lt;&gt;"",Tournament!J40,"")</f>
        <v/>
      </c>
      <c r="S39" s="194" t="s">
        <v>3088</v>
      </c>
      <c r="T39" s="194" t="str">
        <f>IF(Tournament!L40&lt;&gt;"",Tournament!L40,"")</f>
        <v/>
      </c>
      <c r="U39" s="193"/>
      <c r="V39" s="193" t="str">
        <f t="shared" si="1"/>
        <v>France</v>
      </c>
      <c r="W39" s="194"/>
      <c r="X39" s="194"/>
      <c r="Y39" s="194"/>
      <c r="Z39" s="194"/>
      <c r="AA39" s="194"/>
      <c r="AB39" s="194"/>
      <c r="AC39" s="194"/>
      <c r="AD39" s="195" t="str">
        <f>IF(AND(I39&lt;&gt;"",K39&lt;&gt;"",R39&lt;&gt;"",T39&lt;&gt;""),IF(AND(I39=R39,K39=T39),Setup!$D$10,IF((I39-K39)=(R39-T39),Setup!$D$11,IF(AND((I39&gt;K39),(R39&gt;T39)),Setup!$D$12,IF(AND((K39&gt;I39),(T39&gt;R39)),Setup!$D$12,0)))),"")</f>
        <v/>
      </c>
      <c r="AE39" s="183"/>
      <c r="CP39" s="168"/>
      <c r="CQ39" s="186"/>
      <c r="CR39" s="187"/>
      <c r="CS39" s="168"/>
    </row>
    <row r="40" spans="2:97" s="166" customFormat="1" ht="15" customHeight="1">
      <c r="B40" s="182"/>
      <c r="C40" s="181">
        <f>Tournament!D41</f>
        <v>26</v>
      </c>
      <c r="D40" s="181" t="str">
        <f>Tournament!E41</f>
        <v>E</v>
      </c>
      <c r="E40" s="188">
        <f>Tournament!F41</f>
        <v>41810.791666666664</v>
      </c>
      <c r="F40" s="189">
        <f>Tournament!G41</f>
        <v>41810.791666666664</v>
      </c>
      <c r="G40" s="190" t="str">
        <f>Tournament!H41</f>
        <v>Honduras</v>
      </c>
      <c r="H40" s="180"/>
      <c r="I40" s="9"/>
      <c r="J40" s="191" t="s">
        <v>3088</v>
      </c>
      <c r="K40" s="9"/>
      <c r="L40" s="180"/>
      <c r="M40" s="180" t="str">
        <f>Tournament!N41</f>
        <v>Ecuador</v>
      </c>
      <c r="N40" s="183"/>
      <c r="P40" s="192" t="str">
        <f t="shared" si="0"/>
        <v>Honduras</v>
      </c>
      <c r="Q40" s="193"/>
      <c r="R40" s="194" t="str">
        <f>IF(Tournament!J41&lt;&gt;"",Tournament!J41,"")</f>
        <v/>
      </c>
      <c r="S40" s="194" t="s">
        <v>3088</v>
      </c>
      <c r="T40" s="194" t="str">
        <f>IF(Tournament!L41&lt;&gt;"",Tournament!L41,"")</f>
        <v/>
      </c>
      <c r="U40" s="193"/>
      <c r="V40" s="193" t="str">
        <f t="shared" si="1"/>
        <v>Ecuador</v>
      </c>
      <c r="W40" s="194"/>
      <c r="X40" s="194"/>
      <c r="Y40" s="194"/>
      <c r="Z40" s="194"/>
      <c r="AA40" s="194"/>
      <c r="AB40" s="194"/>
      <c r="AC40" s="194"/>
      <c r="AD40" s="195" t="str">
        <f>IF(AND(I40&lt;&gt;"",K40&lt;&gt;"",R40&lt;&gt;"",T40&lt;&gt;""),IF(AND(I40=R40,K40=T40),Setup!$D$10,IF((I40-K40)=(R40-T40),Setup!$D$11,IF(AND((I40&gt;K40),(R40&gt;T40)),Setup!$D$12,IF(AND((K40&gt;I40),(T40&gt;R40)),Setup!$D$12,0)))),"")</f>
        <v/>
      </c>
      <c r="AE40" s="183"/>
      <c r="CP40" s="168"/>
      <c r="CQ40" s="196"/>
      <c r="CR40" s="187"/>
      <c r="CS40" s="168"/>
    </row>
    <row r="41" spans="2:97" s="166" customFormat="1" ht="15" customHeight="1">
      <c r="B41" s="182"/>
      <c r="C41" s="181">
        <f>Tournament!D42</f>
        <v>27</v>
      </c>
      <c r="D41" s="181" t="str">
        <f>Tournament!E42</f>
        <v>F</v>
      </c>
      <c r="E41" s="188">
        <f>Tournament!F42</f>
        <v>41811.541666666664</v>
      </c>
      <c r="F41" s="189">
        <f>Tournament!G42</f>
        <v>41811.541666666664</v>
      </c>
      <c r="G41" s="190" t="str">
        <f>Tournament!H42</f>
        <v>Argentina</v>
      </c>
      <c r="H41" s="180"/>
      <c r="I41" s="9"/>
      <c r="J41" s="191" t="s">
        <v>3088</v>
      </c>
      <c r="K41" s="9"/>
      <c r="L41" s="180"/>
      <c r="M41" s="180" t="str">
        <f>Tournament!N42</f>
        <v>Iran</v>
      </c>
      <c r="N41" s="183"/>
      <c r="P41" s="192" t="str">
        <f t="shared" si="0"/>
        <v>Argentina</v>
      </c>
      <c r="Q41" s="193"/>
      <c r="R41" s="194" t="str">
        <f>IF(Tournament!J42&lt;&gt;"",Tournament!J42,"")</f>
        <v/>
      </c>
      <c r="S41" s="194" t="s">
        <v>3088</v>
      </c>
      <c r="T41" s="194" t="str">
        <f>IF(Tournament!L42&lt;&gt;"",Tournament!L42,"")</f>
        <v/>
      </c>
      <c r="U41" s="193"/>
      <c r="V41" s="193" t="str">
        <f t="shared" si="1"/>
        <v>Iran</v>
      </c>
      <c r="W41" s="194"/>
      <c r="X41" s="194"/>
      <c r="Y41" s="194"/>
      <c r="Z41" s="194"/>
      <c r="AA41" s="194"/>
      <c r="AB41" s="194"/>
      <c r="AC41" s="194"/>
      <c r="AD41" s="195" t="str">
        <f>IF(AND(I41&lt;&gt;"",K41&lt;&gt;"",R41&lt;&gt;"",T41&lt;&gt;""),IF(AND(I41=R41,K41=T41),Setup!$D$10,IF((I41-K41)=(R41-T41),Setup!$D$11,IF(AND((I41&gt;K41),(R41&gt;T41)),Setup!$D$12,IF(AND((K41&gt;I41),(T41&gt;R41)),Setup!$D$12,0)))),"")</f>
        <v/>
      </c>
      <c r="AE41" s="183"/>
      <c r="CP41" s="168"/>
      <c r="CQ41" s="196"/>
      <c r="CR41" s="187"/>
      <c r="CS41" s="168"/>
    </row>
    <row r="42" spans="2:97" s="166" customFormat="1" ht="15" customHeight="1">
      <c r="B42" s="182"/>
      <c r="C42" s="181">
        <f>Tournament!D43</f>
        <v>28</v>
      </c>
      <c r="D42" s="181" t="str">
        <f>Tournament!E43</f>
        <v>F</v>
      </c>
      <c r="E42" s="188">
        <f>Tournament!F43</f>
        <v>41811.791666666664</v>
      </c>
      <c r="F42" s="189">
        <f>Tournament!G43</f>
        <v>41811.791666666664</v>
      </c>
      <c r="G42" s="190" t="str">
        <f>Tournament!H43</f>
        <v>Nigeria</v>
      </c>
      <c r="H42" s="180"/>
      <c r="I42" s="9"/>
      <c r="J42" s="191" t="s">
        <v>3088</v>
      </c>
      <c r="K42" s="9"/>
      <c r="L42" s="180"/>
      <c r="M42" s="180" t="str">
        <f>Tournament!N43</f>
        <v>Bosnia-Herzegovina</v>
      </c>
      <c r="N42" s="183"/>
      <c r="P42" s="192" t="str">
        <f t="shared" si="0"/>
        <v>Nigeria</v>
      </c>
      <c r="Q42" s="193"/>
      <c r="R42" s="194" t="str">
        <f>IF(Tournament!J43&lt;&gt;"",Tournament!J43,"")</f>
        <v/>
      </c>
      <c r="S42" s="194" t="s">
        <v>3088</v>
      </c>
      <c r="T42" s="194" t="str">
        <f>IF(Tournament!L43&lt;&gt;"",Tournament!L43,"")</f>
        <v/>
      </c>
      <c r="U42" s="193"/>
      <c r="V42" s="193" t="str">
        <f t="shared" si="1"/>
        <v>Bosnia-Herzegovina</v>
      </c>
      <c r="W42" s="194"/>
      <c r="X42" s="194"/>
      <c r="Y42" s="194"/>
      <c r="Z42" s="194"/>
      <c r="AA42" s="194"/>
      <c r="AB42" s="194"/>
      <c r="AC42" s="194"/>
      <c r="AD42" s="195" t="str">
        <f>IF(AND(I42&lt;&gt;"",K42&lt;&gt;"",R42&lt;&gt;"",T42&lt;&gt;""),IF(AND(I42=R42,K42=T42),Setup!$D$10,IF((I42-K42)=(R42-T42),Setup!$D$11,IF(AND((I42&gt;K42),(R42&gt;T42)),Setup!$D$12,IF(AND((K42&gt;I42),(T42&gt;R42)),Setup!$D$12,0)))),"")</f>
        <v/>
      </c>
      <c r="AE42" s="183"/>
      <c r="CP42" s="168"/>
      <c r="CQ42" s="168"/>
      <c r="CR42" s="187"/>
      <c r="CS42" s="168"/>
    </row>
    <row r="43" spans="2:97" s="166" customFormat="1" ht="15" customHeight="1">
      <c r="B43" s="182"/>
      <c r="C43" s="181">
        <f>Tournament!D44</f>
        <v>29</v>
      </c>
      <c r="D43" s="181" t="str">
        <f>Tournament!E44</f>
        <v>G</v>
      </c>
      <c r="E43" s="188">
        <f>Tournament!F44</f>
        <v>41811.666666666664</v>
      </c>
      <c r="F43" s="189">
        <f>Tournament!G44</f>
        <v>41811.666666666664</v>
      </c>
      <c r="G43" s="190" t="str">
        <f>Tournament!H44</f>
        <v>Germany</v>
      </c>
      <c r="H43" s="180"/>
      <c r="I43" s="9"/>
      <c r="J43" s="191" t="s">
        <v>3088</v>
      </c>
      <c r="K43" s="9"/>
      <c r="L43" s="180"/>
      <c r="M43" s="180" t="str">
        <f>Tournament!N44</f>
        <v>Ghana</v>
      </c>
      <c r="N43" s="183"/>
      <c r="P43" s="192" t="str">
        <f t="shared" si="0"/>
        <v>Germany</v>
      </c>
      <c r="Q43" s="193"/>
      <c r="R43" s="194" t="str">
        <f>IF(Tournament!J44&lt;&gt;"",Tournament!J44,"")</f>
        <v/>
      </c>
      <c r="S43" s="194" t="s">
        <v>3088</v>
      </c>
      <c r="T43" s="194" t="str">
        <f>IF(Tournament!L44&lt;&gt;"",Tournament!L44,"")</f>
        <v/>
      </c>
      <c r="U43" s="193"/>
      <c r="V43" s="193" t="str">
        <f t="shared" si="1"/>
        <v>Ghana</v>
      </c>
      <c r="W43" s="194"/>
      <c r="X43" s="194"/>
      <c r="Y43" s="194"/>
      <c r="Z43" s="194"/>
      <c r="AA43" s="194"/>
      <c r="AB43" s="194"/>
      <c r="AC43" s="194"/>
      <c r="AD43" s="195" t="str">
        <f>IF(AND(I43&lt;&gt;"",K43&lt;&gt;"",R43&lt;&gt;"",T43&lt;&gt;""),IF(AND(I43=R43,K43=T43),Setup!$D$10,IF((I43-K43)=(R43-T43),Setup!$D$11,IF(AND((I43&gt;K43),(R43&gt;T43)),Setup!$D$12,IF(AND((K43&gt;I43),(T43&gt;R43)),Setup!$D$12,0)))),"")</f>
        <v/>
      </c>
      <c r="AE43" s="183"/>
      <c r="CP43" s="168"/>
      <c r="CQ43" s="168"/>
      <c r="CR43" s="187"/>
      <c r="CS43" s="168"/>
    </row>
    <row r="44" spans="2:97" s="166" customFormat="1" ht="15" customHeight="1">
      <c r="B44" s="182"/>
      <c r="C44" s="181">
        <f>Tournament!D45</f>
        <v>30</v>
      </c>
      <c r="D44" s="181" t="str">
        <f>Tournament!E45</f>
        <v>G</v>
      </c>
      <c r="E44" s="188">
        <f>Tournament!F45</f>
        <v>41812.791666666664</v>
      </c>
      <c r="F44" s="189">
        <f>Tournament!G45</f>
        <v>41812.791666666664</v>
      </c>
      <c r="G44" s="190" t="str">
        <f>Tournament!H45</f>
        <v>USA</v>
      </c>
      <c r="H44" s="180"/>
      <c r="I44" s="9"/>
      <c r="J44" s="191" t="s">
        <v>3088</v>
      </c>
      <c r="K44" s="9"/>
      <c r="L44" s="180"/>
      <c r="M44" s="180" t="str">
        <f>Tournament!N45</f>
        <v>Portugal</v>
      </c>
      <c r="N44" s="183"/>
      <c r="P44" s="192" t="str">
        <f t="shared" si="0"/>
        <v>USA</v>
      </c>
      <c r="Q44" s="193"/>
      <c r="R44" s="194" t="str">
        <f>IF(Tournament!J45&lt;&gt;"",Tournament!J45,"")</f>
        <v/>
      </c>
      <c r="S44" s="194" t="s">
        <v>3088</v>
      </c>
      <c r="T44" s="194" t="str">
        <f>IF(Tournament!L45&lt;&gt;"",Tournament!L45,"")</f>
        <v/>
      </c>
      <c r="U44" s="193"/>
      <c r="V44" s="193" t="str">
        <f t="shared" si="1"/>
        <v>Portugal</v>
      </c>
      <c r="W44" s="194"/>
      <c r="X44" s="194"/>
      <c r="Y44" s="194"/>
      <c r="Z44" s="194"/>
      <c r="AA44" s="194"/>
      <c r="AB44" s="194"/>
      <c r="AC44" s="194"/>
      <c r="AD44" s="195" t="str">
        <f>IF(AND(I44&lt;&gt;"",K44&lt;&gt;"",R44&lt;&gt;"",T44&lt;&gt;""),IF(AND(I44=R44,K44=T44),Setup!$D$10,IF((I44-K44)=(R44-T44),Setup!$D$11,IF(AND((I44&gt;K44),(R44&gt;T44)),Setup!$D$12,IF(AND((K44&gt;I44),(T44&gt;R44)),Setup!$D$12,0)))),"")</f>
        <v/>
      </c>
      <c r="AE44" s="183"/>
      <c r="CP44" s="168"/>
      <c r="CQ44" s="168"/>
      <c r="CR44" s="187"/>
      <c r="CS44" s="168"/>
    </row>
    <row r="45" spans="2:97" s="166" customFormat="1" ht="15" customHeight="1">
      <c r="B45" s="182"/>
      <c r="C45" s="181">
        <f>Tournament!D46</f>
        <v>31</v>
      </c>
      <c r="D45" s="181" t="str">
        <f>Tournament!E46</f>
        <v>H</v>
      </c>
      <c r="E45" s="188">
        <f>Tournament!F46</f>
        <v>41812.541666666664</v>
      </c>
      <c r="F45" s="189">
        <f>Tournament!G46</f>
        <v>41812.541666666664</v>
      </c>
      <c r="G45" s="190" t="str">
        <f>Tournament!H46</f>
        <v>Belgium</v>
      </c>
      <c r="H45" s="180"/>
      <c r="I45" s="9"/>
      <c r="J45" s="191" t="s">
        <v>3088</v>
      </c>
      <c r="K45" s="9"/>
      <c r="L45" s="180"/>
      <c r="M45" s="180" t="str">
        <f>Tournament!N46</f>
        <v>Russia</v>
      </c>
      <c r="N45" s="183"/>
      <c r="P45" s="192" t="str">
        <f t="shared" si="0"/>
        <v>Belgium</v>
      </c>
      <c r="Q45" s="193"/>
      <c r="R45" s="194" t="str">
        <f>IF(Tournament!J46&lt;&gt;"",Tournament!J46,"")</f>
        <v/>
      </c>
      <c r="S45" s="194" t="s">
        <v>3088</v>
      </c>
      <c r="T45" s="194" t="str">
        <f>IF(Tournament!L46&lt;&gt;"",Tournament!L46,"")</f>
        <v/>
      </c>
      <c r="U45" s="193"/>
      <c r="V45" s="193" t="str">
        <f t="shared" si="1"/>
        <v>Russia</v>
      </c>
      <c r="W45" s="194"/>
      <c r="X45" s="194"/>
      <c r="Y45" s="194"/>
      <c r="Z45" s="194"/>
      <c r="AA45" s="194"/>
      <c r="AB45" s="194"/>
      <c r="AC45" s="194"/>
      <c r="AD45" s="195" t="str">
        <f>IF(AND(I45&lt;&gt;"",K45&lt;&gt;"",R45&lt;&gt;"",T45&lt;&gt;""),IF(AND(I45=R45,K45=T45),Setup!$D$10,IF((I45-K45)=(R45-T45),Setup!$D$11,IF(AND((I45&gt;K45),(R45&gt;T45)),Setup!$D$12,IF(AND((K45&gt;I45),(T45&gt;R45)),Setup!$D$12,0)))),"")</f>
        <v/>
      </c>
      <c r="AE45" s="183"/>
      <c r="CP45" s="168"/>
      <c r="CQ45" s="168"/>
      <c r="CR45" s="187"/>
      <c r="CS45" s="168"/>
    </row>
    <row r="46" spans="2:97" s="166" customFormat="1" ht="15" customHeight="1">
      <c r="B46" s="182"/>
      <c r="C46" s="181">
        <f>Tournament!D47</f>
        <v>32</v>
      </c>
      <c r="D46" s="181" t="str">
        <f>Tournament!E47</f>
        <v>H</v>
      </c>
      <c r="E46" s="188">
        <f>Tournament!F47</f>
        <v>41812.666666666664</v>
      </c>
      <c r="F46" s="189">
        <f>Tournament!G47</f>
        <v>41812.666666666664</v>
      </c>
      <c r="G46" s="190" t="str">
        <f>Tournament!H47</f>
        <v>South Korea</v>
      </c>
      <c r="H46" s="180"/>
      <c r="I46" s="9"/>
      <c r="J46" s="191" t="s">
        <v>3088</v>
      </c>
      <c r="K46" s="9"/>
      <c r="L46" s="180"/>
      <c r="M46" s="180" t="str">
        <f>Tournament!N47</f>
        <v>Algeria</v>
      </c>
      <c r="N46" s="183"/>
      <c r="P46" s="192" t="str">
        <f t="shared" si="0"/>
        <v>South Korea</v>
      </c>
      <c r="Q46" s="193"/>
      <c r="R46" s="194" t="str">
        <f>IF(Tournament!J47&lt;&gt;"",Tournament!J47,"")</f>
        <v/>
      </c>
      <c r="S46" s="194" t="s">
        <v>3088</v>
      </c>
      <c r="T46" s="194" t="str">
        <f>IF(Tournament!L47&lt;&gt;"",Tournament!L47,"")</f>
        <v/>
      </c>
      <c r="U46" s="193"/>
      <c r="V46" s="193" t="str">
        <f t="shared" si="1"/>
        <v>Algeria</v>
      </c>
      <c r="W46" s="194"/>
      <c r="X46" s="194"/>
      <c r="Y46" s="194"/>
      <c r="Z46" s="194"/>
      <c r="AA46" s="194"/>
      <c r="AB46" s="194"/>
      <c r="AC46" s="194"/>
      <c r="AD46" s="195" t="str">
        <f>IF(AND(I46&lt;&gt;"",K46&lt;&gt;"",R46&lt;&gt;"",T46&lt;&gt;""),IF(AND(I46=R46,K46=T46),Setup!$D$10,IF((I46-K46)=(R46-T46),Setup!$D$11,IF(AND((I46&gt;K46),(R46&gt;T46)),Setup!$D$12,IF(AND((K46&gt;I46),(T46&gt;R46)),Setup!$D$12,0)))),"")</f>
        <v/>
      </c>
      <c r="AE46" s="183"/>
      <c r="CP46" s="168"/>
      <c r="CQ46" s="168"/>
      <c r="CR46" s="187"/>
      <c r="CS46" s="168"/>
    </row>
    <row r="47" spans="2:97" s="166" customFormat="1" ht="15" customHeight="1">
      <c r="B47" s="182"/>
      <c r="C47" s="181">
        <f>Tournament!D48</f>
        <v>33</v>
      </c>
      <c r="D47" s="181" t="str">
        <f>Tournament!E48</f>
        <v>A</v>
      </c>
      <c r="E47" s="188">
        <f>Tournament!F48</f>
        <v>41813.708333333336</v>
      </c>
      <c r="F47" s="189">
        <f>Tournament!G48</f>
        <v>41813.708333333336</v>
      </c>
      <c r="G47" s="190" t="str">
        <f>Tournament!H48</f>
        <v>Cameroon</v>
      </c>
      <c r="H47" s="180"/>
      <c r="I47" s="9"/>
      <c r="J47" s="191" t="s">
        <v>3088</v>
      </c>
      <c r="K47" s="9"/>
      <c r="L47" s="180"/>
      <c r="M47" s="180" t="str">
        <f>Tournament!N48</f>
        <v>Brazil</v>
      </c>
      <c r="N47" s="183"/>
      <c r="P47" s="192" t="str">
        <f t="shared" si="0"/>
        <v>Cameroon</v>
      </c>
      <c r="Q47" s="193"/>
      <c r="R47" s="194" t="str">
        <f>IF(Tournament!J48&lt;&gt;"",Tournament!J48,"")</f>
        <v/>
      </c>
      <c r="S47" s="194" t="s">
        <v>3088</v>
      </c>
      <c r="T47" s="194" t="str">
        <f>IF(Tournament!L48&lt;&gt;"",Tournament!L48,"")</f>
        <v/>
      </c>
      <c r="U47" s="193"/>
      <c r="V47" s="193" t="str">
        <f t="shared" si="1"/>
        <v>Brazil</v>
      </c>
      <c r="W47" s="194"/>
      <c r="X47" s="194"/>
      <c r="Y47" s="194"/>
      <c r="Z47" s="194"/>
      <c r="AA47" s="194"/>
      <c r="AB47" s="194"/>
      <c r="AC47" s="194"/>
      <c r="AD47" s="195" t="str">
        <f>IF(AND(I47&lt;&gt;"",K47&lt;&gt;"",R47&lt;&gt;"",T47&lt;&gt;""),IF(AND(I47=R47,K47=T47),Setup!$D$10,IF((I47-K47)=(R47-T47),Setup!$D$11,IF(AND((I47&gt;K47),(R47&gt;T47)),Setup!$D$12,IF(AND((K47&gt;I47),(T47&gt;R47)),Setup!$D$12,0)))),"")</f>
        <v/>
      </c>
      <c r="AE47" s="183"/>
      <c r="CP47" s="168"/>
      <c r="CQ47" s="168"/>
      <c r="CR47" s="187"/>
      <c r="CS47" s="168"/>
    </row>
    <row r="48" spans="2:97" s="166" customFormat="1" ht="15" customHeight="1">
      <c r="B48" s="182"/>
      <c r="C48" s="181">
        <f>Tournament!D49</f>
        <v>34</v>
      </c>
      <c r="D48" s="181" t="str">
        <f>Tournament!E49</f>
        <v>A</v>
      </c>
      <c r="E48" s="188">
        <f>Tournament!F49</f>
        <v>41813.708333333336</v>
      </c>
      <c r="F48" s="189">
        <f>Tournament!G49</f>
        <v>41813.708333333336</v>
      </c>
      <c r="G48" s="190" t="str">
        <f>Tournament!H49</f>
        <v>Croatia</v>
      </c>
      <c r="H48" s="180"/>
      <c r="I48" s="9"/>
      <c r="J48" s="191" t="s">
        <v>3088</v>
      </c>
      <c r="K48" s="9"/>
      <c r="L48" s="180"/>
      <c r="M48" s="180" t="str">
        <f>Tournament!N49</f>
        <v>Mexico</v>
      </c>
      <c r="N48" s="183"/>
      <c r="P48" s="192" t="str">
        <f t="shared" si="0"/>
        <v>Croatia</v>
      </c>
      <c r="Q48" s="193"/>
      <c r="R48" s="194" t="str">
        <f>IF(Tournament!J49&lt;&gt;"",Tournament!J49,"")</f>
        <v/>
      </c>
      <c r="S48" s="194" t="s">
        <v>3088</v>
      </c>
      <c r="T48" s="194" t="str">
        <f>IF(Tournament!L49&lt;&gt;"",Tournament!L49,"")</f>
        <v/>
      </c>
      <c r="U48" s="193"/>
      <c r="V48" s="193" t="str">
        <f t="shared" si="1"/>
        <v>Mexico</v>
      </c>
      <c r="W48" s="194"/>
      <c r="X48" s="194"/>
      <c r="Y48" s="194"/>
      <c r="Z48" s="194"/>
      <c r="AA48" s="194"/>
      <c r="AB48" s="194"/>
      <c r="AC48" s="194"/>
      <c r="AD48" s="195" t="str">
        <f>IF(AND(I48&lt;&gt;"",K48&lt;&gt;"",R48&lt;&gt;"",T48&lt;&gt;""),IF(AND(I48=R48,K48=T48),Setup!$D$10,IF((I48-K48)=(R48-T48),Setup!$D$11,IF(AND((I48&gt;K48),(R48&gt;T48)),Setup!$D$12,IF(AND((K48&gt;I48),(T48&gt;R48)),Setup!$D$12,0)))),"")</f>
        <v/>
      </c>
      <c r="AE48" s="183"/>
      <c r="CP48" s="168"/>
      <c r="CQ48" s="168"/>
      <c r="CR48" s="187"/>
      <c r="CS48" s="168"/>
    </row>
    <row r="49" spans="2:97" s="166" customFormat="1" ht="15" customHeight="1">
      <c r="B49" s="182"/>
      <c r="C49" s="181">
        <f>Tournament!D50</f>
        <v>35</v>
      </c>
      <c r="D49" s="181" t="str">
        <f>Tournament!E50</f>
        <v>B</v>
      </c>
      <c r="E49" s="188">
        <f>Tournament!F50</f>
        <v>41813.541666666664</v>
      </c>
      <c r="F49" s="189">
        <f>Tournament!G50</f>
        <v>41813.541666666664</v>
      </c>
      <c r="G49" s="190" t="str">
        <f>Tournament!H50</f>
        <v>Australia</v>
      </c>
      <c r="H49" s="180"/>
      <c r="I49" s="9"/>
      <c r="J49" s="191" t="s">
        <v>3088</v>
      </c>
      <c r="K49" s="9"/>
      <c r="L49" s="180"/>
      <c r="M49" s="180" t="str">
        <f>Tournament!N50</f>
        <v>Spain</v>
      </c>
      <c r="N49" s="183"/>
      <c r="P49" s="192" t="str">
        <f t="shared" si="0"/>
        <v>Australia</v>
      </c>
      <c r="Q49" s="193"/>
      <c r="R49" s="194" t="str">
        <f>IF(Tournament!J50&lt;&gt;"",Tournament!J50,"")</f>
        <v/>
      </c>
      <c r="S49" s="194" t="s">
        <v>3088</v>
      </c>
      <c r="T49" s="194" t="str">
        <f>IF(Tournament!L50&lt;&gt;"",Tournament!L50,"")</f>
        <v/>
      </c>
      <c r="U49" s="193"/>
      <c r="V49" s="193" t="str">
        <f t="shared" si="1"/>
        <v>Spain</v>
      </c>
      <c r="W49" s="194"/>
      <c r="X49" s="194"/>
      <c r="Y49" s="194"/>
      <c r="Z49" s="194"/>
      <c r="AA49" s="194"/>
      <c r="AB49" s="194"/>
      <c r="AC49" s="194"/>
      <c r="AD49" s="195" t="str">
        <f>IF(AND(I49&lt;&gt;"",K49&lt;&gt;"",R49&lt;&gt;"",T49&lt;&gt;""),IF(AND(I49=R49,K49=T49),Setup!$D$10,IF((I49-K49)=(R49-T49),Setup!$D$11,IF(AND((I49&gt;K49),(R49&gt;T49)),Setup!$D$12,IF(AND((K49&gt;I49),(T49&gt;R49)),Setup!$D$12,0)))),"")</f>
        <v/>
      </c>
      <c r="AE49" s="183"/>
      <c r="CP49" s="168"/>
      <c r="CQ49" s="168"/>
      <c r="CR49" s="187"/>
      <c r="CS49" s="168"/>
    </row>
    <row r="50" spans="2:97" s="166" customFormat="1" ht="15" customHeight="1">
      <c r="B50" s="182"/>
      <c r="C50" s="181">
        <f>Tournament!D51</f>
        <v>36</v>
      </c>
      <c r="D50" s="181" t="str">
        <f>Tournament!E51</f>
        <v>B</v>
      </c>
      <c r="E50" s="188">
        <f>Tournament!F51</f>
        <v>41813.541666666664</v>
      </c>
      <c r="F50" s="189">
        <f>Tournament!G51</f>
        <v>41813.541666666664</v>
      </c>
      <c r="G50" s="190" t="str">
        <f>Tournament!H51</f>
        <v>Netherlands</v>
      </c>
      <c r="H50" s="180"/>
      <c r="I50" s="9"/>
      <c r="J50" s="191" t="s">
        <v>3088</v>
      </c>
      <c r="K50" s="9"/>
      <c r="L50" s="180"/>
      <c r="M50" s="180" t="str">
        <f>Tournament!N51</f>
        <v>Chile</v>
      </c>
      <c r="N50" s="183"/>
      <c r="P50" s="192" t="str">
        <f t="shared" si="0"/>
        <v>Netherlands</v>
      </c>
      <c r="Q50" s="193"/>
      <c r="R50" s="194" t="str">
        <f>IF(Tournament!J51&lt;&gt;"",Tournament!J51,"")</f>
        <v/>
      </c>
      <c r="S50" s="194" t="s">
        <v>3088</v>
      </c>
      <c r="T50" s="194" t="str">
        <f>IF(Tournament!L51&lt;&gt;"",Tournament!L51,"")</f>
        <v/>
      </c>
      <c r="U50" s="193"/>
      <c r="V50" s="193" t="str">
        <f t="shared" si="1"/>
        <v>Chile</v>
      </c>
      <c r="W50" s="194"/>
      <c r="X50" s="194"/>
      <c r="Y50" s="194"/>
      <c r="Z50" s="194"/>
      <c r="AA50" s="194"/>
      <c r="AB50" s="194"/>
      <c r="AC50" s="194"/>
      <c r="AD50" s="195" t="str">
        <f>IF(AND(I50&lt;&gt;"",K50&lt;&gt;"",R50&lt;&gt;"",T50&lt;&gt;""),IF(AND(I50=R50,K50=T50),Setup!$D$10,IF((I50-K50)=(R50-T50),Setup!$D$11,IF(AND((I50&gt;K50),(R50&gt;T50)),Setup!$D$12,IF(AND((K50&gt;I50),(T50&gt;R50)),Setup!$D$12,0)))),"")</f>
        <v/>
      </c>
      <c r="AE50" s="183"/>
      <c r="CP50" s="168"/>
      <c r="CQ50" s="168"/>
      <c r="CR50" s="187"/>
      <c r="CS50" s="168"/>
    </row>
    <row r="51" spans="2:97" s="166" customFormat="1" ht="15" customHeight="1">
      <c r="B51" s="182"/>
      <c r="C51" s="181">
        <f>Tournament!D52</f>
        <v>37</v>
      </c>
      <c r="D51" s="181" t="str">
        <f>Tournament!E52</f>
        <v>C</v>
      </c>
      <c r="E51" s="188">
        <f>Tournament!F52</f>
        <v>41814.708333333336</v>
      </c>
      <c r="F51" s="189">
        <f>Tournament!G52</f>
        <v>41814.708333333336</v>
      </c>
      <c r="G51" s="190" t="str">
        <f>Tournament!H52</f>
        <v>Japan</v>
      </c>
      <c r="H51" s="180"/>
      <c r="I51" s="9"/>
      <c r="J51" s="191" t="s">
        <v>3088</v>
      </c>
      <c r="K51" s="9"/>
      <c r="L51" s="180"/>
      <c r="M51" s="180" t="str">
        <f>Tournament!N52</f>
        <v>Colombia</v>
      </c>
      <c r="N51" s="183"/>
      <c r="P51" s="192" t="str">
        <f t="shared" si="0"/>
        <v>Japan</v>
      </c>
      <c r="Q51" s="193"/>
      <c r="R51" s="194" t="str">
        <f>IF(Tournament!J52&lt;&gt;"",Tournament!J52,"")</f>
        <v/>
      </c>
      <c r="S51" s="194" t="s">
        <v>3088</v>
      </c>
      <c r="T51" s="194" t="str">
        <f>IF(Tournament!L52&lt;&gt;"",Tournament!L52,"")</f>
        <v/>
      </c>
      <c r="U51" s="193"/>
      <c r="V51" s="193" t="str">
        <f t="shared" si="1"/>
        <v>Colombia</v>
      </c>
      <c r="W51" s="194"/>
      <c r="X51" s="194"/>
      <c r="Y51" s="194"/>
      <c r="Z51" s="194"/>
      <c r="AA51" s="194"/>
      <c r="AB51" s="194"/>
      <c r="AC51" s="194"/>
      <c r="AD51" s="195" t="str">
        <f>IF(AND(I51&lt;&gt;"",K51&lt;&gt;"",R51&lt;&gt;"",T51&lt;&gt;""),IF(AND(I51=R51,K51=T51),Setup!$D$10,IF((I51-K51)=(R51-T51),Setup!$D$11,IF(AND((I51&gt;K51),(R51&gt;T51)),Setup!$D$12,IF(AND((K51&gt;I51),(T51&gt;R51)),Setup!$D$12,0)))),"")</f>
        <v/>
      </c>
      <c r="AE51" s="183"/>
      <c r="CP51" s="168"/>
      <c r="CQ51" s="168"/>
      <c r="CR51" s="187"/>
      <c r="CS51" s="168"/>
    </row>
    <row r="52" spans="2:97" s="166" customFormat="1" ht="15" customHeight="1">
      <c r="B52" s="182"/>
      <c r="C52" s="181">
        <f>Tournament!D53</f>
        <v>38</v>
      </c>
      <c r="D52" s="181" t="str">
        <f>Tournament!E53</f>
        <v>C</v>
      </c>
      <c r="E52" s="188">
        <f>Tournament!F53</f>
        <v>41814.708333333336</v>
      </c>
      <c r="F52" s="189">
        <f>Tournament!G53</f>
        <v>41814.708333333336</v>
      </c>
      <c r="G52" s="190" t="str">
        <f>Tournament!H53</f>
        <v>Greece</v>
      </c>
      <c r="H52" s="180"/>
      <c r="I52" s="9"/>
      <c r="J52" s="191" t="s">
        <v>3088</v>
      </c>
      <c r="K52" s="9"/>
      <c r="L52" s="180"/>
      <c r="M52" s="180" t="str">
        <f>Tournament!N53</f>
        <v>Ivory Coast</v>
      </c>
      <c r="N52" s="183"/>
      <c r="P52" s="192" t="str">
        <f t="shared" si="0"/>
        <v>Greece</v>
      </c>
      <c r="Q52" s="193"/>
      <c r="R52" s="194" t="str">
        <f>IF(Tournament!J53&lt;&gt;"",Tournament!J53,"")</f>
        <v/>
      </c>
      <c r="S52" s="194" t="s">
        <v>3088</v>
      </c>
      <c r="T52" s="194" t="str">
        <f>IF(Tournament!L53&lt;&gt;"",Tournament!L53,"")</f>
        <v/>
      </c>
      <c r="U52" s="193"/>
      <c r="V52" s="193" t="str">
        <f t="shared" si="1"/>
        <v>Ivory Coast</v>
      </c>
      <c r="W52" s="194"/>
      <c r="X52" s="194"/>
      <c r="Y52" s="194"/>
      <c r="Z52" s="194"/>
      <c r="AA52" s="194"/>
      <c r="AB52" s="194"/>
      <c r="AC52" s="194"/>
      <c r="AD52" s="195" t="str">
        <f>IF(AND(I52&lt;&gt;"",K52&lt;&gt;"",R52&lt;&gt;"",T52&lt;&gt;""),IF(AND(I52=R52,K52=T52),Setup!$D$10,IF((I52-K52)=(R52-T52),Setup!$D$11,IF(AND((I52&gt;K52),(R52&gt;T52)),Setup!$D$12,IF(AND((K52&gt;I52),(T52&gt;R52)),Setup!$D$12,0)))),"")</f>
        <v/>
      </c>
      <c r="AE52" s="183"/>
      <c r="CP52" s="168"/>
      <c r="CQ52" s="168"/>
      <c r="CR52" s="187"/>
      <c r="CS52" s="168"/>
    </row>
    <row r="53" spans="2:97" s="166" customFormat="1" ht="15" customHeight="1">
      <c r="B53" s="182"/>
      <c r="C53" s="181">
        <f>Tournament!D54</f>
        <v>39</v>
      </c>
      <c r="D53" s="181" t="str">
        <f>Tournament!E54</f>
        <v>D</v>
      </c>
      <c r="E53" s="188">
        <f>Tournament!F54</f>
        <v>41814.541666666664</v>
      </c>
      <c r="F53" s="189">
        <f>Tournament!G54</f>
        <v>41814.541666666664</v>
      </c>
      <c r="G53" s="190" t="str">
        <f>Tournament!H54</f>
        <v>Italy</v>
      </c>
      <c r="H53" s="180"/>
      <c r="I53" s="9"/>
      <c r="J53" s="191" t="s">
        <v>3088</v>
      </c>
      <c r="K53" s="9"/>
      <c r="L53" s="180"/>
      <c r="M53" s="180" t="str">
        <f>Tournament!N54</f>
        <v>Uruguay</v>
      </c>
      <c r="N53" s="183"/>
      <c r="P53" s="192" t="str">
        <f t="shared" si="0"/>
        <v>Italy</v>
      </c>
      <c r="Q53" s="193"/>
      <c r="R53" s="194" t="str">
        <f>IF(Tournament!J54&lt;&gt;"",Tournament!J54,"")</f>
        <v/>
      </c>
      <c r="S53" s="194" t="s">
        <v>3088</v>
      </c>
      <c r="T53" s="194" t="str">
        <f>IF(Tournament!L54&lt;&gt;"",Tournament!L54,"")</f>
        <v/>
      </c>
      <c r="U53" s="193"/>
      <c r="V53" s="193" t="str">
        <f t="shared" si="1"/>
        <v>Uruguay</v>
      </c>
      <c r="W53" s="194"/>
      <c r="X53" s="194"/>
      <c r="Y53" s="194"/>
      <c r="Z53" s="194"/>
      <c r="AA53" s="194"/>
      <c r="AB53" s="194"/>
      <c r="AC53" s="194"/>
      <c r="AD53" s="195" t="str">
        <f>IF(AND(I53&lt;&gt;"",K53&lt;&gt;"",R53&lt;&gt;"",T53&lt;&gt;""),IF(AND(I53=R53,K53=T53),Setup!$D$10,IF((I53-K53)=(R53-T53),Setup!$D$11,IF(AND((I53&gt;K53),(R53&gt;T53)),Setup!$D$12,IF(AND((K53&gt;I53),(T53&gt;R53)),Setup!$D$12,0)))),"")</f>
        <v/>
      </c>
      <c r="AE53" s="183"/>
      <c r="CP53" s="168"/>
      <c r="CQ53" s="168"/>
      <c r="CR53" s="187"/>
      <c r="CS53" s="168"/>
    </row>
    <row r="54" spans="2:97" s="166" customFormat="1" ht="15" customHeight="1">
      <c r="B54" s="182"/>
      <c r="C54" s="181">
        <f>Tournament!D55</f>
        <v>40</v>
      </c>
      <c r="D54" s="181" t="str">
        <f>Tournament!E55</f>
        <v>D</v>
      </c>
      <c r="E54" s="188">
        <f>Tournament!F55</f>
        <v>41814.541666666664</v>
      </c>
      <c r="F54" s="189">
        <f>Tournament!G55</f>
        <v>41814.541666666664</v>
      </c>
      <c r="G54" s="190" t="str">
        <f>Tournament!H55</f>
        <v>Costa Rica</v>
      </c>
      <c r="H54" s="180"/>
      <c r="I54" s="9"/>
      <c r="J54" s="191" t="s">
        <v>3088</v>
      </c>
      <c r="K54" s="9"/>
      <c r="L54" s="180"/>
      <c r="M54" s="180" t="str">
        <f>Tournament!N55</f>
        <v>England</v>
      </c>
      <c r="N54" s="183"/>
      <c r="P54" s="192" t="str">
        <f t="shared" si="0"/>
        <v>Costa Rica</v>
      </c>
      <c r="Q54" s="193"/>
      <c r="R54" s="194" t="str">
        <f>IF(Tournament!J55&lt;&gt;"",Tournament!J55,"")</f>
        <v/>
      </c>
      <c r="S54" s="194" t="s">
        <v>3088</v>
      </c>
      <c r="T54" s="194" t="str">
        <f>IF(Tournament!L55&lt;&gt;"",Tournament!L55,"")</f>
        <v/>
      </c>
      <c r="U54" s="193"/>
      <c r="V54" s="193" t="str">
        <f t="shared" si="1"/>
        <v>England</v>
      </c>
      <c r="W54" s="194"/>
      <c r="X54" s="194"/>
      <c r="Y54" s="194"/>
      <c r="Z54" s="194"/>
      <c r="AA54" s="194"/>
      <c r="AB54" s="194"/>
      <c r="AC54" s="194"/>
      <c r="AD54" s="195" t="str">
        <f>IF(AND(I54&lt;&gt;"",K54&lt;&gt;"",R54&lt;&gt;"",T54&lt;&gt;""),IF(AND(I54=R54,K54=T54),Setup!$D$10,IF((I54-K54)=(R54-T54),Setup!$D$11,IF(AND((I54&gt;K54),(R54&gt;T54)),Setup!$D$12,IF(AND((K54&gt;I54),(T54&gt;R54)),Setup!$D$12,0)))),"")</f>
        <v/>
      </c>
      <c r="AE54" s="183"/>
      <c r="CP54" s="168"/>
      <c r="CQ54" s="168"/>
      <c r="CR54" s="187"/>
      <c r="CS54" s="168"/>
    </row>
    <row r="55" spans="2:97" s="166" customFormat="1" ht="15" customHeight="1">
      <c r="B55" s="182"/>
      <c r="C55" s="181">
        <f>Tournament!D56</f>
        <v>41</v>
      </c>
      <c r="D55" s="181" t="str">
        <f>Tournament!E56</f>
        <v>E</v>
      </c>
      <c r="E55" s="188">
        <f>Tournament!F56</f>
        <v>41815.708333333336</v>
      </c>
      <c r="F55" s="189">
        <f>Tournament!G56</f>
        <v>41815.708333333336</v>
      </c>
      <c r="G55" s="190" t="str">
        <f>Tournament!H56</f>
        <v>Honduras</v>
      </c>
      <c r="H55" s="180"/>
      <c r="I55" s="9"/>
      <c r="J55" s="191" t="s">
        <v>3088</v>
      </c>
      <c r="K55" s="9"/>
      <c r="L55" s="180"/>
      <c r="M55" s="180" t="str">
        <f>Tournament!N56</f>
        <v>Switzerland</v>
      </c>
      <c r="N55" s="183"/>
      <c r="P55" s="192" t="str">
        <f t="shared" si="0"/>
        <v>Honduras</v>
      </c>
      <c r="Q55" s="193"/>
      <c r="R55" s="194" t="str">
        <f>IF(Tournament!J56&lt;&gt;"",Tournament!J56,"")</f>
        <v/>
      </c>
      <c r="S55" s="194" t="s">
        <v>3088</v>
      </c>
      <c r="T55" s="194" t="str">
        <f>IF(Tournament!L56&lt;&gt;"",Tournament!L56,"")</f>
        <v/>
      </c>
      <c r="U55" s="193"/>
      <c r="V55" s="193" t="str">
        <f t="shared" si="1"/>
        <v>Switzerland</v>
      </c>
      <c r="W55" s="194"/>
      <c r="X55" s="194"/>
      <c r="Y55" s="194"/>
      <c r="Z55" s="194"/>
      <c r="AA55" s="194"/>
      <c r="AB55" s="194"/>
      <c r="AC55" s="194"/>
      <c r="AD55" s="195" t="str">
        <f>IF(AND(I55&lt;&gt;"",K55&lt;&gt;"",R55&lt;&gt;"",T55&lt;&gt;""),IF(AND(I55=R55,K55=T55),Setup!$D$10,IF((I55-K55)=(R55-T55),Setup!$D$11,IF(AND((I55&gt;K55),(R55&gt;T55)),Setup!$D$12,IF(AND((K55&gt;I55),(T55&gt;R55)),Setup!$D$12,0)))),"")</f>
        <v/>
      </c>
      <c r="AE55" s="183"/>
      <c r="CP55" s="168"/>
      <c r="CQ55" s="168"/>
      <c r="CR55" s="187"/>
      <c r="CS55" s="168"/>
    </row>
    <row r="56" spans="2:97" s="166" customFormat="1" ht="15" customHeight="1">
      <c r="B56" s="182"/>
      <c r="C56" s="181">
        <f>Tournament!D57</f>
        <v>42</v>
      </c>
      <c r="D56" s="181" t="str">
        <f>Tournament!E57</f>
        <v>E</v>
      </c>
      <c r="E56" s="188">
        <f>Tournament!F57</f>
        <v>41815.708333333336</v>
      </c>
      <c r="F56" s="189">
        <f>Tournament!G57</f>
        <v>41815.708333333336</v>
      </c>
      <c r="G56" s="190" t="str">
        <f>Tournament!H57</f>
        <v>Ecuador</v>
      </c>
      <c r="H56" s="180"/>
      <c r="I56" s="9"/>
      <c r="J56" s="191" t="s">
        <v>3088</v>
      </c>
      <c r="K56" s="9"/>
      <c r="L56" s="180"/>
      <c r="M56" s="180" t="str">
        <f>Tournament!N57</f>
        <v>France</v>
      </c>
      <c r="N56" s="183"/>
      <c r="P56" s="192" t="str">
        <f t="shared" si="0"/>
        <v>Ecuador</v>
      </c>
      <c r="Q56" s="193"/>
      <c r="R56" s="194" t="str">
        <f>IF(Tournament!J57&lt;&gt;"",Tournament!J57,"")</f>
        <v/>
      </c>
      <c r="S56" s="194" t="s">
        <v>3088</v>
      </c>
      <c r="T56" s="194" t="str">
        <f>IF(Tournament!L57&lt;&gt;"",Tournament!L57,"")</f>
        <v/>
      </c>
      <c r="U56" s="193"/>
      <c r="V56" s="193" t="str">
        <f t="shared" si="1"/>
        <v>France</v>
      </c>
      <c r="W56" s="194"/>
      <c r="X56" s="194"/>
      <c r="Y56" s="194"/>
      <c r="Z56" s="194"/>
      <c r="AA56" s="194"/>
      <c r="AB56" s="194"/>
      <c r="AC56" s="194"/>
      <c r="AD56" s="195" t="str">
        <f>IF(AND(I56&lt;&gt;"",K56&lt;&gt;"",R56&lt;&gt;"",T56&lt;&gt;""),IF(AND(I56=R56,K56=T56),Setup!$D$10,IF((I56-K56)=(R56-T56),Setup!$D$11,IF(AND((I56&gt;K56),(R56&gt;T56)),Setup!$D$12,IF(AND((K56&gt;I56),(T56&gt;R56)),Setup!$D$12,0)))),"")</f>
        <v/>
      </c>
      <c r="AE56" s="183"/>
      <c r="CP56" s="168"/>
      <c r="CQ56" s="168"/>
      <c r="CR56" s="187"/>
      <c r="CS56" s="168"/>
    </row>
    <row r="57" spans="2:97" s="166" customFormat="1" ht="15" customHeight="1">
      <c r="B57" s="182"/>
      <c r="C57" s="181">
        <f>Tournament!D58</f>
        <v>43</v>
      </c>
      <c r="D57" s="181" t="str">
        <f>Tournament!E58</f>
        <v>F</v>
      </c>
      <c r="E57" s="188">
        <f>Tournament!F58</f>
        <v>41815.541666666664</v>
      </c>
      <c r="F57" s="189">
        <f>Tournament!G58</f>
        <v>41815.541666666664</v>
      </c>
      <c r="G57" s="190" t="str">
        <f>Tournament!H58</f>
        <v>Nigeria</v>
      </c>
      <c r="H57" s="180"/>
      <c r="I57" s="9"/>
      <c r="J57" s="191" t="s">
        <v>3088</v>
      </c>
      <c r="K57" s="9"/>
      <c r="L57" s="180"/>
      <c r="M57" s="180" t="str">
        <f>Tournament!N58</f>
        <v>Argentina</v>
      </c>
      <c r="N57" s="183"/>
      <c r="P57" s="192" t="str">
        <f t="shared" si="0"/>
        <v>Nigeria</v>
      </c>
      <c r="Q57" s="193"/>
      <c r="R57" s="194" t="str">
        <f>IF(Tournament!J58&lt;&gt;"",Tournament!J58,"")</f>
        <v/>
      </c>
      <c r="S57" s="194" t="s">
        <v>3088</v>
      </c>
      <c r="T57" s="194" t="str">
        <f>IF(Tournament!L58&lt;&gt;"",Tournament!L58,"")</f>
        <v/>
      </c>
      <c r="U57" s="193"/>
      <c r="V57" s="193" t="str">
        <f t="shared" si="1"/>
        <v>Argentina</v>
      </c>
      <c r="W57" s="194"/>
      <c r="X57" s="194"/>
      <c r="Y57" s="194"/>
      <c r="Z57" s="194"/>
      <c r="AA57" s="194"/>
      <c r="AB57" s="194"/>
      <c r="AC57" s="194"/>
      <c r="AD57" s="195" t="str">
        <f>IF(AND(I57&lt;&gt;"",K57&lt;&gt;"",R57&lt;&gt;"",T57&lt;&gt;""),IF(AND(I57=R57,K57=T57),Setup!$D$10,IF((I57-K57)=(R57-T57),Setup!$D$11,IF(AND((I57&gt;K57),(R57&gt;T57)),Setup!$D$12,IF(AND((K57&gt;I57),(T57&gt;R57)),Setup!$D$12,0)))),"")</f>
        <v/>
      </c>
      <c r="AE57" s="183"/>
      <c r="CP57" s="168"/>
      <c r="CQ57" s="168"/>
      <c r="CR57" s="187"/>
      <c r="CS57" s="168"/>
    </row>
    <row r="58" spans="2:97" s="166" customFormat="1" ht="15" customHeight="1">
      <c r="B58" s="182"/>
      <c r="C58" s="181">
        <f>Tournament!D59</f>
        <v>44</v>
      </c>
      <c r="D58" s="181" t="str">
        <f>Tournament!E59</f>
        <v>F</v>
      </c>
      <c r="E58" s="188">
        <f>Tournament!F59</f>
        <v>41815.541666666664</v>
      </c>
      <c r="F58" s="189">
        <f>Tournament!G59</f>
        <v>41815.541666666664</v>
      </c>
      <c r="G58" s="190" t="str">
        <f>Tournament!H59</f>
        <v>Bosnia-Herzegovina</v>
      </c>
      <c r="H58" s="180"/>
      <c r="I58" s="9"/>
      <c r="J58" s="191" t="s">
        <v>3088</v>
      </c>
      <c r="K58" s="9"/>
      <c r="L58" s="180"/>
      <c r="M58" s="180" t="str">
        <f>Tournament!N59</f>
        <v>Iran</v>
      </c>
      <c r="N58" s="183"/>
      <c r="P58" s="192" t="str">
        <f t="shared" si="0"/>
        <v>Bosnia-Herzegovina</v>
      </c>
      <c r="Q58" s="193"/>
      <c r="R58" s="194" t="str">
        <f>IF(Tournament!J59&lt;&gt;"",Tournament!J59,"")</f>
        <v/>
      </c>
      <c r="S58" s="194" t="s">
        <v>3088</v>
      </c>
      <c r="T58" s="194" t="str">
        <f>IF(Tournament!L59&lt;&gt;"",Tournament!L59,"")</f>
        <v/>
      </c>
      <c r="U58" s="193"/>
      <c r="V58" s="193" t="str">
        <f t="shared" si="1"/>
        <v>Iran</v>
      </c>
      <c r="W58" s="194"/>
      <c r="X58" s="194"/>
      <c r="Y58" s="194"/>
      <c r="Z58" s="194"/>
      <c r="AA58" s="194"/>
      <c r="AB58" s="194"/>
      <c r="AC58" s="194"/>
      <c r="AD58" s="195" t="str">
        <f>IF(AND(I58&lt;&gt;"",K58&lt;&gt;"",R58&lt;&gt;"",T58&lt;&gt;""),IF(AND(I58=R58,K58=T58),Setup!$D$10,IF((I58-K58)=(R58-T58),Setup!$D$11,IF(AND((I58&gt;K58),(R58&gt;T58)),Setup!$D$12,IF(AND((K58&gt;I58),(T58&gt;R58)),Setup!$D$12,0)))),"")</f>
        <v/>
      </c>
      <c r="AE58" s="183"/>
      <c r="CP58" s="168"/>
      <c r="CQ58" s="168"/>
      <c r="CR58" s="187"/>
      <c r="CS58" s="168"/>
    </row>
    <row r="59" spans="2:97" s="166" customFormat="1" ht="15" customHeight="1">
      <c r="B59" s="182"/>
      <c r="C59" s="181">
        <f>Tournament!D60</f>
        <v>45</v>
      </c>
      <c r="D59" s="181" t="str">
        <f>Tournament!E60</f>
        <v>G</v>
      </c>
      <c r="E59" s="188">
        <f>Tournament!F60</f>
        <v>41816.541666666664</v>
      </c>
      <c r="F59" s="189">
        <f>Tournament!G60</f>
        <v>41816.541666666664</v>
      </c>
      <c r="G59" s="190" t="str">
        <f>Tournament!H60</f>
        <v>USA</v>
      </c>
      <c r="H59" s="180"/>
      <c r="I59" s="9"/>
      <c r="J59" s="191" t="s">
        <v>3088</v>
      </c>
      <c r="K59" s="9"/>
      <c r="L59" s="180"/>
      <c r="M59" s="180" t="str">
        <f>Tournament!N60</f>
        <v>Germany</v>
      </c>
      <c r="N59" s="183"/>
      <c r="P59" s="192" t="str">
        <f t="shared" si="0"/>
        <v>USA</v>
      </c>
      <c r="Q59" s="193"/>
      <c r="R59" s="194" t="str">
        <f>IF(Tournament!J60&lt;&gt;"",Tournament!J60,"")</f>
        <v/>
      </c>
      <c r="S59" s="194" t="s">
        <v>3088</v>
      </c>
      <c r="T59" s="194" t="str">
        <f>IF(Tournament!L60&lt;&gt;"",Tournament!L60,"")</f>
        <v/>
      </c>
      <c r="U59" s="193"/>
      <c r="V59" s="193" t="str">
        <f t="shared" si="1"/>
        <v>Germany</v>
      </c>
      <c r="W59" s="194"/>
      <c r="X59" s="194"/>
      <c r="Y59" s="194"/>
      <c r="Z59" s="194"/>
      <c r="AA59" s="194"/>
      <c r="AB59" s="194"/>
      <c r="AC59" s="194"/>
      <c r="AD59" s="195" t="str">
        <f>IF(AND(I59&lt;&gt;"",K59&lt;&gt;"",R59&lt;&gt;"",T59&lt;&gt;""),IF(AND(I59=R59,K59=T59),Setup!$D$10,IF((I59-K59)=(R59-T59),Setup!$D$11,IF(AND((I59&gt;K59),(R59&gt;T59)),Setup!$D$12,IF(AND((K59&gt;I59),(T59&gt;R59)),Setup!$D$12,0)))),"")</f>
        <v/>
      </c>
      <c r="AE59" s="183"/>
      <c r="CP59" s="168"/>
      <c r="CQ59" s="168"/>
      <c r="CR59" s="187"/>
      <c r="CS59" s="168"/>
    </row>
    <row r="60" spans="2:97" s="166" customFormat="1" ht="15" customHeight="1">
      <c r="B60" s="182"/>
      <c r="C60" s="181">
        <f>Tournament!D61</f>
        <v>46</v>
      </c>
      <c r="D60" s="181" t="str">
        <f>Tournament!E61</f>
        <v>G</v>
      </c>
      <c r="E60" s="188">
        <f>Tournament!F61</f>
        <v>41816.541666666664</v>
      </c>
      <c r="F60" s="189">
        <f>Tournament!G61</f>
        <v>41816.541666666664</v>
      </c>
      <c r="G60" s="190" t="str">
        <f>Tournament!H61</f>
        <v>Portugal</v>
      </c>
      <c r="H60" s="180"/>
      <c r="I60" s="9"/>
      <c r="J60" s="191" t="s">
        <v>3088</v>
      </c>
      <c r="K60" s="9"/>
      <c r="L60" s="180"/>
      <c r="M60" s="180" t="str">
        <f>Tournament!N61</f>
        <v>Ghana</v>
      </c>
      <c r="N60" s="183"/>
      <c r="P60" s="192" t="str">
        <f t="shared" si="0"/>
        <v>Portugal</v>
      </c>
      <c r="Q60" s="193"/>
      <c r="R60" s="194" t="str">
        <f>IF(Tournament!J61&lt;&gt;"",Tournament!J61,"")</f>
        <v/>
      </c>
      <c r="S60" s="194" t="s">
        <v>3088</v>
      </c>
      <c r="T60" s="194" t="str">
        <f>IF(Tournament!L61&lt;&gt;"",Tournament!L61,"")</f>
        <v/>
      </c>
      <c r="U60" s="193"/>
      <c r="V60" s="193" t="str">
        <f t="shared" si="1"/>
        <v>Ghana</v>
      </c>
      <c r="W60" s="194"/>
      <c r="X60" s="194"/>
      <c r="Y60" s="194"/>
      <c r="Z60" s="194"/>
      <c r="AA60" s="194"/>
      <c r="AB60" s="194"/>
      <c r="AC60" s="194"/>
      <c r="AD60" s="195" t="str">
        <f>IF(AND(I60&lt;&gt;"",K60&lt;&gt;"",R60&lt;&gt;"",T60&lt;&gt;""),IF(AND(I60=R60,K60=T60),Setup!$D$10,IF((I60-K60)=(R60-T60),Setup!$D$11,IF(AND((I60&gt;K60),(R60&gt;T60)),Setup!$D$12,IF(AND((K60&gt;I60),(T60&gt;R60)),Setup!$D$12,0)))),"")</f>
        <v/>
      </c>
      <c r="AE60" s="183"/>
      <c r="CN60" s="168"/>
      <c r="CO60" s="168"/>
      <c r="CP60" s="187"/>
      <c r="CQ60" s="168"/>
    </row>
    <row r="61" spans="2:97" s="166" customFormat="1" ht="15" customHeight="1">
      <c r="B61" s="182"/>
      <c r="C61" s="181">
        <f>Tournament!D62</f>
        <v>47</v>
      </c>
      <c r="D61" s="181" t="str">
        <f>Tournament!E62</f>
        <v>H</v>
      </c>
      <c r="E61" s="188">
        <f>Tournament!F62</f>
        <v>41816.708333333336</v>
      </c>
      <c r="F61" s="189">
        <f>Tournament!G62</f>
        <v>41816.708333333336</v>
      </c>
      <c r="G61" s="190" t="str">
        <f>Tournament!H62</f>
        <v>South Korea</v>
      </c>
      <c r="H61" s="180"/>
      <c r="I61" s="9"/>
      <c r="J61" s="191" t="s">
        <v>3088</v>
      </c>
      <c r="K61" s="9"/>
      <c r="L61" s="180"/>
      <c r="M61" s="180" t="str">
        <f>Tournament!N62</f>
        <v>Belgium</v>
      </c>
      <c r="N61" s="183"/>
      <c r="P61" s="192" t="str">
        <f t="shared" si="0"/>
        <v>South Korea</v>
      </c>
      <c r="Q61" s="193"/>
      <c r="R61" s="194" t="str">
        <f>IF(Tournament!J62&lt;&gt;"",Tournament!J62,"")</f>
        <v/>
      </c>
      <c r="S61" s="194" t="s">
        <v>3088</v>
      </c>
      <c r="T61" s="194" t="str">
        <f>IF(Tournament!L62&lt;&gt;"",Tournament!L62,"")</f>
        <v/>
      </c>
      <c r="U61" s="193"/>
      <c r="V61" s="193" t="str">
        <f t="shared" si="1"/>
        <v>Belgium</v>
      </c>
      <c r="W61" s="194"/>
      <c r="X61" s="194"/>
      <c r="Y61" s="194"/>
      <c r="Z61" s="194"/>
      <c r="AA61" s="194"/>
      <c r="AB61" s="194"/>
      <c r="AC61" s="194"/>
      <c r="AD61" s="195" t="str">
        <f>IF(AND(I61&lt;&gt;"",K61&lt;&gt;"",R61&lt;&gt;"",T61&lt;&gt;""),IF(AND(I61=R61,K61=T61),Setup!$D$10,IF((I61-K61)=(R61-T61),Setup!$D$11,IF(AND((I61&gt;K61),(R61&gt;T61)),Setup!$D$12,IF(AND((K61&gt;I61),(T61&gt;R61)),Setup!$D$12,0)))),"")</f>
        <v/>
      </c>
      <c r="AE61" s="183"/>
      <c r="CM61" s="168"/>
      <c r="CN61" s="168"/>
      <c r="CO61" s="187"/>
      <c r="CP61" s="168"/>
    </row>
    <row r="62" spans="2:97" s="166" customFormat="1" ht="15" customHeight="1">
      <c r="B62" s="182"/>
      <c r="C62" s="181">
        <f>Tournament!D63</f>
        <v>48</v>
      </c>
      <c r="D62" s="181" t="str">
        <f>Tournament!E63</f>
        <v>H</v>
      </c>
      <c r="E62" s="188">
        <f>Tournament!F63</f>
        <v>41816.708333333336</v>
      </c>
      <c r="F62" s="189">
        <f>Tournament!G63</f>
        <v>41816.708333333336</v>
      </c>
      <c r="G62" s="190" t="str">
        <f>Tournament!H63</f>
        <v>Algeria</v>
      </c>
      <c r="H62" s="180"/>
      <c r="I62" s="9"/>
      <c r="J62" s="191" t="s">
        <v>3088</v>
      </c>
      <c r="K62" s="9"/>
      <c r="L62" s="180"/>
      <c r="M62" s="180" t="str">
        <f>Tournament!N63</f>
        <v>Russia</v>
      </c>
      <c r="N62" s="183"/>
      <c r="P62" s="192" t="str">
        <f t="shared" si="0"/>
        <v>Algeria</v>
      </c>
      <c r="Q62" s="193"/>
      <c r="R62" s="194" t="str">
        <f>IF(Tournament!J63&lt;&gt;"",Tournament!J63,"")</f>
        <v/>
      </c>
      <c r="S62" s="194" t="s">
        <v>3088</v>
      </c>
      <c r="T62" s="194" t="str">
        <f>IF(Tournament!L63&lt;&gt;"",Tournament!L63,"")</f>
        <v/>
      </c>
      <c r="U62" s="193"/>
      <c r="V62" s="193" t="str">
        <f t="shared" si="1"/>
        <v>Russia</v>
      </c>
      <c r="AD62" s="195" t="str">
        <f>IF(AND(I62&lt;&gt;"",K62&lt;&gt;"",R62&lt;&gt;"",T62&lt;&gt;""),IF(AND(I62=R62,K62=T62),Setup!$D$10,IF((I62-K62)=(R62-T62),Setup!$D$11,IF(AND((I62&gt;K62),(R62&gt;T62)),Setup!$D$12,IF(AND((K62&gt;I62),(T62&gt;R62)),Setup!$D$12,0)))),"")</f>
        <v/>
      </c>
      <c r="AE62" s="183"/>
      <c r="CM62" s="168"/>
      <c r="CN62" s="168"/>
      <c r="CO62" s="187"/>
      <c r="CP62" s="168"/>
    </row>
    <row r="63" spans="2:97" s="166" customFormat="1" ht="15" customHeight="1">
      <c r="B63" s="182"/>
      <c r="C63" s="181"/>
      <c r="D63" s="181"/>
      <c r="E63" s="188"/>
      <c r="F63" s="189"/>
      <c r="G63" s="190"/>
      <c r="H63" s="180"/>
      <c r="I63" s="191"/>
      <c r="J63" s="191"/>
      <c r="K63" s="191"/>
      <c r="L63" s="180"/>
      <c r="M63" s="180"/>
      <c r="N63" s="183"/>
      <c r="P63" s="192"/>
      <c r="Q63" s="193"/>
      <c r="R63" s="194"/>
      <c r="S63" s="194"/>
      <c r="T63" s="194"/>
      <c r="U63" s="193"/>
      <c r="V63" s="193"/>
      <c r="AD63" s="181"/>
      <c r="AE63" s="183"/>
      <c r="CM63" s="168"/>
      <c r="CN63" s="168"/>
      <c r="CO63" s="187"/>
      <c r="CP63" s="168"/>
    </row>
    <row r="64" spans="2:97" s="166" customFormat="1" ht="15" customHeight="1">
      <c r="B64" s="300" t="s">
        <v>3544</v>
      </c>
      <c r="C64" s="301"/>
      <c r="D64" s="301"/>
      <c r="E64" s="301"/>
      <c r="F64" s="301"/>
      <c r="G64" s="301"/>
      <c r="H64" s="301"/>
      <c r="I64" s="301"/>
      <c r="J64" s="301"/>
      <c r="K64" s="301"/>
      <c r="L64" s="301"/>
      <c r="M64" s="301"/>
      <c r="N64" s="302"/>
      <c r="P64" s="303" t="str">
        <f>B64</f>
        <v>Knock Out Stages</v>
      </c>
      <c r="Q64" s="304"/>
      <c r="R64" s="304"/>
      <c r="S64" s="304"/>
      <c r="T64" s="304"/>
      <c r="U64" s="304"/>
      <c r="V64" s="304"/>
      <c r="W64" s="304"/>
      <c r="X64" s="304"/>
      <c r="Y64" s="304"/>
      <c r="Z64" s="304"/>
      <c r="AA64" s="304"/>
      <c r="AB64" s="304"/>
      <c r="AC64" s="304"/>
      <c r="AD64" s="304"/>
      <c r="AE64" s="305"/>
      <c r="CM64" s="168"/>
      <c r="CN64" s="168"/>
      <c r="CO64" s="187"/>
      <c r="CP64" s="168"/>
    </row>
    <row r="65" spans="2:94" s="166" customFormat="1" ht="15" customHeight="1">
      <c r="B65" s="182"/>
      <c r="C65" s="181"/>
      <c r="D65" s="181"/>
      <c r="E65" s="188"/>
      <c r="F65" s="189"/>
      <c r="G65" s="190"/>
      <c r="H65" s="180"/>
      <c r="I65" s="191"/>
      <c r="J65" s="191"/>
      <c r="K65" s="191"/>
      <c r="L65" s="180"/>
      <c r="M65" s="180"/>
      <c r="N65" s="183"/>
      <c r="P65" s="192"/>
      <c r="Q65" s="193"/>
      <c r="R65" s="299" t="s">
        <v>3554</v>
      </c>
      <c r="S65" s="299"/>
      <c r="T65" s="299"/>
      <c r="U65" s="193"/>
      <c r="V65" s="193"/>
      <c r="W65" s="299" t="s">
        <v>3546</v>
      </c>
      <c r="X65" s="299"/>
      <c r="Y65" s="299"/>
      <c r="Z65" s="197"/>
      <c r="AA65" s="299" t="s">
        <v>3547</v>
      </c>
      <c r="AB65" s="299"/>
      <c r="AC65" s="299"/>
      <c r="AD65" s="181"/>
      <c r="AE65" s="183"/>
      <c r="CM65" s="168"/>
      <c r="CN65" s="168"/>
      <c r="CO65" s="187"/>
      <c r="CP65" s="168"/>
    </row>
    <row r="66" spans="2:94" s="166" customFormat="1" ht="15" customHeight="1">
      <c r="B66" s="182"/>
      <c r="C66" s="181">
        <v>49</v>
      </c>
      <c r="D66" s="181" t="s">
        <v>3548</v>
      </c>
      <c r="E66" s="188">
        <f>Tournament!F69</f>
        <v>41818.541666666664</v>
      </c>
      <c r="F66" s="189">
        <f>Tournament!G69</f>
        <v>41818.541666666664</v>
      </c>
      <c r="G66" s="190" t="str">
        <f>Tournament!H69</f>
        <v>Group A Winner</v>
      </c>
      <c r="H66" s="180"/>
      <c r="I66" s="9"/>
      <c r="J66" s="191" t="s">
        <v>3088</v>
      </c>
      <c r="K66" s="9"/>
      <c r="L66" s="180"/>
      <c r="M66" s="198" t="str">
        <f>Tournament!N69</f>
        <v>Group B Runner Up</v>
      </c>
      <c r="N66" s="183"/>
      <c r="P66" s="192" t="str">
        <f t="shared" ref="P66:P81" si="2">G66</f>
        <v>Group A Winner</v>
      </c>
      <c r="Q66" s="193"/>
      <c r="R66" s="194" t="str">
        <f>IF($Z$67=0,IF($Z$66=0,IF(Tournament!J70&lt;&gt;"",Tournament!J70,""),IF(Tournament!J70&lt;&gt;"",Tournament!J70+Tournament!J71,"")),IF(Tournament!J69&lt;&gt;"",Tournament!J69,""))</f>
        <v/>
      </c>
      <c r="S66" s="194" t="s">
        <v>3088</v>
      </c>
      <c r="T66" s="194" t="str">
        <f>IF($Z$67=0,IF($Z$66=0,IF(Tournament!L70&lt;&gt;"",Tournament!L70,""),IF(Tournament!L70&lt;&gt;"",Tournament!L70+Tournament!L71,"")),IF(Tournament!L69&lt;&gt;"",Tournament!L69,""))</f>
        <v/>
      </c>
      <c r="U66" s="193"/>
      <c r="V66" s="193" t="str">
        <f t="shared" ref="V66:V81" si="3">M66</f>
        <v>Group B Runner Up</v>
      </c>
      <c r="W66" s="191" t="str">
        <f>IF(Tournament!J71&lt;&gt;"",Tournament!J71,"")</f>
        <v/>
      </c>
      <c r="X66" s="199" t="s">
        <v>3088</v>
      </c>
      <c r="Y66" s="191" t="str">
        <f>IF(Tournament!L71&lt;&gt;"",Tournament!L71,"")</f>
        <v/>
      </c>
      <c r="Z66" s="199">
        <f>Setup!E16</f>
        <v>1</v>
      </c>
      <c r="AA66" s="191" t="str">
        <f>IF(Tournament!J72&lt;&gt;"",Tournament!J72,"")</f>
        <v/>
      </c>
      <c r="AB66" s="194" t="s">
        <v>3088</v>
      </c>
      <c r="AC66" s="191" t="str">
        <f>IF(Tournament!L72&lt;&gt;"",Tournament!L72,"")</f>
        <v/>
      </c>
      <c r="AD66" s="195" t="str">
        <f>IF(AND(I66&lt;&gt;"",K66&lt;&gt;"",R66&lt;&gt;"",T66&lt;&gt;""),IF(AND(I66=R66,K66=T66),Setup!$D$20,IF((I66-K66)=(R66-T66),Setup!$D$21,IF(AND((I66&gt;K66),(R66&gt;T66)),Setup!$D$22,IF(AND((K66&gt;I66),(T66&gt;R66)),Setup!$D$22,0)))),"")</f>
        <v/>
      </c>
      <c r="AE66" s="183"/>
      <c r="CM66" s="168"/>
      <c r="CN66" s="168"/>
      <c r="CO66" s="187"/>
      <c r="CP66" s="168"/>
    </row>
    <row r="67" spans="2:94" s="166" customFormat="1" ht="15" customHeight="1">
      <c r="B67" s="182"/>
      <c r="C67" s="181">
        <v>50</v>
      </c>
      <c r="D67" s="181" t="str">
        <f>D66</f>
        <v>R16</v>
      </c>
      <c r="E67" s="188">
        <f>Tournament!F75</f>
        <v>41818.708333333336</v>
      </c>
      <c r="F67" s="189">
        <f>Tournament!G75</f>
        <v>41818.708333333336</v>
      </c>
      <c r="G67" s="190" t="str">
        <f>Tournament!H75</f>
        <v>Group C Winner</v>
      </c>
      <c r="H67" s="180"/>
      <c r="I67" s="9"/>
      <c r="J67" s="191" t="s">
        <v>3088</v>
      </c>
      <c r="K67" s="9"/>
      <c r="L67" s="180"/>
      <c r="M67" s="198" t="str">
        <f>Tournament!N75</f>
        <v>Group D Runner Up</v>
      </c>
      <c r="N67" s="183"/>
      <c r="P67" s="192" t="str">
        <f t="shared" si="2"/>
        <v>Group C Winner</v>
      </c>
      <c r="Q67" s="193"/>
      <c r="R67" s="194" t="str">
        <f>IF($Z$67=0,IF($Z$66=0,IF(Tournament!J76&lt;&gt;"",Tournament!J76,""),IF(Tournament!J76&lt;&gt;"",Tournament!J76+Tournament!J77,"")),IF(Tournament!J75&lt;&gt;"",Tournament!J75,""))</f>
        <v/>
      </c>
      <c r="S67" s="194" t="s">
        <v>3088</v>
      </c>
      <c r="T67" s="194" t="str">
        <f>IF($Z$67=0,IF($Z$66=0,IF(Tournament!L76&lt;&gt;"",Tournament!L76,""),IF(Tournament!L76&lt;&gt;"",Tournament!L76+Tournament!L77,"")),IF(Tournament!L75&lt;&gt;"",Tournament!L75,""))</f>
        <v/>
      </c>
      <c r="U67" s="193"/>
      <c r="V67" s="193" t="str">
        <f t="shared" si="3"/>
        <v>Group D Runner Up</v>
      </c>
      <c r="W67" s="191" t="str">
        <f>IF(Tournament!J77&lt;&gt;"",Tournament!J77,"")</f>
        <v/>
      </c>
      <c r="X67" s="199" t="s">
        <v>3088</v>
      </c>
      <c r="Y67" s="191" t="str">
        <f>IF(Tournament!L77&lt;&gt;"",Tournament!L77,"")</f>
        <v/>
      </c>
      <c r="Z67" s="199">
        <f>Setup!E17</f>
        <v>0</v>
      </c>
      <c r="AA67" s="191" t="str">
        <f>IF(Tournament!J78&lt;&gt;"",Tournament!J78,"")</f>
        <v/>
      </c>
      <c r="AB67" s="194" t="s">
        <v>3088</v>
      </c>
      <c r="AC67" s="191" t="str">
        <f>IF(Tournament!L78&lt;&gt;"",Tournament!L78,"")</f>
        <v/>
      </c>
      <c r="AD67" s="195" t="str">
        <f>IF(AND(I67&lt;&gt;"",K67&lt;&gt;"",R67&lt;&gt;"",T67&lt;&gt;""),IF(AND(I67=R67,K67=T67),Setup!$D$20,IF((I67-K67)=(R67-T67),Setup!$D$21,IF(AND((I67&gt;K67),(R67&gt;T67)),Setup!$D$22,IF(AND((K67&gt;I67),(T67&gt;R67)),Setup!$D$22,0)))),"")</f>
        <v/>
      </c>
      <c r="AE67" s="183"/>
      <c r="CM67" s="168"/>
      <c r="CN67" s="168"/>
      <c r="CO67" s="187"/>
      <c r="CP67" s="168"/>
    </row>
    <row r="68" spans="2:94" s="166" customFormat="1" ht="15" customHeight="1">
      <c r="B68" s="182"/>
      <c r="C68" s="181">
        <v>52</v>
      </c>
      <c r="D68" s="181" t="str">
        <f t="shared" ref="D68:D73" si="4">D67</f>
        <v>R16</v>
      </c>
      <c r="E68" s="188">
        <f>Tournament!F81</f>
        <v>41819.708333333336</v>
      </c>
      <c r="F68" s="189">
        <f>Tournament!G81</f>
        <v>41819.708333333336</v>
      </c>
      <c r="G68" s="190" t="str">
        <f>Tournament!H81</f>
        <v>Group D Winner</v>
      </c>
      <c r="H68" s="180"/>
      <c r="I68" s="9"/>
      <c r="J68" s="191" t="s">
        <v>3088</v>
      </c>
      <c r="K68" s="9"/>
      <c r="L68" s="180"/>
      <c r="M68" s="198" t="str">
        <f>Tournament!N81</f>
        <v>Group C Runner Up</v>
      </c>
      <c r="N68" s="183"/>
      <c r="P68" s="192" t="str">
        <f t="shared" si="2"/>
        <v>Group D Winner</v>
      </c>
      <c r="Q68" s="193"/>
      <c r="R68" s="194" t="str">
        <f>IF($Z$67=0,IF($Z$66=0,IF(Tournament!J82&lt;&gt;"",Tournament!J82,""),IF(Tournament!J82&lt;&gt;"",Tournament!J82+Tournament!J83,"")),IF(Tournament!J81&lt;&gt;"",Tournament!J81,""))</f>
        <v/>
      </c>
      <c r="S68" s="194" t="s">
        <v>3088</v>
      </c>
      <c r="T68" s="194" t="str">
        <f>IF($Z$67=0,IF($Z$66=0,IF(Tournament!L82&lt;&gt;"",Tournament!L82,""),IF(Tournament!L82&lt;&gt;"",Tournament!L82+Tournament!L83,"")),IF(Tournament!L81&lt;&gt;"",Tournament!L81,""))</f>
        <v/>
      </c>
      <c r="U68" s="193"/>
      <c r="V68" s="193" t="str">
        <f t="shared" si="3"/>
        <v>Group C Runner Up</v>
      </c>
      <c r="W68" s="191" t="str">
        <f>IF(Tournament!J83&lt;&gt;"",Tournament!J83,"")</f>
        <v/>
      </c>
      <c r="X68" s="199" t="s">
        <v>3088</v>
      </c>
      <c r="Y68" s="191" t="str">
        <f>IF(Tournament!L83&lt;&gt;"",Tournament!L83,"")</f>
        <v/>
      </c>
      <c r="Z68" s="191"/>
      <c r="AA68" s="191" t="str">
        <f>IF(Tournament!J84&lt;&gt;"",Tournament!J84,"")</f>
        <v/>
      </c>
      <c r="AB68" s="194" t="s">
        <v>3088</v>
      </c>
      <c r="AC68" s="191" t="str">
        <f>IF(Tournament!L84&lt;&gt;"",Tournament!L84,"")</f>
        <v/>
      </c>
      <c r="AD68" s="195" t="str">
        <f>IF(AND(I68&lt;&gt;"",K68&lt;&gt;"",R68&lt;&gt;"",T68&lt;&gt;""),IF(AND(I68=R68,K68=T68),Setup!$D$20,IF((I68-K68)=(R68-T68),Setup!$D$21,IF(AND((I68&gt;K68),(R68&gt;T68)),Setup!$D$22,IF(AND((K68&gt;I68),(T68&gt;R68)),Setup!$D$22,0)))),"")</f>
        <v/>
      </c>
      <c r="AE68" s="183"/>
      <c r="CM68" s="168"/>
      <c r="CN68" s="168"/>
      <c r="CO68" s="187"/>
      <c r="CP68" s="168"/>
    </row>
    <row r="69" spans="2:94" s="166" customFormat="1" ht="15" customHeight="1">
      <c r="B69" s="182"/>
      <c r="C69" s="181">
        <v>51</v>
      </c>
      <c r="D69" s="181" t="str">
        <f t="shared" si="4"/>
        <v>R16</v>
      </c>
      <c r="E69" s="188">
        <f>Tournament!F87</f>
        <v>41819.541666666664</v>
      </c>
      <c r="F69" s="189">
        <f>Tournament!G93</f>
        <v>41820.541666666664</v>
      </c>
      <c r="G69" s="190" t="str">
        <f>Tournament!H87</f>
        <v>Group B Winner</v>
      </c>
      <c r="H69" s="180"/>
      <c r="I69" s="9"/>
      <c r="J69" s="191" t="s">
        <v>3088</v>
      </c>
      <c r="K69" s="9"/>
      <c r="L69" s="180"/>
      <c r="M69" s="198" t="str">
        <f>Tournament!N87</f>
        <v>Group A Runner Up</v>
      </c>
      <c r="N69" s="183"/>
      <c r="P69" s="192" t="str">
        <f t="shared" si="2"/>
        <v>Group B Winner</v>
      </c>
      <c r="Q69" s="193"/>
      <c r="R69" s="194" t="str">
        <f>IF($Z$67=0,IF($Z$66=0,IF(Tournament!J88&lt;&gt;"",Tournament!J88,""),IF(Tournament!J88&lt;&gt;"",Tournament!J88+Tournament!J89,"")),IF(Tournament!J87&lt;&gt;"",Tournament!J87,""))</f>
        <v/>
      </c>
      <c r="S69" s="194" t="s">
        <v>3088</v>
      </c>
      <c r="T69" s="194" t="str">
        <f>IF($Z$67=0,IF($Z$66=0,IF(Tournament!L88&lt;&gt;"",Tournament!L88,""),IF(Tournament!L88&lt;&gt;"",Tournament!L88+Tournament!L89,"")),IF(Tournament!L87&lt;&gt;"",Tournament!L87,""))</f>
        <v/>
      </c>
      <c r="U69" s="193"/>
      <c r="V69" s="193" t="str">
        <f t="shared" si="3"/>
        <v>Group A Runner Up</v>
      </c>
      <c r="W69" s="191" t="str">
        <f>IF(Tournament!J89&lt;&gt;"",Tournament!J89,"")</f>
        <v/>
      </c>
      <c r="X69" s="199" t="s">
        <v>3088</v>
      </c>
      <c r="Y69" s="191" t="str">
        <f>IF(Tournament!L89&lt;&gt;"",Tournament!L89,"")</f>
        <v/>
      </c>
      <c r="Z69" s="191"/>
      <c r="AA69" s="191" t="str">
        <f>IF(Tournament!J90&lt;&gt;"",Tournament!J90,"")</f>
        <v/>
      </c>
      <c r="AB69" s="194" t="s">
        <v>3088</v>
      </c>
      <c r="AC69" s="191" t="str">
        <f>IF(Tournament!L90&lt;&gt;"",Tournament!L90,"")</f>
        <v/>
      </c>
      <c r="AD69" s="195" t="str">
        <f>IF(AND(I69&lt;&gt;"",K69&lt;&gt;"",R69&lt;&gt;"",T69&lt;&gt;""),IF(AND(I69=R69,K69=T69),Setup!$D$20,IF((I69-K69)=(R69-T69),Setup!$D$21,IF(AND((I69&gt;K69),(R69&gt;T69)),Setup!$D$22,IF(AND((K69&gt;I69),(T69&gt;R69)),Setup!$D$22,0)))),"")</f>
        <v/>
      </c>
      <c r="AE69" s="183"/>
      <c r="CM69" s="168"/>
      <c r="CN69" s="168"/>
      <c r="CO69" s="187"/>
      <c r="CP69" s="168"/>
    </row>
    <row r="70" spans="2:94" s="166" customFormat="1" ht="15" customHeight="1">
      <c r="B70" s="182"/>
      <c r="C70" s="181">
        <v>53</v>
      </c>
      <c r="D70" s="181" t="str">
        <f t="shared" si="4"/>
        <v>R16</v>
      </c>
      <c r="E70" s="188">
        <f>Tournament!F93</f>
        <v>41820.541666666664</v>
      </c>
      <c r="F70" s="189">
        <f>Tournament!G93</f>
        <v>41820.541666666664</v>
      </c>
      <c r="G70" s="190" t="str">
        <f>Tournament!H93</f>
        <v>Group E Winner</v>
      </c>
      <c r="H70" s="180"/>
      <c r="I70" s="9"/>
      <c r="J70" s="191" t="s">
        <v>3088</v>
      </c>
      <c r="K70" s="9"/>
      <c r="L70" s="180"/>
      <c r="M70" s="198" t="str">
        <f>Tournament!N93</f>
        <v>Group F Runner Up</v>
      </c>
      <c r="N70" s="183"/>
      <c r="P70" s="192" t="str">
        <f t="shared" si="2"/>
        <v>Group E Winner</v>
      </c>
      <c r="Q70" s="193"/>
      <c r="R70" s="194" t="str">
        <f>IF($Z$67=0,IF($Z$66=0,IF(Tournament!J94&lt;&gt;"",Tournament!J94,""),IF(Tournament!J94&lt;&gt;"",Tournament!J94+Tournament!J95,"")),IF(Tournament!J93&lt;&gt;"",Tournament!J93,""))</f>
        <v/>
      </c>
      <c r="S70" s="194" t="s">
        <v>3088</v>
      </c>
      <c r="T70" s="194" t="str">
        <f>IF($Z$67=0,IF($Z$66=0,IF(Tournament!L94&lt;&gt;"",Tournament!L94,""),IF(Tournament!L94&lt;&gt;"",Tournament!L94+Tournament!L95,"")),IF(Tournament!L93&lt;&gt;"",Tournament!L93,""))</f>
        <v/>
      </c>
      <c r="U70" s="193"/>
      <c r="V70" s="193" t="str">
        <f t="shared" si="3"/>
        <v>Group F Runner Up</v>
      </c>
      <c r="W70" s="191" t="str">
        <f>IF(Tournament!J95&lt;&gt;"",Tournament!J95,"")</f>
        <v/>
      </c>
      <c r="X70" s="199" t="s">
        <v>3088</v>
      </c>
      <c r="Y70" s="191" t="str">
        <f>IF(Tournament!L95&lt;&gt;"",Tournament!L95,"")</f>
        <v/>
      </c>
      <c r="Z70" s="191"/>
      <c r="AA70" s="191" t="str">
        <f>IF(Tournament!J96&lt;&gt;"",Tournament!J96,"")</f>
        <v/>
      </c>
      <c r="AB70" s="194" t="s">
        <v>3088</v>
      </c>
      <c r="AC70" s="191" t="str">
        <f>IF(Tournament!L96&lt;&gt;"",Tournament!L96,"")</f>
        <v/>
      </c>
      <c r="AD70" s="195" t="str">
        <f>IF(AND(I70&lt;&gt;"",K70&lt;&gt;"",R70&lt;&gt;"",T70&lt;&gt;""),IF(AND(I70=R70,K70=T70),Setup!$D$20,IF((I70-K70)=(R70-T70),Setup!$D$21,IF(AND((I70&gt;K70),(R70&gt;T70)),Setup!$D$22,IF(AND((K70&gt;I70),(T70&gt;R70)),Setup!$D$22,0)))),"")</f>
        <v/>
      </c>
      <c r="AE70" s="183"/>
      <c r="CM70" s="168"/>
      <c r="CN70" s="168"/>
      <c r="CO70" s="187"/>
      <c r="CP70" s="168"/>
    </row>
    <row r="71" spans="2:94" s="166" customFormat="1" ht="15" customHeight="1">
      <c r="B71" s="182"/>
      <c r="C71" s="181">
        <v>54</v>
      </c>
      <c r="D71" s="181" t="str">
        <f t="shared" si="4"/>
        <v>R16</v>
      </c>
      <c r="E71" s="188">
        <f>Tournament!F99</f>
        <v>41820.708333333336</v>
      </c>
      <c r="F71" s="189">
        <f>Tournament!G99</f>
        <v>41820.708333333336</v>
      </c>
      <c r="G71" s="190" t="str">
        <f>Tournament!H99</f>
        <v>Group G Winner</v>
      </c>
      <c r="H71" s="180"/>
      <c r="I71" s="9"/>
      <c r="J71" s="191" t="s">
        <v>3088</v>
      </c>
      <c r="K71" s="9"/>
      <c r="L71" s="180"/>
      <c r="M71" s="198" t="str">
        <f>Tournament!N99</f>
        <v>Group H Runner Up</v>
      </c>
      <c r="N71" s="183"/>
      <c r="P71" s="192" t="str">
        <f t="shared" si="2"/>
        <v>Group G Winner</v>
      </c>
      <c r="Q71" s="193"/>
      <c r="R71" s="194" t="str">
        <f>IF($Z$67=0,IF($Z$66=0,IF(Tournament!J100&lt;&gt;"",Tournament!J100,""),IF(Tournament!J100&lt;&gt;"",Tournament!J100+Tournament!J101,"")),IF(Tournament!J99&lt;&gt;"",Tournament!J99,""))</f>
        <v/>
      </c>
      <c r="S71" s="194" t="s">
        <v>3088</v>
      </c>
      <c r="T71" s="194" t="str">
        <f>IF($Z$67=0,IF($Z$66=0,IF(Tournament!L100&lt;&gt;"",Tournament!L100,""),IF(Tournament!L100&lt;&gt;"",Tournament!L100+Tournament!L101,"")),IF(Tournament!L99&lt;&gt;"",Tournament!L99,""))</f>
        <v/>
      </c>
      <c r="U71" s="193"/>
      <c r="V71" s="193" t="str">
        <f t="shared" si="3"/>
        <v>Group H Runner Up</v>
      </c>
      <c r="W71" s="191" t="str">
        <f>IF(Tournament!J101&lt;&gt;"",Tournament!J101,"")</f>
        <v/>
      </c>
      <c r="X71" s="199" t="s">
        <v>3088</v>
      </c>
      <c r="Y71" s="191" t="str">
        <f>IF(Tournament!L101&lt;&gt;"",Tournament!L101,"")</f>
        <v/>
      </c>
      <c r="Z71" s="191"/>
      <c r="AA71" s="191" t="str">
        <f>IF(Tournament!J102&lt;&gt;"",Tournament!J102,"")</f>
        <v/>
      </c>
      <c r="AB71" s="194" t="s">
        <v>3088</v>
      </c>
      <c r="AC71" s="191" t="str">
        <f>IF(Tournament!L102&lt;&gt;"",Tournament!L102,"")</f>
        <v/>
      </c>
      <c r="AD71" s="195" t="str">
        <f>IF(AND(I71&lt;&gt;"",K71&lt;&gt;"",R71&lt;&gt;"",T71&lt;&gt;""),IF(AND(I71=R71,K71=T71),Setup!$D$20,IF((I71-K71)=(R71-T71),Setup!$D$21,IF(AND((I71&gt;K71),(R71&gt;T71)),Setup!$D$22,IF(AND((K71&gt;I71),(T71&gt;R71)),Setup!$D$22,0)))),"")</f>
        <v/>
      </c>
      <c r="AE71" s="183"/>
      <c r="CM71" s="168"/>
      <c r="CN71" s="168"/>
      <c r="CO71" s="187"/>
      <c r="CP71" s="168"/>
    </row>
    <row r="72" spans="2:94" s="166" customFormat="1" ht="15" customHeight="1">
      <c r="B72" s="182"/>
      <c r="C72" s="181">
        <v>55</v>
      </c>
      <c r="D72" s="181" t="str">
        <f t="shared" si="4"/>
        <v>R16</v>
      </c>
      <c r="E72" s="188">
        <f>Tournament!F105</f>
        <v>41821.541666666664</v>
      </c>
      <c r="F72" s="189">
        <f>Tournament!G105</f>
        <v>41821.541666666664</v>
      </c>
      <c r="G72" s="190" t="str">
        <f>Tournament!H105</f>
        <v>Group F Winner</v>
      </c>
      <c r="H72" s="180"/>
      <c r="I72" s="9"/>
      <c r="J72" s="191" t="s">
        <v>3088</v>
      </c>
      <c r="K72" s="9"/>
      <c r="L72" s="180"/>
      <c r="M72" s="198" t="str">
        <f>Tournament!N105</f>
        <v>Group E Runner Up</v>
      </c>
      <c r="N72" s="183"/>
      <c r="P72" s="192" t="str">
        <f t="shared" si="2"/>
        <v>Group F Winner</v>
      </c>
      <c r="Q72" s="193"/>
      <c r="R72" s="194" t="str">
        <f>IF($Z$67=0,IF($Z$66=0,IF(Tournament!J106&lt;&gt;"",Tournament!J106,""),IF(Tournament!J106&lt;&gt;"",Tournament!J106+Tournament!J107,"")),IF(Tournament!J105&lt;&gt;"",Tournament!J105,""))</f>
        <v/>
      </c>
      <c r="S72" s="194" t="s">
        <v>3088</v>
      </c>
      <c r="T72" s="194" t="str">
        <f>IF($Z$67=0,IF($Z$66=0,IF(Tournament!L106&lt;&gt;"",Tournament!L106,""),IF(Tournament!L106&lt;&gt;"",Tournament!L106+Tournament!L107,"")),IF(Tournament!L105&lt;&gt;"",Tournament!L105,""))</f>
        <v/>
      </c>
      <c r="U72" s="193"/>
      <c r="V72" s="193" t="str">
        <f t="shared" si="3"/>
        <v>Group E Runner Up</v>
      </c>
      <c r="W72" s="191" t="str">
        <f>IF(Tournament!J107&lt;&gt;"",Tournament!J107,"")</f>
        <v/>
      </c>
      <c r="X72" s="199" t="s">
        <v>3088</v>
      </c>
      <c r="Y72" s="191" t="str">
        <f>IF(Tournament!L107&lt;&gt;"",Tournament!L107,"")</f>
        <v/>
      </c>
      <c r="Z72" s="191"/>
      <c r="AA72" s="191" t="str">
        <f>IF(Tournament!J108&lt;&gt;"",Tournament!J108,"")</f>
        <v/>
      </c>
      <c r="AB72" s="194" t="s">
        <v>3088</v>
      </c>
      <c r="AC72" s="191" t="str">
        <f>IF(Tournament!L108&lt;&gt;"",Tournament!L108,"")</f>
        <v/>
      </c>
      <c r="AD72" s="195" t="str">
        <f>IF(AND(I72&lt;&gt;"",K72&lt;&gt;"",R72&lt;&gt;"",T72&lt;&gt;""),IF(AND(I72=R72,K72=T72),Setup!$D$20,IF((I72-K72)=(R72-T72),Setup!$D$21,IF(AND((I72&gt;K72),(R72&gt;T72)),Setup!$D$22,IF(AND((K72&gt;I72),(T72&gt;R72)),Setup!$D$22,0)))),"")</f>
        <v/>
      </c>
      <c r="AE72" s="183"/>
      <c r="CM72" s="168"/>
      <c r="CN72" s="168"/>
      <c r="CO72" s="187"/>
      <c r="CP72" s="168"/>
    </row>
    <row r="73" spans="2:94" s="166" customFormat="1" ht="15" customHeight="1">
      <c r="B73" s="182"/>
      <c r="C73" s="181">
        <v>56</v>
      </c>
      <c r="D73" s="181" t="str">
        <f t="shared" si="4"/>
        <v>R16</v>
      </c>
      <c r="E73" s="188">
        <f>Tournament!F111</f>
        <v>41821.708333333336</v>
      </c>
      <c r="F73" s="189">
        <f>Tournament!G111</f>
        <v>41821.708333333336</v>
      </c>
      <c r="G73" s="190" t="str">
        <f>Tournament!H111</f>
        <v>Group H Winner</v>
      </c>
      <c r="H73" s="180"/>
      <c r="I73" s="9"/>
      <c r="J73" s="191" t="s">
        <v>3088</v>
      </c>
      <c r="K73" s="9"/>
      <c r="L73" s="180"/>
      <c r="M73" s="198" t="str">
        <f>Tournament!N111</f>
        <v>Group G Runner Up</v>
      </c>
      <c r="N73" s="183"/>
      <c r="P73" s="192" t="str">
        <f t="shared" si="2"/>
        <v>Group H Winner</v>
      </c>
      <c r="Q73" s="193"/>
      <c r="R73" s="194" t="str">
        <f>IF($Z$67=0,IF($Z$66=0,IF(Tournament!J112&lt;&gt;"",Tournament!J112,""),IF(Tournament!J112&lt;&gt;"",Tournament!J112+Tournament!J113,"")),IF(Tournament!J111&lt;&gt;"",Tournament!J111,""))</f>
        <v/>
      </c>
      <c r="S73" s="194" t="s">
        <v>3088</v>
      </c>
      <c r="T73" s="194" t="str">
        <f>IF($Z$67=0,IF($Z$66=0,IF(Tournament!L112&lt;&gt;"",Tournament!L112,""),IF(Tournament!L112&lt;&gt;"",Tournament!L112+Tournament!L113,"")),IF(Tournament!L111&lt;&gt;"",Tournament!L111,""))</f>
        <v/>
      </c>
      <c r="U73" s="193"/>
      <c r="V73" s="193" t="str">
        <f t="shared" si="3"/>
        <v>Group G Runner Up</v>
      </c>
      <c r="W73" s="191" t="str">
        <f>IF(Tournament!J113&lt;&gt;"",Tournament!J113,"")</f>
        <v/>
      </c>
      <c r="X73" s="199" t="s">
        <v>3088</v>
      </c>
      <c r="Y73" s="191" t="str">
        <f>IF(Tournament!L113&lt;&gt;"",Tournament!L113,"")</f>
        <v/>
      </c>
      <c r="Z73" s="191"/>
      <c r="AA73" s="191" t="str">
        <f>IF(Tournament!J114&lt;&gt;"",Tournament!J114,"")</f>
        <v/>
      </c>
      <c r="AB73" s="194" t="s">
        <v>3088</v>
      </c>
      <c r="AC73" s="191" t="str">
        <f>IF(Tournament!L114&lt;&gt;"",Tournament!L114,"")</f>
        <v/>
      </c>
      <c r="AD73" s="195" t="str">
        <f>IF(AND(I73&lt;&gt;"",K73&lt;&gt;"",R73&lt;&gt;"",T73&lt;&gt;""),IF(AND(I73=R73,K73=T73),Setup!$D$20,IF((I73-K73)=(R73-T73),Setup!$D$21,IF(AND((I73&gt;K73),(R73&gt;T73)),Setup!$D$22,IF(AND((K73&gt;I73),(T73&gt;R73)),Setup!$D$22,0)))),"")</f>
        <v/>
      </c>
      <c r="AE73" s="183"/>
      <c r="CM73" s="168"/>
      <c r="CN73" s="168"/>
      <c r="CO73" s="187"/>
      <c r="CP73" s="168"/>
    </row>
    <row r="74" spans="2:94" s="166" customFormat="1" ht="15" customHeight="1">
      <c r="B74" s="182"/>
      <c r="C74" s="181">
        <v>58</v>
      </c>
      <c r="D74" s="181" t="s">
        <v>3549</v>
      </c>
      <c r="E74" s="188">
        <f>Tournament!T69</f>
        <v>41824.541666666664</v>
      </c>
      <c r="F74" s="189">
        <f>Tournament!U69</f>
        <v>41824.541666666664</v>
      </c>
      <c r="G74" s="190" t="str">
        <f>Tournament!Y69</f>
        <v>Match 53 Winner</v>
      </c>
      <c r="H74" s="180"/>
      <c r="I74" s="9"/>
      <c r="J74" s="191" t="s">
        <v>3088</v>
      </c>
      <c r="K74" s="9"/>
      <c r="L74" s="180"/>
      <c r="M74" s="198" t="str">
        <f>Tournament!AE69</f>
        <v>Match 54 Winner</v>
      </c>
      <c r="N74" s="183"/>
      <c r="P74" s="192" t="str">
        <f t="shared" si="2"/>
        <v>Match 53 Winner</v>
      </c>
      <c r="Q74" s="193"/>
      <c r="R74" s="194" t="str">
        <f>IF($Z$67=0,IF($Z$66=0,IF(Tournament!AA70&lt;&gt;"",Tournament!AA70,""),IF(Tournament!AA70&lt;&gt;"",Tournament!AA70+Tournament!AA71,"")),IF(Tournament!AA69&lt;&gt;"",Tournament!AA69,""))</f>
        <v/>
      </c>
      <c r="S74" s="194" t="s">
        <v>3088</v>
      </c>
      <c r="T74" s="194" t="str">
        <f>IF($Z$67=0,IF($Z$66=0,IF(Tournament!AC70&lt;&gt;"",Tournament!AC70,""),IF(Tournament!AC70&lt;&gt;"",Tournament!AC70+Tournament!AC71,"")),IF(Tournament!AC69&lt;&gt;"",Tournament!AC69,""))</f>
        <v/>
      </c>
      <c r="U74" s="193"/>
      <c r="V74" s="193" t="str">
        <f t="shared" si="3"/>
        <v>Match 54 Winner</v>
      </c>
      <c r="W74" s="191" t="str">
        <f>IF(Tournament!AA71&lt;&gt;"",Tournament!AA71,"")</f>
        <v/>
      </c>
      <c r="X74" s="199" t="s">
        <v>3088</v>
      </c>
      <c r="Y74" s="191" t="str">
        <f>IF(Tournament!AC71&lt;&gt;"",Tournament!AC71,"")</f>
        <v/>
      </c>
      <c r="Z74" s="191"/>
      <c r="AA74" s="191" t="str">
        <f>IF(Tournament!AA72&lt;&gt;"",Tournament!AA72,"")</f>
        <v/>
      </c>
      <c r="AB74" s="194" t="s">
        <v>3088</v>
      </c>
      <c r="AC74" s="191" t="str">
        <f>IF(Tournament!AC72&lt;&gt;"",Tournament!AC72,"")</f>
        <v/>
      </c>
      <c r="AD74" s="195" t="str">
        <f>IF(AND(I74&lt;&gt;"",K74&lt;&gt;"",R74&lt;&gt;"",T74&lt;&gt;""),IF(AND(I74=R74,K74=T74),Setup!$E$20,IF((I74-K74)=(R74-T74),Setup!$E$21,IF(AND((I74&gt;K74),(R74&gt;T74)),Setup!$E$22,IF(AND((K74&gt;I74),(T74&gt;R74)),Setup!$E$22,0)))),"")</f>
        <v/>
      </c>
      <c r="AE74" s="183"/>
      <c r="CM74" s="168"/>
      <c r="CN74" s="168"/>
      <c r="CO74" s="187"/>
      <c r="CP74" s="168"/>
    </row>
    <row r="75" spans="2:94" s="166" customFormat="1" ht="15" customHeight="1">
      <c r="B75" s="182"/>
      <c r="C75" s="181">
        <v>57</v>
      </c>
      <c r="D75" s="181" t="str">
        <f>D74</f>
        <v>QF</v>
      </c>
      <c r="E75" s="188">
        <f>Tournament!T74</f>
        <v>41824.708333333336</v>
      </c>
      <c r="F75" s="189">
        <f>Tournament!U74</f>
        <v>41824.708333333336</v>
      </c>
      <c r="G75" s="190" t="str">
        <f>Tournament!Y74</f>
        <v>Match 49 Winner</v>
      </c>
      <c r="H75" s="180"/>
      <c r="I75" s="9"/>
      <c r="J75" s="191" t="s">
        <v>3088</v>
      </c>
      <c r="K75" s="9"/>
      <c r="L75" s="180"/>
      <c r="M75" s="198" t="str">
        <f>Tournament!AE74</f>
        <v>Match 50 Winner</v>
      </c>
      <c r="N75" s="183"/>
      <c r="P75" s="192" t="str">
        <f t="shared" si="2"/>
        <v>Match 49 Winner</v>
      </c>
      <c r="Q75" s="193"/>
      <c r="R75" s="194" t="str">
        <f>IF($Z$67=0,IF($Z$66=0,IF(Tournament!AA75&lt;&gt;"",Tournament!AA75,""),IF(Tournament!AA75&lt;&gt;"",Tournament!AA75+Tournament!AA76,"")),IF(Tournament!AA74&lt;&gt;"",Tournament!AA74,""))</f>
        <v/>
      </c>
      <c r="S75" s="194" t="s">
        <v>3088</v>
      </c>
      <c r="T75" s="194" t="str">
        <f>IF($Z$67=0,IF($Z$66=0,IF(Tournament!AC75&lt;&gt;"",Tournament!AC75,""),IF(Tournament!AC75&lt;&gt;"",Tournament!AC75+Tournament!AC76,"")),IF(Tournament!AC74&lt;&gt;"",Tournament!AC74,""))</f>
        <v/>
      </c>
      <c r="U75" s="193"/>
      <c r="V75" s="193" t="str">
        <f t="shared" si="3"/>
        <v>Match 50 Winner</v>
      </c>
      <c r="W75" s="191" t="str">
        <f>IF(Tournament!AA76&lt;&gt;"",Tournament!AA76,"")</f>
        <v/>
      </c>
      <c r="X75" s="199" t="s">
        <v>3088</v>
      </c>
      <c r="Y75" s="191" t="str">
        <f>IF(Tournament!AC76&lt;&gt;"",Tournament!AC76,"")</f>
        <v/>
      </c>
      <c r="Z75" s="191"/>
      <c r="AA75" s="191" t="str">
        <f>IF(Tournament!AA77&lt;&gt;"",Tournament!AA77,"")</f>
        <v/>
      </c>
      <c r="AB75" s="194" t="s">
        <v>3088</v>
      </c>
      <c r="AC75" s="191" t="str">
        <f>IF(Tournament!AC77&lt;&gt;"",Tournament!AC77,"")</f>
        <v/>
      </c>
      <c r="AD75" s="195" t="str">
        <f>IF(AND(I75&lt;&gt;"",K75&lt;&gt;"",R75&lt;&gt;"",T75&lt;&gt;""),IF(AND(I75=R75,K75=T75),Setup!$E$20,IF((I75-K75)=(R75-T75),Setup!$E$21,IF(AND((I75&gt;K75),(R75&gt;T75)),Setup!$E$22,IF(AND((K75&gt;I75),(T75&gt;R75)),Setup!$E$22,0)))),"")</f>
        <v/>
      </c>
      <c r="AE75" s="183"/>
      <c r="CM75" s="168"/>
      <c r="CN75" s="168"/>
      <c r="CO75" s="187"/>
      <c r="CP75" s="168"/>
    </row>
    <row r="76" spans="2:94" s="166" customFormat="1" ht="15" customHeight="1">
      <c r="B76" s="182"/>
      <c r="C76" s="181">
        <v>59</v>
      </c>
      <c r="D76" s="181" t="str">
        <f>D75</f>
        <v>QF</v>
      </c>
      <c r="E76" s="188">
        <f>Tournament!T79</f>
        <v>41825.708333333336</v>
      </c>
      <c r="F76" s="189">
        <f>Tournament!U79</f>
        <v>41825.708333333336</v>
      </c>
      <c r="G76" s="190" t="str">
        <f>Tournament!Y79</f>
        <v>Match 51 Winner</v>
      </c>
      <c r="H76" s="180"/>
      <c r="I76" s="9"/>
      <c r="J76" s="191" t="s">
        <v>3088</v>
      </c>
      <c r="K76" s="9"/>
      <c r="L76" s="180"/>
      <c r="M76" s="198" t="str">
        <f>Tournament!AE79</f>
        <v>Match 52 Winner</v>
      </c>
      <c r="N76" s="183"/>
      <c r="P76" s="192" t="str">
        <f t="shared" si="2"/>
        <v>Match 51 Winner</v>
      </c>
      <c r="Q76" s="193"/>
      <c r="R76" s="194" t="str">
        <f>IF($Z$67=0,IF($Z$66=0,IF(Tournament!AA80&lt;&gt;"",Tournament!AA80,""),IF(Tournament!AA80&lt;&gt;"",Tournament!AA80+Tournament!AA81,"")),IF(Tournament!AA79&lt;&gt;"",Tournament!AA79,""))</f>
        <v/>
      </c>
      <c r="S76" s="194" t="s">
        <v>3088</v>
      </c>
      <c r="T76" s="194" t="str">
        <f>IF($Z$67=0,IF($Z$66=0,IF(Tournament!AC80&lt;&gt;"",Tournament!AC80,""),IF(Tournament!AC80&lt;&gt;"",Tournament!AC80+Tournament!AC81,"")),IF(Tournament!AC79&lt;&gt;"",Tournament!AC79,""))</f>
        <v/>
      </c>
      <c r="U76" s="193"/>
      <c r="V76" s="193" t="str">
        <f t="shared" si="3"/>
        <v>Match 52 Winner</v>
      </c>
      <c r="W76" s="191" t="str">
        <f>IF(Tournament!AA81&lt;&gt;"",Tournament!AA81,"")</f>
        <v/>
      </c>
      <c r="X76" s="199" t="s">
        <v>3088</v>
      </c>
      <c r="Y76" s="191" t="str">
        <f>IF(Tournament!AC81&lt;&gt;"",Tournament!AC81,"")</f>
        <v/>
      </c>
      <c r="Z76" s="191"/>
      <c r="AA76" s="191" t="str">
        <f>IF(Tournament!AA82&lt;&gt;"",Tournament!AA82,"")</f>
        <v/>
      </c>
      <c r="AB76" s="194" t="s">
        <v>3088</v>
      </c>
      <c r="AC76" s="191" t="str">
        <f>IF(Tournament!AC82&lt;&gt;"",Tournament!AC82,"")</f>
        <v/>
      </c>
      <c r="AD76" s="195" t="str">
        <f>IF(AND(I76&lt;&gt;"",K76&lt;&gt;"",R76&lt;&gt;"",T76&lt;&gt;""),IF(AND(I76=R76,K76=T76),Setup!$E$20,IF((I76-K76)=(R76-T76),Setup!$E$21,IF(AND((I76&gt;K76),(R76&gt;T76)),Setup!$E$22,IF(AND((K76&gt;I76),(T76&gt;R76)),Setup!$E$22,0)))),"")</f>
        <v/>
      </c>
      <c r="AE76" s="183"/>
      <c r="CM76" s="168"/>
      <c r="CN76" s="168"/>
      <c r="CO76" s="187"/>
      <c r="CP76" s="168"/>
    </row>
    <row r="77" spans="2:94" s="166" customFormat="1" ht="15" customHeight="1">
      <c r="B77" s="182"/>
      <c r="C77" s="181">
        <v>60</v>
      </c>
      <c r="D77" s="181" t="str">
        <f>D76</f>
        <v>QF</v>
      </c>
      <c r="E77" s="188">
        <f>Tournament!T84</f>
        <v>41825.541666666664</v>
      </c>
      <c r="F77" s="189">
        <f>Tournament!U84</f>
        <v>41825.541666666664</v>
      </c>
      <c r="G77" s="190" t="str">
        <f>Tournament!Y84</f>
        <v>Match 55 Winner</v>
      </c>
      <c r="H77" s="180"/>
      <c r="I77" s="9"/>
      <c r="J77" s="191" t="s">
        <v>3088</v>
      </c>
      <c r="K77" s="9"/>
      <c r="L77" s="180"/>
      <c r="M77" s="198" t="str">
        <f>Tournament!AE84</f>
        <v>Match 56 Winner</v>
      </c>
      <c r="N77" s="183"/>
      <c r="P77" s="192" t="str">
        <f t="shared" si="2"/>
        <v>Match 55 Winner</v>
      </c>
      <c r="Q77" s="193"/>
      <c r="R77" s="194" t="str">
        <f>IF($Z$67=0,IF($Z$66=0,IF(Tournament!AA85&lt;&gt;"",Tournament!AA85,""),IF(Tournament!AA85&lt;&gt;"",Tournament!AA85+Tournament!AA86,"")),IF(Tournament!AA84&lt;&gt;"",Tournament!AA84,""))</f>
        <v/>
      </c>
      <c r="S77" s="194" t="s">
        <v>3088</v>
      </c>
      <c r="T77" s="194" t="str">
        <f>IF($Z$67=0,IF($Z$66=0,IF(Tournament!AC85&lt;&gt;"",Tournament!AC85,""),IF(Tournament!AC85&lt;&gt;"",Tournament!AC85+Tournament!AC86,"")),IF(Tournament!AC84&lt;&gt;"",Tournament!AC84,""))</f>
        <v/>
      </c>
      <c r="U77" s="193"/>
      <c r="V77" s="193" t="str">
        <f t="shared" si="3"/>
        <v>Match 56 Winner</v>
      </c>
      <c r="W77" s="191" t="str">
        <f>IF(Tournament!AA86&lt;&gt;"",Tournament!AA86,"")</f>
        <v/>
      </c>
      <c r="X77" s="199" t="s">
        <v>3088</v>
      </c>
      <c r="Y77" s="191" t="str">
        <f>IF(Tournament!AC86&lt;&gt;"",Tournament!AC86,"")</f>
        <v/>
      </c>
      <c r="Z77" s="191"/>
      <c r="AA77" s="191" t="str">
        <f>IF(Tournament!AA87&lt;&gt;"",Tournament!AA87,"")</f>
        <v/>
      </c>
      <c r="AB77" s="194" t="s">
        <v>3088</v>
      </c>
      <c r="AC77" s="191" t="str">
        <f>IF(Tournament!AC87&lt;&gt;"",Tournament!AC87,"")</f>
        <v/>
      </c>
      <c r="AD77" s="195" t="str">
        <f>IF(AND(I77&lt;&gt;"",K77&lt;&gt;"",R77&lt;&gt;"",T77&lt;&gt;""),IF(AND(I77=R77,K77=T77),Setup!$E$20,IF((I77-K77)=(R77-T77),Setup!$E$21,IF(AND((I77&gt;K77),(R77&gt;T77)),Setup!$E$22,IF(AND((K77&gt;I77),(T77&gt;R77)),Setup!$E$22,0)))),"")</f>
        <v/>
      </c>
      <c r="AE77" s="183"/>
      <c r="CM77" s="168"/>
      <c r="CN77" s="168"/>
      <c r="CO77" s="187"/>
      <c r="CP77" s="168"/>
    </row>
    <row r="78" spans="2:94" s="166" customFormat="1" ht="15" customHeight="1">
      <c r="B78" s="182"/>
      <c r="C78" s="181">
        <v>61</v>
      </c>
      <c r="D78" s="181" t="s">
        <v>3550</v>
      </c>
      <c r="E78" s="188">
        <f>Tournament!T92</f>
        <v>41828.708333333336</v>
      </c>
      <c r="F78" s="189">
        <f>Tournament!U92</f>
        <v>41828.708333333336</v>
      </c>
      <c r="G78" s="190" t="str">
        <f>Tournament!Y92</f>
        <v>Match 57 Winner</v>
      </c>
      <c r="H78" s="180"/>
      <c r="I78" s="9"/>
      <c r="J78" s="191" t="s">
        <v>3088</v>
      </c>
      <c r="K78" s="9"/>
      <c r="L78" s="180"/>
      <c r="M78" s="198" t="str">
        <f>Tournament!AE92</f>
        <v>Match 58 Winner</v>
      </c>
      <c r="N78" s="183"/>
      <c r="P78" s="192" t="str">
        <f t="shared" si="2"/>
        <v>Match 57 Winner</v>
      </c>
      <c r="Q78" s="193"/>
      <c r="R78" s="194" t="str">
        <f>IF($Z$67=0,IF($Z$66=0,IF(Tournament!AA93&lt;&gt;"",Tournament!AA93,""),IF(Tournament!AA93&lt;&gt;"",Tournament!AA93+Tournament!AA94,"")),IF(Tournament!AA92&lt;&gt;"",Tournament!AA92,""))</f>
        <v/>
      </c>
      <c r="S78" s="194" t="s">
        <v>3088</v>
      </c>
      <c r="T78" s="194" t="str">
        <f>IF($Z$67=0,IF($Z$66=0,IF(Tournament!AC93&lt;&gt;"",Tournament!AC93,""),IF(Tournament!AC93&lt;&gt;"",Tournament!AC93+Tournament!AC94,"")),IF(Tournament!AC92&lt;&gt;"",Tournament!AC92,""))</f>
        <v/>
      </c>
      <c r="U78" s="193"/>
      <c r="V78" s="193" t="str">
        <f t="shared" si="3"/>
        <v>Match 58 Winner</v>
      </c>
      <c r="W78" s="191" t="str">
        <f>IF(Tournament!AA94&lt;&gt;"",Tournament!AA94,"")</f>
        <v/>
      </c>
      <c r="X78" s="199" t="s">
        <v>3088</v>
      </c>
      <c r="Y78" s="191" t="str">
        <f>IF(Tournament!AC94&lt;&gt;"",Tournament!AC94,"")</f>
        <v/>
      </c>
      <c r="Z78" s="191"/>
      <c r="AA78" s="191" t="str">
        <f>IF(Tournament!AA95&lt;&gt;"",Tournament!AA95,"")</f>
        <v/>
      </c>
      <c r="AB78" s="194" t="s">
        <v>3088</v>
      </c>
      <c r="AC78" s="191" t="str">
        <f>IF(Tournament!AC95&lt;&gt;"",Tournament!AC95,"")</f>
        <v/>
      </c>
      <c r="AD78" s="195" t="str">
        <f>IF(AND(I78&lt;&gt;"",K78&lt;&gt;"",R78&lt;&gt;"",T78&lt;&gt;""),IF(AND(I78=R78,K78=T78),Setup!$F$20,IF((I78-K78)=(R78-T78),Setup!$F$21,IF(AND((I78&gt;K78),(R78&gt;T78)),Setup!$F$22,IF(AND((K78&gt;I78),(T78&gt;R78)),Setup!$F$22,0)))),"")</f>
        <v/>
      </c>
      <c r="AE78" s="183"/>
      <c r="CM78" s="168"/>
      <c r="CN78" s="168"/>
      <c r="CO78" s="187"/>
      <c r="CP78" s="168"/>
    </row>
    <row r="79" spans="2:94" s="166" customFormat="1" ht="15" customHeight="1">
      <c r="B79" s="182"/>
      <c r="C79" s="181">
        <v>62</v>
      </c>
      <c r="D79" s="181" t="str">
        <f>D78</f>
        <v>SF</v>
      </c>
      <c r="E79" s="188">
        <f>Tournament!T97</f>
        <v>41829.708333333336</v>
      </c>
      <c r="F79" s="189">
        <f>Tournament!U97</f>
        <v>41829.708333333336</v>
      </c>
      <c r="G79" s="190" t="str">
        <f>Tournament!Y97</f>
        <v>Match 59 Winner</v>
      </c>
      <c r="H79" s="180"/>
      <c r="I79" s="9"/>
      <c r="J79" s="191" t="s">
        <v>3088</v>
      </c>
      <c r="K79" s="9"/>
      <c r="L79" s="180"/>
      <c r="M79" s="198" t="str">
        <f>Tournament!AE97</f>
        <v>Match 60 Winner</v>
      </c>
      <c r="N79" s="183"/>
      <c r="P79" s="192" t="str">
        <f t="shared" si="2"/>
        <v>Match 59 Winner</v>
      </c>
      <c r="Q79" s="193"/>
      <c r="R79" s="194" t="str">
        <f>IF($Z$67=0,IF($Z$66=0,IF(Tournament!AA98&lt;&gt;"",Tournament!AA98,""),IF(Tournament!AA98&lt;&gt;"",Tournament!AA98+Tournament!AA99,"")),IF(Tournament!AA97&lt;&gt;"",Tournament!AA97,""))</f>
        <v/>
      </c>
      <c r="S79" s="194" t="s">
        <v>3088</v>
      </c>
      <c r="T79" s="194" t="str">
        <f>IF($Z$67=0,IF($Z$66=0,IF(Tournament!AC98&lt;&gt;"",Tournament!AC98,""),IF(Tournament!AC98&lt;&gt;"",Tournament!AC98+Tournament!AC99,"")),IF(Tournament!AC97&lt;&gt;"",Tournament!AC97,""))</f>
        <v/>
      </c>
      <c r="U79" s="193"/>
      <c r="V79" s="193" t="str">
        <f t="shared" si="3"/>
        <v>Match 60 Winner</v>
      </c>
      <c r="W79" s="191" t="str">
        <f>IF(Tournament!AA99&lt;&gt;"",Tournament!AA99,"")</f>
        <v/>
      </c>
      <c r="X79" s="199" t="s">
        <v>3088</v>
      </c>
      <c r="Y79" s="191" t="str">
        <f>IF(Tournament!AC99&lt;&gt;"",Tournament!AC99,"")</f>
        <v/>
      </c>
      <c r="Z79" s="191"/>
      <c r="AA79" s="191" t="str">
        <f>IF(Tournament!AA100&lt;&gt;"",Tournament!AA100,"")</f>
        <v/>
      </c>
      <c r="AB79" s="194" t="s">
        <v>3088</v>
      </c>
      <c r="AC79" s="191" t="str">
        <f>IF(Tournament!AC100&lt;&gt;"",Tournament!AC100,"")</f>
        <v/>
      </c>
      <c r="AD79" s="195" t="str">
        <f>IF(AND(I79&lt;&gt;"",K79&lt;&gt;"",R79&lt;&gt;"",T79&lt;&gt;""),IF(AND(I79=R79,K79=T79),Setup!$F$20,IF((I79-K79)=(R79-T79),Setup!$F$21,IF(AND((I79&gt;K79),(R79&gt;T79)),Setup!$F$22,IF(AND((K79&gt;I79),(T79&gt;R79)),Setup!$F$22,0)))),"")</f>
        <v/>
      </c>
      <c r="AE79" s="183"/>
      <c r="CM79" s="168"/>
      <c r="CN79" s="168"/>
      <c r="CO79" s="187"/>
      <c r="CP79" s="168"/>
    </row>
    <row r="80" spans="2:94" s="166" customFormat="1" ht="15" customHeight="1">
      <c r="B80" s="182"/>
      <c r="C80" s="181">
        <v>63</v>
      </c>
      <c r="D80" s="181" t="s">
        <v>3551</v>
      </c>
      <c r="E80" s="188">
        <f>Tournament!T105</f>
        <v>41832.708333333336</v>
      </c>
      <c r="F80" s="189">
        <f>Tournament!U105</f>
        <v>41832.708333333336</v>
      </c>
      <c r="G80" s="190" t="str">
        <f>Tournament!Y105</f>
        <v>Match 61 Loser</v>
      </c>
      <c r="H80" s="180"/>
      <c r="I80" s="9"/>
      <c r="J80" s="191" t="s">
        <v>3088</v>
      </c>
      <c r="K80" s="9"/>
      <c r="L80" s="180"/>
      <c r="M80" s="198" t="str">
        <f>Tournament!AE105</f>
        <v>Match 62 Loser</v>
      </c>
      <c r="N80" s="183"/>
      <c r="P80" s="192" t="str">
        <f t="shared" si="2"/>
        <v>Match 61 Loser</v>
      </c>
      <c r="Q80" s="193"/>
      <c r="R80" s="194" t="str">
        <f>IF($Z$67=0,IF($Z$66=0,IF(Tournament!AA106&lt;&gt;"",Tournament!AA106,""),IF(Tournament!AA106&lt;&gt;"",Tournament!AA106+Tournament!AA107,"")),IF(Tournament!AA105&lt;&gt;"",Tournament!AA105,""))</f>
        <v/>
      </c>
      <c r="S80" s="194" t="s">
        <v>3088</v>
      </c>
      <c r="T80" s="194" t="str">
        <f>IF($Z$67=0,IF($Z$66=0,IF(Tournament!AC106&lt;&gt;"",Tournament!AC106,""),IF(Tournament!AC106&lt;&gt;"",Tournament!AC106+Tournament!AC107,"")),IF(Tournament!AC105&lt;&gt;"",Tournament!AC105,""))</f>
        <v/>
      </c>
      <c r="U80" s="193"/>
      <c r="V80" s="193" t="str">
        <f t="shared" si="3"/>
        <v>Match 62 Loser</v>
      </c>
      <c r="W80" s="191" t="str">
        <f>IF(Tournament!AA107&lt;&gt;"",Tournament!AA107,"")</f>
        <v/>
      </c>
      <c r="X80" s="199" t="s">
        <v>3088</v>
      </c>
      <c r="Y80" s="191" t="str">
        <f>IF(Tournament!AC107&lt;&gt;"",Tournament!AC107,"")</f>
        <v/>
      </c>
      <c r="Z80" s="191"/>
      <c r="AA80" s="191" t="str">
        <f>IF(Tournament!AA108&lt;&gt;"",Tournament!AA108,"")</f>
        <v/>
      </c>
      <c r="AB80" s="194" t="s">
        <v>3088</v>
      </c>
      <c r="AC80" s="191" t="str">
        <f>IF(Tournament!AC108&lt;&gt;"",Tournament!AC108,"")</f>
        <v/>
      </c>
      <c r="AD80" s="195" t="str">
        <f>IF(AND(I80&lt;&gt;"",K80&lt;&gt;"",R80&lt;&gt;"",T80&lt;&gt;""),IF(AND(I80=R80,K80=T80),Setup!$G$20,IF((I80-K80)=(R80-T80),Setup!$G$21,IF(AND((I80&gt;K80),(R80&gt;T80)),Setup!$G$22,IF(AND((K80&gt;I80),(T80&gt;R80)),Setup!$G$22,0)))),"")</f>
        <v/>
      </c>
      <c r="AE80" s="183"/>
      <c r="CM80" s="168"/>
      <c r="CN80" s="168"/>
      <c r="CO80" s="187"/>
      <c r="CP80" s="168"/>
    </row>
    <row r="81" spans="2:94" s="166" customFormat="1" ht="15" customHeight="1">
      <c r="B81" s="182"/>
      <c r="C81" s="181">
        <v>64</v>
      </c>
      <c r="D81" s="181" t="s">
        <v>3105</v>
      </c>
      <c r="E81" s="188">
        <f>Tournament!T113</f>
        <v>41833.666666666664</v>
      </c>
      <c r="F81" s="189">
        <f>Tournament!U113</f>
        <v>41833.666666666664</v>
      </c>
      <c r="G81" s="190" t="str">
        <f>Tournament!Y113</f>
        <v>Match 61 Winner</v>
      </c>
      <c r="H81" s="180"/>
      <c r="I81" s="9"/>
      <c r="J81" s="191" t="s">
        <v>3088</v>
      </c>
      <c r="K81" s="9"/>
      <c r="L81" s="180"/>
      <c r="M81" s="198" t="str">
        <f>Tournament!AE113</f>
        <v>Match 62 Winner</v>
      </c>
      <c r="N81" s="183"/>
      <c r="P81" s="192" t="str">
        <f t="shared" si="2"/>
        <v>Match 61 Winner</v>
      </c>
      <c r="Q81" s="193"/>
      <c r="R81" s="194" t="str">
        <f>IF($Z$67=0,IF($Z$66=0,IF(Tournament!AA114&lt;&gt;"",Tournament!AA114,""),IF(Tournament!AA114&lt;&gt;"",Tournament!AA114+Tournament!AA115,"")),IF(Tournament!AA113&lt;&gt;"",Tournament!AA113,""))</f>
        <v/>
      </c>
      <c r="S81" s="194" t="s">
        <v>3088</v>
      </c>
      <c r="T81" s="194" t="str">
        <f>IF($Z$67=0,IF($Z$66=0,IF(Tournament!AC114&lt;&gt;"",Tournament!AC114,""),IF(Tournament!AC114&lt;&gt;"",Tournament!AC114+Tournament!AC115,"")),IF(Tournament!AC113&lt;&gt;"",Tournament!AC113,""))</f>
        <v/>
      </c>
      <c r="U81" s="193"/>
      <c r="V81" s="193" t="str">
        <f t="shared" si="3"/>
        <v>Match 62 Winner</v>
      </c>
      <c r="W81" s="191" t="str">
        <f>IF(Tournament!AA115&lt;&gt;"",Tournament!AA115,"")</f>
        <v/>
      </c>
      <c r="X81" s="199" t="s">
        <v>3088</v>
      </c>
      <c r="Y81" s="191" t="str">
        <f>IF(Tournament!AC115&lt;&gt;"",Tournament!AC115,"")</f>
        <v/>
      </c>
      <c r="Z81" s="191"/>
      <c r="AA81" s="191" t="str">
        <f>IF(Tournament!AA116&lt;&gt;"",Tournament!AA116,"")</f>
        <v/>
      </c>
      <c r="AB81" s="194" t="s">
        <v>3088</v>
      </c>
      <c r="AC81" s="191" t="str">
        <f>IF(Tournament!AC116&lt;&gt;"",Tournament!AC116,"")</f>
        <v/>
      </c>
      <c r="AD81" s="195" t="str">
        <f>IF(AND(I81&lt;&gt;"",K81&lt;&gt;"",R81&lt;&gt;"",T81&lt;&gt;""),IF(AND(I81=R81,K81=T81),Setup!$H$20,IF((I81-K81)=(R81-T81),Setup!$H$21,IF(AND((I81&gt;K81),(R81&gt;T81)),Setup!$H$22,IF(AND((K81&gt;I81),(T81&gt;R81)),Setup!$H$22,0)))),"")</f>
        <v/>
      </c>
      <c r="AE81" s="183"/>
      <c r="CM81" s="168"/>
      <c r="CN81" s="168"/>
      <c r="CO81" s="187"/>
      <c r="CP81" s="168"/>
    </row>
    <row r="82" spans="2:94" s="166" customFormat="1" ht="15" customHeight="1">
      <c r="B82" s="200"/>
      <c r="C82" s="201"/>
      <c r="D82" s="201"/>
      <c r="E82" s="201"/>
      <c r="F82" s="201"/>
      <c r="G82" s="201"/>
      <c r="H82" s="201"/>
      <c r="I82" s="201"/>
      <c r="J82" s="202"/>
      <c r="K82" s="201"/>
      <c r="L82" s="201"/>
      <c r="M82" s="201"/>
      <c r="N82" s="203"/>
      <c r="P82" s="200"/>
      <c r="Q82" s="201"/>
      <c r="R82" s="201"/>
      <c r="S82" s="202"/>
      <c r="T82" s="201"/>
      <c r="U82" s="201"/>
      <c r="V82" s="201"/>
      <c r="W82" s="201"/>
      <c r="X82" s="202"/>
      <c r="Y82" s="201"/>
      <c r="Z82" s="201"/>
      <c r="AA82" s="201"/>
      <c r="AB82" s="202"/>
      <c r="AC82" s="201"/>
      <c r="AD82" s="202"/>
      <c r="AE82" s="203"/>
      <c r="CM82" s="168"/>
      <c r="CN82" s="168"/>
      <c r="CO82" s="187"/>
      <c r="CP82" s="168"/>
    </row>
    <row r="83" spans="2:94" s="166" customFormat="1" ht="15" customHeight="1">
      <c r="B83" s="166" t="s">
        <v>3905</v>
      </c>
      <c r="N83" s="180"/>
      <c r="AD83" s="167"/>
      <c r="CM83" s="168"/>
      <c r="CN83" s="168"/>
      <c r="CO83" s="187"/>
      <c r="CP83" s="168"/>
    </row>
    <row r="84" spans="2:94" s="166" customFormat="1" ht="15" hidden="1" customHeight="1">
      <c r="N84" s="180"/>
      <c r="AD84" s="167"/>
      <c r="CM84" s="168"/>
      <c r="CN84" s="168"/>
      <c r="CO84" s="187"/>
      <c r="CP84" s="168"/>
    </row>
    <row r="85" spans="2:94" s="166" customFormat="1" ht="15" hidden="1" customHeight="1">
      <c r="N85" s="180"/>
      <c r="AD85" s="167"/>
      <c r="CM85" s="168"/>
      <c r="CN85" s="168"/>
      <c r="CO85" s="187"/>
      <c r="CP85" s="168"/>
    </row>
    <row r="86" spans="2:94" s="166" customFormat="1" ht="15" hidden="1" customHeight="1">
      <c r="N86" s="180"/>
      <c r="AD86" s="167"/>
      <c r="CM86" s="168"/>
      <c r="CN86" s="168"/>
      <c r="CO86" s="187"/>
      <c r="CP86" s="168"/>
    </row>
    <row r="87" spans="2:94" s="166" customFormat="1" ht="15" hidden="1" customHeight="1">
      <c r="N87" s="180"/>
      <c r="AD87" s="167"/>
      <c r="CM87" s="168"/>
      <c r="CN87" s="168"/>
      <c r="CO87" s="187"/>
      <c r="CP87" s="168"/>
    </row>
    <row r="88" spans="2:94" s="166" customFormat="1" ht="15" hidden="1" customHeight="1">
      <c r="N88" s="180"/>
      <c r="AD88" s="167"/>
      <c r="CM88" s="168"/>
      <c r="CN88" s="168"/>
      <c r="CO88" s="187"/>
      <c r="CP88" s="168"/>
    </row>
    <row r="89" spans="2:94" s="166" customFormat="1" ht="15" hidden="1" customHeight="1">
      <c r="N89" s="180"/>
      <c r="AD89" s="167"/>
      <c r="CM89" s="168"/>
      <c r="CN89" s="168"/>
      <c r="CO89" s="187"/>
      <c r="CP89" s="168"/>
    </row>
    <row r="90" spans="2:94" s="166" customFormat="1" ht="15" hidden="1" customHeight="1">
      <c r="N90" s="180"/>
      <c r="AD90" s="167"/>
      <c r="CM90" s="168"/>
      <c r="CN90" s="168"/>
      <c r="CO90" s="187"/>
      <c r="CP90" s="168"/>
    </row>
    <row r="91" spans="2:94" s="166" customFormat="1" ht="15" hidden="1" customHeight="1">
      <c r="N91" s="180"/>
      <c r="AD91" s="167"/>
      <c r="CM91" s="168"/>
      <c r="CN91" s="168"/>
      <c r="CO91" s="187"/>
      <c r="CP91" s="168"/>
    </row>
    <row r="92" spans="2:94" s="166" customFormat="1" ht="15" hidden="1" customHeight="1">
      <c r="N92" s="180"/>
      <c r="AD92" s="167"/>
      <c r="CM92" s="168"/>
      <c r="CN92" s="168"/>
      <c r="CO92" s="187"/>
      <c r="CP92" s="168"/>
    </row>
    <row r="93" spans="2:94" s="166" customFormat="1" ht="15" hidden="1" customHeight="1">
      <c r="N93" s="180"/>
      <c r="AD93" s="167"/>
      <c r="CM93" s="168"/>
      <c r="CN93" s="168"/>
      <c r="CO93" s="187"/>
      <c r="CP93" s="168"/>
    </row>
    <row r="94" spans="2:94" s="166" customFormat="1" ht="15" hidden="1" customHeight="1">
      <c r="N94" s="180"/>
      <c r="AD94" s="167"/>
      <c r="CM94" s="168"/>
      <c r="CN94" s="168"/>
      <c r="CO94" s="187"/>
      <c r="CP94" s="168"/>
    </row>
    <row r="95" spans="2:94" s="166" customFormat="1" ht="15" hidden="1" customHeight="1">
      <c r="N95" s="180"/>
      <c r="AD95" s="167"/>
      <c r="CM95" s="168"/>
      <c r="CN95" s="168"/>
      <c r="CO95" s="187"/>
      <c r="CP95" s="168"/>
    </row>
    <row r="96" spans="2:94" s="166" customFormat="1" ht="15" hidden="1" customHeight="1">
      <c r="N96" s="180"/>
      <c r="AD96" s="167"/>
      <c r="CM96" s="168"/>
      <c r="CN96" s="168"/>
      <c r="CO96" s="187"/>
      <c r="CP96" s="168"/>
    </row>
    <row r="97" spans="14:94" s="166" customFormat="1" ht="15" hidden="1" customHeight="1">
      <c r="N97" s="180"/>
      <c r="AD97" s="167"/>
      <c r="CM97" s="168"/>
      <c r="CN97" s="168"/>
      <c r="CO97" s="187"/>
      <c r="CP97" s="168"/>
    </row>
    <row r="98" spans="14:94" s="166" customFormat="1" ht="15" hidden="1" customHeight="1">
      <c r="N98" s="180"/>
      <c r="AD98" s="167"/>
      <c r="CM98" s="168"/>
      <c r="CN98" s="168"/>
      <c r="CO98" s="187"/>
      <c r="CP98" s="168"/>
    </row>
    <row r="99" spans="14:94" s="166" customFormat="1" ht="15" hidden="1" customHeight="1">
      <c r="N99" s="180"/>
      <c r="AD99" s="167"/>
      <c r="CM99" s="168"/>
      <c r="CN99" s="168"/>
      <c r="CO99" s="187"/>
      <c r="CP99" s="168"/>
    </row>
    <row r="100" spans="14:94" s="166" customFormat="1" ht="15" hidden="1" customHeight="1">
      <c r="N100" s="180"/>
      <c r="AD100" s="167"/>
      <c r="CM100" s="168"/>
      <c r="CN100" s="168"/>
      <c r="CO100" s="187"/>
      <c r="CP100" s="168"/>
    </row>
    <row r="101" spans="14:94" s="166" customFormat="1" ht="15" hidden="1" customHeight="1">
      <c r="N101" s="180"/>
      <c r="AD101" s="167"/>
      <c r="CM101" s="168"/>
      <c r="CN101" s="168"/>
      <c r="CO101" s="187"/>
      <c r="CP101" s="168"/>
    </row>
    <row r="102" spans="14:94" s="166" customFormat="1" ht="15" hidden="1" customHeight="1">
      <c r="N102" s="180"/>
      <c r="AD102" s="167"/>
      <c r="CM102" s="168"/>
      <c r="CN102" s="168"/>
      <c r="CO102" s="187"/>
      <c r="CP102" s="168"/>
    </row>
    <row r="103" spans="14:94" s="166" customFormat="1" ht="15" hidden="1" customHeight="1">
      <c r="N103" s="180"/>
      <c r="AD103" s="167"/>
      <c r="CM103" s="168"/>
      <c r="CN103" s="168"/>
      <c r="CO103" s="187"/>
      <c r="CP103" s="168"/>
    </row>
    <row r="104" spans="14:94" s="166" customFormat="1" ht="15" hidden="1" customHeight="1">
      <c r="N104" s="180"/>
      <c r="AD104" s="167"/>
      <c r="CM104" s="168"/>
      <c r="CN104" s="168"/>
      <c r="CO104" s="187"/>
      <c r="CP104" s="168"/>
    </row>
    <row r="105" spans="14:94" s="166" customFormat="1" ht="15" hidden="1" customHeight="1">
      <c r="N105" s="180"/>
      <c r="AD105" s="167"/>
      <c r="CM105" s="168"/>
      <c r="CN105" s="168"/>
      <c r="CO105" s="187"/>
      <c r="CP105" s="168"/>
    </row>
    <row r="106" spans="14:94" s="166" customFormat="1" ht="15" hidden="1" customHeight="1">
      <c r="N106" s="180"/>
      <c r="AD106" s="167"/>
      <c r="CM106" s="168"/>
      <c r="CN106" s="168"/>
      <c r="CO106" s="187"/>
      <c r="CP106" s="168"/>
    </row>
    <row r="107" spans="14:94" s="166" customFormat="1" ht="15" hidden="1" customHeight="1">
      <c r="N107" s="180"/>
      <c r="AD107" s="167"/>
      <c r="CM107" s="168"/>
      <c r="CN107" s="168"/>
      <c r="CO107" s="187"/>
      <c r="CP107" s="168"/>
    </row>
    <row r="108" spans="14:94" s="166" customFormat="1" ht="15" hidden="1" customHeight="1">
      <c r="N108" s="180"/>
      <c r="AD108" s="167"/>
      <c r="CM108" s="168"/>
      <c r="CN108" s="168"/>
      <c r="CO108" s="187"/>
      <c r="CP108" s="168"/>
    </row>
    <row r="109" spans="14:94" s="166" customFormat="1" ht="15" hidden="1" customHeight="1">
      <c r="N109" s="180"/>
      <c r="AD109" s="167"/>
      <c r="CM109" s="168"/>
      <c r="CN109" s="168"/>
      <c r="CO109" s="187"/>
      <c r="CP109" s="168"/>
    </row>
    <row r="110" spans="14:94" s="166" customFormat="1" ht="15" hidden="1" customHeight="1">
      <c r="N110" s="180"/>
      <c r="AD110" s="167"/>
      <c r="CM110" s="168"/>
      <c r="CN110" s="168"/>
      <c r="CO110" s="187"/>
      <c r="CP110" s="168"/>
    </row>
    <row r="111" spans="14:94" s="166" customFormat="1" ht="15" hidden="1" customHeight="1">
      <c r="N111" s="180"/>
      <c r="AD111" s="167"/>
      <c r="CM111" s="168"/>
      <c r="CN111" s="168"/>
      <c r="CO111" s="187"/>
      <c r="CP111" s="168"/>
    </row>
    <row r="112" spans="14:94" s="166" customFormat="1" ht="15" hidden="1" customHeight="1">
      <c r="N112" s="180"/>
      <c r="AD112" s="167"/>
      <c r="CM112" s="168"/>
      <c r="CN112" s="168"/>
      <c r="CO112" s="187"/>
      <c r="CP112" s="168"/>
    </row>
    <row r="113" spans="2:94" s="166" customFormat="1" ht="15" hidden="1" customHeight="1">
      <c r="N113" s="180"/>
      <c r="AD113" s="167"/>
      <c r="CM113" s="168"/>
      <c r="CN113" s="168"/>
      <c r="CO113" s="187"/>
      <c r="CP113" s="168"/>
    </row>
    <row r="114" spans="2:94" s="166" customFormat="1" ht="15" hidden="1" customHeight="1">
      <c r="N114" s="180"/>
      <c r="AD114" s="167"/>
      <c r="CM114" s="168"/>
      <c r="CN114" s="168"/>
      <c r="CO114" s="187"/>
      <c r="CP114" s="168"/>
    </row>
    <row r="115" spans="2:94" s="166" customFormat="1" ht="15" hidden="1" customHeight="1">
      <c r="N115" s="180"/>
      <c r="AD115" s="167"/>
      <c r="CM115" s="168"/>
      <c r="CN115" s="168"/>
      <c r="CO115" s="187"/>
      <c r="CP115" s="168"/>
    </row>
    <row r="116" spans="2:94" s="166" customFormat="1" ht="15" hidden="1" customHeight="1">
      <c r="N116" s="180"/>
      <c r="AD116" s="167"/>
      <c r="CM116" s="168"/>
      <c r="CN116" s="168"/>
      <c r="CO116" s="187"/>
      <c r="CP116" s="168"/>
    </row>
    <row r="117" spans="2:94" s="166" customFormat="1" ht="15" hidden="1" customHeight="1">
      <c r="N117" s="180"/>
      <c r="AD117" s="167"/>
      <c r="CM117" s="168"/>
      <c r="CN117" s="168"/>
      <c r="CO117" s="187"/>
      <c r="CP117" s="168"/>
    </row>
    <row r="118" spans="2:94" s="166" customFormat="1" ht="15" hidden="1" customHeight="1">
      <c r="N118" s="180"/>
      <c r="AD118" s="167"/>
      <c r="CM118" s="168"/>
      <c r="CN118" s="168"/>
      <c r="CO118" s="187"/>
      <c r="CP118" s="168"/>
    </row>
    <row r="119" spans="2:94" s="166" customFormat="1" ht="15" hidden="1" customHeight="1">
      <c r="N119" s="180"/>
      <c r="AD119" s="167"/>
      <c r="CM119" s="168"/>
      <c r="CN119" s="168"/>
      <c r="CO119" s="187"/>
      <c r="CP119" s="168"/>
    </row>
    <row r="120" spans="2:94" s="166" customFormat="1" ht="15" hidden="1" customHeight="1">
      <c r="N120" s="180"/>
      <c r="AD120" s="167"/>
      <c r="CM120" s="168"/>
      <c r="CN120" s="168"/>
      <c r="CO120" s="187" t="s">
        <v>1404</v>
      </c>
      <c r="CP120" s="168"/>
    </row>
    <row r="121" spans="2:94" s="166" customFormat="1" ht="15" hidden="1" customHeight="1">
      <c r="N121" s="180"/>
      <c r="AD121" s="167"/>
      <c r="CM121" s="168"/>
      <c r="CN121" s="168"/>
      <c r="CO121" s="187" t="s">
        <v>1405</v>
      </c>
      <c r="CP121" s="168"/>
    </row>
    <row r="122" spans="2:94" s="166" customFormat="1" ht="15" hidden="1" customHeight="1">
      <c r="N122" s="180"/>
      <c r="AD122" s="167"/>
      <c r="CM122" s="168"/>
      <c r="CN122" s="168"/>
      <c r="CO122" s="187" t="s">
        <v>1406</v>
      </c>
      <c r="CP122" s="168"/>
    </row>
    <row r="123" spans="2:94" s="166" customFormat="1" ht="15" hidden="1" customHeight="1">
      <c r="N123" s="180"/>
      <c r="AD123" s="167"/>
      <c r="CM123" s="168"/>
      <c r="CN123" s="168"/>
      <c r="CO123" s="187" t="s">
        <v>1407</v>
      </c>
      <c r="CP123" s="168"/>
    </row>
    <row r="124" spans="2:94" s="166" customFormat="1" ht="15" hidden="1" customHeight="1">
      <c r="N124" s="180"/>
      <c r="AD124" s="167"/>
      <c r="CM124" s="168"/>
      <c r="CN124" s="168"/>
      <c r="CO124" s="187" t="s">
        <v>1408</v>
      </c>
      <c r="CP124" s="168"/>
    </row>
    <row r="125" spans="2:94" s="166" customFormat="1" ht="15" hidden="1" customHeight="1">
      <c r="B125" s="180"/>
      <c r="C125" s="180"/>
      <c r="D125" s="180"/>
      <c r="E125" s="180"/>
      <c r="F125" s="180"/>
      <c r="G125" s="180"/>
      <c r="H125" s="180"/>
      <c r="I125" s="180"/>
      <c r="J125" s="181"/>
      <c r="K125" s="180"/>
      <c r="L125" s="180"/>
      <c r="M125" s="180"/>
      <c r="N125" s="180"/>
      <c r="P125" s="180"/>
      <c r="Q125" s="180"/>
      <c r="R125" s="180"/>
      <c r="S125" s="181"/>
      <c r="T125" s="180"/>
      <c r="U125" s="180"/>
      <c r="V125" s="180"/>
      <c r="W125" s="180"/>
      <c r="X125" s="181"/>
      <c r="Y125" s="180"/>
      <c r="Z125" s="180"/>
      <c r="AA125" s="180"/>
      <c r="AB125" s="181"/>
      <c r="AC125" s="180"/>
      <c r="AD125" s="167"/>
      <c r="CM125" s="168"/>
      <c r="CN125" s="168"/>
      <c r="CO125" s="187" t="s">
        <v>1409</v>
      </c>
      <c r="CP125" s="168"/>
    </row>
    <row r="126" spans="2:94" s="166" customFormat="1" ht="15" hidden="1" customHeight="1">
      <c r="B126" s="180"/>
      <c r="C126" s="180"/>
      <c r="D126" s="180"/>
      <c r="E126" s="180"/>
      <c r="F126" s="180"/>
      <c r="G126" s="180"/>
      <c r="H126" s="180"/>
      <c r="I126" s="180"/>
      <c r="J126" s="181"/>
      <c r="K126" s="180"/>
      <c r="L126" s="180"/>
      <c r="M126" s="180"/>
      <c r="N126" s="180"/>
      <c r="P126" s="180"/>
      <c r="Q126" s="180"/>
      <c r="R126" s="180"/>
      <c r="S126" s="181"/>
      <c r="T126" s="180"/>
      <c r="U126" s="180"/>
      <c r="V126" s="180"/>
      <c r="W126" s="180"/>
      <c r="X126" s="181"/>
      <c r="Y126" s="180"/>
      <c r="Z126" s="180"/>
      <c r="AA126" s="180"/>
      <c r="AB126" s="181"/>
      <c r="AC126" s="180"/>
      <c r="AD126" s="167"/>
      <c r="CM126" s="168"/>
      <c r="CN126" s="168"/>
      <c r="CO126" s="187" t="s">
        <v>1410</v>
      </c>
      <c r="CP126" s="168"/>
    </row>
  </sheetData>
  <sheetProtection password="CE4F" sheet="1" objects="1" scenarios="1" formatCells="0" formatColumns="0" formatRows="0" insertColumns="0" insertRows="0" insertHyperlinks="0" sort="0" autoFilter="0" pivotTables="0"/>
  <mergeCells count="23">
    <mergeCell ref="B4:C4"/>
    <mergeCell ref="D4:M4"/>
    <mergeCell ref="H5:L5"/>
    <mergeCell ref="AC5:AE5"/>
    <mergeCell ref="B6:C7"/>
    <mergeCell ref="D6:F6"/>
    <mergeCell ref="H6:L6"/>
    <mergeCell ref="D7:F7"/>
    <mergeCell ref="H7:L7"/>
    <mergeCell ref="AC7:AE7"/>
    <mergeCell ref="B9:N9"/>
    <mergeCell ref="P9:AE9"/>
    <mergeCell ref="B11:N11"/>
    <mergeCell ref="P11:AE11"/>
    <mergeCell ref="I13:K13"/>
    <mergeCell ref="R13:T13"/>
    <mergeCell ref="W13:Y13"/>
    <mergeCell ref="AA13:AC13"/>
    <mergeCell ref="B64:N64"/>
    <mergeCell ref="P64:AE64"/>
    <mergeCell ref="R65:T65"/>
    <mergeCell ref="W65:Y65"/>
    <mergeCell ref="AA65:AC65"/>
  </mergeCells>
  <conditionalFormatting sqref="G15:G62 G66:G81">
    <cfRule type="expression" dxfId="503" priority="21" stopIfTrue="1">
      <formula>I15&gt;K15</formula>
    </cfRule>
    <cfRule type="expression" dxfId="502" priority="22" stopIfTrue="1">
      <formula>I15&lt;K15</formula>
    </cfRule>
  </conditionalFormatting>
  <conditionalFormatting sqref="M15:M62">
    <cfRule type="expression" dxfId="501" priority="23" stopIfTrue="1">
      <formula>K15&gt;I15</formula>
    </cfRule>
    <cfRule type="expression" dxfId="500" priority="24" stopIfTrue="1">
      <formula>K15&lt;I15</formula>
    </cfRule>
  </conditionalFormatting>
  <conditionalFormatting sqref="S15:S62 S66:S81">
    <cfRule type="expression" dxfId="499" priority="25" stopIfTrue="1">
      <formula>AND($R15&lt;&gt;"",$T15&lt;&gt;"")</formula>
    </cfRule>
  </conditionalFormatting>
  <conditionalFormatting sqref="P15:R62 P66:R81 T66:T81">
    <cfRule type="expression" dxfId="498" priority="26" stopIfTrue="1">
      <formula>AND($R15&gt;$T15,$R15&lt;&gt;"",$T15&lt;&gt;"")</formula>
    </cfRule>
    <cfRule type="expression" dxfId="497" priority="27" stopIfTrue="1">
      <formula>AND($R15&lt;$T15,$R15&lt;&gt;"",$T15&lt;&gt;"")</formula>
    </cfRule>
    <cfRule type="expression" dxfId="496" priority="28" stopIfTrue="1">
      <formula>AND($R15&lt;&gt;"",$T15&lt;&gt;"")</formula>
    </cfRule>
  </conditionalFormatting>
  <conditionalFormatting sqref="U66:V81 T15:V62">
    <cfRule type="expression" dxfId="495" priority="29" stopIfTrue="1">
      <formula>AND($T15&gt;$R15,$R15&lt;&gt;"",$T15&lt;&gt;"")</formula>
    </cfRule>
    <cfRule type="expression" dxfId="494" priority="30" stopIfTrue="1">
      <formula>AND($T15&lt;$R15,$R15&lt;&gt;"",$T15&lt;&gt;"")</formula>
    </cfRule>
    <cfRule type="expression" dxfId="493" priority="31" stopIfTrue="1">
      <formula>AND($R15&lt;&gt;"",$T15&lt;&gt;"")</formula>
    </cfRule>
  </conditionalFormatting>
  <conditionalFormatting sqref="O15">
    <cfRule type="expression" dxfId="492" priority="32" stopIfTrue="1">
      <formula>#REF!&gt;#REF!</formula>
    </cfRule>
    <cfRule type="expression" dxfId="491" priority="33" stopIfTrue="1">
      <formula>#REF!&lt;#REF!</formula>
    </cfRule>
  </conditionalFormatting>
  <conditionalFormatting sqref="I15:I62 K15:K62 K66:K81 I66:I81">
    <cfRule type="expression" dxfId="490" priority="34" stopIfTrue="1">
      <formula>ISBLANK(I15)</formula>
    </cfRule>
  </conditionalFormatting>
  <conditionalFormatting sqref="X15:X61">
    <cfRule type="expression" dxfId="489" priority="14" stopIfTrue="1">
      <formula>AND($R15&lt;&gt;"",$T15&lt;&gt;"")</formula>
    </cfRule>
  </conditionalFormatting>
  <conditionalFormatting sqref="W15:W61">
    <cfRule type="expression" dxfId="488" priority="15" stopIfTrue="1">
      <formula>AND($R15&gt;$T15,$R15&lt;&gt;"",$T15&lt;&gt;"")</formula>
    </cfRule>
    <cfRule type="expression" dxfId="487" priority="16" stopIfTrue="1">
      <formula>AND($R15&lt;$T15,$R15&lt;&gt;"",$T15&lt;&gt;"")</formula>
    </cfRule>
    <cfRule type="expression" dxfId="486" priority="17" stopIfTrue="1">
      <formula>AND($R15&lt;&gt;"",$T15&lt;&gt;"")</formula>
    </cfRule>
  </conditionalFormatting>
  <conditionalFormatting sqref="Y15:Z61">
    <cfRule type="expression" dxfId="485" priority="18" stopIfTrue="1">
      <formula>AND($T15&gt;$R15,$R15&lt;&gt;"",$T15&lt;&gt;"")</formula>
    </cfRule>
    <cfRule type="expression" dxfId="484" priority="19" stopIfTrue="1">
      <formula>AND($T15&lt;$R15,$R15&lt;&gt;"",$T15&lt;&gt;"")</formula>
    </cfRule>
    <cfRule type="expression" dxfId="483" priority="20" stopIfTrue="1">
      <formula>AND($R15&lt;&gt;"",$T15&lt;&gt;"")</formula>
    </cfRule>
  </conditionalFormatting>
  <conditionalFormatting sqref="AB15:AB61">
    <cfRule type="expression" dxfId="482" priority="7" stopIfTrue="1">
      <formula>AND($R15&lt;&gt;"",$T15&lt;&gt;"")</formula>
    </cfRule>
  </conditionalFormatting>
  <conditionalFormatting sqref="AA15:AA61">
    <cfRule type="expression" dxfId="481" priority="8" stopIfTrue="1">
      <formula>AND($R15&gt;$T15,$R15&lt;&gt;"",$T15&lt;&gt;"")</formula>
    </cfRule>
    <cfRule type="expression" dxfId="480" priority="9" stopIfTrue="1">
      <formula>AND($R15&lt;$T15,$R15&lt;&gt;"",$T15&lt;&gt;"")</formula>
    </cfRule>
    <cfRule type="expression" dxfId="479" priority="10" stopIfTrue="1">
      <formula>AND($R15&lt;&gt;"",$T15&lt;&gt;"")</formula>
    </cfRule>
  </conditionalFormatting>
  <conditionalFormatting sqref="AC15:AC61">
    <cfRule type="expression" dxfId="478" priority="11" stopIfTrue="1">
      <formula>AND($T15&gt;$R15,$R15&lt;&gt;"",$T15&lt;&gt;"")</formula>
    </cfRule>
    <cfRule type="expression" dxfId="477" priority="12" stopIfTrue="1">
      <formula>AND($T15&lt;$R15,$R15&lt;&gt;"",$T15&lt;&gt;"")</formula>
    </cfRule>
    <cfRule type="expression" dxfId="476" priority="13" stopIfTrue="1">
      <formula>AND($R15&lt;&gt;"",$T15&lt;&gt;"")</formula>
    </cfRule>
  </conditionalFormatting>
  <conditionalFormatting sqref="M66:M81">
    <cfRule type="expression" dxfId="475" priority="35">
      <formula>K66&gt;I66</formula>
    </cfRule>
    <cfRule type="expression" dxfId="474" priority="36">
      <formula>$K66&lt;$I66</formula>
    </cfRule>
  </conditionalFormatting>
  <conditionalFormatting sqref="X66:X81">
    <cfRule type="expression" dxfId="473" priority="6">
      <formula>AND($W66&lt;&gt;"",$Y66&lt;&gt;"")</formula>
    </cfRule>
  </conditionalFormatting>
  <conditionalFormatting sqref="AB66:AB81">
    <cfRule type="expression" dxfId="472" priority="5">
      <formula>AND($AA66&lt;&gt;"",$AC66&lt;&gt;"")</formula>
    </cfRule>
  </conditionalFormatting>
  <conditionalFormatting sqref="AA65:AC65">
    <cfRule type="expression" dxfId="471" priority="4">
      <formula>$Z$67=1</formula>
    </cfRule>
  </conditionalFormatting>
  <conditionalFormatting sqref="W65:Y65">
    <cfRule type="expression" dxfId="470" priority="3">
      <formula>OR($Z$66=1,$Z$67=1)</formula>
    </cfRule>
  </conditionalFormatting>
  <conditionalFormatting sqref="W66:Y81">
    <cfRule type="expression" dxfId="469" priority="2">
      <formula>OR($Z$66=1,$Z$67=1)</formula>
    </cfRule>
  </conditionalFormatting>
  <conditionalFormatting sqref="AA66:AC81">
    <cfRule type="expression" dxfId="468" priority="1">
      <formula>$Z$67=1</formula>
    </cfRule>
  </conditionalFormatting>
  <printOptions horizontalCentered="1" verticalCentered="1"/>
  <pageMargins left="0.39" right="0.32" top="0.28999999999999998" bottom="0.39" header="0.21" footer="0.26"/>
  <pageSetup scale="59" orientation="portrait" horizontalDpi="300" verticalDpi="300" r:id="rId1"/>
  <headerFooter alignWithMargins="0">
    <oddFooter xml:space="preserve">&amp;C
</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S126"/>
  <sheetViews>
    <sheetView showGridLines="0" zoomScaleNormal="100" workbookViewId="0">
      <selection activeCell="P7" sqref="P7"/>
    </sheetView>
  </sheetViews>
  <sheetFormatPr defaultColWidth="0" defaultRowHeight="14.4" customHeight="1" zeroHeight="1"/>
  <cols>
    <col min="1" max="1" width="2.44140625" style="204" customWidth="1"/>
    <col min="2" max="2" width="3.6640625" style="204" customWidth="1"/>
    <col min="3" max="3" width="4.109375" style="204" customWidth="1"/>
    <col min="4" max="4" width="6.33203125" style="204" customWidth="1"/>
    <col min="5" max="5" width="8.21875" style="204" customWidth="1"/>
    <col min="6" max="6" width="6.88671875" style="205" customWidth="1"/>
    <col min="7" max="7" width="20.6640625" style="204" customWidth="1"/>
    <col min="8" max="8" width="1.77734375" style="204" customWidth="1"/>
    <col min="9" max="9" width="3.44140625" style="204" customWidth="1"/>
    <col min="10" max="10" width="1.77734375" style="206" customWidth="1"/>
    <col min="11" max="11" width="3.44140625" style="204" customWidth="1"/>
    <col min="12" max="12" width="1.6640625" style="204" customWidth="1"/>
    <col min="13" max="13" width="20.6640625" style="204" customWidth="1"/>
    <col min="14" max="14" width="2.44140625" style="204" customWidth="1"/>
    <col min="15" max="15" width="1.77734375" style="204" customWidth="1"/>
    <col min="16" max="16" width="20.6640625" style="204" customWidth="1"/>
    <col min="17" max="17" width="1.6640625" style="204" customWidth="1"/>
    <col min="18" max="18" width="3.44140625" style="204" customWidth="1"/>
    <col min="19" max="19" width="1.77734375" style="206" customWidth="1"/>
    <col min="20" max="20" width="3.44140625" style="204" customWidth="1"/>
    <col min="21" max="21" width="1.6640625" style="204" customWidth="1"/>
    <col min="22" max="22" width="17.5546875" style="204" customWidth="1"/>
    <col min="23" max="23" width="3.44140625" style="204" customWidth="1"/>
    <col min="24" max="24" width="1.77734375" style="206" customWidth="1"/>
    <col min="25" max="25" width="3.44140625" style="204" customWidth="1"/>
    <col min="26" max="26" width="1.77734375" style="204" customWidth="1"/>
    <col min="27" max="27" width="3.44140625" style="204" customWidth="1"/>
    <col min="28" max="28" width="1.77734375" style="206" customWidth="1"/>
    <col min="29" max="29" width="3.44140625" style="204" customWidth="1"/>
    <col min="30" max="30" width="5.77734375" style="206" customWidth="1"/>
    <col min="31" max="31" width="9.109375" style="204" customWidth="1"/>
    <col min="32" max="32" width="2.6640625" style="204" customWidth="1"/>
    <col min="33" max="33" width="9.109375" style="204" hidden="1" customWidth="1"/>
    <col min="34" max="90" width="0" style="204" hidden="1" customWidth="1"/>
    <col min="91" max="94" width="0" style="207" hidden="1" customWidth="1"/>
    <col min="95" max="97" width="0" style="204" hidden="1" customWidth="1"/>
    <col min="98" max="16384" width="9.109375" style="204" hidden="1"/>
  </cols>
  <sheetData>
    <row r="1" spans="2:97" s="166" customFormat="1" ht="15" customHeight="1">
      <c r="J1" s="167"/>
      <c r="S1" s="167"/>
      <c r="X1" s="167"/>
      <c r="AB1" s="167"/>
      <c r="AD1" s="167"/>
      <c r="CM1" s="168"/>
      <c r="CN1" s="168"/>
      <c r="CO1" s="168"/>
      <c r="CP1" s="168"/>
    </row>
    <row r="2" spans="2:97" s="166" customFormat="1" ht="15" customHeight="1">
      <c r="J2" s="167"/>
      <c r="S2" s="167"/>
      <c r="X2" s="167"/>
      <c r="AB2" s="167"/>
      <c r="AD2" s="167"/>
      <c r="CM2" s="168"/>
      <c r="CN2" s="168"/>
      <c r="CO2" s="168"/>
      <c r="CP2" s="168"/>
    </row>
    <row r="3" spans="2:97" s="166" customFormat="1" ht="15" customHeight="1">
      <c r="J3" s="167"/>
      <c r="S3" s="167"/>
      <c r="X3" s="167"/>
      <c r="AB3" s="167"/>
      <c r="AD3" s="167"/>
      <c r="CM3" s="168"/>
      <c r="CN3" s="168"/>
      <c r="CO3" s="168"/>
      <c r="CP3" s="168"/>
    </row>
    <row r="4" spans="2:97" s="166" customFormat="1" ht="25.05" customHeight="1">
      <c r="B4" s="297" t="s">
        <v>3871</v>
      </c>
      <c r="C4" s="298"/>
      <c r="D4" s="307" t="str">
        <f ca="1">IF(INDIRECT("'Player Name'!"&amp;"$c"&amp;B8)&lt;&gt;"",INDIRECT("'Player Name'!"&amp;"$c"&amp;B8),"")</f>
        <v>John 3</v>
      </c>
      <c r="E4" s="308"/>
      <c r="F4" s="308"/>
      <c r="G4" s="308"/>
      <c r="H4" s="308"/>
      <c r="I4" s="308"/>
      <c r="J4" s="308"/>
      <c r="K4" s="308"/>
      <c r="L4" s="308"/>
      <c r="M4" s="309"/>
      <c r="S4" s="167"/>
      <c r="X4" s="167"/>
      <c r="AB4" s="167"/>
      <c r="CM4" s="168"/>
      <c r="CN4" s="168"/>
      <c r="CO4" s="168"/>
      <c r="CP4" s="168"/>
    </row>
    <row r="5" spans="2:97" s="173" customFormat="1" ht="15" customHeight="1">
      <c r="B5" s="169"/>
      <c r="C5" s="169"/>
      <c r="D5" s="170"/>
      <c r="E5" s="170"/>
      <c r="F5" s="170"/>
      <c r="G5" s="171" t="s">
        <v>848</v>
      </c>
      <c r="H5" s="294" t="s">
        <v>3872</v>
      </c>
      <c r="I5" s="294"/>
      <c r="J5" s="294"/>
      <c r="K5" s="294"/>
      <c r="L5" s="295"/>
      <c r="M5" s="171" t="s">
        <v>3870</v>
      </c>
      <c r="N5" s="166"/>
      <c r="O5" s="166"/>
      <c r="P5" s="172"/>
      <c r="Q5" s="166"/>
      <c r="R5" s="166"/>
      <c r="S5" s="167"/>
      <c r="T5" s="166"/>
      <c r="U5" s="166"/>
      <c r="V5" s="166"/>
      <c r="W5" s="166"/>
      <c r="X5" s="167"/>
      <c r="Y5" s="166"/>
      <c r="Z5" s="166"/>
      <c r="AA5" s="166"/>
      <c r="AB5" s="167"/>
      <c r="AC5" s="296"/>
      <c r="AD5" s="296"/>
      <c r="AE5" s="296"/>
      <c r="CM5" s="174"/>
      <c r="CN5" s="174"/>
      <c r="CO5" s="174"/>
      <c r="CP5" s="174"/>
    </row>
    <row r="6" spans="2:97" s="166" customFormat="1" ht="15" customHeight="1">
      <c r="B6" s="318">
        <f>B8-5</f>
        <v>3</v>
      </c>
      <c r="C6" s="318"/>
      <c r="D6" s="315" t="s">
        <v>3868</v>
      </c>
      <c r="E6" s="315"/>
      <c r="F6" s="315"/>
      <c r="G6" s="175">
        <f>SUM(AD15:AD62)</f>
        <v>0</v>
      </c>
      <c r="H6" s="310">
        <f>SUM(AD66:AD81)</f>
        <v>0</v>
      </c>
      <c r="I6" s="311"/>
      <c r="J6" s="311"/>
      <c r="K6" s="311"/>
      <c r="L6" s="311"/>
      <c r="M6" s="176">
        <f>H6+G6</f>
        <v>0</v>
      </c>
      <c r="X6" s="167"/>
      <c r="AB6" s="167"/>
      <c r="CM6" s="168"/>
      <c r="CN6" s="168"/>
      <c r="CO6" s="168"/>
      <c r="CP6" s="168"/>
    </row>
    <row r="7" spans="2:97" s="166" customFormat="1" ht="15" customHeight="1">
      <c r="B7" s="318"/>
      <c r="C7" s="319"/>
      <c r="D7" s="316" t="s">
        <v>3869</v>
      </c>
      <c r="E7" s="317"/>
      <c r="F7" s="317"/>
      <c r="G7" s="177"/>
      <c r="H7" s="312"/>
      <c r="I7" s="312"/>
      <c r="J7" s="312"/>
      <c r="K7" s="312"/>
      <c r="L7" s="313"/>
      <c r="M7" s="178">
        <f ca="1">INDEX('Player Leaderboard'!$A$9:$A$23,MATCH($D4,'Player Leaderboard'!$B$9:$B$23,0),0)</f>
        <v>3</v>
      </c>
      <c r="P7" s="210" t="str">
        <f>HYPERLINK("["&amp;Setup!$C$5&amp;"]'Player ("&amp;B8-6&amp;")'!B6","&lt;&lt; Previous Player ("&amp;B8-6&amp;")")</f>
        <v>&lt;&lt; Previous Player (2)</v>
      </c>
      <c r="S7" s="167"/>
      <c r="X7" s="167"/>
      <c r="AB7" s="167"/>
      <c r="AC7" s="320" t="str">
        <f>HYPERLINK("["&amp;Setup!$C$5&amp;"]'Player ("&amp;B8-4&amp;")'!B6","Next Player ("&amp;B8-4&amp;") &gt;&gt;")</f>
        <v>Next Player (4) &gt;&gt;</v>
      </c>
      <c r="AD7" s="320"/>
      <c r="AE7" s="320"/>
      <c r="CM7" s="168"/>
      <c r="CN7" s="168"/>
      <c r="CO7" s="168"/>
      <c r="CP7" s="168"/>
    </row>
    <row r="8" spans="2:97" s="166" customFormat="1" ht="15" customHeight="1">
      <c r="B8" s="208">
        <v>8</v>
      </c>
      <c r="J8" s="167"/>
      <c r="S8" s="167"/>
      <c r="X8" s="167"/>
      <c r="AB8" s="167"/>
      <c r="AD8" s="167"/>
      <c r="CM8" s="168"/>
      <c r="CN8" s="168"/>
      <c r="CO8" s="168"/>
      <c r="CP8" s="168"/>
    </row>
    <row r="9" spans="2:97" s="166" customFormat="1" ht="15" customHeight="1">
      <c r="B9" s="314" t="s">
        <v>491</v>
      </c>
      <c r="C9" s="314"/>
      <c r="D9" s="314"/>
      <c r="E9" s="314"/>
      <c r="F9" s="314"/>
      <c r="G9" s="314"/>
      <c r="H9" s="314"/>
      <c r="I9" s="314"/>
      <c r="J9" s="314"/>
      <c r="K9" s="314"/>
      <c r="L9" s="314"/>
      <c r="M9" s="314"/>
      <c r="N9" s="314"/>
      <c r="P9" s="303" t="s">
        <v>492</v>
      </c>
      <c r="Q9" s="304"/>
      <c r="R9" s="304"/>
      <c r="S9" s="304"/>
      <c r="T9" s="304"/>
      <c r="U9" s="304"/>
      <c r="V9" s="304"/>
      <c r="W9" s="304"/>
      <c r="X9" s="304"/>
      <c r="Y9" s="304"/>
      <c r="Z9" s="304"/>
      <c r="AA9" s="304"/>
      <c r="AB9" s="304"/>
      <c r="AC9" s="304"/>
      <c r="AD9" s="304"/>
      <c r="AE9" s="305"/>
      <c r="CM9" s="168"/>
      <c r="CN9" s="168"/>
      <c r="CO9" s="168"/>
      <c r="CP9" s="168"/>
    </row>
    <row r="10" spans="2:97" s="166" customFormat="1" ht="15" customHeight="1">
      <c r="B10" s="180"/>
      <c r="C10" s="180"/>
      <c r="D10" s="180"/>
      <c r="E10" s="180"/>
      <c r="F10" s="180"/>
      <c r="G10" s="180"/>
      <c r="H10" s="180"/>
      <c r="I10" s="180"/>
      <c r="J10" s="181"/>
      <c r="K10" s="180"/>
      <c r="L10" s="180"/>
      <c r="M10" s="180"/>
      <c r="N10" s="180"/>
      <c r="O10" s="180"/>
      <c r="P10" s="180"/>
      <c r="Q10" s="180"/>
      <c r="R10" s="180"/>
      <c r="S10" s="180"/>
      <c r="T10" s="180"/>
      <c r="U10" s="180"/>
      <c r="V10" s="180"/>
      <c r="W10" s="180"/>
      <c r="X10" s="180"/>
      <c r="Y10" s="180"/>
      <c r="Z10" s="180"/>
      <c r="AA10" s="180"/>
      <c r="AB10" s="180"/>
      <c r="AC10" s="180"/>
      <c r="AD10" s="180"/>
      <c r="AE10" s="180"/>
      <c r="AF10" s="180"/>
      <c r="AG10" s="180"/>
      <c r="CM10" s="168"/>
      <c r="CN10" s="168"/>
      <c r="CO10" s="168"/>
      <c r="CP10" s="168"/>
    </row>
    <row r="11" spans="2:97" s="166" customFormat="1" ht="15" customHeight="1">
      <c r="B11" s="300" t="str">
        <f>Tournament!B10</f>
        <v>Group Stages</v>
      </c>
      <c r="C11" s="301"/>
      <c r="D11" s="301"/>
      <c r="E11" s="301"/>
      <c r="F11" s="301"/>
      <c r="G11" s="301"/>
      <c r="H11" s="301"/>
      <c r="I11" s="301"/>
      <c r="J11" s="301"/>
      <c r="K11" s="301"/>
      <c r="L11" s="301"/>
      <c r="M11" s="301"/>
      <c r="N11" s="302"/>
      <c r="P11" s="303" t="str">
        <f>B11</f>
        <v>Group Stages</v>
      </c>
      <c r="Q11" s="304"/>
      <c r="R11" s="304"/>
      <c r="S11" s="304"/>
      <c r="T11" s="304"/>
      <c r="U11" s="304"/>
      <c r="V11" s="304"/>
      <c r="W11" s="304"/>
      <c r="X11" s="304"/>
      <c r="Y11" s="304"/>
      <c r="Z11" s="304"/>
      <c r="AA11" s="304"/>
      <c r="AB11" s="304"/>
      <c r="AC11" s="304"/>
      <c r="AD11" s="304"/>
      <c r="AE11" s="305"/>
      <c r="CM11" s="168"/>
      <c r="CN11" s="168"/>
      <c r="CO11" s="168"/>
      <c r="CP11" s="168"/>
    </row>
    <row r="12" spans="2:97" s="166" customFormat="1" ht="15" customHeight="1">
      <c r="B12" s="182"/>
      <c r="C12" s="180"/>
      <c r="D12" s="180"/>
      <c r="E12" s="180"/>
      <c r="F12" s="180"/>
      <c r="G12" s="180"/>
      <c r="H12" s="180"/>
      <c r="I12" s="180"/>
      <c r="J12" s="181"/>
      <c r="K12" s="180"/>
      <c r="L12" s="180"/>
      <c r="M12" s="180"/>
      <c r="N12" s="183"/>
      <c r="P12" s="182"/>
      <c r="Q12" s="180"/>
      <c r="R12" s="180"/>
      <c r="S12" s="180"/>
      <c r="T12" s="180"/>
      <c r="U12" s="180"/>
      <c r="V12" s="180"/>
      <c r="W12" s="180"/>
      <c r="X12" s="180"/>
      <c r="Y12" s="180"/>
      <c r="Z12" s="180"/>
      <c r="AA12" s="180"/>
      <c r="AB12" s="180"/>
      <c r="AC12" s="180"/>
      <c r="AD12" s="180"/>
      <c r="AE12" s="183"/>
      <c r="CM12" s="168"/>
      <c r="CN12" s="168"/>
      <c r="CO12" s="168"/>
      <c r="CP12" s="168"/>
    </row>
    <row r="13" spans="2:97" s="166" customFormat="1" ht="15" customHeight="1">
      <c r="B13" s="182"/>
      <c r="C13" s="184" t="str">
        <f>Tournament!D14</f>
        <v>Match #</v>
      </c>
      <c r="D13" s="184" t="str">
        <f>Tournament!E14</f>
        <v>Group</v>
      </c>
      <c r="E13" s="184" t="str">
        <f>Tournament!F14</f>
        <v>Date</v>
      </c>
      <c r="F13" s="184" t="str">
        <f>Tournament!G14</f>
        <v>Time</v>
      </c>
      <c r="G13" s="184" t="str">
        <f>Tournament!H14</f>
        <v>Country</v>
      </c>
      <c r="H13" s="184"/>
      <c r="I13" s="306" t="str">
        <f>Tournament!J14</f>
        <v>Score</v>
      </c>
      <c r="J13" s="306"/>
      <c r="K13" s="306"/>
      <c r="L13" s="184"/>
      <c r="M13" s="184" t="str">
        <f>Tournament!N14</f>
        <v>Country</v>
      </c>
      <c r="N13" s="183"/>
      <c r="P13" s="185" t="str">
        <f>G13</f>
        <v>Country</v>
      </c>
      <c r="Q13" s="184"/>
      <c r="R13" s="306" t="str">
        <f>I13</f>
        <v>Score</v>
      </c>
      <c r="S13" s="306"/>
      <c r="T13" s="306"/>
      <c r="U13" s="184"/>
      <c r="V13" s="184" t="str">
        <f>M13</f>
        <v>Country</v>
      </c>
      <c r="W13" s="306"/>
      <c r="X13" s="306"/>
      <c r="Y13" s="306"/>
      <c r="Z13" s="184"/>
      <c r="AA13" s="306"/>
      <c r="AB13" s="306"/>
      <c r="AC13" s="306"/>
      <c r="AD13" s="184" t="s">
        <v>3277</v>
      </c>
      <c r="AE13" s="183"/>
      <c r="CP13" s="168"/>
      <c r="CQ13" s="186"/>
      <c r="CR13" s="187"/>
      <c r="CS13" s="168"/>
    </row>
    <row r="14" spans="2:97" s="166" customFormat="1" ht="15" customHeight="1">
      <c r="B14" s="182"/>
      <c r="C14" s="180"/>
      <c r="D14" s="180"/>
      <c r="E14" s="180"/>
      <c r="F14" s="180"/>
      <c r="G14" s="180"/>
      <c r="H14" s="180"/>
      <c r="I14" s="180"/>
      <c r="J14" s="180"/>
      <c r="K14" s="180"/>
      <c r="L14" s="180"/>
      <c r="M14" s="180"/>
      <c r="N14" s="183"/>
      <c r="P14" s="182"/>
      <c r="Q14" s="180"/>
      <c r="R14" s="180"/>
      <c r="S14" s="180"/>
      <c r="T14" s="180"/>
      <c r="U14" s="180"/>
      <c r="V14" s="180"/>
      <c r="W14" s="180"/>
      <c r="X14" s="180"/>
      <c r="Y14" s="180"/>
      <c r="Z14" s="180"/>
      <c r="AA14" s="180"/>
      <c r="AB14" s="180"/>
      <c r="AC14" s="180"/>
      <c r="AD14" s="181"/>
      <c r="AE14" s="183"/>
      <c r="CP14" s="168"/>
      <c r="CQ14" s="186"/>
      <c r="CR14" s="187"/>
      <c r="CS14" s="168"/>
    </row>
    <row r="15" spans="2:97" s="166" customFormat="1" ht="15" customHeight="1">
      <c r="B15" s="182"/>
      <c r="C15" s="181">
        <f>Tournament!D16</f>
        <v>1</v>
      </c>
      <c r="D15" s="181" t="str">
        <f>Tournament!E16</f>
        <v>A</v>
      </c>
      <c r="E15" s="188">
        <f>Tournament!F16</f>
        <v>41802.708333333336</v>
      </c>
      <c r="F15" s="189">
        <f>Tournament!G16</f>
        <v>41802.708333333336</v>
      </c>
      <c r="G15" s="190" t="str">
        <f>Tournament!H16</f>
        <v>Brazil</v>
      </c>
      <c r="H15" s="180"/>
      <c r="I15" s="9"/>
      <c r="J15" s="191" t="s">
        <v>3088</v>
      </c>
      <c r="K15" s="9"/>
      <c r="L15" s="180"/>
      <c r="M15" s="180" t="str">
        <f>Tournament!N16</f>
        <v>Croatia</v>
      </c>
      <c r="N15" s="183"/>
      <c r="O15" s="180"/>
      <c r="P15" s="192" t="str">
        <f>G15</f>
        <v>Brazil</v>
      </c>
      <c r="Q15" s="193"/>
      <c r="R15" s="194">
        <f>IF(Tournament!J16&lt;&gt;"",Tournament!J16,"")</f>
        <v>3</v>
      </c>
      <c r="S15" s="194" t="s">
        <v>3088</v>
      </c>
      <c r="T15" s="194">
        <f>IF(Tournament!L16&lt;&gt;"",Tournament!L16,"")</f>
        <v>1</v>
      </c>
      <c r="U15" s="193"/>
      <c r="V15" s="193" t="str">
        <f>M15</f>
        <v>Croatia</v>
      </c>
      <c r="W15" s="194"/>
      <c r="X15" s="194"/>
      <c r="Y15" s="194"/>
      <c r="Z15" s="194"/>
      <c r="AA15" s="194"/>
      <c r="AB15" s="194"/>
      <c r="AC15" s="194"/>
      <c r="AD15" s="195" t="str">
        <f>IF(AND(I15&lt;&gt;"",K15&lt;&gt;"",R15&lt;&gt;"",T15&lt;&gt;""),IF(AND(I15=R15,K15=T15),Setup!$D$10,IF((I15-K15)=(R15-T15),Setup!$D$11,IF(AND((I15&gt;K15),(R15&gt;T15)),Setup!$D$12,IF(AND((K15&gt;I15),(T15&gt;R15)),Setup!$D$12,0)))),"")</f>
        <v/>
      </c>
      <c r="AE15" s="183"/>
      <c r="CP15" s="168"/>
      <c r="CQ15" s="186"/>
      <c r="CR15" s="187"/>
      <c r="CS15" s="168"/>
    </row>
    <row r="16" spans="2:97" s="166" customFormat="1" ht="15" customHeight="1">
      <c r="B16" s="182"/>
      <c r="C16" s="181">
        <f>Tournament!D17</f>
        <v>2</v>
      </c>
      <c r="D16" s="181" t="str">
        <f>Tournament!E17</f>
        <v>A</v>
      </c>
      <c r="E16" s="188">
        <f>Tournament!F17</f>
        <v>41803.541666666664</v>
      </c>
      <c r="F16" s="189">
        <f>Tournament!G17</f>
        <v>41803.541666666664</v>
      </c>
      <c r="G16" s="190" t="str">
        <f>Tournament!H17</f>
        <v>Mexico</v>
      </c>
      <c r="H16" s="180"/>
      <c r="I16" s="9"/>
      <c r="J16" s="191" t="s">
        <v>3088</v>
      </c>
      <c r="K16" s="9"/>
      <c r="L16" s="180"/>
      <c r="M16" s="180" t="str">
        <f>Tournament!N17</f>
        <v>Cameroon</v>
      </c>
      <c r="N16" s="183"/>
      <c r="P16" s="192" t="str">
        <f t="shared" ref="P16:P62" si="0">G16</f>
        <v>Mexico</v>
      </c>
      <c r="Q16" s="193"/>
      <c r="R16" s="194">
        <f>IF(Tournament!J17&lt;&gt;"",Tournament!J17,"")</f>
        <v>1</v>
      </c>
      <c r="S16" s="194" t="s">
        <v>3088</v>
      </c>
      <c r="T16" s="194">
        <f>IF(Tournament!L17&lt;&gt;"",Tournament!L17,"")</f>
        <v>0</v>
      </c>
      <c r="U16" s="193"/>
      <c r="V16" s="193" t="str">
        <f t="shared" ref="V16:V62" si="1">M16</f>
        <v>Cameroon</v>
      </c>
      <c r="W16" s="194"/>
      <c r="X16" s="194"/>
      <c r="Y16" s="194"/>
      <c r="Z16" s="194"/>
      <c r="AA16" s="194"/>
      <c r="AB16" s="194"/>
      <c r="AC16" s="194"/>
      <c r="AD16" s="195" t="str">
        <f>IF(AND(I16&lt;&gt;"",K16&lt;&gt;"",R16&lt;&gt;"",T16&lt;&gt;""),IF(AND(I16=R16,K16=T16),Setup!$D$10,IF((I16-K16)=(R16-T16),Setup!$D$11,IF(AND((I16&gt;K16),(R16&gt;T16)),Setup!$D$12,IF(AND((K16&gt;I16),(T16&gt;R16)),Setup!$D$12,0)))),"")</f>
        <v/>
      </c>
      <c r="AE16" s="183"/>
      <c r="AI16" s="179" t="s">
        <v>3904</v>
      </c>
      <c r="CP16" s="168"/>
      <c r="CQ16" s="186"/>
      <c r="CR16" s="187"/>
      <c r="CS16" s="168"/>
    </row>
    <row r="17" spans="2:97" s="166" customFormat="1" ht="15" customHeight="1">
      <c r="B17" s="182"/>
      <c r="C17" s="181">
        <f>Tournament!D18</f>
        <v>3</v>
      </c>
      <c r="D17" s="181" t="str">
        <f>Tournament!E18</f>
        <v>B</v>
      </c>
      <c r="E17" s="188">
        <f>Tournament!F18</f>
        <v>41803.666666666664</v>
      </c>
      <c r="F17" s="189">
        <f>Tournament!G18</f>
        <v>41803.666666666664</v>
      </c>
      <c r="G17" s="190" t="str">
        <f>Tournament!H18</f>
        <v>Spain</v>
      </c>
      <c r="H17" s="180"/>
      <c r="I17" s="9"/>
      <c r="J17" s="191" t="s">
        <v>3088</v>
      </c>
      <c r="K17" s="9"/>
      <c r="L17" s="180"/>
      <c r="M17" s="180" t="str">
        <f>Tournament!N18</f>
        <v>Netherlands</v>
      </c>
      <c r="N17" s="183"/>
      <c r="P17" s="192" t="str">
        <f t="shared" si="0"/>
        <v>Spain</v>
      </c>
      <c r="Q17" s="193"/>
      <c r="R17" s="194">
        <f>IF(Tournament!J18&lt;&gt;"",Tournament!J18,"")</f>
        <v>1</v>
      </c>
      <c r="S17" s="194" t="s">
        <v>3088</v>
      </c>
      <c r="T17" s="194">
        <f>IF(Tournament!L18&lt;&gt;"",Tournament!L18,"")</f>
        <v>5</v>
      </c>
      <c r="U17" s="193"/>
      <c r="V17" s="193" t="str">
        <f t="shared" si="1"/>
        <v>Netherlands</v>
      </c>
      <c r="W17" s="194"/>
      <c r="X17" s="194"/>
      <c r="Y17" s="194"/>
      <c r="Z17" s="194"/>
      <c r="AA17" s="194"/>
      <c r="AB17" s="194"/>
      <c r="AC17" s="194"/>
      <c r="AD17" s="195" t="str">
        <f>IF(AND(I17&lt;&gt;"",K17&lt;&gt;"",R17&lt;&gt;"",T17&lt;&gt;""),IF(AND(I17=R17,K17=T17),Setup!$D$10,IF((I17-K17)=(R17-T17),Setup!$D$11,IF(AND((I17&gt;K17),(R17&gt;T17)),Setup!$D$12,IF(AND((K17&gt;I17),(T17&gt;R17)),Setup!$D$12,0)))),"")</f>
        <v/>
      </c>
      <c r="AE17" s="183"/>
      <c r="CP17" s="168"/>
      <c r="CQ17" s="186"/>
      <c r="CR17" s="187"/>
      <c r="CS17" s="168"/>
    </row>
    <row r="18" spans="2:97" s="166" customFormat="1" ht="15" customHeight="1">
      <c r="B18" s="182"/>
      <c r="C18" s="181">
        <f>Tournament!D19</f>
        <v>4</v>
      </c>
      <c r="D18" s="181" t="str">
        <f>Tournament!E19</f>
        <v>B</v>
      </c>
      <c r="E18" s="188">
        <f>Tournament!F19</f>
        <v>41803.791666666664</v>
      </c>
      <c r="F18" s="189">
        <f>Tournament!G19</f>
        <v>41803.791666666664</v>
      </c>
      <c r="G18" s="190" t="str">
        <f>Tournament!H19</f>
        <v>Chile</v>
      </c>
      <c r="H18" s="180"/>
      <c r="I18" s="9"/>
      <c r="J18" s="191" t="s">
        <v>3088</v>
      </c>
      <c r="K18" s="9"/>
      <c r="L18" s="180"/>
      <c r="M18" s="180" t="str">
        <f>Tournament!N19</f>
        <v>Australia</v>
      </c>
      <c r="N18" s="183"/>
      <c r="P18" s="192" t="str">
        <f t="shared" si="0"/>
        <v>Chile</v>
      </c>
      <c r="Q18" s="193"/>
      <c r="R18" s="194">
        <f>IF(Tournament!J19&lt;&gt;"",Tournament!J19,"")</f>
        <v>3</v>
      </c>
      <c r="S18" s="194" t="s">
        <v>3088</v>
      </c>
      <c r="T18" s="194">
        <f>IF(Tournament!L19&lt;&gt;"",Tournament!L19,"")</f>
        <v>1</v>
      </c>
      <c r="U18" s="193"/>
      <c r="V18" s="193" t="str">
        <f t="shared" si="1"/>
        <v>Australia</v>
      </c>
      <c r="W18" s="194"/>
      <c r="X18" s="194"/>
      <c r="Y18" s="194"/>
      <c r="Z18" s="194"/>
      <c r="AA18" s="194"/>
      <c r="AB18" s="194"/>
      <c r="AC18" s="194"/>
      <c r="AD18" s="195" t="str">
        <f>IF(AND(I18&lt;&gt;"",K18&lt;&gt;"",R18&lt;&gt;"",T18&lt;&gt;""),IF(AND(I18=R18,K18=T18),Setup!$D$10,IF((I18-K18)=(R18-T18),Setup!$D$11,IF(AND((I18&gt;K18),(R18&gt;T18)),Setup!$D$12,IF(AND((K18&gt;I18),(T18&gt;R18)),Setup!$D$12,0)))),"")</f>
        <v/>
      </c>
      <c r="AE18" s="183"/>
      <c r="CP18" s="168"/>
      <c r="CQ18" s="186"/>
      <c r="CR18" s="187"/>
      <c r="CS18" s="168"/>
    </row>
    <row r="19" spans="2:97" s="166" customFormat="1" ht="15" customHeight="1">
      <c r="B19" s="182"/>
      <c r="C19" s="181">
        <f>Tournament!D20</f>
        <v>5</v>
      </c>
      <c r="D19" s="181" t="str">
        <f>Tournament!E20</f>
        <v>C</v>
      </c>
      <c r="E19" s="188">
        <f>Tournament!F20</f>
        <v>41804.541666666664</v>
      </c>
      <c r="F19" s="189">
        <f>Tournament!G20</f>
        <v>41804.541666666664</v>
      </c>
      <c r="G19" s="190" t="str">
        <f>Tournament!H20</f>
        <v>Colombia</v>
      </c>
      <c r="H19" s="180"/>
      <c r="I19" s="9"/>
      <c r="J19" s="191" t="s">
        <v>3088</v>
      </c>
      <c r="K19" s="9"/>
      <c r="L19" s="180"/>
      <c r="M19" s="180" t="str">
        <f>Tournament!N20</f>
        <v>Greece</v>
      </c>
      <c r="N19" s="183"/>
      <c r="P19" s="192" t="str">
        <f t="shared" si="0"/>
        <v>Colombia</v>
      </c>
      <c r="Q19" s="193"/>
      <c r="R19" s="194" t="str">
        <f>IF(Tournament!J20&lt;&gt;"",Tournament!J20,"")</f>
        <v/>
      </c>
      <c r="S19" s="194" t="s">
        <v>3088</v>
      </c>
      <c r="T19" s="194" t="str">
        <f>IF(Tournament!L20&lt;&gt;"",Tournament!L20,"")</f>
        <v/>
      </c>
      <c r="U19" s="193"/>
      <c r="V19" s="193" t="str">
        <f t="shared" si="1"/>
        <v>Greece</v>
      </c>
      <c r="W19" s="194"/>
      <c r="X19" s="194"/>
      <c r="Y19" s="194"/>
      <c r="Z19" s="194"/>
      <c r="AA19" s="194"/>
      <c r="AB19" s="194"/>
      <c r="AC19" s="194"/>
      <c r="AD19" s="195" t="str">
        <f>IF(AND(I19&lt;&gt;"",K19&lt;&gt;"",R19&lt;&gt;"",T19&lt;&gt;""),IF(AND(I19=R19,K19=T19),Setup!$D$10,IF((I19-K19)=(R19-T19),Setup!$D$11,IF(AND((I19&gt;K19),(R19&gt;T19)),Setup!$D$12,IF(AND((K19&gt;I19),(T19&gt;R19)),Setup!$D$12,0)))),"")</f>
        <v/>
      </c>
      <c r="AE19" s="183"/>
      <c r="CP19" s="168"/>
      <c r="CQ19" s="186"/>
      <c r="CR19" s="187"/>
      <c r="CS19" s="168"/>
    </row>
    <row r="20" spans="2:97" s="166" customFormat="1" ht="15" customHeight="1">
      <c r="B20" s="182"/>
      <c r="C20" s="181">
        <f>Tournament!D21</f>
        <v>6</v>
      </c>
      <c r="D20" s="181" t="str">
        <f>Tournament!E21</f>
        <v>C</v>
      </c>
      <c r="E20" s="188">
        <f>Tournament!F21</f>
        <v>41804.916666666664</v>
      </c>
      <c r="F20" s="189">
        <f>Tournament!G21</f>
        <v>41804.916666666664</v>
      </c>
      <c r="G20" s="190" t="str">
        <f>Tournament!H21</f>
        <v>Ivory Coast</v>
      </c>
      <c r="H20" s="180"/>
      <c r="I20" s="9"/>
      <c r="J20" s="191" t="s">
        <v>3088</v>
      </c>
      <c r="K20" s="9"/>
      <c r="L20" s="180"/>
      <c r="M20" s="180" t="str">
        <f>Tournament!N21</f>
        <v>Japan</v>
      </c>
      <c r="N20" s="183"/>
      <c r="P20" s="192" t="str">
        <f t="shared" si="0"/>
        <v>Ivory Coast</v>
      </c>
      <c r="Q20" s="193"/>
      <c r="R20" s="194" t="str">
        <f>IF(Tournament!J21&lt;&gt;"",Tournament!J21,"")</f>
        <v/>
      </c>
      <c r="S20" s="194" t="s">
        <v>3088</v>
      </c>
      <c r="T20" s="194" t="str">
        <f>IF(Tournament!L21&lt;&gt;"",Tournament!L21,"")</f>
        <v/>
      </c>
      <c r="U20" s="193"/>
      <c r="V20" s="193" t="str">
        <f t="shared" si="1"/>
        <v>Japan</v>
      </c>
      <c r="W20" s="194"/>
      <c r="X20" s="194"/>
      <c r="Y20" s="194"/>
      <c r="Z20" s="194"/>
      <c r="AA20" s="194"/>
      <c r="AB20" s="194"/>
      <c r="AC20" s="194"/>
      <c r="AD20" s="195" t="str">
        <f>IF(AND(I20&lt;&gt;"",K20&lt;&gt;"",R20&lt;&gt;"",T20&lt;&gt;""),IF(AND(I20=R20,K20=T20),Setup!$D$10,IF((I20-K20)=(R20-T20),Setup!$D$11,IF(AND((I20&gt;K20),(R20&gt;T20)),Setup!$D$12,IF(AND((K20&gt;I20),(T20&gt;R20)),Setup!$D$12,0)))),"")</f>
        <v/>
      </c>
      <c r="AE20" s="183"/>
      <c r="CP20" s="168"/>
      <c r="CQ20" s="186"/>
      <c r="CR20" s="187"/>
      <c r="CS20" s="168"/>
    </row>
    <row r="21" spans="2:97" s="166" customFormat="1" ht="15" customHeight="1">
      <c r="B21" s="182"/>
      <c r="C21" s="181">
        <f>Tournament!D22</f>
        <v>7</v>
      </c>
      <c r="D21" s="181" t="str">
        <f>Tournament!E22</f>
        <v>D</v>
      </c>
      <c r="E21" s="188">
        <f>Tournament!F22</f>
        <v>41804.666666666664</v>
      </c>
      <c r="F21" s="189">
        <f>Tournament!G22</f>
        <v>41804.666666666664</v>
      </c>
      <c r="G21" s="190" t="str">
        <f>Tournament!H22</f>
        <v>Uruguay</v>
      </c>
      <c r="H21" s="180"/>
      <c r="I21" s="9"/>
      <c r="J21" s="191" t="s">
        <v>3088</v>
      </c>
      <c r="K21" s="9"/>
      <c r="L21" s="180"/>
      <c r="M21" s="180" t="str">
        <f>Tournament!N22</f>
        <v>Costa Rica</v>
      </c>
      <c r="N21" s="183"/>
      <c r="P21" s="192" t="str">
        <f t="shared" si="0"/>
        <v>Uruguay</v>
      </c>
      <c r="Q21" s="193"/>
      <c r="R21" s="194" t="str">
        <f>IF(Tournament!J22&lt;&gt;"",Tournament!J22,"")</f>
        <v/>
      </c>
      <c r="S21" s="194" t="s">
        <v>3088</v>
      </c>
      <c r="T21" s="194" t="str">
        <f>IF(Tournament!L22&lt;&gt;"",Tournament!L22,"")</f>
        <v/>
      </c>
      <c r="U21" s="193"/>
      <c r="V21" s="193" t="str">
        <f t="shared" si="1"/>
        <v>Costa Rica</v>
      </c>
      <c r="W21" s="194"/>
      <c r="X21" s="194"/>
      <c r="Y21" s="194"/>
      <c r="Z21" s="194"/>
      <c r="AA21" s="194"/>
      <c r="AB21" s="194"/>
      <c r="AC21" s="194"/>
      <c r="AD21" s="195" t="str">
        <f>IF(AND(I21&lt;&gt;"",K21&lt;&gt;"",R21&lt;&gt;"",T21&lt;&gt;""),IF(AND(I21=R21,K21=T21),Setup!$D$10,IF((I21-K21)=(R21-T21),Setup!$D$11,IF(AND((I21&gt;K21),(R21&gt;T21)),Setup!$D$12,IF(AND((K21&gt;I21),(T21&gt;R21)),Setup!$D$12,0)))),"")</f>
        <v/>
      </c>
      <c r="AE21" s="183"/>
      <c r="CP21" s="168"/>
      <c r="CQ21" s="196"/>
      <c r="CR21" s="187"/>
      <c r="CS21" s="168"/>
    </row>
    <row r="22" spans="2:97" s="166" customFormat="1" ht="15" customHeight="1">
      <c r="B22" s="182"/>
      <c r="C22" s="181">
        <f>Tournament!D23</f>
        <v>8</v>
      </c>
      <c r="D22" s="181" t="str">
        <f>Tournament!E23</f>
        <v>D</v>
      </c>
      <c r="E22" s="188">
        <f>Tournament!F23</f>
        <v>41804.791666666664</v>
      </c>
      <c r="F22" s="189">
        <f>Tournament!G23</f>
        <v>41804.791666666664</v>
      </c>
      <c r="G22" s="190" t="str">
        <f>Tournament!H23</f>
        <v>England</v>
      </c>
      <c r="H22" s="180"/>
      <c r="I22" s="9"/>
      <c r="J22" s="191" t="s">
        <v>3088</v>
      </c>
      <c r="K22" s="9"/>
      <c r="L22" s="180"/>
      <c r="M22" s="180" t="str">
        <f>Tournament!N23</f>
        <v>Italy</v>
      </c>
      <c r="N22" s="183"/>
      <c r="P22" s="192" t="str">
        <f t="shared" si="0"/>
        <v>England</v>
      </c>
      <c r="Q22" s="193"/>
      <c r="R22" s="194" t="str">
        <f>IF(Tournament!J23&lt;&gt;"",Tournament!J23,"")</f>
        <v/>
      </c>
      <c r="S22" s="194" t="s">
        <v>3088</v>
      </c>
      <c r="T22" s="194" t="str">
        <f>IF(Tournament!L23&lt;&gt;"",Tournament!L23,"")</f>
        <v/>
      </c>
      <c r="U22" s="193"/>
      <c r="V22" s="193" t="str">
        <f t="shared" si="1"/>
        <v>Italy</v>
      </c>
      <c r="W22" s="194"/>
      <c r="X22" s="194"/>
      <c r="Y22" s="194"/>
      <c r="Z22" s="194"/>
      <c r="AA22" s="194"/>
      <c r="AB22" s="194"/>
      <c r="AC22" s="194"/>
      <c r="AD22" s="195" t="str">
        <f>IF(AND(I22&lt;&gt;"",K22&lt;&gt;"",R22&lt;&gt;"",T22&lt;&gt;""),IF(AND(I22=R22,K22=T22),Setup!$D$10,IF((I22-K22)=(R22-T22),Setup!$D$11,IF(AND((I22&gt;K22),(R22&gt;T22)),Setup!$D$12,IF(AND((K22&gt;I22),(T22&gt;R22)),Setup!$D$12,0)))),"")</f>
        <v/>
      </c>
      <c r="AE22" s="183"/>
      <c r="CP22" s="168"/>
      <c r="CQ22" s="186"/>
      <c r="CR22" s="187"/>
      <c r="CS22" s="168"/>
    </row>
    <row r="23" spans="2:97" s="166" customFormat="1" ht="15" customHeight="1">
      <c r="B23" s="182"/>
      <c r="C23" s="181">
        <f>Tournament!D24</f>
        <v>9</v>
      </c>
      <c r="D23" s="181" t="str">
        <f>Tournament!E24</f>
        <v>E</v>
      </c>
      <c r="E23" s="188">
        <f>Tournament!F24</f>
        <v>41805.541666666664</v>
      </c>
      <c r="F23" s="189">
        <f>Tournament!G24</f>
        <v>41805.541666666664</v>
      </c>
      <c r="G23" s="190" t="str">
        <f>Tournament!H24</f>
        <v>Switzerland</v>
      </c>
      <c r="H23" s="180"/>
      <c r="I23" s="9"/>
      <c r="J23" s="191" t="s">
        <v>3088</v>
      </c>
      <c r="K23" s="9"/>
      <c r="L23" s="180"/>
      <c r="M23" s="180" t="str">
        <f>Tournament!N24</f>
        <v>Ecuador</v>
      </c>
      <c r="N23" s="183"/>
      <c r="P23" s="192" t="str">
        <f t="shared" si="0"/>
        <v>Switzerland</v>
      </c>
      <c r="Q23" s="193"/>
      <c r="R23" s="194" t="str">
        <f>IF(Tournament!J24&lt;&gt;"",Tournament!J24,"")</f>
        <v/>
      </c>
      <c r="S23" s="194" t="s">
        <v>3088</v>
      </c>
      <c r="T23" s="194" t="str">
        <f>IF(Tournament!L24&lt;&gt;"",Tournament!L24,"")</f>
        <v/>
      </c>
      <c r="U23" s="193"/>
      <c r="V23" s="193" t="str">
        <f t="shared" si="1"/>
        <v>Ecuador</v>
      </c>
      <c r="W23" s="194"/>
      <c r="X23" s="194"/>
      <c r="Y23" s="194"/>
      <c r="Z23" s="194"/>
      <c r="AA23" s="194"/>
      <c r="AB23" s="194"/>
      <c r="AC23" s="194"/>
      <c r="AD23" s="195" t="str">
        <f>IF(AND(I23&lt;&gt;"",K23&lt;&gt;"",R23&lt;&gt;"",T23&lt;&gt;""),IF(AND(I23=R23,K23=T23),Setup!$D$10,IF((I23-K23)=(R23-T23),Setup!$D$11,IF(AND((I23&gt;K23),(R23&gt;T23)),Setup!$D$12,IF(AND((K23&gt;I23),(T23&gt;R23)),Setup!$D$12,0)))),"")</f>
        <v/>
      </c>
      <c r="AE23" s="183"/>
      <c r="CP23" s="168"/>
      <c r="CQ23" s="186"/>
      <c r="CR23" s="187"/>
      <c r="CS23" s="168"/>
    </row>
    <row r="24" spans="2:97" s="166" customFormat="1" ht="15" customHeight="1">
      <c r="B24" s="182"/>
      <c r="C24" s="181">
        <f>Tournament!D25</f>
        <v>10</v>
      </c>
      <c r="D24" s="181" t="str">
        <f>Tournament!E25</f>
        <v>E</v>
      </c>
      <c r="E24" s="188">
        <f>Tournament!F25</f>
        <v>41805.666666666664</v>
      </c>
      <c r="F24" s="189">
        <f>Tournament!G25</f>
        <v>41805.666666666664</v>
      </c>
      <c r="G24" s="190" t="str">
        <f>Tournament!H25</f>
        <v>France</v>
      </c>
      <c r="H24" s="180"/>
      <c r="I24" s="9"/>
      <c r="J24" s="191" t="s">
        <v>3088</v>
      </c>
      <c r="K24" s="9"/>
      <c r="L24" s="180"/>
      <c r="M24" s="180" t="str">
        <f>Tournament!N25</f>
        <v>Honduras</v>
      </c>
      <c r="N24" s="183"/>
      <c r="P24" s="192" t="str">
        <f t="shared" si="0"/>
        <v>France</v>
      </c>
      <c r="Q24" s="193"/>
      <c r="R24" s="194" t="str">
        <f>IF(Tournament!J25&lt;&gt;"",Tournament!J25,"")</f>
        <v/>
      </c>
      <c r="S24" s="194" t="s">
        <v>3088</v>
      </c>
      <c r="T24" s="194" t="str">
        <f>IF(Tournament!L25&lt;&gt;"",Tournament!L25,"")</f>
        <v/>
      </c>
      <c r="U24" s="193"/>
      <c r="V24" s="193" t="str">
        <f t="shared" si="1"/>
        <v>Honduras</v>
      </c>
      <c r="W24" s="194"/>
      <c r="X24" s="194"/>
      <c r="Y24" s="194"/>
      <c r="Z24" s="194"/>
      <c r="AA24" s="194"/>
      <c r="AB24" s="194"/>
      <c r="AC24" s="194"/>
      <c r="AD24" s="195" t="str">
        <f>IF(AND(I24&lt;&gt;"",K24&lt;&gt;"",R24&lt;&gt;"",T24&lt;&gt;""),IF(AND(I24=R24,K24=T24),Setup!$D$10,IF((I24-K24)=(R24-T24),Setup!$D$11,IF(AND((I24&gt;K24),(R24&gt;T24)),Setup!$D$12,IF(AND((K24&gt;I24),(T24&gt;R24)),Setup!$D$12,0)))),"")</f>
        <v/>
      </c>
      <c r="AE24" s="183"/>
      <c r="CP24" s="168"/>
      <c r="CQ24" s="186"/>
      <c r="CR24" s="187"/>
      <c r="CS24" s="168"/>
    </row>
    <row r="25" spans="2:97" s="166" customFormat="1" ht="15" customHeight="1">
      <c r="B25" s="182"/>
      <c r="C25" s="181">
        <f>Tournament!D26</f>
        <v>11</v>
      </c>
      <c r="D25" s="181" t="str">
        <f>Tournament!E26</f>
        <v>F</v>
      </c>
      <c r="E25" s="188">
        <f>Tournament!F26</f>
        <v>41805.791666666664</v>
      </c>
      <c r="F25" s="189">
        <f>Tournament!G26</f>
        <v>41805.791666666664</v>
      </c>
      <c r="G25" s="190" t="str">
        <f>Tournament!H26</f>
        <v>Argentina</v>
      </c>
      <c r="H25" s="180"/>
      <c r="I25" s="9"/>
      <c r="J25" s="191" t="s">
        <v>3088</v>
      </c>
      <c r="K25" s="9"/>
      <c r="L25" s="180"/>
      <c r="M25" s="180" t="str">
        <f>Tournament!N26</f>
        <v>Bosnia-Herzegovina</v>
      </c>
      <c r="N25" s="183"/>
      <c r="P25" s="192" t="str">
        <f t="shared" si="0"/>
        <v>Argentina</v>
      </c>
      <c r="Q25" s="193"/>
      <c r="R25" s="194" t="str">
        <f>IF(Tournament!J26&lt;&gt;"",Tournament!J26,"")</f>
        <v/>
      </c>
      <c r="S25" s="194" t="s">
        <v>3088</v>
      </c>
      <c r="T25" s="194" t="str">
        <f>IF(Tournament!L26&lt;&gt;"",Tournament!L26,"")</f>
        <v/>
      </c>
      <c r="U25" s="193"/>
      <c r="V25" s="193" t="str">
        <f t="shared" si="1"/>
        <v>Bosnia-Herzegovina</v>
      </c>
      <c r="W25" s="194"/>
      <c r="X25" s="194"/>
      <c r="Y25" s="194"/>
      <c r="Z25" s="194"/>
      <c r="AA25" s="194"/>
      <c r="AB25" s="194"/>
      <c r="AC25" s="194"/>
      <c r="AD25" s="195" t="str">
        <f>IF(AND(I25&lt;&gt;"",K25&lt;&gt;"",R25&lt;&gt;"",T25&lt;&gt;""),IF(AND(I25=R25,K25=T25),Setup!$D$10,IF((I25-K25)=(R25-T25),Setup!$D$11,IF(AND((I25&gt;K25),(R25&gt;T25)),Setup!$D$12,IF(AND((K25&gt;I25),(T25&gt;R25)),Setup!$D$12,0)))),"")</f>
        <v/>
      </c>
      <c r="AE25" s="183"/>
      <c r="CP25" s="168"/>
      <c r="CQ25" s="186"/>
      <c r="CR25" s="187"/>
      <c r="CS25" s="168"/>
    </row>
    <row r="26" spans="2:97" s="166" customFormat="1" ht="15" customHeight="1">
      <c r="B26" s="182"/>
      <c r="C26" s="181">
        <f>Tournament!D27</f>
        <v>12</v>
      </c>
      <c r="D26" s="181" t="str">
        <f>Tournament!E27</f>
        <v>F</v>
      </c>
      <c r="E26" s="188">
        <f>Tournament!F27</f>
        <v>41806.666666666664</v>
      </c>
      <c r="F26" s="189">
        <f>Tournament!G27</f>
        <v>41806.666666666664</v>
      </c>
      <c r="G26" s="190" t="str">
        <f>Tournament!H27</f>
        <v>Iran</v>
      </c>
      <c r="H26" s="180"/>
      <c r="I26" s="9"/>
      <c r="J26" s="191" t="s">
        <v>3088</v>
      </c>
      <c r="K26" s="9"/>
      <c r="L26" s="180"/>
      <c r="M26" s="180" t="str">
        <f>Tournament!N27</f>
        <v>Nigeria</v>
      </c>
      <c r="N26" s="183"/>
      <c r="P26" s="192" t="str">
        <f t="shared" si="0"/>
        <v>Iran</v>
      </c>
      <c r="Q26" s="193"/>
      <c r="R26" s="194" t="str">
        <f>IF(Tournament!J27&lt;&gt;"",Tournament!J27,"")</f>
        <v/>
      </c>
      <c r="S26" s="194" t="s">
        <v>3088</v>
      </c>
      <c r="T26" s="194" t="str">
        <f>IF(Tournament!L27&lt;&gt;"",Tournament!L27,"")</f>
        <v/>
      </c>
      <c r="U26" s="193"/>
      <c r="V26" s="193" t="str">
        <f t="shared" si="1"/>
        <v>Nigeria</v>
      </c>
      <c r="W26" s="194"/>
      <c r="X26" s="194"/>
      <c r="Y26" s="194"/>
      <c r="Z26" s="194"/>
      <c r="AA26" s="194"/>
      <c r="AB26" s="194"/>
      <c r="AC26" s="194"/>
      <c r="AD26" s="195" t="str">
        <f>IF(AND(I26&lt;&gt;"",K26&lt;&gt;"",R26&lt;&gt;"",T26&lt;&gt;""),IF(AND(I26=R26,K26=T26),Setup!$D$10,IF((I26-K26)=(R26-T26),Setup!$D$11,IF(AND((I26&gt;K26),(R26&gt;T26)),Setup!$D$12,IF(AND((K26&gt;I26),(T26&gt;R26)),Setup!$D$12,0)))),"")</f>
        <v/>
      </c>
      <c r="AE26" s="183"/>
      <c r="CP26" s="168"/>
      <c r="CQ26" s="186"/>
      <c r="CR26" s="187"/>
      <c r="CS26" s="168"/>
    </row>
    <row r="27" spans="2:97" s="166" customFormat="1" ht="15" customHeight="1">
      <c r="B27" s="182"/>
      <c r="C27" s="181">
        <f>Tournament!D28</f>
        <v>13</v>
      </c>
      <c r="D27" s="181" t="str">
        <f>Tournament!E28</f>
        <v>G</v>
      </c>
      <c r="E27" s="188">
        <f>Tournament!F28</f>
        <v>41806.541666666664</v>
      </c>
      <c r="F27" s="189">
        <f>Tournament!G28</f>
        <v>41806.541666666664</v>
      </c>
      <c r="G27" s="190" t="str">
        <f>Tournament!H28</f>
        <v>Germany</v>
      </c>
      <c r="H27" s="180"/>
      <c r="I27" s="9"/>
      <c r="J27" s="191" t="s">
        <v>3088</v>
      </c>
      <c r="K27" s="9"/>
      <c r="L27" s="180"/>
      <c r="M27" s="180" t="str">
        <f>Tournament!N28</f>
        <v>Portugal</v>
      </c>
      <c r="N27" s="183"/>
      <c r="P27" s="192" t="str">
        <f t="shared" si="0"/>
        <v>Germany</v>
      </c>
      <c r="Q27" s="193"/>
      <c r="R27" s="194" t="str">
        <f>IF(Tournament!J28&lt;&gt;"",Tournament!J28,"")</f>
        <v/>
      </c>
      <c r="S27" s="194" t="s">
        <v>3088</v>
      </c>
      <c r="T27" s="194" t="str">
        <f>IF(Tournament!L28&lt;&gt;"",Tournament!L28,"")</f>
        <v/>
      </c>
      <c r="U27" s="193"/>
      <c r="V27" s="193" t="str">
        <f t="shared" si="1"/>
        <v>Portugal</v>
      </c>
      <c r="W27" s="194"/>
      <c r="X27" s="194"/>
      <c r="Y27" s="194"/>
      <c r="Z27" s="194"/>
      <c r="AA27" s="194"/>
      <c r="AB27" s="194"/>
      <c r="AC27" s="194"/>
      <c r="AD27" s="195" t="str">
        <f>IF(AND(I27&lt;&gt;"",K27&lt;&gt;"",R27&lt;&gt;"",T27&lt;&gt;""),IF(AND(I27=R27,K27=T27),Setup!$D$10,IF((I27-K27)=(R27-T27),Setup!$D$11,IF(AND((I27&gt;K27),(R27&gt;T27)),Setup!$D$12,IF(AND((K27&gt;I27),(T27&gt;R27)),Setup!$D$12,0)))),"")</f>
        <v/>
      </c>
      <c r="AE27" s="183"/>
      <c r="CP27" s="168"/>
      <c r="CQ27" s="186"/>
      <c r="CR27" s="187"/>
      <c r="CS27" s="168"/>
    </row>
    <row r="28" spans="2:97" s="166" customFormat="1" ht="15" customHeight="1">
      <c r="B28" s="182"/>
      <c r="C28" s="181">
        <f>Tournament!D29</f>
        <v>14</v>
      </c>
      <c r="D28" s="181" t="str">
        <f>Tournament!E29</f>
        <v>G</v>
      </c>
      <c r="E28" s="188">
        <f>Tournament!F29</f>
        <v>41806.791666666664</v>
      </c>
      <c r="F28" s="189">
        <f>Tournament!G29</f>
        <v>41806.791666666664</v>
      </c>
      <c r="G28" s="190" t="str">
        <f>Tournament!H29</f>
        <v>Ghana</v>
      </c>
      <c r="H28" s="180"/>
      <c r="I28" s="9"/>
      <c r="J28" s="191" t="s">
        <v>3088</v>
      </c>
      <c r="K28" s="9"/>
      <c r="L28" s="180"/>
      <c r="M28" s="180" t="str">
        <f>Tournament!N29</f>
        <v>USA</v>
      </c>
      <c r="N28" s="183"/>
      <c r="P28" s="192" t="str">
        <f t="shared" si="0"/>
        <v>Ghana</v>
      </c>
      <c r="Q28" s="193"/>
      <c r="R28" s="194" t="str">
        <f>IF(Tournament!J29&lt;&gt;"",Tournament!J29,"")</f>
        <v/>
      </c>
      <c r="S28" s="194" t="s">
        <v>3088</v>
      </c>
      <c r="T28" s="194" t="str">
        <f>IF(Tournament!L29&lt;&gt;"",Tournament!L29,"")</f>
        <v/>
      </c>
      <c r="U28" s="193"/>
      <c r="V28" s="193" t="str">
        <f t="shared" si="1"/>
        <v>USA</v>
      </c>
      <c r="W28" s="194"/>
      <c r="X28" s="194"/>
      <c r="Y28" s="194"/>
      <c r="Z28" s="194"/>
      <c r="AA28" s="194"/>
      <c r="AB28" s="194"/>
      <c r="AC28" s="194"/>
      <c r="AD28" s="195" t="str">
        <f>IF(AND(I28&lt;&gt;"",K28&lt;&gt;"",R28&lt;&gt;"",T28&lt;&gt;""),IF(AND(I28=R28,K28=T28),Setup!$D$10,IF((I28-K28)=(R28-T28),Setup!$D$11,IF(AND((I28&gt;K28),(R28&gt;T28)),Setup!$D$12,IF(AND((K28&gt;I28),(T28&gt;R28)),Setup!$D$12,0)))),"")</f>
        <v/>
      </c>
      <c r="AE28" s="183"/>
      <c r="CP28" s="168"/>
      <c r="CQ28" s="186"/>
      <c r="CR28" s="187"/>
      <c r="CS28" s="168"/>
    </row>
    <row r="29" spans="2:97" s="166" customFormat="1" ht="15" customHeight="1">
      <c r="B29" s="182"/>
      <c r="C29" s="181">
        <f>Tournament!D30</f>
        <v>15</v>
      </c>
      <c r="D29" s="181" t="str">
        <f>Tournament!E30</f>
        <v>H</v>
      </c>
      <c r="E29" s="188">
        <f>Tournament!F30</f>
        <v>41807.541666666664</v>
      </c>
      <c r="F29" s="189">
        <f>Tournament!G30</f>
        <v>41807.541666666664</v>
      </c>
      <c r="G29" s="190" t="str">
        <f>Tournament!H30</f>
        <v>Belgium</v>
      </c>
      <c r="H29" s="180"/>
      <c r="I29" s="9"/>
      <c r="J29" s="191" t="s">
        <v>3088</v>
      </c>
      <c r="K29" s="9"/>
      <c r="L29" s="180"/>
      <c r="M29" s="180" t="str">
        <f>Tournament!N30</f>
        <v>Algeria</v>
      </c>
      <c r="N29" s="183"/>
      <c r="P29" s="192" t="str">
        <f t="shared" si="0"/>
        <v>Belgium</v>
      </c>
      <c r="Q29" s="193"/>
      <c r="R29" s="194" t="str">
        <f>IF(Tournament!J30&lt;&gt;"",Tournament!J30,"")</f>
        <v/>
      </c>
      <c r="S29" s="194" t="s">
        <v>3088</v>
      </c>
      <c r="T29" s="194" t="str">
        <f>IF(Tournament!L30&lt;&gt;"",Tournament!L30,"")</f>
        <v/>
      </c>
      <c r="U29" s="193"/>
      <c r="V29" s="193" t="str">
        <f t="shared" si="1"/>
        <v>Algeria</v>
      </c>
      <c r="W29" s="194"/>
      <c r="X29" s="194"/>
      <c r="Y29" s="194"/>
      <c r="Z29" s="194"/>
      <c r="AA29" s="194"/>
      <c r="AB29" s="194"/>
      <c r="AC29" s="194"/>
      <c r="AD29" s="195" t="str">
        <f>IF(AND(I29&lt;&gt;"",K29&lt;&gt;"",R29&lt;&gt;"",T29&lt;&gt;""),IF(AND(I29=R29,K29=T29),Setup!$D$10,IF((I29-K29)=(R29-T29),Setup!$D$11,IF(AND((I29&gt;K29),(R29&gt;T29)),Setup!$D$12,IF(AND((K29&gt;I29),(T29&gt;R29)),Setup!$D$12,0)))),"")</f>
        <v/>
      </c>
      <c r="AE29" s="183"/>
      <c r="CP29" s="168"/>
      <c r="CQ29" s="186"/>
      <c r="CR29" s="187"/>
      <c r="CS29" s="168"/>
    </row>
    <row r="30" spans="2:97" s="166" customFormat="1" ht="15" customHeight="1">
      <c r="B30" s="182"/>
      <c r="C30" s="181">
        <f>Tournament!D31</f>
        <v>16</v>
      </c>
      <c r="D30" s="181" t="str">
        <f>Tournament!E31</f>
        <v>H</v>
      </c>
      <c r="E30" s="188">
        <f>Tournament!F31</f>
        <v>41807.791666666664</v>
      </c>
      <c r="F30" s="189">
        <f>Tournament!G31</f>
        <v>41807.791666666664</v>
      </c>
      <c r="G30" s="190" t="str">
        <f>Tournament!H31</f>
        <v>Russia</v>
      </c>
      <c r="H30" s="180"/>
      <c r="I30" s="9"/>
      <c r="J30" s="191" t="s">
        <v>3088</v>
      </c>
      <c r="K30" s="9"/>
      <c r="L30" s="180"/>
      <c r="M30" s="180" t="str">
        <f>Tournament!N31</f>
        <v>South Korea</v>
      </c>
      <c r="N30" s="183"/>
      <c r="P30" s="192" t="str">
        <f t="shared" si="0"/>
        <v>Russia</v>
      </c>
      <c r="Q30" s="193"/>
      <c r="R30" s="194" t="str">
        <f>IF(Tournament!J31&lt;&gt;"",Tournament!J31,"")</f>
        <v/>
      </c>
      <c r="S30" s="194" t="s">
        <v>3088</v>
      </c>
      <c r="T30" s="194" t="str">
        <f>IF(Tournament!L31&lt;&gt;"",Tournament!L31,"")</f>
        <v/>
      </c>
      <c r="U30" s="193"/>
      <c r="V30" s="193" t="str">
        <f t="shared" si="1"/>
        <v>South Korea</v>
      </c>
      <c r="W30" s="194"/>
      <c r="X30" s="194"/>
      <c r="Y30" s="194"/>
      <c r="Z30" s="194"/>
      <c r="AA30" s="194"/>
      <c r="AB30" s="194"/>
      <c r="AC30" s="194"/>
      <c r="AD30" s="195" t="str">
        <f>IF(AND(I30&lt;&gt;"",K30&lt;&gt;"",R30&lt;&gt;"",T30&lt;&gt;""),IF(AND(I30=R30,K30=T30),Setup!$D$10,IF((I30-K30)=(R30-T30),Setup!$D$11,IF(AND((I30&gt;K30),(R30&gt;T30)),Setup!$D$12,IF(AND((K30&gt;I30),(T30&gt;R30)),Setup!$D$12,0)))),"")</f>
        <v/>
      </c>
      <c r="AE30" s="183"/>
      <c r="CP30" s="168"/>
      <c r="CQ30" s="186"/>
      <c r="CR30" s="187"/>
      <c r="CS30" s="168"/>
    </row>
    <row r="31" spans="2:97" s="166" customFormat="1" ht="15" customHeight="1">
      <c r="B31" s="182"/>
      <c r="C31" s="181">
        <f>Tournament!D32</f>
        <v>17</v>
      </c>
      <c r="D31" s="181" t="str">
        <f>Tournament!E32</f>
        <v>A</v>
      </c>
      <c r="E31" s="188">
        <f>Tournament!F32</f>
        <v>41807.666666666664</v>
      </c>
      <c r="F31" s="189">
        <f>Tournament!G32</f>
        <v>41807.666666666664</v>
      </c>
      <c r="G31" s="190" t="str">
        <f>Tournament!H32</f>
        <v>Brazil</v>
      </c>
      <c r="H31" s="180"/>
      <c r="I31" s="9"/>
      <c r="J31" s="191" t="s">
        <v>3088</v>
      </c>
      <c r="K31" s="9"/>
      <c r="L31" s="180"/>
      <c r="M31" s="180" t="str">
        <f>Tournament!N32</f>
        <v>Mexico</v>
      </c>
      <c r="N31" s="183"/>
      <c r="P31" s="192" t="str">
        <f t="shared" si="0"/>
        <v>Brazil</v>
      </c>
      <c r="Q31" s="193"/>
      <c r="R31" s="194" t="str">
        <f>IF(Tournament!J32&lt;&gt;"",Tournament!J32,"")</f>
        <v/>
      </c>
      <c r="S31" s="194" t="s">
        <v>3088</v>
      </c>
      <c r="T31" s="194" t="str">
        <f>IF(Tournament!L32&lt;&gt;"",Tournament!L32,"")</f>
        <v/>
      </c>
      <c r="U31" s="193"/>
      <c r="V31" s="193" t="str">
        <f t="shared" si="1"/>
        <v>Mexico</v>
      </c>
      <c r="W31" s="194"/>
      <c r="X31" s="194"/>
      <c r="Y31" s="194"/>
      <c r="Z31" s="194"/>
      <c r="AA31" s="194"/>
      <c r="AB31" s="194"/>
      <c r="AC31" s="194"/>
      <c r="AD31" s="195" t="str">
        <f>IF(AND(I31&lt;&gt;"",K31&lt;&gt;"",R31&lt;&gt;"",T31&lt;&gt;""),IF(AND(I31=R31,K31=T31),Setup!$D$10,IF((I31-K31)=(R31-T31),Setup!$D$11,IF(AND((I31&gt;K31),(R31&gt;T31)),Setup!$D$12,IF(AND((K31&gt;I31),(T31&gt;R31)),Setup!$D$12,0)))),"")</f>
        <v/>
      </c>
      <c r="AE31" s="183"/>
      <c r="CP31" s="168"/>
      <c r="CQ31" s="186"/>
      <c r="CR31" s="187"/>
      <c r="CS31" s="168"/>
    </row>
    <row r="32" spans="2:97" s="166" customFormat="1" ht="15" customHeight="1">
      <c r="B32" s="182"/>
      <c r="C32" s="181">
        <f>Tournament!D33</f>
        <v>18</v>
      </c>
      <c r="D32" s="181" t="str">
        <f>Tournament!E33</f>
        <v>A</v>
      </c>
      <c r="E32" s="188">
        <f>Tournament!F33</f>
        <v>41808.791666666664</v>
      </c>
      <c r="F32" s="189">
        <f>Tournament!G33</f>
        <v>41808.791666666664</v>
      </c>
      <c r="G32" s="190" t="str">
        <f>Tournament!H33</f>
        <v>Cameroon</v>
      </c>
      <c r="H32" s="180"/>
      <c r="I32" s="9"/>
      <c r="J32" s="191" t="s">
        <v>3088</v>
      </c>
      <c r="K32" s="9"/>
      <c r="L32" s="180"/>
      <c r="M32" s="180" t="str">
        <f>Tournament!N33</f>
        <v>Croatia</v>
      </c>
      <c r="N32" s="183"/>
      <c r="P32" s="192" t="str">
        <f t="shared" si="0"/>
        <v>Cameroon</v>
      </c>
      <c r="Q32" s="193"/>
      <c r="R32" s="194" t="str">
        <f>IF(Tournament!J33&lt;&gt;"",Tournament!J33,"")</f>
        <v/>
      </c>
      <c r="S32" s="194" t="s">
        <v>3088</v>
      </c>
      <c r="T32" s="194" t="str">
        <f>IF(Tournament!L33&lt;&gt;"",Tournament!L33,"")</f>
        <v/>
      </c>
      <c r="U32" s="193"/>
      <c r="V32" s="193" t="str">
        <f t="shared" si="1"/>
        <v>Croatia</v>
      </c>
      <c r="W32" s="194"/>
      <c r="X32" s="194"/>
      <c r="Y32" s="194"/>
      <c r="Z32" s="194"/>
      <c r="AA32" s="194"/>
      <c r="AB32" s="194"/>
      <c r="AC32" s="194"/>
      <c r="AD32" s="195" t="str">
        <f>IF(AND(I32&lt;&gt;"",K32&lt;&gt;"",R32&lt;&gt;"",T32&lt;&gt;""),IF(AND(I32=R32,K32=T32),Setup!$D$10,IF((I32-K32)=(R32-T32),Setup!$D$11,IF(AND((I32&gt;K32),(R32&gt;T32)),Setup!$D$12,IF(AND((K32&gt;I32),(T32&gt;R32)),Setup!$D$12,0)))),"")</f>
        <v/>
      </c>
      <c r="AE32" s="183"/>
      <c r="CP32" s="168"/>
      <c r="CQ32" s="186"/>
      <c r="CR32" s="187"/>
      <c r="CS32" s="168"/>
    </row>
    <row r="33" spans="2:97" s="166" customFormat="1" ht="15" customHeight="1">
      <c r="B33" s="182"/>
      <c r="C33" s="181">
        <f>Tournament!D34</f>
        <v>19</v>
      </c>
      <c r="D33" s="181" t="str">
        <f>Tournament!E34</f>
        <v>B</v>
      </c>
      <c r="E33" s="188">
        <f>Tournament!F34</f>
        <v>41808.666666666664</v>
      </c>
      <c r="F33" s="189">
        <f>Tournament!G34</f>
        <v>41808.666666666664</v>
      </c>
      <c r="G33" s="190" t="str">
        <f>Tournament!H34</f>
        <v>Spain</v>
      </c>
      <c r="H33" s="180"/>
      <c r="I33" s="9"/>
      <c r="J33" s="191" t="s">
        <v>3088</v>
      </c>
      <c r="K33" s="9"/>
      <c r="L33" s="180"/>
      <c r="M33" s="180" t="str">
        <f>Tournament!N34</f>
        <v>Chile</v>
      </c>
      <c r="N33" s="183"/>
      <c r="P33" s="192" t="str">
        <f t="shared" si="0"/>
        <v>Spain</v>
      </c>
      <c r="Q33" s="193"/>
      <c r="R33" s="194" t="str">
        <f>IF(Tournament!J34&lt;&gt;"",Tournament!J34,"")</f>
        <v/>
      </c>
      <c r="S33" s="194" t="s">
        <v>3088</v>
      </c>
      <c r="T33" s="194" t="str">
        <f>IF(Tournament!L34&lt;&gt;"",Tournament!L34,"")</f>
        <v/>
      </c>
      <c r="U33" s="193"/>
      <c r="V33" s="193" t="str">
        <f t="shared" si="1"/>
        <v>Chile</v>
      </c>
      <c r="W33" s="194"/>
      <c r="X33" s="194"/>
      <c r="Y33" s="194"/>
      <c r="Z33" s="194"/>
      <c r="AA33" s="194"/>
      <c r="AB33" s="194"/>
      <c r="AC33" s="194"/>
      <c r="AD33" s="195" t="str">
        <f>IF(AND(I33&lt;&gt;"",K33&lt;&gt;"",R33&lt;&gt;"",T33&lt;&gt;""),IF(AND(I33=R33,K33=T33),Setup!$D$10,IF((I33-K33)=(R33-T33),Setup!$D$11,IF(AND((I33&gt;K33),(R33&gt;T33)),Setup!$D$12,IF(AND((K33&gt;I33),(T33&gt;R33)),Setup!$D$12,0)))),"")</f>
        <v/>
      </c>
      <c r="AE33" s="183"/>
      <c r="CP33" s="168"/>
      <c r="CQ33" s="186"/>
      <c r="CR33" s="187"/>
      <c r="CS33" s="168"/>
    </row>
    <row r="34" spans="2:97" s="166" customFormat="1" ht="15" customHeight="1">
      <c r="B34" s="182"/>
      <c r="C34" s="181">
        <f>Tournament!D35</f>
        <v>20</v>
      </c>
      <c r="D34" s="181" t="str">
        <f>Tournament!E35</f>
        <v>B</v>
      </c>
      <c r="E34" s="188">
        <f>Tournament!F35</f>
        <v>41808.541666666664</v>
      </c>
      <c r="F34" s="189">
        <f>Tournament!G35</f>
        <v>41808.541666666664</v>
      </c>
      <c r="G34" s="190" t="str">
        <f>Tournament!H35</f>
        <v>Australia</v>
      </c>
      <c r="H34" s="180"/>
      <c r="I34" s="9"/>
      <c r="J34" s="191" t="s">
        <v>3088</v>
      </c>
      <c r="K34" s="9"/>
      <c r="L34" s="180"/>
      <c r="M34" s="180" t="str">
        <f>Tournament!N35</f>
        <v>Netherlands</v>
      </c>
      <c r="N34" s="183"/>
      <c r="P34" s="192" t="str">
        <f t="shared" si="0"/>
        <v>Australia</v>
      </c>
      <c r="Q34" s="193"/>
      <c r="R34" s="194" t="str">
        <f>IF(Tournament!J35&lt;&gt;"",Tournament!J35,"")</f>
        <v/>
      </c>
      <c r="S34" s="194" t="s">
        <v>3088</v>
      </c>
      <c r="T34" s="194" t="str">
        <f>IF(Tournament!L35&lt;&gt;"",Tournament!L35,"")</f>
        <v/>
      </c>
      <c r="U34" s="193"/>
      <c r="V34" s="193" t="str">
        <f t="shared" si="1"/>
        <v>Netherlands</v>
      </c>
      <c r="W34" s="194"/>
      <c r="X34" s="194"/>
      <c r="Y34" s="194"/>
      <c r="Z34" s="194"/>
      <c r="AA34" s="194"/>
      <c r="AB34" s="194"/>
      <c r="AC34" s="194"/>
      <c r="AD34" s="195" t="str">
        <f>IF(AND(I34&lt;&gt;"",K34&lt;&gt;"",R34&lt;&gt;"",T34&lt;&gt;""),IF(AND(I34=R34,K34=T34),Setup!$D$10,IF((I34-K34)=(R34-T34),Setup!$D$11,IF(AND((I34&gt;K34),(R34&gt;T34)),Setup!$D$12,IF(AND((K34&gt;I34),(T34&gt;R34)),Setup!$D$12,0)))),"")</f>
        <v/>
      </c>
      <c r="AE34" s="183"/>
      <c r="CP34" s="168"/>
      <c r="CQ34" s="186"/>
      <c r="CR34" s="187"/>
      <c r="CS34" s="168"/>
    </row>
    <row r="35" spans="2:97" s="166" customFormat="1" ht="15" customHeight="1">
      <c r="B35" s="182"/>
      <c r="C35" s="181">
        <f>Tournament!D36</f>
        <v>21</v>
      </c>
      <c r="D35" s="181" t="str">
        <f>Tournament!E36</f>
        <v>C</v>
      </c>
      <c r="E35" s="188">
        <f>Tournament!F36</f>
        <v>41809.541666666664</v>
      </c>
      <c r="F35" s="189">
        <f>Tournament!G36</f>
        <v>41809.541666666664</v>
      </c>
      <c r="G35" s="190" t="str">
        <f>Tournament!H36</f>
        <v>Colombia</v>
      </c>
      <c r="H35" s="180"/>
      <c r="I35" s="9"/>
      <c r="J35" s="191" t="s">
        <v>3088</v>
      </c>
      <c r="K35" s="9"/>
      <c r="L35" s="180"/>
      <c r="M35" s="180" t="str">
        <f>Tournament!N36</f>
        <v>Ivory Coast</v>
      </c>
      <c r="N35" s="183"/>
      <c r="P35" s="192" t="str">
        <f t="shared" si="0"/>
        <v>Colombia</v>
      </c>
      <c r="Q35" s="193"/>
      <c r="R35" s="194" t="str">
        <f>IF(Tournament!J36&lt;&gt;"",Tournament!J36,"")</f>
        <v/>
      </c>
      <c r="S35" s="194" t="s">
        <v>3088</v>
      </c>
      <c r="T35" s="194" t="str">
        <f>IF(Tournament!L36&lt;&gt;"",Tournament!L36,"")</f>
        <v/>
      </c>
      <c r="U35" s="193"/>
      <c r="V35" s="193" t="str">
        <f t="shared" si="1"/>
        <v>Ivory Coast</v>
      </c>
      <c r="W35" s="194"/>
      <c r="X35" s="194"/>
      <c r="Y35" s="194"/>
      <c r="Z35" s="194"/>
      <c r="AA35" s="194"/>
      <c r="AB35" s="194"/>
      <c r="AC35" s="194"/>
      <c r="AD35" s="195" t="str">
        <f>IF(AND(I35&lt;&gt;"",K35&lt;&gt;"",R35&lt;&gt;"",T35&lt;&gt;""),IF(AND(I35=R35,K35=T35),Setup!$D$10,IF((I35-K35)=(R35-T35),Setup!$D$11,IF(AND((I35&gt;K35),(R35&gt;T35)),Setup!$D$12,IF(AND((K35&gt;I35),(T35&gt;R35)),Setup!$D$12,0)))),"")</f>
        <v/>
      </c>
      <c r="AE35" s="183"/>
      <c r="CP35" s="168"/>
      <c r="CQ35" s="186"/>
      <c r="CR35" s="187"/>
      <c r="CS35" s="168"/>
    </row>
    <row r="36" spans="2:97" s="166" customFormat="1" ht="15" customHeight="1">
      <c r="B36" s="182"/>
      <c r="C36" s="181">
        <f>Tournament!D37</f>
        <v>22</v>
      </c>
      <c r="D36" s="181" t="str">
        <f>Tournament!E37</f>
        <v>C</v>
      </c>
      <c r="E36" s="188">
        <f>Tournament!F37</f>
        <v>41809.791666666664</v>
      </c>
      <c r="F36" s="189">
        <f>Tournament!G37</f>
        <v>41809.791666666664</v>
      </c>
      <c r="G36" s="190" t="str">
        <f>Tournament!H37</f>
        <v>Japan</v>
      </c>
      <c r="H36" s="180"/>
      <c r="I36" s="9"/>
      <c r="J36" s="191" t="s">
        <v>3088</v>
      </c>
      <c r="K36" s="9"/>
      <c r="L36" s="180"/>
      <c r="M36" s="180" t="str">
        <f>Tournament!N37</f>
        <v>Greece</v>
      </c>
      <c r="N36" s="183"/>
      <c r="P36" s="192" t="str">
        <f t="shared" si="0"/>
        <v>Japan</v>
      </c>
      <c r="Q36" s="193"/>
      <c r="R36" s="194" t="str">
        <f>IF(Tournament!J37&lt;&gt;"",Tournament!J37,"")</f>
        <v/>
      </c>
      <c r="S36" s="194" t="s">
        <v>3088</v>
      </c>
      <c r="T36" s="194" t="str">
        <f>IF(Tournament!L37&lt;&gt;"",Tournament!L37,"")</f>
        <v/>
      </c>
      <c r="U36" s="193"/>
      <c r="V36" s="193" t="str">
        <f t="shared" si="1"/>
        <v>Greece</v>
      </c>
      <c r="W36" s="194"/>
      <c r="X36" s="194"/>
      <c r="Y36" s="194"/>
      <c r="Z36" s="194"/>
      <c r="AA36" s="194"/>
      <c r="AB36" s="194"/>
      <c r="AC36" s="194"/>
      <c r="AD36" s="195" t="str">
        <f>IF(AND(I36&lt;&gt;"",K36&lt;&gt;"",R36&lt;&gt;"",T36&lt;&gt;""),IF(AND(I36=R36,K36=T36),Setup!$D$10,IF((I36-K36)=(R36-T36),Setup!$D$11,IF(AND((I36&gt;K36),(R36&gt;T36)),Setup!$D$12,IF(AND((K36&gt;I36),(T36&gt;R36)),Setup!$D$12,0)))),"")</f>
        <v/>
      </c>
      <c r="AE36" s="183"/>
      <c r="CP36" s="168"/>
      <c r="CQ36" s="186"/>
      <c r="CR36" s="187"/>
      <c r="CS36" s="168"/>
    </row>
    <row r="37" spans="2:97" s="166" customFormat="1" ht="15" customHeight="1">
      <c r="B37" s="182"/>
      <c r="C37" s="181">
        <f>Tournament!D38</f>
        <v>23</v>
      </c>
      <c r="D37" s="181" t="str">
        <f>Tournament!E38</f>
        <v>D</v>
      </c>
      <c r="E37" s="188">
        <f>Tournament!F38</f>
        <v>41809.666666666664</v>
      </c>
      <c r="F37" s="189">
        <f>Tournament!G38</f>
        <v>41809.666666666664</v>
      </c>
      <c r="G37" s="190" t="str">
        <f>Tournament!H38</f>
        <v>Uruguay</v>
      </c>
      <c r="H37" s="180"/>
      <c r="I37" s="9"/>
      <c r="J37" s="191" t="s">
        <v>3088</v>
      </c>
      <c r="K37" s="9"/>
      <c r="L37" s="180"/>
      <c r="M37" s="180" t="str">
        <f>Tournament!N38</f>
        <v>England</v>
      </c>
      <c r="N37" s="183"/>
      <c r="P37" s="192" t="str">
        <f t="shared" si="0"/>
        <v>Uruguay</v>
      </c>
      <c r="Q37" s="193"/>
      <c r="R37" s="194" t="str">
        <f>IF(Tournament!J38&lt;&gt;"",Tournament!J38,"")</f>
        <v/>
      </c>
      <c r="S37" s="194" t="s">
        <v>3088</v>
      </c>
      <c r="T37" s="194" t="str">
        <f>IF(Tournament!L38&lt;&gt;"",Tournament!L38,"")</f>
        <v/>
      </c>
      <c r="U37" s="193"/>
      <c r="V37" s="193" t="str">
        <f t="shared" si="1"/>
        <v>England</v>
      </c>
      <c r="W37" s="194"/>
      <c r="X37" s="194"/>
      <c r="Y37" s="194"/>
      <c r="Z37" s="194"/>
      <c r="AA37" s="194"/>
      <c r="AB37" s="194"/>
      <c r="AC37" s="194"/>
      <c r="AD37" s="195" t="str">
        <f>IF(AND(I37&lt;&gt;"",K37&lt;&gt;"",R37&lt;&gt;"",T37&lt;&gt;""),IF(AND(I37=R37,K37=T37),Setup!$D$10,IF((I37-K37)=(R37-T37),Setup!$D$11,IF(AND((I37&gt;K37),(R37&gt;T37)),Setup!$D$12,IF(AND((K37&gt;I37),(T37&gt;R37)),Setup!$D$12,0)))),"")</f>
        <v/>
      </c>
      <c r="AE37" s="183"/>
      <c r="CP37" s="168"/>
      <c r="CQ37" s="186"/>
      <c r="CR37" s="187"/>
      <c r="CS37" s="168"/>
    </row>
    <row r="38" spans="2:97" s="166" customFormat="1" ht="15" customHeight="1">
      <c r="B38" s="182"/>
      <c r="C38" s="181">
        <f>Tournament!D39</f>
        <v>24</v>
      </c>
      <c r="D38" s="181" t="str">
        <f>Tournament!E39</f>
        <v>D</v>
      </c>
      <c r="E38" s="188">
        <f>Tournament!F39</f>
        <v>41810.541666666664</v>
      </c>
      <c r="F38" s="189">
        <f>Tournament!G39</f>
        <v>41810.541666666664</v>
      </c>
      <c r="G38" s="190" t="str">
        <f>Tournament!H39</f>
        <v>Italy</v>
      </c>
      <c r="H38" s="180"/>
      <c r="I38" s="9"/>
      <c r="J38" s="191" t="s">
        <v>3088</v>
      </c>
      <c r="K38" s="9"/>
      <c r="L38" s="180"/>
      <c r="M38" s="180" t="str">
        <f>Tournament!N39</f>
        <v>Costa Rica</v>
      </c>
      <c r="N38" s="183"/>
      <c r="P38" s="192" t="str">
        <f t="shared" si="0"/>
        <v>Italy</v>
      </c>
      <c r="Q38" s="193"/>
      <c r="R38" s="194" t="str">
        <f>IF(Tournament!J39&lt;&gt;"",Tournament!J39,"")</f>
        <v/>
      </c>
      <c r="S38" s="194" t="s">
        <v>3088</v>
      </c>
      <c r="T38" s="194" t="str">
        <f>IF(Tournament!L39&lt;&gt;"",Tournament!L39,"")</f>
        <v/>
      </c>
      <c r="U38" s="193"/>
      <c r="V38" s="193" t="str">
        <f t="shared" si="1"/>
        <v>Costa Rica</v>
      </c>
      <c r="W38" s="194"/>
      <c r="X38" s="194"/>
      <c r="Y38" s="194"/>
      <c r="Z38" s="194"/>
      <c r="AA38" s="194"/>
      <c r="AB38" s="194"/>
      <c r="AC38" s="194"/>
      <c r="AD38" s="195" t="str">
        <f>IF(AND(I38&lt;&gt;"",K38&lt;&gt;"",R38&lt;&gt;"",T38&lt;&gt;""),IF(AND(I38=R38,K38=T38),Setup!$D$10,IF((I38-K38)=(R38-T38),Setup!$D$11,IF(AND((I38&gt;K38),(R38&gt;T38)),Setup!$D$12,IF(AND((K38&gt;I38),(T38&gt;R38)),Setup!$D$12,0)))),"")</f>
        <v/>
      </c>
      <c r="AE38" s="183"/>
      <c r="CP38" s="168"/>
      <c r="CQ38" s="186"/>
      <c r="CR38" s="187"/>
      <c r="CS38" s="168"/>
    </row>
    <row r="39" spans="2:97" s="166" customFormat="1" ht="15" customHeight="1">
      <c r="B39" s="182"/>
      <c r="C39" s="181">
        <f>Tournament!D40</f>
        <v>25</v>
      </c>
      <c r="D39" s="181" t="str">
        <f>Tournament!E40</f>
        <v>E</v>
      </c>
      <c r="E39" s="188">
        <f>Tournament!F40</f>
        <v>41810.666666666664</v>
      </c>
      <c r="F39" s="189">
        <f>Tournament!G40</f>
        <v>41810.666666666664</v>
      </c>
      <c r="G39" s="190" t="str">
        <f>Tournament!H40</f>
        <v>Switzerland</v>
      </c>
      <c r="H39" s="180"/>
      <c r="I39" s="9"/>
      <c r="J39" s="191" t="s">
        <v>3088</v>
      </c>
      <c r="K39" s="9"/>
      <c r="L39" s="180"/>
      <c r="M39" s="180" t="str">
        <f>Tournament!N40</f>
        <v>France</v>
      </c>
      <c r="N39" s="183"/>
      <c r="P39" s="192" t="str">
        <f t="shared" si="0"/>
        <v>Switzerland</v>
      </c>
      <c r="Q39" s="193"/>
      <c r="R39" s="194" t="str">
        <f>IF(Tournament!J40&lt;&gt;"",Tournament!J40,"")</f>
        <v/>
      </c>
      <c r="S39" s="194" t="s">
        <v>3088</v>
      </c>
      <c r="T39" s="194" t="str">
        <f>IF(Tournament!L40&lt;&gt;"",Tournament!L40,"")</f>
        <v/>
      </c>
      <c r="U39" s="193"/>
      <c r="V39" s="193" t="str">
        <f t="shared" si="1"/>
        <v>France</v>
      </c>
      <c r="W39" s="194"/>
      <c r="X39" s="194"/>
      <c r="Y39" s="194"/>
      <c r="Z39" s="194"/>
      <c r="AA39" s="194"/>
      <c r="AB39" s="194"/>
      <c r="AC39" s="194"/>
      <c r="AD39" s="195" t="str">
        <f>IF(AND(I39&lt;&gt;"",K39&lt;&gt;"",R39&lt;&gt;"",T39&lt;&gt;""),IF(AND(I39=R39,K39=T39),Setup!$D$10,IF((I39-K39)=(R39-T39),Setup!$D$11,IF(AND((I39&gt;K39),(R39&gt;T39)),Setup!$D$12,IF(AND((K39&gt;I39),(T39&gt;R39)),Setup!$D$12,0)))),"")</f>
        <v/>
      </c>
      <c r="AE39" s="183"/>
      <c r="CP39" s="168"/>
      <c r="CQ39" s="186"/>
      <c r="CR39" s="187"/>
      <c r="CS39" s="168"/>
    </row>
    <row r="40" spans="2:97" s="166" customFormat="1" ht="15" customHeight="1">
      <c r="B40" s="182"/>
      <c r="C40" s="181">
        <f>Tournament!D41</f>
        <v>26</v>
      </c>
      <c r="D40" s="181" t="str">
        <f>Tournament!E41</f>
        <v>E</v>
      </c>
      <c r="E40" s="188">
        <f>Tournament!F41</f>
        <v>41810.791666666664</v>
      </c>
      <c r="F40" s="189">
        <f>Tournament!G41</f>
        <v>41810.791666666664</v>
      </c>
      <c r="G40" s="190" t="str">
        <f>Tournament!H41</f>
        <v>Honduras</v>
      </c>
      <c r="H40" s="180"/>
      <c r="I40" s="9"/>
      <c r="J40" s="191" t="s">
        <v>3088</v>
      </c>
      <c r="K40" s="9"/>
      <c r="L40" s="180"/>
      <c r="M40" s="180" t="str">
        <f>Tournament!N41</f>
        <v>Ecuador</v>
      </c>
      <c r="N40" s="183"/>
      <c r="P40" s="192" t="str">
        <f t="shared" si="0"/>
        <v>Honduras</v>
      </c>
      <c r="Q40" s="193"/>
      <c r="R40" s="194" t="str">
        <f>IF(Tournament!J41&lt;&gt;"",Tournament!J41,"")</f>
        <v/>
      </c>
      <c r="S40" s="194" t="s">
        <v>3088</v>
      </c>
      <c r="T40" s="194" t="str">
        <f>IF(Tournament!L41&lt;&gt;"",Tournament!L41,"")</f>
        <v/>
      </c>
      <c r="U40" s="193"/>
      <c r="V40" s="193" t="str">
        <f t="shared" si="1"/>
        <v>Ecuador</v>
      </c>
      <c r="W40" s="194"/>
      <c r="X40" s="194"/>
      <c r="Y40" s="194"/>
      <c r="Z40" s="194"/>
      <c r="AA40" s="194"/>
      <c r="AB40" s="194"/>
      <c r="AC40" s="194"/>
      <c r="AD40" s="195" t="str">
        <f>IF(AND(I40&lt;&gt;"",K40&lt;&gt;"",R40&lt;&gt;"",T40&lt;&gt;""),IF(AND(I40=R40,K40=T40),Setup!$D$10,IF((I40-K40)=(R40-T40),Setup!$D$11,IF(AND((I40&gt;K40),(R40&gt;T40)),Setup!$D$12,IF(AND((K40&gt;I40),(T40&gt;R40)),Setup!$D$12,0)))),"")</f>
        <v/>
      </c>
      <c r="AE40" s="183"/>
      <c r="CP40" s="168"/>
      <c r="CQ40" s="196"/>
      <c r="CR40" s="187"/>
      <c r="CS40" s="168"/>
    </row>
    <row r="41" spans="2:97" s="166" customFormat="1" ht="15" customHeight="1">
      <c r="B41" s="182"/>
      <c r="C41" s="181">
        <f>Tournament!D42</f>
        <v>27</v>
      </c>
      <c r="D41" s="181" t="str">
        <f>Tournament!E42</f>
        <v>F</v>
      </c>
      <c r="E41" s="188">
        <f>Tournament!F42</f>
        <v>41811.541666666664</v>
      </c>
      <c r="F41" s="189">
        <f>Tournament!G42</f>
        <v>41811.541666666664</v>
      </c>
      <c r="G41" s="190" t="str">
        <f>Tournament!H42</f>
        <v>Argentina</v>
      </c>
      <c r="H41" s="180"/>
      <c r="I41" s="9"/>
      <c r="J41" s="191" t="s">
        <v>3088</v>
      </c>
      <c r="K41" s="9"/>
      <c r="L41" s="180"/>
      <c r="M41" s="180" t="str">
        <f>Tournament!N42</f>
        <v>Iran</v>
      </c>
      <c r="N41" s="183"/>
      <c r="P41" s="192" t="str">
        <f t="shared" si="0"/>
        <v>Argentina</v>
      </c>
      <c r="Q41" s="193"/>
      <c r="R41" s="194" t="str">
        <f>IF(Tournament!J42&lt;&gt;"",Tournament!J42,"")</f>
        <v/>
      </c>
      <c r="S41" s="194" t="s">
        <v>3088</v>
      </c>
      <c r="T41" s="194" t="str">
        <f>IF(Tournament!L42&lt;&gt;"",Tournament!L42,"")</f>
        <v/>
      </c>
      <c r="U41" s="193"/>
      <c r="V41" s="193" t="str">
        <f t="shared" si="1"/>
        <v>Iran</v>
      </c>
      <c r="W41" s="194"/>
      <c r="X41" s="194"/>
      <c r="Y41" s="194"/>
      <c r="Z41" s="194"/>
      <c r="AA41" s="194"/>
      <c r="AB41" s="194"/>
      <c r="AC41" s="194"/>
      <c r="AD41" s="195" t="str">
        <f>IF(AND(I41&lt;&gt;"",K41&lt;&gt;"",R41&lt;&gt;"",T41&lt;&gt;""),IF(AND(I41=R41,K41=T41),Setup!$D$10,IF((I41-K41)=(R41-T41),Setup!$D$11,IF(AND((I41&gt;K41),(R41&gt;T41)),Setup!$D$12,IF(AND((K41&gt;I41),(T41&gt;R41)),Setup!$D$12,0)))),"")</f>
        <v/>
      </c>
      <c r="AE41" s="183"/>
      <c r="CP41" s="168"/>
      <c r="CQ41" s="196"/>
      <c r="CR41" s="187"/>
      <c r="CS41" s="168"/>
    </row>
    <row r="42" spans="2:97" s="166" customFormat="1" ht="15" customHeight="1">
      <c r="B42" s="182"/>
      <c r="C42" s="181">
        <f>Tournament!D43</f>
        <v>28</v>
      </c>
      <c r="D42" s="181" t="str">
        <f>Tournament!E43</f>
        <v>F</v>
      </c>
      <c r="E42" s="188">
        <f>Tournament!F43</f>
        <v>41811.791666666664</v>
      </c>
      <c r="F42" s="189">
        <f>Tournament!G43</f>
        <v>41811.791666666664</v>
      </c>
      <c r="G42" s="190" t="str">
        <f>Tournament!H43</f>
        <v>Nigeria</v>
      </c>
      <c r="H42" s="180"/>
      <c r="I42" s="9"/>
      <c r="J42" s="191" t="s">
        <v>3088</v>
      </c>
      <c r="K42" s="9"/>
      <c r="L42" s="180"/>
      <c r="M42" s="180" t="str">
        <f>Tournament!N43</f>
        <v>Bosnia-Herzegovina</v>
      </c>
      <c r="N42" s="183"/>
      <c r="P42" s="192" t="str">
        <f t="shared" si="0"/>
        <v>Nigeria</v>
      </c>
      <c r="Q42" s="193"/>
      <c r="R42" s="194" t="str">
        <f>IF(Tournament!J43&lt;&gt;"",Tournament!J43,"")</f>
        <v/>
      </c>
      <c r="S42" s="194" t="s">
        <v>3088</v>
      </c>
      <c r="T42" s="194" t="str">
        <f>IF(Tournament!L43&lt;&gt;"",Tournament!L43,"")</f>
        <v/>
      </c>
      <c r="U42" s="193"/>
      <c r="V42" s="193" t="str">
        <f t="shared" si="1"/>
        <v>Bosnia-Herzegovina</v>
      </c>
      <c r="W42" s="194"/>
      <c r="X42" s="194"/>
      <c r="Y42" s="194"/>
      <c r="Z42" s="194"/>
      <c r="AA42" s="194"/>
      <c r="AB42" s="194"/>
      <c r="AC42" s="194"/>
      <c r="AD42" s="195" t="str">
        <f>IF(AND(I42&lt;&gt;"",K42&lt;&gt;"",R42&lt;&gt;"",T42&lt;&gt;""),IF(AND(I42=R42,K42=T42),Setup!$D$10,IF((I42-K42)=(R42-T42),Setup!$D$11,IF(AND((I42&gt;K42),(R42&gt;T42)),Setup!$D$12,IF(AND((K42&gt;I42),(T42&gt;R42)),Setup!$D$12,0)))),"")</f>
        <v/>
      </c>
      <c r="AE42" s="183"/>
      <c r="CP42" s="168"/>
      <c r="CQ42" s="168"/>
      <c r="CR42" s="187"/>
      <c r="CS42" s="168"/>
    </row>
    <row r="43" spans="2:97" s="166" customFormat="1" ht="15" customHeight="1">
      <c r="B43" s="182"/>
      <c r="C43" s="181">
        <f>Tournament!D44</f>
        <v>29</v>
      </c>
      <c r="D43" s="181" t="str">
        <f>Tournament!E44</f>
        <v>G</v>
      </c>
      <c r="E43" s="188">
        <f>Tournament!F44</f>
        <v>41811.666666666664</v>
      </c>
      <c r="F43" s="189">
        <f>Tournament!G44</f>
        <v>41811.666666666664</v>
      </c>
      <c r="G43" s="190" t="str">
        <f>Tournament!H44</f>
        <v>Germany</v>
      </c>
      <c r="H43" s="180"/>
      <c r="I43" s="9"/>
      <c r="J43" s="191" t="s">
        <v>3088</v>
      </c>
      <c r="K43" s="9"/>
      <c r="L43" s="180"/>
      <c r="M43" s="180" t="str">
        <f>Tournament!N44</f>
        <v>Ghana</v>
      </c>
      <c r="N43" s="183"/>
      <c r="P43" s="192" t="str">
        <f t="shared" si="0"/>
        <v>Germany</v>
      </c>
      <c r="Q43" s="193"/>
      <c r="R43" s="194" t="str">
        <f>IF(Tournament!J44&lt;&gt;"",Tournament!J44,"")</f>
        <v/>
      </c>
      <c r="S43" s="194" t="s">
        <v>3088</v>
      </c>
      <c r="T43" s="194" t="str">
        <f>IF(Tournament!L44&lt;&gt;"",Tournament!L44,"")</f>
        <v/>
      </c>
      <c r="U43" s="193"/>
      <c r="V43" s="193" t="str">
        <f t="shared" si="1"/>
        <v>Ghana</v>
      </c>
      <c r="W43" s="194"/>
      <c r="X43" s="194"/>
      <c r="Y43" s="194"/>
      <c r="Z43" s="194"/>
      <c r="AA43" s="194"/>
      <c r="AB43" s="194"/>
      <c r="AC43" s="194"/>
      <c r="AD43" s="195" t="str">
        <f>IF(AND(I43&lt;&gt;"",K43&lt;&gt;"",R43&lt;&gt;"",T43&lt;&gt;""),IF(AND(I43=R43,K43=T43),Setup!$D$10,IF((I43-K43)=(R43-T43),Setup!$D$11,IF(AND((I43&gt;K43),(R43&gt;T43)),Setup!$D$12,IF(AND((K43&gt;I43),(T43&gt;R43)),Setup!$D$12,0)))),"")</f>
        <v/>
      </c>
      <c r="AE43" s="183"/>
      <c r="CP43" s="168"/>
      <c r="CQ43" s="168"/>
      <c r="CR43" s="187"/>
      <c r="CS43" s="168"/>
    </row>
    <row r="44" spans="2:97" s="166" customFormat="1" ht="15" customHeight="1">
      <c r="B44" s="182"/>
      <c r="C44" s="181">
        <f>Tournament!D45</f>
        <v>30</v>
      </c>
      <c r="D44" s="181" t="str">
        <f>Tournament!E45</f>
        <v>G</v>
      </c>
      <c r="E44" s="188">
        <f>Tournament!F45</f>
        <v>41812.791666666664</v>
      </c>
      <c r="F44" s="189">
        <f>Tournament!G45</f>
        <v>41812.791666666664</v>
      </c>
      <c r="G44" s="190" t="str">
        <f>Tournament!H45</f>
        <v>USA</v>
      </c>
      <c r="H44" s="180"/>
      <c r="I44" s="9"/>
      <c r="J44" s="191" t="s">
        <v>3088</v>
      </c>
      <c r="K44" s="9"/>
      <c r="L44" s="180"/>
      <c r="M44" s="180" t="str">
        <f>Tournament!N45</f>
        <v>Portugal</v>
      </c>
      <c r="N44" s="183"/>
      <c r="P44" s="192" t="str">
        <f t="shared" si="0"/>
        <v>USA</v>
      </c>
      <c r="Q44" s="193"/>
      <c r="R44" s="194" t="str">
        <f>IF(Tournament!J45&lt;&gt;"",Tournament!J45,"")</f>
        <v/>
      </c>
      <c r="S44" s="194" t="s">
        <v>3088</v>
      </c>
      <c r="T44" s="194" t="str">
        <f>IF(Tournament!L45&lt;&gt;"",Tournament!L45,"")</f>
        <v/>
      </c>
      <c r="U44" s="193"/>
      <c r="V44" s="193" t="str">
        <f t="shared" si="1"/>
        <v>Portugal</v>
      </c>
      <c r="W44" s="194"/>
      <c r="X44" s="194"/>
      <c r="Y44" s="194"/>
      <c r="Z44" s="194"/>
      <c r="AA44" s="194"/>
      <c r="AB44" s="194"/>
      <c r="AC44" s="194"/>
      <c r="AD44" s="195" t="str">
        <f>IF(AND(I44&lt;&gt;"",K44&lt;&gt;"",R44&lt;&gt;"",T44&lt;&gt;""),IF(AND(I44=R44,K44=T44),Setup!$D$10,IF((I44-K44)=(R44-T44),Setup!$D$11,IF(AND((I44&gt;K44),(R44&gt;T44)),Setup!$D$12,IF(AND((K44&gt;I44),(T44&gt;R44)),Setup!$D$12,0)))),"")</f>
        <v/>
      </c>
      <c r="AE44" s="183"/>
      <c r="CP44" s="168"/>
      <c r="CQ44" s="168"/>
      <c r="CR44" s="187"/>
      <c r="CS44" s="168"/>
    </row>
    <row r="45" spans="2:97" s="166" customFormat="1" ht="15" customHeight="1">
      <c r="B45" s="182"/>
      <c r="C45" s="181">
        <f>Tournament!D46</f>
        <v>31</v>
      </c>
      <c r="D45" s="181" t="str">
        <f>Tournament!E46</f>
        <v>H</v>
      </c>
      <c r="E45" s="188">
        <f>Tournament!F46</f>
        <v>41812.541666666664</v>
      </c>
      <c r="F45" s="189">
        <f>Tournament!G46</f>
        <v>41812.541666666664</v>
      </c>
      <c r="G45" s="190" t="str">
        <f>Tournament!H46</f>
        <v>Belgium</v>
      </c>
      <c r="H45" s="180"/>
      <c r="I45" s="9"/>
      <c r="J45" s="191" t="s">
        <v>3088</v>
      </c>
      <c r="K45" s="9"/>
      <c r="L45" s="180"/>
      <c r="M45" s="180" t="str">
        <f>Tournament!N46</f>
        <v>Russia</v>
      </c>
      <c r="N45" s="183"/>
      <c r="P45" s="192" t="str">
        <f t="shared" si="0"/>
        <v>Belgium</v>
      </c>
      <c r="Q45" s="193"/>
      <c r="R45" s="194" t="str">
        <f>IF(Tournament!J46&lt;&gt;"",Tournament!J46,"")</f>
        <v/>
      </c>
      <c r="S45" s="194" t="s">
        <v>3088</v>
      </c>
      <c r="T45" s="194" t="str">
        <f>IF(Tournament!L46&lt;&gt;"",Tournament!L46,"")</f>
        <v/>
      </c>
      <c r="U45" s="193"/>
      <c r="V45" s="193" t="str">
        <f t="shared" si="1"/>
        <v>Russia</v>
      </c>
      <c r="W45" s="194"/>
      <c r="X45" s="194"/>
      <c r="Y45" s="194"/>
      <c r="Z45" s="194"/>
      <c r="AA45" s="194"/>
      <c r="AB45" s="194"/>
      <c r="AC45" s="194"/>
      <c r="AD45" s="195" t="str">
        <f>IF(AND(I45&lt;&gt;"",K45&lt;&gt;"",R45&lt;&gt;"",T45&lt;&gt;""),IF(AND(I45=R45,K45=T45),Setup!$D$10,IF((I45-K45)=(R45-T45),Setup!$D$11,IF(AND((I45&gt;K45),(R45&gt;T45)),Setup!$D$12,IF(AND((K45&gt;I45),(T45&gt;R45)),Setup!$D$12,0)))),"")</f>
        <v/>
      </c>
      <c r="AE45" s="183"/>
      <c r="CP45" s="168"/>
      <c r="CQ45" s="168"/>
      <c r="CR45" s="187"/>
      <c r="CS45" s="168"/>
    </row>
    <row r="46" spans="2:97" s="166" customFormat="1" ht="15" customHeight="1">
      <c r="B46" s="182"/>
      <c r="C46" s="181">
        <f>Tournament!D47</f>
        <v>32</v>
      </c>
      <c r="D46" s="181" t="str">
        <f>Tournament!E47</f>
        <v>H</v>
      </c>
      <c r="E46" s="188">
        <f>Tournament!F47</f>
        <v>41812.666666666664</v>
      </c>
      <c r="F46" s="189">
        <f>Tournament!G47</f>
        <v>41812.666666666664</v>
      </c>
      <c r="G46" s="190" t="str">
        <f>Tournament!H47</f>
        <v>South Korea</v>
      </c>
      <c r="H46" s="180"/>
      <c r="I46" s="9"/>
      <c r="J46" s="191" t="s">
        <v>3088</v>
      </c>
      <c r="K46" s="9"/>
      <c r="L46" s="180"/>
      <c r="M46" s="180" t="str">
        <f>Tournament!N47</f>
        <v>Algeria</v>
      </c>
      <c r="N46" s="183"/>
      <c r="P46" s="192" t="str">
        <f t="shared" si="0"/>
        <v>South Korea</v>
      </c>
      <c r="Q46" s="193"/>
      <c r="R46" s="194" t="str">
        <f>IF(Tournament!J47&lt;&gt;"",Tournament!J47,"")</f>
        <v/>
      </c>
      <c r="S46" s="194" t="s">
        <v>3088</v>
      </c>
      <c r="T46" s="194" t="str">
        <f>IF(Tournament!L47&lt;&gt;"",Tournament!L47,"")</f>
        <v/>
      </c>
      <c r="U46" s="193"/>
      <c r="V46" s="193" t="str">
        <f t="shared" si="1"/>
        <v>Algeria</v>
      </c>
      <c r="W46" s="194"/>
      <c r="X46" s="194"/>
      <c r="Y46" s="194"/>
      <c r="Z46" s="194"/>
      <c r="AA46" s="194"/>
      <c r="AB46" s="194"/>
      <c r="AC46" s="194"/>
      <c r="AD46" s="195" t="str">
        <f>IF(AND(I46&lt;&gt;"",K46&lt;&gt;"",R46&lt;&gt;"",T46&lt;&gt;""),IF(AND(I46=R46,K46=T46),Setup!$D$10,IF((I46-K46)=(R46-T46),Setup!$D$11,IF(AND((I46&gt;K46),(R46&gt;T46)),Setup!$D$12,IF(AND((K46&gt;I46),(T46&gt;R46)),Setup!$D$12,0)))),"")</f>
        <v/>
      </c>
      <c r="AE46" s="183"/>
      <c r="CP46" s="168"/>
      <c r="CQ46" s="168"/>
      <c r="CR46" s="187"/>
      <c r="CS46" s="168"/>
    </row>
    <row r="47" spans="2:97" s="166" customFormat="1" ht="15" customHeight="1">
      <c r="B47" s="182"/>
      <c r="C47" s="181">
        <f>Tournament!D48</f>
        <v>33</v>
      </c>
      <c r="D47" s="181" t="str">
        <f>Tournament!E48</f>
        <v>A</v>
      </c>
      <c r="E47" s="188">
        <f>Tournament!F48</f>
        <v>41813.708333333336</v>
      </c>
      <c r="F47" s="189">
        <f>Tournament!G48</f>
        <v>41813.708333333336</v>
      </c>
      <c r="G47" s="190" t="str">
        <f>Tournament!H48</f>
        <v>Cameroon</v>
      </c>
      <c r="H47" s="180"/>
      <c r="I47" s="9"/>
      <c r="J47" s="191" t="s">
        <v>3088</v>
      </c>
      <c r="K47" s="9"/>
      <c r="L47" s="180"/>
      <c r="M47" s="180" t="str">
        <f>Tournament!N48</f>
        <v>Brazil</v>
      </c>
      <c r="N47" s="183"/>
      <c r="P47" s="192" t="str">
        <f t="shared" si="0"/>
        <v>Cameroon</v>
      </c>
      <c r="Q47" s="193"/>
      <c r="R47" s="194" t="str">
        <f>IF(Tournament!J48&lt;&gt;"",Tournament!J48,"")</f>
        <v/>
      </c>
      <c r="S47" s="194" t="s">
        <v>3088</v>
      </c>
      <c r="T47" s="194" t="str">
        <f>IF(Tournament!L48&lt;&gt;"",Tournament!L48,"")</f>
        <v/>
      </c>
      <c r="U47" s="193"/>
      <c r="V47" s="193" t="str">
        <f t="shared" si="1"/>
        <v>Brazil</v>
      </c>
      <c r="W47" s="194"/>
      <c r="X47" s="194"/>
      <c r="Y47" s="194"/>
      <c r="Z47" s="194"/>
      <c r="AA47" s="194"/>
      <c r="AB47" s="194"/>
      <c r="AC47" s="194"/>
      <c r="AD47" s="195" t="str">
        <f>IF(AND(I47&lt;&gt;"",K47&lt;&gt;"",R47&lt;&gt;"",T47&lt;&gt;""),IF(AND(I47=R47,K47=T47),Setup!$D$10,IF((I47-K47)=(R47-T47),Setup!$D$11,IF(AND((I47&gt;K47),(R47&gt;T47)),Setup!$D$12,IF(AND((K47&gt;I47),(T47&gt;R47)),Setup!$D$12,0)))),"")</f>
        <v/>
      </c>
      <c r="AE47" s="183"/>
      <c r="CP47" s="168"/>
      <c r="CQ47" s="168"/>
      <c r="CR47" s="187"/>
      <c r="CS47" s="168"/>
    </row>
    <row r="48" spans="2:97" s="166" customFormat="1" ht="15" customHeight="1">
      <c r="B48" s="182"/>
      <c r="C48" s="181">
        <f>Tournament!D49</f>
        <v>34</v>
      </c>
      <c r="D48" s="181" t="str">
        <f>Tournament!E49</f>
        <v>A</v>
      </c>
      <c r="E48" s="188">
        <f>Tournament!F49</f>
        <v>41813.708333333336</v>
      </c>
      <c r="F48" s="189">
        <f>Tournament!G49</f>
        <v>41813.708333333336</v>
      </c>
      <c r="G48" s="190" t="str">
        <f>Tournament!H49</f>
        <v>Croatia</v>
      </c>
      <c r="H48" s="180"/>
      <c r="I48" s="9"/>
      <c r="J48" s="191" t="s">
        <v>3088</v>
      </c>
      <c r="K48" s="9"/>
      <c r="L48" s="180"/>
      <c r="M48" s="180" t="str">
        <f>Tournament!N49</f>
        <v>Mexico</v>
      </c>
      <c r="N48" s="183"/>
      <c r="P48" s="192" t="str">
        <f t="shared" si="0"/>
        <v>Croatia</v>
      </c>
      <c r="Q48" s="193"/>
      <c r="R48" s="194" t="str">
        <f>IF(Tournament!J49&lt;&gt;"",Tournament!J49,"")</f>
        <v/>
      </c>
      <c r="S48" s="194" t="s">
        <v>3088</v>
      </c>
      <c r="T48" s="194" t="str">
        <f>IF(Tournament!L49&lt;&gt;"",Tournament!L49,"")</f>
        <v/>
      </c>
      <c r="U48" s="193"/>
      <c r="V48" s="193" t="str">
        <f t="shared" si="1"/>
        <v>Mexico</v>
      </c>
      <c r="W48" s="194"/>
      <c r="X48" s="194"/>
      <c r="Y48" s="194"/>
      <c r="Z48" s="194"/>
      <c r="AA48" s="194"/>
      <c r="AB48" s="194"/>
      <c r="AC48" s="194"/>
      <c r="AD48" s="195" t="str">
        <f>IF(AND(I48&lt;&gt;"",K48&lt;&gt;"",R48&lt;&gt;"",T48&lt;&gt;""),IF(AND(I48=R48,K48=T48),Setup!$D$10,IF((I48-K48)=(R48-T48),Setup!$D$11,IF(AND((I48&gt;K48),(R48&gt;T48)),Setup!$D$12,IF(AND((K48&gt;I48),(T48&gt;R48)),Setup!$D$12,0)))),"")</f>
        <v/>
      </c>
      <c r="AE48" s="183"/>
      <c r="CP48" s="168"/>
      <c r="CQ48" s="168"/>
      <c r="CR48" s="187"/>
      <c r="CS48" s="168"/>
    </row>
    <row r="49" spans="2:97" s="166" customFormat="1" ht="15" customHeight="1">
      <c r="B49" s="182"/>
      <c r="C49" s="181">
        <f>Tournament!D50</f>
        <v>35</v>
      </c>
      <c r="D49" s="181" t="str">
        <f>Tournament!E50</f>
        <v>B</v>
      </c>
      <c r="E49" s="188">
        <f>Tournament!F50</f>
        <v>41813.541666666664</v>
      </c>
      <c r="F49" s="189">
        <f>Tournament!G50</f>
        <v>41813.541666666664</v>
      </c>
      <c r="G49" s="190" t="str">
        <f>Tournament!H50</f>
        <v>Australia</v>
      </c>
      <c r="H49" s="180"/>
      <c r="I49" s="9"/>
      <c r="J49" s="191" t="s">
        <v>3088</v>
      </c>
      <c r="K49" s="9"/>
      <c r="L49" s="180"/>
      <c r="M49" s="180" t="str">
        <f>Tournament!N50</f>
        <v>Spain</v>
      </c>
      <c r="N49" s="183"/>
      <c r="P49" s="192" t="str">
        <f t="shared" si="0"/>
        <v>Australia</v>
      </c>
      <c r="Q49" s="193"/>
      <c r="R49" s="194" t="str">
        <f>IF(Tournament!J50&lt;&gt;"",Tournament!J50,"")</f>
        <v/>
      </c>
      <c r="S49" s="194" t="s">
        <v>3088</v>
      </c>
      <c r="T49" s="194" t="str">
        <f>IF(Tournament!L50&lt;&gt;"",Tournament!L50,"")</f>
        <v/>
      </c>
      <c r="U49" s="193"/>
      <c r="V49" s="193" t="str">
        <f t="shared" si="1"/>
        <v>Spain</v>
      </c>
      <c r="W49" s="194"/>
      <c r="X49" s="194"/>
      <c r="Y49" s="194"/>
      <c r="Z49" s="194"/>
      <c r="AA49" s="194"/>
      <c r="AB49" s="194"/>
      <c r="AC49" s="194"/>
      <c r="AD49" s="195" t="str">
        <f>IF(AND(I49&lt;&gt;"",K49&lt;&gt;"",R49&lt;&gt;"",T49&lt;&gt;""),IF(AND(I49=R49,K49=T49),Setup!$D$10,IF((I49-K49)=(R49-T49),Setup!$D$11,IF(AND((I49&gt;K49),(R49&gt;T49)),Setup!$D$12,IF(AND((K49&gt;I49),(T49&gt;R49)),Setup!$D$12,0)))),"")</f>
        <v/>
      </c>
      <c r="AE49" s="183"/>
      <c r="CP49" s="168"/>
      <c r="CQ49" s="168"/>
      <c r="CR49" s="187"/>
      <c r="CS49" s="168"/>
    </row>
    <row r="50" spans="2:97" s="166" customFormat="1" ht="15" customHeight="1">
      <c r="B50" s="182"/>
      <c r="C50" s="181">
        <f>Tournament!D51</f>
        <v>36</v>
      </c>
      <c r="D50" s="181" t="str">
        <f>Tournament!E51</f>
        <v>B</v>
      </c>
      <c r="E50" s="188">
        <f>Tournament!F51</f>
        <v>41813.541666666664</v>
      </c>
      <c r="F50" s="189">
        <f>Tournament!G51</f>
        <v>41813.541666666664</v>
      </c>
      <c r="G50" s="190" t="str">
        <f>Tournament!H51</f>
        <v>Netherlands</v>
      </c>
      <c r="H50" s="180"/>
      <c r="I50" s="9"/>
      <c r="J50" s="191" t="s">
        <v>3088</v>
      </c>
      <c r="K50" s="9"/>
      <c r="L50" s="180"/>
      <c r="M50" s="180" t="str">
        <f>Tournament!N51</f>
        <v>Chile</v>
      </c>
      <c r="N50" s="183"/>
      <c r="P50" s="192" t="str">
        <f t="shared" si="0"/>
        <v>Netherlands</v>
      </c>
      <c r="Q50" s="193"/>
      <c r="R50" s="194" t="str">
        <f>IF(Tournament!J51&lt;&gt;"",Tournament!J51,"")</f>
        <v/>
      </c>
      <c r="S50" s="194" t="s">
        <v>3088</v>
      </c>
      <c r="T50" s="194" t="str">
        <f>IF(Tournament!L51&lt;&gt;"",Tournament!L51,"")</f>
        <v/>
      </c>
      <c r="U50" s="193"/>
      <c r="V50" s="193" t="str">
        <f t="shared" si="1"/>
        <v>Chile</v>
      </c>
      <c r="W50" s="194"/>
      <c r="X50" s="194"/>
      <c r="Y50" s="194"/>
      <c r="Z50" s="194"/>
      <c r="AA50" s="194"/>
      <c r="AB50" s="194"/>
      <c r="AC50" s="194"/>
      <c r="AD50" s="195" t="str">
        <f>IF(AND(I50&lt;&gt;"",K50&lt;&gt;"",R50&lt;&gt;"",T50&lt;&gt;""),IF(AND(I50=R50,K50=T50),Setup!$D$10,IF((I50-K50)=(R50-T50),Setup!$D$11,IF(AND((I50&gt;K50),(R50&gt;T50)),Setup!$D$12,IF(AND((K50&gt;I50),(T50&gt;R50)),Setup!$D$12,0)))),"")</f>
        <v/>
      </c>
      <c r="AE50" s="183"/>
      <c r="CP50" s="168"/>
      <c r="CQ50" s="168"/>
      <c r="CR50" s="187"/>
      <c r="CS50" s="168"/>
    </row>
    <row r="51" spans="2:97" s="166" customFormat="1" ht="15" customHeight="1">
      <c r="B51" s="182"/>
      <c r="C51" s="181">
        <f>Tournament!D52</f>
        <v>37</v>
      </c>
      <c r="D51" s="181" t="str">
        <f>Tournament!E52</f>
        <v>C</v>
      </c>
      <c r="E51" s="188">
        <f>Tournament!F52</f>
        <v>41814.708333333336</v>
      </c>
      <c r="F51" s="189">
        <f>Tournament!G52</f>
        <v>41814.708333333336</v>
      </c>
      <c r="G51" s="190" t="str">
        <f>Tournament!H52</f>
        <v>Japan</v>
      </c>
      <c r="H51" s="180"/>
      <c r="I51" s="9"/>
      <c r="J51" s="191" t="s">
        <v>3088</v>
      </c>
      <c r="K51" s="9"/>
      <c r="L51" s="180"/>
      <c r="M51" s="180" t="str">
        <f>Tournament!N52</f>
        <v>Colombia</v>
      </c>
      <c r="N51" s="183"/>
      <c r="P51" s="192" t="str">
        <f t="shared" si="0"/>
        <v>Japan</v>
      </c>
      <c r="Q51" s="193"/>
      <c r="R51" s="194" t="str">
        <f>IF(Tournament!J52&lt;&gt;"",Tournament!J52,"")</f>
        <v/>
      </c>
      <c r="S51" s="194" t="s">
        <v>3088</v>
      </c>
      <c r="T51" s="194" t="str">
        <f>IF(Tournament!L52&lt;&gt;"",Tournament!L52,"")</f>
        <v/>
      </c>
      <c r="U51" s="193"/>
      <c r="V51" s="193" t="str">
        <f t="shared" si="1"/>
        <v>Colombia</v>
      </c>
      <c r="W51" s="194"/>
      <c r="X51" s="194"/>
      <c r="Y51" s="194"/>
      <c r="Z51" s="194"/>
      <c r="AA51" s="194"/>
      <c r="AB51" s="194"/>
      <c r="AC51" s="194"/>
      <c r="AD51" s="195" t="str">
        <f>IF(AND(I51&lt;&gt;"",K51&lt;&gt;"",R51&lt;&gt;"",T51&lt;&gt;""),IF(AND(I51=R51,K51=T51),Setup!$D$10,IF((I51-K51)=(R51-T51),Setup!$D$11,IF(AND((I51&gt;K51),(R51&gt;T51)),Setup!$D$12,IF(AND((K51&gt;I51),(T51&gt;R51)),Setup!$D$12,0)))),"")</f>
        <v/>
      </c>
      <c r="AE51" s="183"/>
      <c r="CP51" s="168"/>
      <c r="CQ51" s="168"/>
      <c r="CR51" s="187"/>
      <c r="CS51" s="168"/>
    </row>
    <row r="52" spans="2:97" s="166" customFormat="1" ht="15" customHeight="1">
      <c r="B52" s="182"/>
      <c r="C52" s="181">
        <f>Tournament!D53</f>
        <v>38</v>
      </c>
      <c r="D52" s="181" t="str">
        <f>Tournament!E53</f>
        <v>C</v>
      </c>
      <c r="E52" s="188">
        <f>Tournament!F53</f>
        <v>41814.708333333336</v>
      </c>
      <c r="F52" s="189">
        <f>Tournament!G53</f>
        <v>41814.708333333336</v>
      </c>
      <c r="G52" s="190" t="str">
        <f>Tournament!H53</f>
        <v>Greece</v>
      </c>
      <c r="H52" s="180"/>
      <c r="I52" s="9"/>
      <c r="J52" s="191" t="s">
        <v>3088</v>
      </c>
      <c r="K52" s="9"/>
      <c r="L52" s="180"/>
      <c r="M52" s="180" t="str">
        <f>Tournament!N53</f>
        <v>Ivory Coast</v>
      </c>
      <c r="N52" s="183"/>
      <c r="P52" s="192" t="str">
        <f t="shared" si="0"/>
        <v>Greece</v>
      </c>
      <c r="Q52" s="193"/>
      <c r="R52" s="194" t="str">
        <f>IF(Tournament!J53&lt;&gt;"",Tournament!J53,"")</f>
        <v/>
      </c>
      <c r="S52" s="194" t="s">
        <v>3088</v>
      </c>
      <c r="T52" s="194" t="str">
        <f>IF(Tournament!L53&lt;&gt;"",Tournament!L53,"")</f>
        <v/>
      </c>
      <c r="U52" s="193"/>
      <c r="V52" s="193" t="str">
        <f t="shared" si="1"/>
        <v>Ivory Coast</v>
      </c>
      <c r="W52" s="194"/>
      <c r="X52" s="194"/>
      <c r="Y52" s="194"/>
      <c r="Z52" s="194"/>
      <c r="AA52" s="194"/>
      <c r="AB52" s="194"/>
      <c r="AC52" s="194"/>
      <c r="AD52" s="195" t="str">
        <f>IF(AND(I52&lt;&gt;"",K52&lt;&gt;"",R52&lt;&gt;"",T52&lt;&gt;""),IF(AND(I52=R52,K52=T52),Setup!$D$10,IF((I52-K52)=(R52-T52),Setup!$D$11,IF(AND((I52&gt;K52),(R52&gt;T52)),Setup!$D$12,IF(AND((K52&gt;I52),(T52&gt;R52)),Setup!$D$12,0)))),"")</f>
        <v/>
      </c>
      <c r="AE52" s="183"/>
      <c r="CP52" s="168"/>
      <c r="CQ52" s="168"/>
      <c r="CR52" s="187"/>
      <c r="CS52" s="168"/>
    </row>
    <row r="53" spans="2:97" s="166" customFormat="1" ht="15" customHeight="1">
      <c r="B53" s="182"/>
      <c r="C53" s="181">
        <f>Tournament!D54</f>
        <v>39</v>
      </c>
      <c r="D53" s="181" t="str">
        <f>Tournament!E54</f>
        <v>D</v>
      </c>
      <c r="E53" s="188">
        <f>Tournament!F54</f>
        <v>41814.541666666664</v>
      </c>
      <c r="F53" s="189">
        <f>Tournament!G54</f>
        <v>41814.541666666664</v>
      </c>
      <c r="G53" s="190" t="str">
        <f>Tournament!H54</f>
        <v>Italy</v>
      </c>
      <c r="H53" s="180"/>
      <c r="I53" s="9"/>
      <c r="J53" s="191" t="s">
        <v>3088</v>
      </c>
      <c r="K53" s="9"/>
      <c r="L53" s="180"/>
      <c r="M53" s="180" t="str">
        <f>Tournament!N54</f>
        <v>Uruguay</v>
      </c>
      <c r="N53" s="183"/>
      <c r="P53" s="192" t="str">
        <f t="shared" si="0"/>
        <v>Italy</v>
      </c>
      <c r="Q53" s="193"/>
      <c r="R53" s="194" t="str">
        <f>IF(Tournament!J54&lt;&gt;"",Tournament!J54,"")</f>
        <v/>
      </c>
      <c r="S53" s="194" t="s">
        <v>3088</v>
      </c>
      <c r="T53" s="194" t="str">
        <f>IF(Tournament!L54&lt;&gt;"",Tournament!L54,"")</f>
        <v/>
      </c>
      <c r="U53" s="193"/>
      <c r="V53" s="193" t="str">
        <f t="shared" si="1"/>
        <v>Uruguay</v>
      </c>
      <c r="W53" s="194"/>
      <c r="X53" s="194"/>
      <c r="Y53" s="194"/>
      <c r="Z53" s="194"/>
      <c r="AA53" s="194"/>
      <c r="AB53" s="194"/>
      <c r="AC53" s="194"/>
      <c r="AD53" s="195" t="str">
        <f>IF(AND(I53&lt;&gt;"",K53&lt;&gt;"",R53&lt;&gt;"",T53&lt;&gt;""),IF(AND(I53=R53,K53=T53),Setup!$D$10,IF((I53-K53)=(R53-T53),Setup!$D$11,IF(AND((I53&gt;K53),(R53&gt;T53)),Setup!$D$12,IF(AND((K53&gt;I53),(T53&gt;R53)),Setup!$D$12,0)))),"")</f>
        <v/>
      </c>
      <c r="AE53" s="183"/>
      <c r="CP53" s="168"/>
      <c r="CQ53" s="168"/>
      <c r="CR53" s="187"/>
      <c r="CS53" s="168"/>
    </row>
    <row r="54" spans="2:97" s="166" customFormat="1" ht="15" customHeight="1">
      <c r="B54" s="182"/>
      <c r="C54" s="181">
        <f>Tournament!D55</f>
        <v>40</v>
      </c>
      <c r="D54" s="181" t="str">
        <f>Tournament!E55</f>
        <v>D</v>
      </c>
      <c r="E54" s="188">
        <f>Tournament!F55</f>
        <v>41814.541666666664</v>
      </c>
      <c r="F54" s="189">
        <f>Tournament!G55</f>
        <v>41814.541666666664</v>
      </c>
      <c r="G54" s="190" t="str">
        <f>Tournament!H55</f>
        <v>Costa Rica</v>
      </c>
      <c r="H54" s="180"/>
      <c r="I54" s="9"/>
      <c r="J54" s="191" t="s">
        <v>3088</v>
      </c>
      <c r="K54" s="9"/>
      <c r="L54" s="180"/>
      <c r="M54" s="180" t="str">
        <f>Tournament!N55</f>
        <v>England</v>
      </c>
      <c r="N54" s="183"/>
      <c r="P54" s="192" t="str">
        <f t="shared" si="0"/>
        <v>Costa Rica</v>
      </c>
      <c r="Q54" s="193"/>
      <c r="R54" s="194" t="str">
        <f>IF(Tournament!J55&lt;&gt;"",Tournament!J55,"")</f>
        <v/>
      </c>
      <c r="S54" s="194" t="s">
        <v>3088</v>
      </c>
      <c r="T54" s="194" t="str">
        <f>IF(Tournament!L55&lt;&gt;"",Tournament!L55,"")</f>
        <v/>
      </c>
      <c r="U54" s="193"/>
      <c r="V54" s="193" t="str">
        <f t="shared" si="1"/>
        <v>England</v>
      </c>
      <c r="W54" s="194"/>
      <c r="X54" s="194"/>
      <c r="Y54" s="194"/>
      <c r="Z54" s="194"/>
      <c r="AA54" s="194"/>
      <c r="AB54" s="194"/>
      <c r="AC54" s="194"/>
      <c r="AD54" s="195" t="str">
        <f>IF(AND(I54&lt;&gt;"",K54&lt;&gt;"",R54&lt;&gt;"",T54&lt;&gt;""),IF(AND(I54=R54,K54=T54),Setup!$D$10,IF((I54-K54)=(R54-T54),Setup!$D$11,IF(AND((I54&gt;K54),(R54&gt;T54)),Setup!$D$12,IF(AND((K54&gt;I54),(T54&gt;R54)),Setup!$D$12,0)))),"")</f>
        <v/>
      </c>
      <c r="AE54" s="183"/>
      <c r="CP54" s="168"/>
      <c r="CQ54" s="168"/>
      <c r="CR54" s="187"/>
      <c r="CS54" s="168"/>
    </row>
    <row r="55" spans="2:97" s="166" customFormat="1" ht="15" customHeight="1">
      <c r="B55" s="182"/>
      <c r="C55" s="181">
        <f>Tournament!D56</f>
        <v>41</v>
      </c>
      <c r="D55" s="181" t="str">
        <f>Tournament!E56</f>
        <v>E</v>
      </c>
      <c r="E55" s="188">
        <f>Tournament!F56</f>
        <v>41815.708333333336</v>
      </c>
      <c r="F55" s="189">
        <f>Tournament!G56</f>
        <v>41815.708333333336</v>
      </c>
      <c r="G55" s="190" t="str">
        <f>Tournament!H56</f>
        <v>Honduras</v>
      </c>
      <c r="H55" s="180"/>
      <c r="I55" s="9"/>
      <c r="J55" s="191" t="s">
        <v>3088</v>
      </c>
      <c r="K55" s="9"/>
      <c r="L55" s="180"/>
      <c r="M55" s="180" t="str">
        <f>Tournament!N56</f>
        <v>Switzerland</v>
      </c>
      <c r="N55" s="183"/>
      <c r="P55" s="192" t="str">
        <f t="shared" si="0"/>
        <v>Honduras</v>
      </c>
      <c r="Q55" s="193"/>
      <c r="R55" s="194" t="str">
        <f>IF(Tournament!J56&lt;&gt;"",Tournament!J56,"")</f>
        <v/>
      </c>
      <c r="S55" s="194" t="s">
        <v>3088</v>
      </c>
      <c r="T55" s="194" t="str">
        <f>IF(Tournament!L56&lt;&gt;"",Tournament!L56,"")</f>
        <v/>
      </c>
      <c r="U55" s="193"/>
      <c r="V55" s="193" t="str">
        <f t="shared" si="1"/>
        <v>Switzerland</v>
      </c>
      <c r="W55" s="194"/>
      <c r="X55" s="194"/>
      <c r="Y55" s="194"/>
      <c r="Z55" s="194"/>
      <c r="AA55" s="194"/>
      <c r="AB55" s="194"/>
      <c r="AC55" s="194"/>
      <c r="AD55" s="195" t="str">
        <f>IF(AND(I55&lt;&gt;"",K55&lt;&gt;"",R55&lt;&gt;"",T55&lt;&gt;""),IF(AND(I55=R55,K55=T55),Setup!$D$10,IF((I55-K55)=(R55-T55),Setup!$D$11,IF(AND((I55&gt;K55),(R55&gt;T55)),Setup!$D$12,IF(AND((K55&gt;I55),(T55&gt;R55)),Setup!$D$12,0)))),"")</f>
        <v/>
      </c>
      <c r="AE55" s="183"/>
      <c r="CP55" s="168"/>
      <c r="CQ55" s="168"/>
      <c r="CR55" s="187"/>
      <c r="CS55" s="168"/>
    </row>
    <row r="56" spans="2:97" s="166" customFormat="1" ht="15" customHeight="1">
      <c r="B56" s="182"/>
      <c r="C56" s="181">
        <f>Tournament!D57</f>
        <v>42</v>
      </c>
      <c r="D56" s="181" t="str">
        <f>Tournament!E57</f>
        <v>E</v>
      </c>
      <c r="E56" s="188">
        <f>Tournament!F57</f>
        <v>41815.708333333336</v>
      </c>
      <c r="F56" s="189">
        <f>Tournament!G57</f>
        <v>41815.708333333336</v>
      </c>
      <c r="G56" s="190" t="str">
        <f>Tournament!H57</f>
        <v>Ecuador</v>
      </c>
      <c r="H56" s="180"/>
      <c r="I56" s="9"/>
      <c r="J56" s="191" t="s">
        <v>3088</v>
      </c>
      <c r="K56" s="9"/>
      <c r="L56" s="180"/>
      <c r="M56" s="180" t="str">
        <f>Tournament!N57</f>
        <v>France</v>
      </c>
      <c r="N56" s="183"/>
      <c r="P56" s="192" t="str">
        <f t="shared" si="0"/>
        <v>Ecuador</v>
      </c>
      <c r="Q56" s="193"/>
      <c r="R56" s="194" t="str">
        <f>IF(Tournament!J57&lt;&gt;"",Tournament!J57,"")</f>
        <v/>
      </c>
      <c r="S56" s="194" t="s">
        <v>3088</v>
      </c>
      <c r="T56" s="194" t="str">
        <f>IF(Tournament!L57&lt;&gt;"",Tournament!L57,"")</f>
        <v/>
      </c>
      <c r="U56" s="193"/>
      <c r="V56" s="193" t="str">
        <f t="shared" si="1"/>
        <v>France</v>
      </c>
      <c r="W56" s="194"/>
      <c r="X56" s="194"/>
      <c r="Y56" s="194"/>
      <c r="Z56" s="194"/>
      <c r="AA56" s="194"/>
      <c r="AB56" s="194"/>
      <c r="AC56" s="194"/>
      <c r="AD56" s="195" t="str">
        <f>IF(AND(I56&lt;&gt;"",K56&lt;&gt;"",R56&lt;&gt;"",T56&lt;&gt;""),IF(AND(I56=R56,K56=T56),Setup!$D$10,IF((I56-K56)=(R56-T56),Setup!$D$11,IF(AND((I56&gt;K56),(R56&gt;T56)),Setup!$D$12,IF(AND((K56&gt;I56),(T56&gt;R56)),Setup!$D$12,0)))),"")</f>
        <v/>
      </c>
      <c r="AE56" s="183"/>
      <c r="CP56" s="168"/>
      <c r="CQ56" s="168"/>
      <c r="CR56" s="187"/>
      <c r="CS56" s="168"/>
    </row>
    <row r="57" spans="2:97" s="166" customFormat="1" ht="15" customHeight="1">
      <c r="B57" s="182"/>
      <c r="C57" s="181">
        <f>Tournament!D58</f>
        <v>43</v>
      </c>
      <c r="D57" s="181" t="str">
        <f>Tournament!E58</f>
        <v>F</v>
      </c>
      <c r="E57" s="188">
        <f>Tournament!F58</f>
        <v>41815.541666666664</v>
      </c>
      <c r="F57" s="189">
        <f>Tournament!G58</f>
        <v>41815.541666666664</v>
      </c>
      <c r="G57" s="190" t="str">
        <f>Tournament!H58</f>
        <v>Nigeria</v>
      </c>
      <c r="H57" s="180"/>
      <c r="I57" s="9"/>
      <c r="J57" s="191" t="s">
        <v>3088</v>
      </c>
      <c r="K57" s="9"/>
      <c r="L57" s="180"/>
      <c r="M57" s="180" t="str">
        <f>Tournament!N58</f>
        <v>Argentina</v>
      </c>
      <c r="N57" s="183"/>
      <c r="P57" s="192" t="str">
        <f t="shared" si="0"/>
        <v>Nigeria</v>
      </c>
      <c r="Q57" s="193"/>
      <c r="R57" s="194" t="str">
        <f>IF(Tournament!J58&lt;&gt;"",Tournament!J58,"")</f>
        <v/>
      </c>
      <c r="S57" s="194" t="s">
        <v>3088</v>
      </c>
      <c r="T57" s="194" t="str">
        <f>IF(Tournament!L58&lt;&gt;"",Tournament!L58,"")</f>
        <v/>
      </c>
      <c r="U57" s="193"/>
      <c r="V57" s="193" t="str">
        <f t="shared" si="1"/>
        <v>Argentina</v>
      </c>
      <c r="W57" s="194"/>
      <c r="X57" s="194"/>
      <c r="Y57" s="194"/>
      <c r="Z57" s="194"/>
      <c r="AA57" s="194"/>
      <c r="AB57" s="194"/>
      <c r="AC57" s="194"/>
      <c r="AD57" s="195" t="str">
        <f>IF(AND(I57&lt;&gt;"",K57&lt;&gt;"",R57&lt;&gt;"",T57&lt;&gt;""),IF(AND(I57=R57,K57=T57),Setup!$D$10,IF((I57-K57)=(R57-T57),Setup!$D$11,IF(AND((I57&gt;K57),(R57&gt;T57)),Setup!$D$12,IF(AND((K57&gt;I57),(T57&gt;R57)),Setup!$D$12,0)))),"")</f>
        <v/>
      </c>
      <c r="AE57" s="183"/>
      <c r="CP57" s="168"/>
      <c r="CQ57" s="168"/>
      <c r="CR57" s="187"/>
      <c r="CS57" s="168"/>
    </row>
    <row r="58" spans="2:97" s="166" customFormat="1" ht="15" customHeight="1">
      <c r="B58" s="182"/>
      <c r="C58" s="181">
        <f>Tournament!D59</f>
        <v>44</v>
      </c>
      <c r="D58" s="181" t="str">
        <f>Tournament!E59</f>
        <v>F</v>
      </c>
      <c r="E58" s="188">
        <f>Tournament!F59</f>
        <v>41815.541666666664</v>
      </c>
      <c r="F58" s="189">
        <f>Tournament!G59</f>
        <v>41815.541666666664</v>
      </c>
      <c r="G58" s="190" t="str">
        <f>Tournament!H59</f>
        <v>Bosnia-Herzegovina</v>
      </c>
      <c r="H58" s="180"/>
      <c r="I58" s="9"/>
      <c r="J58" s="191" t="s">
        <v>3088</v>
      </c>
      <c r="K58" s="9"/>
      <c r="L58" s="180"/>
      <c r="M58" s="180" t="str">
        <f>Tournament!N59</f>
        <v>Iran</v>
      </c>
      <c r="N58" s="183"/>
      <c r="P58" s="192" t="str">
        <f t="shared" si="0"/>
        <v>Bosnia-Herzegovina</v>
      </c>
      <c r="Q58" s="193"/>
      <c r="R58" s="194" t="str">
        <f>IF(Tournament!J59&lt;&gt;"",Tournament!J59,"")</f>
        <v/>
      </c>
      <c r="S58" s="194" t="s">
        <v>3088</v>
      </c>
      <c r="T58" s="194" t="str">
        <f>IF(Tournament!L59&lt;&gt;"",Tournament!L59,"")</f>
        <v/>
      </c>
      <c r="U58" s="193"/>
      <c r="V58" s="193" t="str">
        <f t="shared" si="1"/>
        <v>Iran</v>
      </c>
      <c r="W58" s="194"/>
      <c r="X58" s="194"/>
      <c r="Y58" s="194"/>
      <c r="Z58" s="194"/>
      <c r="AA58" s="194"/>
      <c r="AB58" s="194"/>
      <c r="AC58" s="194"/>
      <c r="AD58" s="195" t="str">
        <f>IF(AND(I58&lt;&gt;"",K58&lt;&gt;"",R58&lt;&gt;"",T58&lt;&gt;""),IF(AND(I58=R58,K58=T58),Setup!$D$10,IF((I58-K58)=(R58-T58),Setup!$D$11,IF(AND((I58&gt;K58),(R58&gt;T58)),Setup!$D$12,IF(AND((K58&gt;I58),(T58&gt;R58)),Setup!$D$12,0)))),"")</f>
        <v/>
      </c>
      <c r="AE58" s="183"/>
      <c r="CP58" s="168"/>
      <c r="CQ58" s="168"/>
      <c r="CR58" s="187"/>
      <c r="CS58" s="168"/>
    </row>
    <row r="59" spans="2:97" s="166" customFormat="1" ht="15" customHeight="1">
      <c r="B59" s="182"/>
      <c r="C59" s="181">
        <f>Tournament!D60</f>
        <v>45</v>
      </c>
      <c r="D59" s="181" t="str">
        <f>Tournament!E60</f>
        <v>G</v>
      </c>
      <c r="E59" s="188">
        <f>Tournament!F60</f>
        <v>41816.541666666664</v>
      </c>
      <c r="F59" s="189">
        <f>Tournament!G60</f>
        <v>41816.541666666664</v>
      </c>
      <c r="G59" s="190" t="str">
        <f>Tournament!H60</f>
        <v>USA</v>
      </c>
      <c r="H59" s="180"/>
      <c r="I59" s="9"/>
      <c r="J59" s="191" t="s">
        <v>3088</v>
      </c>
      <c r="K59" s="9"/>
      <c r="L59" s="180"/>
      <c r="M59" s="180" t="str">
        <f>Tournament!N60</f>
        <v>Germany</v>
      </c>
      <c r="N59" s="183"/>
      <c r="P59" s="192" t="str">
        <f t="shared" si="0"/>
        <v>USA</v>
      </c>
      <c r="Q59" s="193"/>
      <c r="R59" s="194" t="str">
        <f>IF(Tournament!J60&lt;&gt;"",Tournament!J60,"")</f>
        <v/>
      </c>
      <c r="S59" s="194" t="s">
        <v>3088</v>
      </c>
      <c r="T59" s="194" t="str">
        <f>IF(Tournament!L60&lt;&gt;"",Tournament!L60,"")</f>
        <v/>
      </c>
      <c r="U59" s="193"/>
      <c r="V59" s="193" t="str">
        <f t="shared" si="1"/>
        <v>Germany</v>
      </c>
      <c r="W59" s="194"/>
      <c r="X59" s="194"/>
      <c r="Y59" s="194"/>
      <c r="Z59" s="194"/>
      <c r="AA59" s="194"/>
      <c r="AB59" s="194"/>
      <c r="AC59" s="194"/>
      <c r="AD59" s="195" t="str">
        <f>IF(AND(I59&lt;&gt;"",K59&lt;&gt;"",R59&lt;&gt;"",T59&lt;&gt;""),IF(AND(I59=R59,K59=T59),Setup!$D$10,IF((I59-K59)=(R59-T59),Setup!$D$11,IF(AND((I59&gt;K59),(R59&gt;T59)),Setup!$D$12,IF(AND((K59&gt;I59),(T59&gt;R59)),Setup!$D$12,0)))),"")</f>
        <v/>
      </c>
      <c r="AE59" s="183"/>
      <c r="CP59" s="168"/>
      <c r="CQ59" s="168"/>
      <c r="CR59" s="187"/>
      <c r="CS59" s="168"/>
    </row>
    <row r="60" spans="2:97" s="166" customFormat="1" ht="15" customHeight="1">
      <c r="B60" s="182"/>
      <c r="C60" s="181">
        <f>Tournament!D61</f>
        <v>46</v>
      </c>
      <c r="D60" s="181" t="str">
        <f>Tournament!E61</f>
        <v>G</v>
      </c>
      <c r="E60" s="188">
        <f>Tournament!F61</f>
        <v>41816.541666666664</v>
      </c>
      <c r="F60" s="189">
        <f>Tournament!G61</f>
        <v>41816.541666666664</v>
      </c>
      <c r="G60" s="190" t="str">
        <f>Tournament!H61</f>
        <v>Portugal</v>
      </c>
      <c r="H60" s="180"/>
      <c r="I60" s="9"/>
      <c r="J60" s="191" t="s">
        <v>3088</v>
      </c>
      <c r="K60" s="9"/>
      <c r="L60" s="180"/>
      <c r="M60" s="180" t="str">
        <f>Tournament!N61</f>
        <v>Ghana</v>
      </c>
      <c r="N60" s="183"/>
      <c r="P60" s="192" t="str">
        <f t="shared" si="0"/>
        <v>Portugal</v>
      </c>
      <c r="Q60" s="193"/>
      <c r="R60" s="194" t="str">
        <f>IF(Tournament!J61&lt;&gt;"",Tournament!J61,"")</f>
        <v/>
      </c>
      <c r="S60" s="194" t="s">
        <v>3088</v>
      </c>
      <c r="T60" s="194" t="str">
        <f>IF(Tournament!L61&lt;&gt;"",Tournament!L61,"")</f>
        <v/>
      </c>
      <c r="U60" s="193"/>
      <c r="V60" s="193" t="str">
        <f t="shared" si="1"/>
        <v>Ghana</v>
      </c>
      <c r="W60" s="194"/>
      <c r="X60" s="194"/>
      <c r="Y60" s="194"/>
      <c r="Z60" s="194"/>
      <c r="AA60" s="194"/>
      <c r="AB60" s="194"/>
      <c r="AC60" s="194"/>
      <c r="AD60" s="195" t="str">
        <f>IF(AND(I60&lt;&gt;"",K60&lt;&gt;"",R60&lt;&gt;"",T60&lt;&gt;""),IF(AND(I60=R60,K60=T60),Setup!$D$10,IF((I60-K60)=(R60-T60),Setup!$D$11,IF(AND((I60&gt;K60),(R60&gt;T60)),Setup!$D$12,IF(AND((K60&gt;I60),(T60&gt;R60)),Setup!$D$12,0)))),"")</f>
        <v/>
      </c>
      <c r="AE60" s="183"/>
      <c r="CN60" s="168"/>
      <c r="CO60" s="168"/>
      <c r="CP60" s="187"/>
      <c r="CQ60" s="168"/>
    </row>
    <row r="61" spans="2:97" s="166" customFormat="1" ht="15" customHeight="1">
      <c r="B61" s="182"/>
      <c r="C61" s="181">
        <f>Tournament!D62</f>
        <v>47</v>
      </c>
      <c r="D61" s="181" t="str">
        <f>Tournament!E62</f>
        <v>H</v>
      </c>
      <c r="E61" s="188">
        <f>Tournament!F62</f>
        <v>41816.708333333336</v>
      </c>
      <c r="F61" s="189">
        <f>Tournament!G62</f>
        <v>41816.708333333336</v>
      </c>
      <c r="G61" s="190" t="str">
        <f>Tournament!H62</f>
        <v>South Korea</v>
      </c>
      <c r="H61" s="180"/>
      <c r="I61" s="9"/>
      <c r="J61" s="191" t="s">
        <v>3088</v>
      </c>
      <c r="K61" s="9"/>
      <c r="L61" s="180"/>
      <c r="M61" s="180" t="str">
        <f>Tournament!N62</f>
        <v>Belgium</v>
      </c>
      <c r="N61" s="183"/>
      <c r="P61" s="192" t="str">
        <f t="shared" si="0"/>
        <v>South Korea</v>
      </c>
      <c r="Q61" s="193"/>
      <c r="R61" s="194" t="str">
        <f>IF(Tournament!J62&lt;&gt;"",Tournament!J62,"")</f>
        <v/>
      </c>
      <c r="S61" s="194" t="s">
        <v>3088</v>
      </c>
      <c r="T61" s="194" t="str">
        <f>IF(Tournament!L62&lt;&gt;"",Tournament!L62,"")</f>
        <v/>
      </c>
      <c r="U61" s="193"/>
      <c r="V61" s="193" t="str">
        <f t="shared" si="1"/>
        <v>Belgium</v>
      </c>
      <c r="W61" s="194"/>
      <c r="X61" s="194"/>
      <c r="Y61" s="194"/>
      <c r="Z61" s="194"/>
      <c r="AA61" s="194"/>
      <c r="AB61" s="194"/>
      <c r="AC61" s="194"/>
      <c r="AD61" s="195" t="str">
        <f>IF(AND(I61&lt;&gt;"",K61&lt;&gt;"",R61&lt;&gt;"",T61&lt;&gt;""),IF(AND(I61=R61,K61=T61),Setup!$D$10,IF((I61-K61)=(R61-T61),Setup!$D$11,IF(AND((I61&gt;K61),(R61&gt;T61)),Setup!$D$12,IF(AND((K61&gt;I61),(T61&gt;R61)),Setup!$D$12,0)))),"")</f>
        <v/>
      </c>
      <c r="AE61" s="183"/>
      <c r="CM61" s="168"/>
      <c r="CN61" s="168"/>
      <c r="CO61" s="187"/>
      <c r="CP61" s="168"/>
    </row>
    <row r="62" spans="2:97" s="166" customFormat="1" ht="15" customHeight="1">
      <c r="B62" s="182"/>
      <c r="C62" s="181">
        <f>Tournament!D63</f>
        <v>48</v>
      </c>
      <c r="D62" s="181" t="str">
        <f>Tournament!E63</f>
        <v>H</v>
      </c>
      <c r="E62" s="188">
        <f>Tournament!F63</f>
        <v>41816.708333333336</v>
      </c>
      <c r="F62" s="189">
        <f>Tournament!G63</f>
        <v>41816.708333333336</v>
      </c>
      <c r="G62" s="190" t="str">
        <f>Tournament!H63</f>
        <v>Algeria</v>
      </c>
      <c r="H62" s="180"/>
      <c r="I62" s="9"/>
      <c r="J62" s="191" t="s">
        <v>3088</v>
      </c>
      <c r="K62" s="9"/>
      <c r="L62" s="180"/>
      <c r="M62" s="180" t="str">
        <f>Tournament!N63</f>
        <v>Russia</v>
      </c>
      <c r="N62" s="183"/>
      <c r="P62" s="192" t="str">
        <f t="shared" si="0"/>
        <v>Algeria</v>
      </c>
      <c r="Q62" s="193"/>
      <c r="R62" s="194" t="str">
        <f>IF(Tournament!J63&lt;&gt;"",Tournament!J63,"")</f>
        <v/>
      </c>
      <c r="S62" s="194" t="s">
        <v>3088</v>
      </c>
      <c r="T62" s="194" t="str">
        <f>IF(Tournament!L63&lt;&gt;"",Tournament!L63,"")</f>
        <v/>
      </c>
      <c r="U62" s="193"/>
      <c r="V62" s="193" t="str">
        <f t="shared" si="1"/>
        <v>Russia</v>
      </c>
      <c r="AD62" s="195" t="str">
        <f>IF(AND(I62&lt;&gt;"",K62&lt;&gt;"",R62&lt;&gt;"",T62&lt;&gt;""),IF(AND(I62=R62,K62=T62),Setup!$D$10,IF((I62-K62)=(R62-T62),Setup!$D$11,IF(AND((I62&gt;K62),(R62&gt;T62)),Setup!$D$12,IF(AND((K62&gt;I62),(T62&gt;R62)),Setup!$D$12,0)))),"")</f>
        <v/>
      </c>
      <c r="AE62" s="183"/>
      <c r="CM62" s="168"/>
      <c r="CN62" s="168"/>
      <c r="CO62" s="187"/>
      <c r="CP62" s="168"/>
    </row>
    <row r="63" spans="2:97" s="166" customFormat="1" ht="15" customHeight="1">
      <c r="B63" s="182"/>
      <c r="C63" s="181"/>
      <c r="D63" s="181"/>
      <c r="E63" s="188"/>
      <c r="F63" s="189"/>
      <c r="G63" s="190"/>
      <c r="H63" s="180"/>
      <c r="I63" s="191"/>
      <c r="J63" s="191"/>
      <c r="K63" s="191"/>
      <c r="L63" s="180"/>
      <c r="M63" s="180"/>
      <c r="N63" s="183"/>
      <c r="P63" s="192"/>
      <c r="Q63" s="193"/>
      <c r="R63" s="194"/>
      <c r="S63" s="194"/>
      <c r="T63" s="194"/>
      <c r="U63" s="193"/>
      <c r="V63" s="193"/>
      <c r="AD63" s="181"/>
      <c r="AE63" s="183"/>
      <c r="CM63" s="168"/>
      <c r="CN63" s="168"/>
      <c r="CO63" s="187"/>
      <c r="CP63" s="168"/>
    </row>
    <row r="64" spans="2:97" s="166" customFormat="1" ht="15" customHeight="1">
      <c r="B64" s="300" t="s">
        <v>3544</v>
      </c>
      <c r="C64" s="301"/>
      <c r="D64" s="301"/>
      <c r="E64" s="301"/>
      <c r="F64" s="301"/>
      <c r="G64" s="301"/>
      <c r="H64" s="301"/>
      <c r="I64" s="301"/>
      <c r="J64" s="301"/>
      <c r="K64" s="301"/>
      <c r="L64" s="301"/>
      <c r="M64" s="301"/>
      <c r="N64" s="302"/>
      <c r="P64" s="303" t="str">
        <f>B64</f>
        <v>Knock Out Stages</v>
      </c>
      <c r="Q64" s="304"/>
      <c r="R64" s="304"/>
      <c r="S64" s="304"/>
      <c r="T64" s="304"/>
      <c r="U64" s="304"/>
      <c r="V64" s="304"/>
      <c r="W64" s="304"/>
      <c r="X64" s="304"/>
      <c r="Y64" s="304"/>
      <c r="Z64" s="304"/>
      <c r="AA64" s="304"/>
      <c r="AB64" s="304"/>
      <c r="AC64" s="304"/>
      <c r="AD64" s="304"/>
      <c r="AE64" s="305"/>
      <c r="CM64" s="168"/>
      <c r="CN64" s="168"/>
      <c r="CO64" s="187"/>
      <c r="CP64" s="168"/>
    </row>
    <row r="65" spans="2:94" s="166" customFormat="1" ht="15" customHeight="1">
      <c r="B65" s="182"/>
      <c r="C65" s="181"/>
      <c r="D65" s="181"/>
      <c r="E65" s="188"/>
      <c r="F65" s="189"/>
      <c r="G65" s="190"/>
      <c r="H65" s="180"/>
      <c r="I65" s="191"/>
      <c r="J65" s="191"/>
      <c r="K65" s="191"/>
      <c r="L65" s="180"/>
      <c r="M65" s="180"/>
      <c r="N65" s="183"/>
      <c r="P65" s="192"/>
      <c r="Q65" s="193"/>
      <c r="R65" s="299" t="s">
        <v>3554</v>
      </c>
      <c r="S65" s="299"/>
      <c r="T65" s="299"/>
      <c r="U65" s="193"/>
      <c r="V65" s="193"/>
      <c r="W65" s="299" t="s">
        <v>3546</v>
      </c>
      <c r="X65" s="299"/>
      <c r="Y65" s="299"/>
      <c r="Z65" s="197"/>
      <c r="AA65" s="299" t="s">
        <v>3547</v>
      </c>
      <c r="AB65" s="299"/>
      <c r="AC65" s="299"/>
      <c r="AD65" s="181"/>
      <c r="AE65" s="183"/>
      <c r="CM65" s="168"/>
      <c r="CN65" s="168"/>
      <c r="CO65" s="187"/>
      <c r="CP65" s="168"/>
    </row>
    <row r="66" spans="2:94" s="166" customFormat="1" ht="15" customHeight="1">
      <c r="B66" s="182"/>
      <c r="C66" s="181">
        <v>49</v>
      </c>
      <c r="D66" s="181" t="s">
        <v>3548</v>
      </c>
      <c r="E66" s="188">
        <f>Tournament!F69</f>
        <v>41818.541666666664</v>
      </c>
      <c r="F66" s="189">
        <f>Tournament!G69</f>
        <v>41818.541666666664</v>
      </c>
      <c r="G66" s="190" t="str">
        <f>Tournament!H69</f>
        <v>Group A Winner</v>
      </c>
      <c r="H66" s="180"/>
      <c r="I66" s="9"/>
      <c r="J66" s="191" t="s">
        <v>3088</v>
      </c>
      <c r="K66" s="9"/>
      <c r="L66" s="180"/>
      <c r="M66" s="198" t="str">
        <f>Tournament!N69</f>
        <v>Group B Runner Up</v>
      </c>
      <c r="N66" s="183"/>
      <c r="P66" s="192" t="str">
        <f t="shared" ref="P66:P81" si="2">G66</f>
        <v>Group A Winner</v>
      </c>
      <c r="Q66" s="193"/>
      <c r="R66" s="194" t="str">
        <f>IF($Z$67=0,IF($Z$66=0,IF(Tournament!J70&lt;&gt;"",Tournament!J70,""),IF(Tournament!J70&lt;&gt;"",Tournament!J70+Tournament!J71,"")),IF(Tournament!J69&lt;&gt;"",Tournament!J69,""))</f>
        <v/>
      </c>
      <c r="S66" s="194" t="s">
        <v>3088</v>
      </c>
      <c r="T66" s="194" t="str">
        <f>IF($Z$67=0,IF($Z$66=0,IF(Tournament!L70&lt;&gt;"",Tournament!L70,""),IF(Tournament!L70&lt;&gt;"",Tournament!L70+Tournament!L71,"")),IF(Tournament!L69&lt;&gt;"",Tournament!L69,""))</f>
        <v/>
      </c>
      <c r="U66" s="193"/>
      <c r="V66" s="193" t="str">
        <f t="shared" ref="V66:V81" si="3">M66</f>
        <v>Group B Runner Up</v>
      </c>
      <c r="W66" s="191" t="str">
        <f>IF(Tournament!J71&lt;&gt;"",Tournament!J71,"")</f>
        <v/>
      </c>
      <c r="X66" s="199" t="s">
        <v>3088</v>
      </c>
      <c r="Y66" s="191" t="str">
        <f>IF(Tournament!L71&lt;&gt;"",Tournament!L71,"")</f>
        <v/>
      </c>
      <c r="Z66" s="199">
        <f>Setup!E16</f>
        <v>1</v>
      </c>
      <c r="AA66" s="191" t="str">
        <f>IF(Tournament!J72&lt;&gt;"",Tournament!J72,"")</f>
        <v/>
      </c>
      <c r="AB66" s="194" t="s">
        <v>3088</v>
      </c>
      <c r="AC66" s="191" t="str">
        <f>IF(Tournament!L72&lt;&gt;"",Tournament!L72,"")</f>
        <v/>
      </c>
      <c r="AD66" s="195" t="str">
        <f>IF(AND(I66&lt;&gt;"",K66&lt;&gt;"",R66&lt;&gt;"",T66&lt;&gt;""),IF(AND(I66=R66,K66=T66),Setup!$D$20,IF((I66-K66)=(R66-T66),Setup!$D$21,IF(AND((I66&gt;K66),(R66&gt;T66)),Setup!$D$22,IF(AND((K66&gt;I66),(T66&gt;R66)),Setup!$D$22,0)))),"")</f>
        <v/>
      </c>
      <c r="AE66" s="183"/>
      <c r="CM66" s="168"/>
      <c r="CN66" s="168"/>
      <c r="CO66" s="187"/>
      <c r="CP66" s="168"/>
    </row>
    <row r="67" spans="2:94" s="166" customFormat="1" ht="15" customHeight="1">
      <c r="B67" s="182"/>
      <c r="C67" s="181">
        <v>50</v>
      </c>
      <c r="D67" s="181" t="str">
        <f>D66</f>
        <v>R16</v>
      </c>
      <c r="E67" s="188">
        <f>Tournament!F75</f>
        <v>41818.708333333336</v>
      </c>
      <c r="F67" s="189">
        <f>Tournament!G75</f>
        <v>41818.708333333336</v>
      </c>
      <c r="G67" s="190" t="str">
        <f>Tournament!H75</f>
        <v>Group C Winner</v>
      </c>
      <c r="H67" s="180"/>
      <c r="I67" s="9"/>
      <c r="J67" s="191" t="s">
        <v>3088</v>
      </c>
      <c r="K67" s="9"/>
      <c r="L67" s="180"/>
      <c r="M67" s="198" t="str">
        <f>Tournament!N75</f>
        <v>Group D Runner Up</v>
      </c>
      <c r="N67" s="183"/>
      <c r="P67" s="192" t="str">
        <f t="shared" si="2"/>
        <v>Group C Winner</v>
      </c>
      <c r="Q67" s="193"/>
      <c r="R67" s="194" t="str">
        <f>IF($Z$67=0,IF($Z$66=0,IF(Tournament!J76&lt;&gt;"",Tournament!J76,""),IF(Tournament!J76&lt;&gt;"",Tournament!J76+Tournament!J77,"")),IF(Tournament!J75&lt;&gt;"",Tournament!J75,""))</f>
        <v/>
      </c>
      <c r="S67" s="194" t="s">
        <v>3088</v>
      </c>
      <c r="T67" s="194" t="str">
        <f>IF($Z$67=0,IF($Z$66=0,IF(Tournament!L76&lt;&gt;"",Tournament!L76,""),IF(Tournament!L76&lt;&gt;"",Tournament!L76+Tournament!L77,"")),IF(Tournament!L75&lt;&gt;"",Tournament!L75,""))</f>
        <v/>
      </c>
      <c r="U67" s="193"/>
      <c r="V67" s="193" t="str">
        <f t="shared" si="3"/>
        <v>Group D Runner Up</v>
      </c>
      <c r="W67" s="191" t="str">
        <f>IF(Tournament!J77&lt;&gt;"",Tournament!J77,"")</f>
        <v/>
      </c>
      <c r="X67" s="199" t="s">
        <v>3088</v>
      </c>
      <c r="Y67" s="191" t="str">
        <f>IF(Tournament!L77&lt;&gt;"",Tournament!L77,"")</f>
        <v/>
      </c>
      <c r="Z67" s="199">
        <f>Setup!E17</f>
        <v>0</v>
      </c>
      <c r="AA67" s="191" t="str">
        <f>IF(Tournament!J78&lt;&gt;"",Tournament!J78,"")</f>
        <v/>
      </c>
      <c r="AB67" s="194" t="s">
        <v>3088</v>
      </c>
      <c r="AC67" s="191" t="str">
        <f>IF(Tournament!L78&lt;&gt;"",Tournament!L78,"")</f>
        <v/>
      </c>
      <c r="AD67" s="195" t="str">
        <f>IF(AND(I67&lt;&gt;"",K67&lt;&gt;"",R67&lt;&gt;"",T67&lt;&gt;""),IF(AND(I67=R67,K67=T67),Setup!$D$20,IF((I67-K67)=(R67-T67),Setup!$D$21,IF(AND((I67&gt;K67),(R67&gt;T67)),Setup!$D$22,IF(AND((K67&gt;I67),(T67&gt;R67)),Setup!$D$22,0)))),"")</f>
        <v/>
      </c>
      <c r="AE67" s="183"/>
      <c r="CM67" s="168"/>
      <c r="CN67" s="168"/>
      <c r="CO67" s="187"/>
      <c r="CP67" s="168"/>
    </row>
    <row r="68" spans="2:94" s="166" customFormat="1" ht="15" customHeight="1">
      <c r="B68" s="182"/>
      <c r="C68" s="181">
        <v>52</v>
      </c>
      <c r="D68" s="181" t="str">
        <f t="shared" ref="D68:D73" si="4">D67</f>
        <v>R16</v>
      </c>
      <c r="E68" s="188">
        <f>Tournament!F81</f>
        <v>41819.708333333336</v>
      </c>
      <c r="F68" s="189">
        <f>Tournament!G81</f>
        <v>41819.708333333336</v>
      </c>
      <c r="G68" s="190" t="str">
        <f>Tournament!H81</f>
        <v>Group D Winner</v>
      </c>
      <c r="H68" s="180"/>
      <c r="I68" s="9"/>
      <c r="J68" s="191" t="s">
        <v>3088</v>
      </c>
      <c r="K68" s="9"/>
      <c r="L68" s="180"/>
      <c r="M68" s="198" t="str">
        <f>Tournament!N81</f>
        <v>Group C Runner Up</v>
      </c>
      <c r="N68" s="183"/>
      <c r="P68" s="192" t="str">
        <f t="shared" si="2"/>
        <v>Group D Winner</v>
      </c>
      <c r="Q68" s="193"/>
      <c r="R68" s="194" t="str">
        <f>IF($Z$67=0,IF($Z$66=0,IF(Tournament!J82&lt;&gt;"",Tournament!J82,""),IF(Tournament!J82&lt;&gt;"",Tournament!J82+Tournament!J83,"")),IF(Tournament!J81&lt;&gt;"",Tournament!J81,""))</f>
        <v/>
      </c>
      <c r="S68" s="194" t="s">
        <v>3088</v>
      </c>
      <c r="T68" s="194" t="str">
        <f>IF($Z$67=0,IF($Z$66=0,IF(Tournament!L82&lt;&gt;"",Tournament!L82,""),IF(Tournament!L82&lt;&gt;"",Tournament!L82+Tournament!L83,"")),IF(Tournament!L81&lt;&gt;"",Tournament!L81,""))</f>
        <v/>
      </c>
      <c r="U68" s="193"/>
      <c r="V68" s="193" t="str">
        <f t="shared" si="3"/>
        <v>Group C Runner Up</v>
      </c>
      <c r="W68" s="191" t="str">
        <f>IF(Tournament!J83&lt;&gt;"",Tournament!J83,"")</f>
        <v/>
      </c>
      <c r="X68" s="199" t="s">
        <v>3088</v>
      </c>
      <c r="Y68" s="191" t="str">
        <f>IF(Tournament!L83&lt;&gt;"",Tournament!L83,"")</f>
        <v/>
      </c>
      <c r="Z68" s="191"/>
      <c r="AA68" s="191" t="str">
        <f>IF(Tournament!J84&lt;&gt;"",Tournament!J84,"")</f>
        <v/>
      </c>
      <c r="AB68" s="194" t="s">
        <v>3088</v>
      </c>
      <c r="AC68" s="191" t="str">
        <f>IF(Tournament!L84&lt;&gt;"",Tournament!L84,"")</f>
        <v/>
      </c>
      <c r="AD68" s="195" t="str">
        <f>IF(AND(I68&lt;&gt;"",K68&lt;&gt;"",R68&lt;&gt;"",T68&lt;&gt;""),IF(AND(I68=R68,K68=T68),Setup!$D$20,IF((I68-K68)=(R68-T68),Setup!$D$21,IF(AND((I68&gt;K68),(R68&gt;T68)),Setup!$D$22,IF(AND((K68&gt;I68),(T68&gt;R68)),Setup!$D$22,0)))),"")</f>
        <v/>
      </c>
      <c r="AE68" s="183"/>
      <c r="CM68" s="168"/>
      <c r="CN68" s="168"/>
      <c r="CO68" s="187"/>
      <c r="CP68" s="168"/>
    </row>
    <row r="69" spans="2:94" s="166" customFormat="1" ht="15" customHeight="1">
      <c r="B69" s="182"/>
      <c r="C69" s="181">
        <v>51</v>
      </c>
      <c r="D69" s="181" t="str">
        <f t="shared" si="4"/>
        <v>R16</v>
      </c>
      <c r="E69" s="188">
        <f>Tournament!F87</f>
        <v>41819.541666666664</v>
      </c>
      <c r="F69" s="189">
        <f>Tournament!G93</f>
        <v>41820.541666666664</v>
      </c>
      <c r="G69" s="190" t="str">
        <f>Tournament!H87</f>
        <v>Group B Winner</v>
      </c>
      <c r="H69" s="180"/>
      <c r="I69" s="9"/>
      <c r="J69" s="191" t="s">
        <v>3088</v>
      </c>
      <c r="K69" s="9"/>
      <c r="L69" s="180"/>
      <c r="M69" s="198" t="str">
        <f>Tournament!N87</f>
        <v>Group A Runner Up</v>
      </c>
      <c r="N69" s="183"/>
      <c r="P69" s="192" t="str">
        <f t="shared" si="2"/>
        <v>Group B Winner</v>
      </c>
      <c r="Q69" s="193"/>
      <c r="R69" s="194" t="str">
        <f>IF($Z$67=0,IF($Z$66=0,IF(Tournament!J88&lt;&gt;"",Tournament!J88,""),IF(Tournament!J88&lt;&gt;"",Tournament!J88+Tournament!J89,"")),IF(Tournament!J87&lt;&gt;"",Tournament!J87,""))</f>
        <v/>
      </c>
      <c r="S69" s="194" t="s">
        <v>3088</v>
      </c>
      <c r="T69" s="194" t="str">
        <f>IF($Z$67=0,IF($Z$66=0,IF(Tournament!L88&lt;&gt;"",Tournament!L88,""),IF(Tournament!L88&lt;&gt;"",Tournament!L88+Tournament!L89,"")),IF(Tournament!L87&lt;&gt;"",Tournament!L87,""))</f>
        <v/>
      </c>
      <c r="U69" s="193"/>
      <c r="V69" s="193" t="str">
        <f t="shared" si="3"/>
        <v>Group A Runner Up</v>
      </c>
      <c r="W69" s="191" t="str">
        <f>IF(Tournament!J89&lt;&gt;"",Tournament!J89,"")</f>
        <v/>
      </c>
      <c r="X69" s="199" t="s">
        <v>3088</v>
      </c>
      <c r="Y69" s="191" t="str">
        <f>IF(Tournament!L89&lt;&gt;"",Tournament!L89,"")</f>
        <v/>
      </c>
      <c r="Z69" s="191"/>
      <c r="AA69" s="191" t="str">
        <f>IF(Tournament!J90&lt;&gt;"",Tournament!J90,"")</f>
        <v/>
      </c>
      <c r="AB69" s="194" t="s">
        <v>3088</v>
      </c>
      <c r="AC69" s="191" t="str">
        <f>IF(Tournament!L90&lt;&gt;"",Tournament!L90,"")</f>
        <v/>
      </c>
      <c r="AD69" s="195" t="str">
        <f>IF(AND(I69&lt;&gt;"",K69&lt;&gt;"",R69&lt;&gt;"",T69&lt;&gt;""),IF(AND(I69=R69,K69=T69),Setup!$D$20,IF((I69-K69)=(R69-T69),Setup!$D$21,IF(AND((I69&gt;K69),(R69&gt;T69)),Setup!$D$22,IF(AND((K69&gt;I69),(T69&gt;R69)),Setup!$D$22,0)))),"")</f>
        <v/>
      </c>
      <c r="AE69" s="183"/>
      <c r="CM69" s="168"/>
      <c r="CN69" s="168"/>
      <c r="CO69" s="187"/>
      <c r="CP69" s="168"/>
    </row>
    <row r="70" spans="2:94" s="166" customFormat="1" ht="15" customHeight="1">
      <c r="B70" s="182"/>
      <c r="C70" s="181">
        <v>53</v>
      </c>
      <c r="D70" s="181" t="str">
        <f t="shared" si="4"/>
        <v>R16</v>
      </c>
      <c r="E70" s="188">
        <f>Tournament!F93</f>
        <v>41820.541666666664</v>
      </c>
      <c r="F70" s="189">
        <f>Tournament!G93</f>
        <v>41820.541666666664</v>
      </c>
      <c r="G70" s="190" t="str">
        <f>Tournament!H93</f>
        <v>Group E Winner</v>
      </c>
      <c r="H70" s="180"/>
      <c r="I70" s="9"/>
      <c r="J70" s="191" t="s">
        <v>3088</v>
      </c>
      <c r="K70" s="9"/>
      <c r="L70" s="180"/>
      <c r="M70" s="198" t="str">
        <f>Tournament!N93</f>
        <v>Group F Runner Up</v>
      </c>
      <c r="N70" s="183"/>
      <c r="P70" s="192" t="str">
        <f t="shared" si="2"/>
        <v>Group E Winner</v>
      </c>
      <c r="Q70" s="193"/>
      <c r="R70" s="194" t="str">
        <f>IF($Z$67=0,IF($Z$66=0,IF(Tournament!J94&lt;&gt;"",Tournament!J94,""),IF(Tournament!J94&lt;&gt;"",Tournament!J94+Tournament!J95,"")),IF(Tournament!J93&lt;&gt;"",Tournament!J93,""))</f>
        <v/>
      </c>
      <c r="S70" s="194" t="s">
        <v>3088</v>
      </c>
      <c r="T70" s="194" t="str">
        <f>IF($Z$67=0,IF($Z$66=0,IF(Tournament!L94&lt;&gt;"",Tournament!L94,""),IF(Tournament!L94&lt;&gt;"",Tournament!L94+Tournament!L95,"")),IF(Tournament!L93&lt;&gt;"",Tournament!L93,""))</f>
        <v/>
      </c>
      <c r="U70" s="193"/>
      <c r="V70" s="193" t="str">
        <f t="shared" si="3"/>
        <v>Group F Runner Up</v>
      </c>
      <c r="W70" s="191" t="str">
        <f>IF(Tournament!J95&lt;&gt;"",Tournament!J95,"")</f>
        <v/>
      </c>
      <c r="X70" s="199" t="s">
        <v>3088</v>
      </c>
      <c r="Y70" s="191" t="str">
        <f>IF(Tournament!L95&lt;&gt;"",Tournament!L95,"")</f>
        <v/>
      </c>
      <c r="Z70" s="191"/>
      <c r="AA70" s="191" t="str">
        <f>IF(Tournament!J96&lt;&gt;"",Tournament!J96,"")</f>
        <v/>
      </c>
      <c r="AB70" s="194" t="s">
        <v>3088</v>
      </c>
      <c r="AC70" s="191" t="str">
        <f>IF(Tournament!L96&lt;&gt;"",Tournament!L96,"")</f>
        <v/>
      </c>
      <c r="AD70" s="195" t="str">
        <f>IF(AND(I70&lt;&gt;"",K70&lt;&gt;"",R70&lt;&gt;"",T70&lt;&gt;""),IF(AND(I70=R70,K70=T70),Setup!$D$20,IF((I70-K70)=(R70-T70),Setup!$D$21,IF(AND((I70&gt;K70),(R70&gt;T70)),Setup!$D$22,IF(AND((K70&gt;I70),(T70&gt;R70)),Setup!$D$22,0)))),"")</f>
        <v/>
      </c>
      <c r="AE70" s="183"/>
      <c r="CM70" s="168"/>
      <c r="CN70" s="168"/>
      <c r="CO70" s="187"/>
      <c r="CP70" s="168"/>
    </row>
    <row r="71" spans="2:94" s="166" customFormat="1" ht="15" customHeight="1">
      <c r="B71" s="182"/>
      <c r="C71" s="181">
        <v>54</v>
      </c>
      <c r="D71" s="181" t="str">
        <f t="shared" si="4"/>
        <v>R16</v>
      </c>
      <c r="E71" s="188">
        <f>Tournament!F99</f>
        <v>41820.708333333336</v>
      </c>
      <c r="F71" s="189">
        <f>Tournament!G99</f>
        <v>41820.708333333336</v>
      </c>
      <c r="G71" s="190" t="str">
        <f>Tournament!H99</f>
        <v>Group G Winner</v>
      </c>
      <c r="H71" s="180"/>
      <c r="I71" s="9"/>
      <c r="J71" s="191" t="s">
        <v>3088</v>
      </c>
      <c r="K71" s="9"/>
      <c r="L71" s="180"/>
      <c r="M71" s="198" t="str">
        <f>Tournament!N99</f>
        <v>Group H Runner Up</v>
      </c>
      <c r="N71" s="183"/>
      <c r="P71" s="192" t="str">
        <f t="shared" si="2"/>
        <v>Group G Winner</v>
      </c>
      <c r="Q71" s="193"/>
      <c r="R71" s="194" t="str">
        <f>IF($Z$67=0,IF($Z$66=0,IF(Tournament!J100&lt;&gt;"",Tournament!J100,""),IF(Tournament!J100&lt;&gt;"",Tournament!J100+Tournament!J101,"")),IF(Tournament!J99&lt;&gt;"",Tournament!J99,""))</f>
        <v/>
      </c>
      <c r="S71" s="194" t="s">
        <v>3088</v>
      </c>
      <c r="T71" s="194" t="str">
        <f>IF($Z$67=0,IF($Z$66=0,IF(Tournament!L100&lt;&gt;"",Tournament!L100,""),IF(Tournament!L100&lt;&gt;"",Tournament!L100+Tournament!L101,"")),IF(Tournament!L99&lt;&gt;"",Tournament!L99,""))</f>
        <v/>
      </c>
      <c r="U71" s="193"/>
      <c r="V71" s="193" t="str">
        <f t="shared" si="3"/>
        <v>Group H Runner Up</v>
      </c>
      <c r="W71" s="191" t="str">
        <f>IF(Tournament!J101&lt;&gt;"",Tournament!J101,"")</f>
        <v/>
      </c>
      <c r="X71" s="199" t="s">
        <v>3088</v>
      </c>
      <c r="Y71" s="191" t="str">
        <f>IF(Tournament!L101&lt;&gt;"",Tournament!L101,"")</f>
        <v/>
      </c>
      <c r="Z71" s="191"/>
      <c r="AA71" s="191" t="str">
        <f>IF(Tournament!J102&lt;&gt;"",Tournament!J102,"")</f>
        <v/>
      </c>
      <c r="AB71" s="194" t="s">
        <v>3088</v>
      </c>
      <c r="AC71" s="191" t="str">
        <f>IF(Tournament!L102&lt;&gt;"",Tournament!L102,"")</f>
        <v/>
      </c>
      <c r="AD71" s="195" t="str">
        <f>IF(AND(I71&lt;&gt;"",K71&lt;&gt;"",R71&lt;&gt;"",T71&lt;&gt;""),IF(AND(I71=R71,K71=T71),Setup!$D$20,IF((I71-K71)=(R71-T71),Setup!$D$21,IF(AND((I71&gt;K71),(R71&gt;T71)),Setup!$D$22,IF(AND((K71&gt;I71),(T71&gt;R71)),Setup!$D$22,0)))),"")</f>
        <v/>
      </c>
      <c r="AE71" s="183"/>
      <c r="CM71" s="168"/>
      <c r="CN71" s="168"/>
      <c r="CO71" s="187"/>
      <c r="CP71" s="168"/>
    </row>
    <row r="72" spans="2:94" s="166" customFormat="1" ht="15" customHeight="1">
      <c r="B72" s="182"/>
      <c r="C72" s="181">
        <v>55</v>
      </c>
      <c r="D72" s="181" t="str">
        <f t="shared" si="4"/>
        <v>R16</v>
      </c>
      <c r="E72" s="188">
        <f>Tournament!F105</f>
        <v>41821.541666666664</v>
      </c>
      <c r="F72" s="189">
        <f>Tournament!G105</f>
        <v>41821.541666666664</v>
      </c>
      <c r="G72" s="190" t="str">
        <f>Tournament!H105</f>
        <v>Group F Winner</v>
      </c>
      <c r="H72" s="180"/>
      <c r="I72" s="9"/>
      <c r="J72" s="191" t="s">
        <v>3088</v>
      </c>
      <c r="K72" s="9"/>
      <c r="L72" s="180"/>
      <c r="M72" s="198" t="str">
        <f>Tournament!N105</f>
        <v>Group E Runner Up</v>
      </c>
      <c r="N72" s="183"/>
      <c r="P72" s="192" t="str">
        <f t="shared" si="2"/>
        <v>Group F Winner</v>
      </c>
      <c r="Q72" s="193"/>
      <c r="R72" s="194" t="str">
        <f>IF($Z$67=0,IF($Z$66=0,IF(Tournament!J106&lt;&gt;"",Tournament!J106,""),IF(Tournament!J106&lt;&gt;"",Tournament!J106+Tournament!J107,"")),IF(Tournament!J105&lt;&gt;"",Tournament!J105,""))</f>
        <v/>
      </c>
      <c r="S72" s="194" t="s">
        <v>3088</v>
      </c>
      <c r="T72" s="194" t="str">
        <f>IF($Z$67=0,IF($Z$66=0,IF(Tournament!L106&lt;&gt;"",Tournament!L106,""),IF(Tournament!L106&lt;&gt;"",Tournament!L106+Tournament!L107,"")),IF(Tournament!L105&lt;&gt;"",Tournament!L105,""))</f>
        <v/>
      </c>
      <c r="U72" s="193"/>
      <c r="V72" s="193" t="str">
        <f t="shared" si="3"/>
        <v>Group E Runner Up</v>
      </c>
      <c r="W72" s="191" t="str">
        <f>IF(Tournament!J107&lt;&gt;"",Tournament!J107,"")</f>
        <v/>
      </c>
      <c r="X72" s="199" t="s">
        <v>3088</v>
      </c>
      <c r="Y72" s="191" t="str">
        <f>IF(Tournament!L107&lt;&gt;"",Tournament!L107,"")</f>
        <v/>
      </c>
      <c r="Z72" s="191"/>
      <c r="AA72" s="191" t="str">
        <f>IF(Tournament!J108&lt;&gt;"",Tournament!J108,"")</f>
        <v/>
      </c>
      <c r="AB72" s="194" t="s">
        <v>3088</v>
      </c>
      <c r="AC72" s="191" t="str">
        <f>IF(Tournament!L108&lt;&gt;"",Tournament!L108,"")</f>
        <v/>
      </c>
      <c r="AD72" s="195" t="str">
        <f>IF(AND(I72&lt;&gt;"",K72&lt;&gt;"",R72&lt;&gt;"",T72&lt;&gt;""),IF(AND(I72=R72,K72=T72),Setup!$D$20,IF((I72-K72)=(R72-T72),Setup!$D$21,IF(AND((I72&gt;K72),(R72&gt;T72)),Setup!$D$22,IF(AND((K72&gt;I72),(T72&gt;R72)),Setup!$D$22,0)))),"")</f>
        <v/>
      </c>
      <c r="AE72" s="183"/>
      <c r="CM72" s="168"/>
      <c r="CN72" s="168"/>
      <c r="CO72" s="187"/>
      <c r="CP72" s="168"/>
    </row>
    <row r="73" spans="2:94" s="166" customFormat="1" ht="15" customHeight="1">
      <c r="B73" s="182"/>
      <c r="C73" s="181">
        <v>56</v>
      </c>
      <c r="D73" s="181" t="str">
        <f t="shared" si="4"/>
        <v>R16</v>
      </c>
      <c r="E73" s="188">
        <f>Tournament!F111</f>
        <v>41821.708333333336</v>
      </c>
      <c r="F73" s="189">
        <f>Tournament!G111</f>
        <v>41821.708333333336</v>
      </c>
      <c r="G73" s="190" t="str">
        <f>Tournament!H111</f>
        <v>Group H Winner</v>
      </c>
      <c r="H73" s="180"/>
      <c r="I73" s="9"/>
      <c r="J73" s="191" t="s">
        <v>3088</v>
      </c>
      <c r="K73" s="9"/>
      <c r="L73" s="180"/>
      <c r="M73" s="198" t="str">
        <f>Tournament!N111</f>
        <v>Group G Runner Up</v>
      </c>
      <c r="N73" s="183"/>
      <c r="P73" s="192" t="str">
        <f t="shared" si="2"/>
        <v>Group H Winner</v>
      </c>
      <c r="Q73" s="193"/>
      <c r="R73" s="194" t="str">
        <f>IF($Z$67=0,IF($Z$66=0,IF(Tournament!J112&lt;&gt;"",Tournament!J112,""),IF(Tournament!J112&lt;&gt;"",Tournament!J112+Tournament!J113,"")),IF(Tournament!J111&lt;&gt;"",Tournament!J111,""))</f>
        <v/>
      </c>
      <c r="S73" s="194" t="s">
        <v>3088</v>
      </c>
      <c r="T73" s="194" t="str">
        <f>IF($Z$67=0,IF($Z$66=0,IF(Tournament!L112&lt;&gt;"",Tournament!L112,""),IF(Tournament!L112&lt;&gt;"",Tournament!L112+Tournament!L113,"")),IF(Tournament!L111&lt;&gt;"",Tournament!L111,""))</f>
        <v/>
      </c>
      <c r="U73" s="193"/>
      <c r="V73" s="193" t="str">
        <f t="shared" si="3"/>
        <v>Group G Runner Up</v>
      </c>
      <c r="W73" s="191" t="str">
        <f>IF(Tournament!J113&lt;&gt;"",Tournament!J113,"")</f>
        <v/>
      </c>
      <c r="X73" s="199" t="s">
        <v>3088</v>
      </c>
      <c r="Y73" s="191" t="str">
        <f>IF(Tournament!L113&lt;&gt;"",Tournament!L113,"")</f>
        <v/>
      </c>
      <c r="Z73" s="191"/>
      <c r="AA73" s="191" t="str">
        <f>IF(Tournament!J114&lt;&gt;"",Tournament!J114,"")</f>
        <v/>
      </c>
      <c r="AB73" s="194" t="s">
        <v>3088</v>
      </c>
      <c r="AC73" s="191" t="str">
        <f>IF(Tournament!L114&lt;&gt;"",Tournament!L114,"")</f>
        <v/>
      </c>
      <c r="AD73" s="195" t="str">
        <f>IF(AND(I73&lt;&gt;"",K73&lt;&gt;"",R73&lt;&gt;"",T73&lt;&gt;""),IF(AND(I73=R73,K73=T73),Setup!$D$20,IF((I73-K73)=(R73-T73),Setup!$D$21,IF(AND((I73&gt;K73),(R73&gt;T73)),Setup!$D$22,IF(AND((K73&gt;I73),(T73&gt;R73)),Setup!$D$22,0)))),"")</f>
        <v/>
      </c>
      <c r="AE73" s="183"/>
      <c r="CM73" s="168"/>
      <c r="CN73" s="168"/>
      <c r="CO73" s="187"/>
      <c r="CP73" s="168"/>
    </row>
    <row r="74" spans="2:94" s="166" customFormat="1" ht="15" customHeight="1">
      <c r="B74" s="182"/>
      <c r="C74" s="181">
        <v>58</v>
      </c>
      <c r="D74" s="181" t="s">
        <v>3549</v>
      </c>
      <c r="E74" s="188">
        <f>Tournament!T69</f>
        <v>41824.541666666664</v>
      </c>
      <c r="F74" s="189">
        <f>Tournament!U69</f>
        <v>41824.541666666664</v>
      </c>
      <c r="G74" s="190" t="str">
        <f>Tournament!Y69</f>
        <v>Match 53 Winner</v>
      </c>
      <c r="H74" s="180"/>
      <c r="I74" s="9"/>
      <c r="J74" s="191" t="s">
        <v>3088</v>
      </c>
      <c r="K74" s="9"/>
      <c r="L74" s="180"/>
      <c r="M74" s="198" t="str">
        <f>Tournament!AE69</f>
        <v>Match 54 Winner</v>
      </c>
      <c r="N74" s="183"/>
      <c r="P74" s="192" t="str">
        <f t="shared" si="2"/>
        <v>Match 53 Winner</v>
      </c>
      <c r="Q74" s="193"/>
      <c r="R74" s="194" t="str">
        <f>IF($Z$67=0,IF($Z$66=0,IF(Tournament!AA70&lt;&gt;"",Tournament!AA70,""),IF(Tournament!AA70&lt;&gt;"",Tournament!AA70+Tournament!AA71,"")),IF(Tournament!AA69&lt;&gt;"",Tournament!AA69,""))</f>
        <v/>
      </c>
      <c r="S74" s="194" t="s">
        <v>3088</v>
      </c>
      <c r="T74" s="194" t="str">
        <f>IF($Z$67=0,IF($Z$66=0,IF(Tournament!AC70&lt;&gt;"",Tournament!AC70,""),IF(Tournament!AC70&lt;&gt;"",Tournament!AC70+Tournament!AC71,"")),IF(Tournament!AC69&lt;&gt;"",Tournament!AC69,""))</f>
        <v/>
      </c>
      <c r="U74" s="193"/>
      <c r="V74" s="193" t="str">
        <f t="shared" si="3"/>
        <v>Match 54 Winner</v>
      </c>
      <c r="W74" s="191" t="str">
        <f>IF(Tournament!AA71&lt;&gt;"",Tournament!AA71,"")</f>
        <v/>
      </c>
      <c r="X74" s="199" t="s">
        <v>3088</v>
      </c>
      <c r="Y74" s="191" t="str">
        <f>IF(Tournament!AC71&lt;&gt;"",Tournament!AC71,"")</f>
        <v/>
      </c>
      <c r="Z74" s="191"/>
      <c r="AA74" s="191" t="str">
        <f>IF(Tournament!AA72&lt;&gt;"",Tournament!AA72,"")</f>
        <v/>
      </c>
      <c r="AB74" s="194" t="s">
        <v>3088</v>
      </c>
      <c r="AC74" s="191" t="str">
        <f>IF(Tournament!AC72&lt;&gt;"",Tournament!AC72,"")</f>
        <v/>
      </c>
      <c r="AD74" s="195" t="str">
        <f>IF(AND(I74&lt;&gt;"",K74&lt;&gt;"",R74&lt;&gt;"",T74&lt;&gt;""),IF(AND(I74=R74,K74=T74),Setup!$E$20,IF((I74-K74)=(R74-T74),Setup!$E$21,IF(AND((I74&gt;K74),(R74&gt;T74)),Setup!$E$22,IF(AND((K74&gt;I74),(T74&gt;R74)),Setup!$E$22,0)))),"")</f>
        <v/>
      </c>
      <c r="AE74" s="183"/>
      <c r="CM74" s="168"/>
      <c r="CN74" s="168"/>
      <c r="CO74" s="187"/>
      <c r="CP74" s="168"/>
    </row>
    <row r="75" spans="2:94" s="166" customFormat="1" ht="15" customHeight="1">
      <c r="B75" s="182"/>
      <c r="C75" s="181">
        <v>57</v>
      </c>
      <c r="D75" s="181" t="str">
        <f>D74</f>
        <v>QF</v>
      </c>
      <c r="E75" s="188">
        <f>Tournament!T74</f>
        <v>41824.708333333336</v>
      </c>
      <c r="F75" s="189">
        <f>Tournament!U74</f>
        <v>41824.708333333336</v>
      </c>
      <c r="G75" s="190" t="str">
        <f>Tournament!Y74</f>
        <v>Match 49 Winner</v>
      </c>
      <c r="H75" s="180"/>
      <c r="I75" s="9"/>
      <c r="J75" s="191" t="s">
        <v>3088</v>
      </c>
      <c r="K75" s="9"/>
      <c r="L75" s="180"/>
      <c r="M75" s="198" t="str">
        <f>Tournament!AE74</f>
        <v>Match 50 Winner</v>
      </c>
      <c r="N75" s="183"/>
      <c r="P75" s="192" t="str">
        <f t="shared" si="2"/>
        <v>Match 49 Winner</v>
      </c>
      <c r="Q75" s="193"/>
      <c r="R75" s="194" t="str">
        <f>IF($Z$67=0,IF($Z$66=0,IF(Tournament!AA75&lt;&gt;"",Tournament!AA75,""),IF(Tournament!AA75&lt;&gt;"",Tournament!AA75+Tournament!AA76,"")),IF(Tournament!AA74&lt;&gt;"",Tournament!AA74,""))</f>
        <v/>
      </c>
      <c r="S75" s="194" t="s">
        <v>3088</v>
      </c>
      <c r="T75" s="194" t="str">
        <f>IF($Z$67=0,IF($Z$66=0,IF(Tournament!AC75&lt;&gt;"",Tournament!AC75,""),IF(Tournament!AC75&lt;&gt;"",Tournament!AC75+Tournament!AC76,"")),IF(Tournament!AC74&lt;&gt;"",Tournament!AC74,""))</f>
        <v/>
      </c>
      <c r="U75" s="193"/>
      <c r="V75" s="193" t="str">
        <f t="shared" si="3"/>
        <v>Match 50 Winner</v>
      </c>
      <c r="W75" s="191" t="str">
        <f>IF(Tournament!AA76&lt;&gt;"",Tournament!AA76,"")</f>
        <v/>
      </c>
      <c r="X75" s="199" t="s">
        <v>3088</v>
      </c>
      <c r="Y75" s="191" t="str">
        <f>IF(Tournament!AC76&lt;&gt;"",Tournament!AC76,"")</f>
        <v/>
      </c>
      <c r="Z75" s="191"/>
      <c r="AA75" s="191" t="str">
        <f>IF(Tournament!AA77&lt;&gt;"",Tournament!AA77,"")</f>
        <v/>
      </c>
      <c r="AB75" s="194" t="s">
        <v>3088</v>
      </c>
      <c r="AC75" s="191" t="str">
        <f>IF(Tournament!AC77&lt;&gt;"",Tournament!AC77,"")</f>
        <v/>
      </c>
      <c r="AD75" s="195" t="str">
        <f>IF(AND(I75&lt;&gt;"",K75&lt;&gt;"",R75&lt;&gt;"",T75&lt;&gt;""),IF(AND(I75=R75,K75=T75),Setup!$E$20,IF((I75-K75)=(R75-T75),Setup!$E$21,IF(AND((I75&gt;K75),(R75&gt;T75)),Setup!$E$22,IF(AND((K75&gt;I75),(T75&gt;R75)),Setup!$E$22,0)))),"")</f>
        <v/>
      </c>
      <c r="AE75" s="183"/>
      <c r="CM75" s="168"/>
      <c r="CN75" s="168"/>
      <c r="CO75" s="187"/>
      <c r="CP75" s="168"/>
    </row>
    <row r="76" spans="2:94" s="166" customFormat="1" ht="15" customHeight="1">
      <c r="B76" s="182"/>
      <c r="C76" s="181">
        <v>59</v>
      </c>
      <c r="D76" s="181" t="str">
        <f>D75</f>
        <v>QF</v>
      </c>
      <c r="E76" s="188">
        <f>Tournament!T79</f>
        <v>41825.708333333336</v>
      </c>
      <c r="F76" s="189">
        <f>Tournament!U79</f>
        <v>41825.708333333336</v>
      </c>
      <c r="G76" s="190" t="str">
        <f>Tournament!Y79</f>
        <v>Match 51 Winner</v>
      </c>
      <c r="H76" s="180"/>
      <c r="I76" s="9"/>
      <c r="J76" s="191" t="s">
        <v>3088</v>
      </c>
      <c r="K76" s="9"/>
      <c r="L76" s="180"/>
      <c r="M76" s="198" t="str">
        <f>Tournament!AE79</f>
        <v>Match 52 Winner</v>
      </c>
      <c r="N76" s="183"/>
      <c r="P76" s="192" t="str">
        <f t="shared" si="2"/>
        <v>Match 51 Winner</v>
      </c>
      <c r="Q76" s="193"/>
      <c r="R76" s="194" t="str">
        <f>IF($Z$67=0,IF($Z$66=0,IF(Tournament!AA80&lt;&gt;"",Tournament!AA80,""),IF(Tournament!AA80&lt;&gt;"",Tournament!AA80+Tournament!AA81,"")),IF(Tournament!AA79&lt;&gt;"",Tournament!AA79,""))</f>
        <v/>
      </c>
      <c r="S76" s="194" t="s">
        <v>3088</v>
      </c>
      <c r="T76" s="194" t="str">
        <f>IF($Z$67=0,IF($Z$66=0,IF(Tournament!AC80&lt;&gt;"",Tournament!AC80,""),IF(Tournament!AC80&lt;&gt;"",Tournament!AC80+Tournament!AC81,"")),IF(Tournament!AC79&lt;&gt;"",Tournament!AC79,""))</f>
        <v/>
      </c>
      <c r="U76" s="193"/>
      <c r="V76" s="193" t="str">
        <f t="shared" si="3"/>
        <v>Match 52 Winner</v>
      </c>
      <c r="W76" s="191" t="str">
        <f>IF(Tournament!AA81&lt;&gt;"",Tournament!AA81,"")</f>
        <v/>
      </c>
      <c r="X76" s="199" t="s">
        <v>3088</v>
      </c>
      <c r="Y76" s="191" t="str">
        <f>IF(Tournament!AC81&lt;&gt;"",Tournament!AC81,"")</f>
        <v/>
      </c>
      <c r="Z76" s="191"/>
      <c r="AA76" s="191" t="str">
        <f>IF(Tournament!AA82&lt;&gt;"",Tournament!AA82,"")</f>
        <v/>
      </c>
      <c r="AB76" s="194" t="s">
        <v>3088</v>
      </c>
      <c r="AC76" s="191" t="str">
        <f>IF(Tournament!AC82&lt;&gt;"",Tournament!AC82,"")</f>
        <v/>
      </c>
      <c r="AD76" s="195" t="str">
        <f>IF(AND(I76&lt;&gt;"",K76&lt;&gt;"",R76&lt;&gt;"",T76&lt;&gt;""),IF(AND(I76=R76,K76=T76),Setup!$E$20,IF((I76-K76)=(R76-T76),Setup!$E$21,IF(AND((I76&gt;K76),(R76&gt;T76)),Setup!$E$22,IF(AND((K76&gt;I76),(T76&gt;R76)),Setup!$E$22,0)))),"")</f>
        <v/>
      </c>
      <c r="AE76" s="183"/>
      <c r="CM76" s="168"/>
      <c r="CN76" s="168"/>
      <c r="CO76" s="187"/>
      <c r="CP76" s="168"/>
    </row>
    <row r="77" spans="2:94" s="166" customFormat="1" ht="15" customHeight="1">
      <c r="B77" s="182"/>
      <c r="C77" s="181">
        <v>60</v>
      </c>
      <c r="D77" s="181" t="str">
        <f>D76</f>
        <v>QF</v>
      </c>
      <c r="E77" s="188">
        <f>Tournament!T84</f>
        <v>41825.541666666664</v>
      </c>
      <c r="F77" s="189">
        <f>Tournament!U84</f>
        <v>41825.541666666664</v>
      </c>
      <c r="G77" s="190" t="str">
        <f>Tournament!Y84</f>
        <v>Match 55 Winner</v>
      </c>
      <c r="H77" s="180"/>
      <c r="I77" s="9"/>
      <c r="J77" s="191" t="s">
        <v>3088</v>
      </c>
      <c r="K77" s="9"/>
      <c r="L77" s="180"/>
      <c r="M77" s="198" t="str">
        <f>Tournament!AE84</f>
        <v>Match 56 Winner</v>
      </c>
      <c r="N77" s="183"/>
      <c r="P77" s="192" t="str">
        <f t="shared" si="2"/>
        <v>Match 55 Winner</v>
      </c>
      <c r="Q77" s="193"/>
      <c r="R77" s="194" t="str">
        <f>IF($Z$67=0,IF($Z$66=0,IF(Tournament!AA85&lt;&gt;"",Tournament!AA85,""),IF(Tournament!AA85&lt;&gt;"",Tournament!AA85+Tournament!AA86,"")),IF(Tournament!AA84&lt;&gt;"",Tournament!AA84,""))</f>
        <v/>
      </c>
      <c r="S77" s="194" t="s">
        <v>3088</v>
      </c>
      <c r="T77" s="194" t="str">
        <f>IF($Z$67=0,IF($Z$66=0,IF(Tournament!AC85&lt;&gt;"",Tournament!AC85,""),IF(Tournament!AC85&lt;&gt;"",Tournament!AC85+Tournament!AC86,"")),IF(Tournament!AC84&lt;&gt;"",Tournament!AC84,""))</f>
        <v/>
      </c>
      <c r="U77" s="193"/>
      <c r="V77" s="193" t="str">
        <f t="shared" si="3"/>
        <v>Match 56 Winner</v>
      </c>
      <c r="W77" s="191" t="str">
        <f>IF(Tournament!AA86&lt;&gt;"",Tournament!AA86,"")</f>
        <v/>
      </c>
      <c r="X77" s="199" t="s">
        <v>3088</v>
      </c>
      <c r="Y77" s="191" t="str">
        <f>IF(Tournament!AC86&lt;&gt;"",Tournament!AC86,"")</f>
        <v/>
      </c>
      <c r="Z77" s="191"/>
      <c r="AA77" s="191" t="str">
        <f>IF(Tournament!AA87&lt;&gt;"",Tournament!AA87,"")</f>
        <v/>
      </c>
      <c r="AB77" s="194" t="s">
        <v>3088</v>
      </c>
      <c r="AC77" s="191" t="str">
        <f>IF(Tournament!AC87&lt;&gt;"",Tournament!AC87,"")</f>
        <v/>
      </c>
      <c r="AD77" s="195" t="str">
        <f>IF(AND(I77&lt;&gt;"",K77&lt;&gt;"",R77&lt;&gt;"",T77&lt;&gt;""),IF(AND(I77=R77,K77=T77),Setup!$E$20,IF((I77-K77)=(R77-T77),Setup!$E$21,IF(AND((I77&gt;K77),(R77&gt;T77)),Setup!$E$22,IF(AND((K77&gt;I77),(T77&gt;R77)),Setup!$E$22,0)))),"")</f>
        <v/>
      </c>
      <c r="AE77" s="183"/>
      <c r="CM77" s="168"/>
      <c r="CN77" s="168"/>
      <c r="CO77" s="187"/>
      <c r="CP77" s="168"/>
    </row>
    <row r="78" spans="2:94" s="166" customFormat="1" ht="15" customHeight="1">
      <c r="B78" s="182"/>
      <c r="C78" s="181">
        <v>61</v>
      </c>
      <c r="D78" s="181" t="s">
        <v>3550</v>
      </c>
      <c r="E78" s="188">
        <f>Tournament!T92</f>
        <v>41828.708333333336</v>
      </c>
      <c r="F78" s="189">
        <f>Tournament!U92</f>
        <v>41828.708333333336</v>
      </c>
      <c r="G78" s="190" t="str">
        <f>Tournament!Y92</f>
        <v>Match 57 Winner</v>
      </c>
      <c r="H78" s="180"/>
      <c r="I78" s="9"/>
      <c r="J78" s="191" t="s">
        <v>3088</v>
      </c>
      <c r="K78" s="9"/>
      <c r="L78" s="180"/>
      <c r="M78" s="198" t="str">
        <f>Tournament!AE92</f>
        <v>Match 58 Winner</v>
      </c>
      <c r="N78" s="183"/>
      <c r="P78" s="192" t="str">
        <f t="shared" si="2"/>
        <v>Match 57 Winner</v>
      </c>
      <c r="Q78" s="193"/>
      <c r="R78" s="194" t="str">
        <f>IF($Z$67=0,IF($Z$66=0,IF(Tournament!AA93&lt;&gt;"",Tournament!AA93,""),IF(Tournament!AA93&lt;&gt;"",Tournament!AA93+Tournament!AA94,"")),IF(Tournament!AA92&lt;&gt;"",Tournament!AA92,""))</f>
        <v/>
      </c>
      <c r="S78" s="194" t="s">
        <v>3088</v>
      </c>
      <c r="T78" s="194" t="str">
        <f>IF($Z$67=0,IF($Z$66=0,IF(Tournament!AC93&lt;&gt;"",Tournament!AC93,""),IF(Tournament!AC93&lt;&gt;"",Tournament!AC93+Tournament!AC94,"")),IF(Tournament!AC92&lt;&gt;"",Tournament!AC92,""))</f>
        <v/>
      </c>
      <c r="U78" s="193"/>
      <c r="V78" s="193" t="str">
        <f t="shared" si="3"/>
        <v>Match 58 Winner</v>
      </c>
      <c r="W78" s="191" t="str">
        <f>IF(Tournament!AA94&lt;&gt;"",Tournament!AA94,"")</f>
        <v/>
      </c>
      <c r="X78" s="199" t="s">
        <v>3088</v>
      </c>
      <c r="Y78" s="191" t="str">
        <f>IF(Tournament!AC94&lt;&gt;"",Tournament!AC94,"")</f>
        <v/>
      </c>
      <c r="Z78" s="191"/>
      <c r="AA78" s="191" t="str">
        <f>IF(Tournament!AA95&lt;&gt;"",Tournament!AA95,"")</f>
        <v/>
      </c>
      <c r="AB78" s="194" t="s">
        <v>3088</v>
      </c>
      <c r="AC78" s="191" t="str">
        <f>IF(Tournament!AC95&lt;&gt;"",Tournament!AC95,"")</f>
        <v/>
      </c>
      <c r="AD78" s="195" t="str">
        <f>IF(AND(I78&lt;&gt;"",K78&lt;&gt;"",R78&lt;&gt;"",T78&lt;&gt;""),IF(AND(I78=R78,K78=T78),Setup!$F$20,IF((I78-K78)=(R78-T78),Setup!$F$21,IF(AND((I78&gt;K78),(R78&gt;T78)),Setup!$F$22,IF(AND((K78&gt;I78),(T78&gt;R78)),Setup!$F$22,0)))),"")</f>
        <v/>
      </c>
      <c r="AE78" s="183"/>
      <c r="CM78" s="168"/>
      <c r="CN78" s="168"/>
      <c r="CO78" s="187"/>
      <c r="CP78" s="168"/>
    </row>
    <row r="79" spans="2:94" s="166" customFormat="1" ht="15" customHeight="1">
      <c r="B79" s="182"/>
      <c r="C79" s="181">
        <v>62</v>
      </c>
      <c r="D79" s="181" t="str">
        <f>D78</f>
        <v>SF</v>
      </c>
      <c r="E79" s="188">
        <f>Tournament!T97</f>
        <v>41829.708333333336</v>
      </c>
      <c r="F79" s="189">
        <f>Tournament!U97</f>
        <v>41829.708333333336</v>
      </c>
      <c r="G79" s="190" t="str">
        <f>Tournament!Y97</f>
        <v>Match 59 Winner</v>
      </c>
      <c r="H79" s="180"/>
      <c r="I79" s="9"/>
      <c r="J79" s="191" t="s">
        <v>3088</v>
      </c>
      <c r="K79" s="9"/>
      <c r="L79" s="180"/>
      <c r="M79" s="198" t="str">
        <f>Tournament!AE97</f>
        <v>Match 60 Winner</v>
      </c>
      <c r="N79" s="183"/>
      <c r="P79" s="192" t="str">
        <f t="shared" si="2"/>
        <v>Match 59 Winner</v>
      </c>
      <c r="Q79" s="193"/>
      <c r="R79" s="194" t="str">
        <f>IF($Z$67=0,IF($Z$66=0,IF(Tournament!AA98&lt;&gt;"",Tournament!AA98,""),IF(Tournament!AA98&lt;&gt;"",Tournament!AA98+Tournament!AA99,"")),IF(Tournament!AA97&lt;&gt;"",Tournament!AA97,""))</f>
        <v/>
      </c>
      <c r="S79" s="194" t="s">
        <v>3088</v>
      </c>
      <c r="T79" s="194" t="str">
        <f>IF($Z$67=0,IF($Z$66=0,IF(Tournament!AC98&lt;&gt;"",Tournament!AC98,""),IF(Tournament!AC98&lt;&gt;"",Tournament!AC98+Tournament!AC99,"")),IF(Tournament!AC97&lt;&gt;"",Tournament!AC97,""))</f>
        <v/>
      </c>
      <c r="U79" s="193"/>
      <c r="V79" s="193" t="str">
        <f t="shared" si="3"/>
        <v>Match 60 Winner</v>
      </c>
      <c r="W79" s="191" t="str">
        <f>IF(Tournament!AA99&lt;&gt;"",Tournament!AA99,"")</f>
        <v/>
      </c>
      <c r="X79" s="199" t="s">
        <v>3088</v>
      </c>
      <c r="Y79" s="191" t="str">
        <f>IF(Tournament!AC99&lt;&gt;"",Tournament!AC99,"")</f>
        <v/>
      </c>
      <c r="Z79" s="191"/>
      <c r="AA79" s="191" t="str">
        <f>IF(Tournament!AA100&lt;&gt;"",Tournament!AA100,"")</f>
        <v/>
      </c>
      <c r="AB79" s="194" t="s">
        <v>3088</v>
      </c>
      <c r="AC79" s="191" t="str">
        <f>IF(Tournament!AC100&lt;&gt;"",Tournament!AC100,"")</f>
        <v/>
      </c>
      <c r="AD79" s="195" t="str">
        <f>IF(AND(I79&lt;&gt;"",K79&lt;&gt;"",R79&lt;&gt;"",T79&lt;&gt;""),IF(AND(I79=R79,K79=T79),Setup!$F$20,IF((I79-K79)=(R79-T79),Setup!$F$21,IF(AND((I79&gt;K79),(R79&gt;T79)),Setup!$F$22,IF(AND((K79&gt;I79),(T79&gt;R79)),Setup!$F$22,0)))),"")</f>
        <v/>
      </c>
      <c r="AE79" s="183"/>
      <c r="CM79" s="168"/>
      <c r="CN79" s="168"/>
      <c r="CO79" s="187"/>
      <c r="CP79" s="168"/>
    </row>
    <row r="80" spans="2:94" s="166" customFormat="1" ht="15" customHeight="1">
      <c r="B80" s="182"/>
      <c r="C80" s="181">
        <v>63</v>
      </c>
      <c r="D80" s="181" t="s">
        <v>3551</v>
      </c>
      <c r="E80" s="188">
        <f>Tournament!T105</f>
        <v>41832.708333333336</v>
      </c>
      <c r="F80" s="189">
        <f>Tournament!U105</f>
        <v>41832.708333333336</v>
      </c>
      <c r="G80" s="190" t="str">
        <f>Tournament!Y105</f>
        <v>Match 61 Loser</v>
      </c>
      <c r="H80" s="180"/>
      <c r="I80" s="9"/>
      <c r="J80" s="191" t="s">
        <v>3088</v>
      </c>
      <c r="K80" s="9"/>
      <c r="L80" s="180"/>
      <c r="M80" s="198" t="str">
        <f>Tournament!AE105</f>
        <v>Match 62 Loser</v>
      </c>
      <c r="N80" s="183"/>
      <c r="P80" s="192" t="str">
        <f t="shared" si="2"/>
        <v>Match 61 Loser</v>
      </c>
      <c r="Q80" s="193"/>
      <c r="R80" s="194" t="str">
        <f>IF($Z$67=0,IF($Z$66=0,IF(Tournament!AA106&lt;&gt;"",Tournament!AA106,""),IF(Tournament!AA106&lt;&gt;"",Tournament!AA106+Tournament!AA107,"")),IF(Tournament!AA105&lt;&gt;"",Tournament!AA105,""))</f>
        <v/>
      </c>
      <c r="S80" s="194" t="s">
        <v>3088</v>
      </c>
      <c r="T80" s="194" t="str">
        <f>IF($Z$67=0,IF($Z$66=0,IF(Tournament!AC106&lt;&gt;"",Tournament!AC106,""),IF(Tournament!AC106&lt;&gt;"",Tournament!AC106+Tournament!AC107,"")),IF(Tournament!AC105&lt;&gt;"",Tournament!AC105,""))</f>
        <v/>
      </c>
      <c r="U80" s="193"/>
      <c r="V80" s="193" t="str">
        <f t="shared" si="3"/>
        <v>Match 62 Loser</v>
      </c>
      <c r="W80" s="191" t="str">
        <f>IF(Tournament!AA107&lt;&gt;"",Tournament!AA107,"")</f>
        <v/>
      </c>
      <c r="X80" s="199" t="s">
        <v>3088</v>
      </c>
      <c r="Y80" s="191" t="str">
        <f>IF(Tournament!AC107&lt;&gt;"",Tournament!AC107,"")</f>
        <v/>
      </c>
      <c r="Z80" s="191"/>
      <c r="AA80" s="191" t="str">
        <f>IF(Tournament!AA108&lt;&gt;"",Tournament!AA108,"")</f>
        <v/>
      </c>
      <c r="AB80" s="194" t="s">
        <v>3088</v>
      </c>
      <c r="AC80" s="191" t="str">
        <f>IF(Tournament!AC108&lt;&gt;"",Tournament!AC108,"")</f>
        <v/>
      </c>
      <c r="AD80" s="195" t="str">
        <f>IF(AND(I80&lt;&gt;"",K80&lt;&gt;"",R80&lt;&gt;"",T80&lt;&gt;""),IF(AND(I80=R80,K80=T80),Setup!$G$20,IF((I80-K80)=(R80-T80),Setup!$G$21,IF(AND((I80&gt;K80),(R80&gt;T80)),Setup!$G$22,IF(AND((K80&gt;I80),(T80&gt;R80)),Setup!$G$22,0)))),"")</f>
        <v/>
      </c>
      <c r="AE80" s="183"/>
      <c r="CM80" s="168"/>
      <c r="CN80" s="168"/>
      <c r="CO80" s="187"/>
      <c r="CP80" s="168"/>
    </row>
    <row r="81" spans="2:94" s="166" customFormat="1" ht="15" customHeight="1">
      <c r="B81" s="182"/>
      <c r="C81" s="181">
        <v>64</v>
      </c>
      <c r="D81" s="181" t="s">
        <v>3105</v>
      </c>
      <c r="E81" s="188">
        <f>Tournament!T113</f>
        <v>41833.666666666664</v>
      </c>
      <c r="F81" s="189">
        <f>Tournament!U113</f>
        <v>41833.666666666664</v>
      </c>
      <c r="G81" s="190" t="str">
        <f>Tournament!Y113</f>
        <v>Match 61 Winner</v>
      </c>
      <c r="H81" s="180"/>
      <c r="I81" s="9"/>
      <c r="J81" s="191" t="s">
        <v>3088</v>
      </c>
      <c r="K81" s="9"/>
      <c r="L81" s="180"/>
      <c r="M81" s="198" t="str">
        <f>Tournament!AE113</f>
        <v>Match 62 Winner</v>
      </c>
      <c r="N81" s="183"/>
      <c r="P81" s="192" t="str">
        <f t="shared" si="2"/>
        <v>Match 61 Winner</v>
      </c>
      <c r="Q81" s="193"/>
      <c r="R81" s="194" t="str">
        <f>IF($Z$67=0,IF($Z$66=0,IF(Tournament!AA114&lt;&gt;"",Tournament!AA114,""),IF(Tournament!AA114&lt;&gt;"",Tournament!AA114+Tournament!AA115,"")),IF(Tournament!AA113&lt;&gt;"",Tournament!AA113,""))</f>
        <v/>
      </c>
      <c r="S81" s="194" t="s">
        <v>3088</v>
      </c>
      <c r="T81" s="194" t="str">
        <f>IF($Z$67=0,IF($Z$66=0,IF(Tournament!AC114&lt;&gt;"",Tournament!AC114,""),IF(Tournament!AC114&lt;&gt;"",Tournament!AC114+Tournament!AC115,"")),IF(Tournament!AC113&lt;&gt;"",Tournament!AC113,""))</f>
        <v/>
      </c>
      <c r="U81" s="193"/>
      <c r="V81" s="193" t="str">
        <f t="shared" si="3"/>
        <v>Match 62 Winner</v>
      </c>
      <c r="W81" s="191" t="str">
        <f>IF(Tournament!AA115&lt;&gt;"",Tournament!AA115,"")</f>
        <v/>
      </c>
      <c r="X81" s="199" t="s">
        <v>3088</v>
      </c>
      <c r="Y81" s="191" t="str">
        <f>IF(Tournament!AC115&lt;&gt;"",Tournament!AC115,"")</f>
        <v/>
      </c>
      <c r="Z81" s="191"/>
      <c r="AA81" s="191" t="str">
        <f>IF(Tournament!AA116&lt;&gt;"",Tournament!AA116,"")</f>
        <v/>
      </c>
      <c r="AB81" s="194" t="s">
        <v>3088</v>
      </c>
      <c r="AC81" s="191" t="str">
        <f>IF(Tournament!AC116&lt;&gt;"",Tournament!AC116,"")</f>
        <v/>
      </c>
      <c r="AD81" s="195" t="str">
        <f>IF(AND(I81&lt;&gt;"",K81&lt;&gt;"",R81&lt;&gt;"",T81&lt;&gt;""),IF(AND(I81=R81,K81=T81),Setup!$H$20,IF((I81-K81)=(R81-T81),Setup!$H$21,IF(AND((I81&gt;K81),(R81&gt;T81)),Setup!$H$22,IF(AND((K81&gt;I81),(T81&gt;R81)),Setup!$H$22,0)))),"")</f>
        <v/>
      </c>
      <c r="AE81" s="183"/>
      <c r="CM81" s="168"/>
      <c r="CN81" s="168"/>
      <c r="CO81" s="187"/>
      <c r="CP81" s="168"/>
    </row>
    <row r="82" spans="2:94" s="166" customFormat="1" ht="15" customHeight="1">
      <c r="B82" s="200"/>
      <c r="C82" s="201"/>
      <c r="D82" s="201"/>
      <c r="E82" s="201"/>
      <c r="F82" s="201"/>
      <c r="G82" s="201"/>
      <c r="H82" s="201"/>
      <c r="I82" s="201"/>
      <c r="J82" s="202"/>
      <c r="K82" s="201"/>
      <c r="L82" s="201"/>
      <c r="M82" s="201"/>
      <c r="N82" s="203"/>
      <c r="P82" s="200"/>
      <c r="Q82" s="201"/>
      <c r="R82" s="201"/>
      <c r="S82" s="202"/>
      <c r="T82" s="201"/>
      <c r="U82" s="201"/>
      <c r="V82" s="201"/>
      <c r="W82" s="201"/>
      <c r="X82" s="202"/>
      <c r="Y82" s="201"/>
      <c r="Z82" s="201"/>
      <c r="AA82" s="201"/>
      <c r="AB82" s="202"/>
      <c r="AC82" s="201"/>
      <c r="AD82" s="202"/>
      <c r="AE82" s="203"/>
      <c r="CM82" s="168"/>
      <c r="CN82" s="168"/>
      <c r="CO82" s="187"/>
      <c r="CP82" s="168"/>
    </row>
    <row r="83" spans="2:94" s="166" customFormat="1" ht="15" customHeight="1">
      <c r="B83" s="166" t="s">
        <v>3905</v>
      </c>
      <c r="N83" s="180"/>
      <c r="AD83" s="167"/>
      <c r="CM83" s="168"/>
      <c r="CN83" s="168"/>
      <c r="CO83" s="187"/>
      <c r="CP83" s="168"/>
    </row>
    <row r="84" spans="2:94" s="166" customFormat="1" ht="15" hidden="1" customHeight="1">
      <c r="N84" s="180"/>
      <c r="AD84" s="167"/>
      <c r="CM84" s="168"/>
      <c r="CN84" s="168"/>
      <c r="CO84" s="187"/>
      <c r="CP84" s="168"/>
    </row>
    <row r="85" spans="2:94" s="166" customFormat="1" ht="15" hidden="1" customHeight="1">
      <c r="N85" s="180"/>
      <c r="AD85" s="167"/>
      <c r="CM85" s="168"/>
      <c r="CN85" s="168"/>
      <c r="CO85" s="187"/>
      <c r="CP85" s="168"/>
    </row>
    <row r="86" spans="2:94" s="166" customFormat="1" ht="15" hidden="1" customHeight="1">
      <c r="N86" s="180"/>
      <c r="AD86" s="167"/>
      <c r="CM86" s="168"/>
      <c r="CN86" s="168"/>
      <c r="CO86" s="187"/>
      <c r="CP86" s="168"/>
    </row>
    <row r="87" spans="2:94" s="166" customFormat="1" ht="15" hidden="1" customHeight="1">
      <c r="N87" s="180"/>
      <c r="AD87" s="167"/>
      <c r="CM87" s="168"/>
      <c r="CN87" s="168"/>
      <c r="CO87" s="187"/>
      <c r="CP87" s="168"/>
    </row>
    <row r="88" spans="2:94" s="166" customFormat="1" ht="15" hidden="1" customHeight="1">
      <c r="N88" s="180"/>
      <c r="AD88" s="167"/>
      <c r="CM88" s="168"/>
      <c r="CN88" s="168"/>
      <c r="CO88" s="187"/>
      <c r="CP88" s="168"/>
    </row>
    <row r="89" spans="2:94" s="166" customFormat="1" ht="15" hidden="1" customHeight="1">
      <c r="N89" s="180"/>
      <c r="AD89" s="167"/>
      <c r="CM89" s="168"/>
      <c r="CN89" s="168"/>
      <c r="CO89" s="187"/>
      <c r="CP89" s="168"/>
    </row>
    <row r="90" spans="2:94" s="166" customFormat="1" ht="15" hidden="1" customHeight="1">
      <c r="N90" s="180"/>
      <c r="AD90" s="167"/>
      <c r="CM90" s="168"/>
      <c r="CN90" s="168"/>
      <c r="CO90" s="187"/>
      <c r="CP90" s="168"/>
    </row>
    <row r="91" spans="2:94" s="166" customFormat="1" ht="15" hidden="1" customHeight="1">
      <c r="N91" s="180"/>
      <c r="AD91" s="167"/>
      <c r="CM91" s="168"/>
      <c r="CN91" s="168"/>
      <c r="CO91" s="187"/>
      <c r="CP91" s="168"/>
    </row>
    <row r="92" spans="2:94" s="166" customFormat="1" ht="15" hidden="1" customHeight="1">
      <c r="N92" s="180"/>
      <c r="AD92" s="167"/>
      <c r="CM92" s="168"/>
      <c r="CN92" s="168"/>
      <c r="CO92" s="187"/>
      <c r="CP92" s="168"/>
    </row>
    <row r="93" spans="2:94" s="166" customFormat="1" ht="15" hidden="1" customHeight="1">
      <c r="N93" s="180"/>
      <c r="AD93" s="167"/>
      <c r="CM93" s="168"/>
      <c r="CN93" s="168"/>
      <c r="CO93" s="187"/>
      <c r="CP93" s="168"/>
    </row>
    <row r="94" spans="2:94" s="166" customFormat="1" ht="15" hidden="1" customHeight="1">
      <c r="N94" s="180"/>
      <c r="AD94" s="167"/>
      <c r="CM94" s="168"/>
      <c r="CN94" s="168"/>
      <c r="CO94" s="187"/>
      <c r="CP94" s="168"/>
    </row>
    <row r="95" spans="2:94" s="166" customFormat="1" ht="15" hidden="1" customHeight="1">
      <c r="N95" s="180"/>
      <c r="AD95" s="167"/>
      <c r="CM95" s="168"/>
      <c r="CN95" s="168"/>
      <c r="CO95" s="187"/>
      <c r="CP95" s="168"/>
    </row>
    <row r="96" spans="2:94" s="166" customFormat="1" ht="15" hidden="1" customHeight="1">
      <c r="N96" s="180"/>
      <c r="AD96" s="167"/>
      <c r="CM96" s="168"/>
      <c r="CN96" s="168"/>
      <c r="CO96" s="187"/>
      <c r="CP96" s="168"/>
    </row>
    <row r="97" spans="14:94" s="166" customFormat="1" ht="15" hidden="1" customHeight="1">
      <c r="N97" s="180"/>
      <c r="AD97" s="167"/>
      <c r="CM97" s="168"/>
      <c r="CN97" s="168"/>
      <c r="CO97" s="187"/>
      <c r="CP97" s="168"/>
    </row>
    <row r="98" spans="14:94" s="166" customFormat="1" ht="15" hidden="1" customHeight="1">
      <c r="N98" s="180"/>
      <c r="AD98" s="167"/>
      <c r="CM98" s="168"/>
      <c r="CN98" s="168"/>
      <c r="CO98" s="187"/>
      <c r="CP98" s="168"/>
    </row>
    <row r="99" spans="14:94" s="166" customFormat="1" ht="15" hidden="1" customHeight="1">
      <c r="N99" s="180"/>
      <c r="AD99" s="167"/>
      <c r="CM99" s="168"/>
      <c r="CN99" s="168"/>
      <c r="CO99" s="187"/>
      <c r="CP99" s="168"/>
    </row>
    <row r="100" spans="14:94" s="166" customFormat="1" ht="15" hidden="1" customHeight="1">
      <c r="N100" s="180"/>
      <c r="AD100" s="167"/>
      <c r="CM100" s="168"/>
      <c r="CN100" s="168"/>
      <c r="CO100" s="187"/>
      <c r="CP100" s="168"/>
    </row>
    <row r="101" spans="14:94" s="166" customFormat="1" ht="15" hidden="1" customHeight="1">
      <c r="N101" s="180"/>
      <c r="AD101" s="167"/>
      <c r="CM101" s="168"/>
      <c r="CN101" s="168"/>
      <c r="CO101" s="187"/>
      <c r="CP101" s="168"/>
    </row>
    <row r="102" spans="14:94" s="166" customFormat="1" ht="15" hidden="1" customHeight="1">
      <c r="N102" s="180"/>
      <c r="AD102" s="167"/>
      <c r="CM102" s="168"/>
      <c r="CN102" s="168"/>
      <c r="CO102" s="187"/>
      <c r="CP102" s="168"/>
    </row>
    <row r="103" spans="14:94" s="166" customFormat="1" ht="15" hidden="1" customHeight="1">
      <c r="N103" s="180"/>
      <c r="AD103" s="167"/>
      <c r="CM103" s="168"/>
      <c r="CN103" s="168"/>
      <c r="CO103" s="187"/>
      <c r="CP103" s="168"/>
    </row>
    <row r="104" spans="14:94" s="166" customFormat="1" ht="15" hidden="1" customHeight="1">
      <c r="N104" s="180"/>
      <c r="AD104" s="167"/>
      <c r="CM104" s="168"/>
      <c r="CN104" s="168"/>
      <c r="CO104" s="187"/>
      <c r="CP104" s="168"/>
    </row>
    <row r="105" spans="14:94" s="166" customFormat="1" ht="15" hidden="1" customHeight="1">
      <c r="N105" s="180"/>
      <c r="AD105" s="167"/>
      <c r="CM105" s="168"/>
      <c r="CN105" s="168"/>
      <c r="CO105" s="187"/>
      <c r="CP105" s="168"/>
    </row>
    <row r="106" spans="14:94" s="166" customFormat="1" ht="15" hidden="1" customHeight="1">
      <c r="N106" s="180"/>
      <c r="AD106" s="167"/>
      <c r="CM106" s="168"/>
      <c r="CN106" s="168"/>
      <c r="CO106" s="187"/>
      <c r="CP106" s="168"/>
    </row>
    <row r="107" spans="14:94" s="166" customFormat="1" ht="15" hidden="1" customHeight="1">
      <c r="N107" s="180"/>
      <c r="AD107" s="167"/>
      <c r="CM107" s="168"/>
      <c r="CN107" s="168"/>
      <c r="CO107" s="187"/>
      <c r="CP107" s="168"/>
    </row>
    <row r="108" spans="14:94" s="166" customFormat="1" ht="15" hidden="1" customHeight="1">
      <c r="N108" s="180"/>
      <c r="AD108" s="167"/>
      <c r="CM108" s="168"/>
      <c r="CN108" s="168"/>
      <c r="CO108" s="187"/>
      <c r="CP108" s="168"/>
    </row>
    <row r="109" spans="14:94" s="166" customFormat="1" ht="15" hidden="1" customHeight="1">
      <c r="N109" s="180"/>
      <c r="AD109" s="167"/>
      <c r="CM109" s="168"/>
      <c r="CN109" s="168"/>
      <c r="CO109" s="187"/>
      <c r="CP109" s="168"/>
    </row>
    <row r="110" spans="14:94" s="166" customFormat="1" ht="15" hidden="1" customHeight="1">
      <c r="N110" s="180"/>
      <c r="AD110" s="167"/>
      <c r="CM110" s="168"/>
      <c r="CN110" s="168"/>
      <c r="CO110" s="187"/>
      <c r="CP110" s="168"/>
    </row>
    <row r="111" spans="14:94" s="166" customFormat="1" ht="15" hidden="1" customHeight="1">
      <c r="N111" s="180"/>
      <c r="AD111" s="167"/>
      <c r="CM111" s="168"/>
      <c r="CN111" s="168"/>
      <c r="CO111" s="187"/>
      <c r="CP111" s="168"/>
    </row>
    <row r="112" spans="14:94" s="166" customFormat="1" ht="15" hidden="1" customHeight="1">
      <c r="N112" s="180"/>
      <c r="AD112" s="167"/>
      <c r="CM112" s="168"/>
      <c r="CN112" s="168"/>
      <c r="CO112" s="187"/>
      <c r="CP112" s="168"/>
    </row>
    <row r="113" spans="2:94" s="166" customFormat="1" ht="15" hidden="1" customHeight="1">
      <c r="N113" s="180"/>
      <c r="AD113" s="167"/>
      <c r="CM113" s="168"/>
      <c r="CN113" s="168"/>
      <c r="CO113" s="187"/>
      <c r="CP113" s="168"/>
    </row>
    <row r="114" spans="2:94" s="166" customFormat="1" ht="15" hidden="1" customHeight="1">
      <c r="N114" s="180"/>
      <c r="AD114" s="167"/>
      <c r="CM114" s="168"/>
      <c r="CN114" s="168"/>
      <c r="CO114" s="187"/>
      <c r="CP114" s="168"/>
    </row>
    <row r="115" spans="2:94" s="166" customFormat="1" ht="15" hidden="1" customHeight="1">
      <c r="N115" s="180"/>
      <c r="AD115" s="167"/>
      <c r="CM115" s="168"/>
      <c r="CN115" s="168"/>
      <c r="CO115" s="187"/>
      <c r="CP115" s="168"/>
    </row>
    <row r="116" spans="2:94" s="166" customFormat="1" ht="15" hidden="1" customHeight="1">
      <c r="N116" s="180"/>
      <c r="AD116" s="167"/>
      <c r="CM116" s="168"/>
      <c r="CN116" s="168"/>
      <c r="CO116" s="187"/>
      <c r="CP116" s="168"/>
    </row>
    <row r="117" spans="2:94" s="166" customFormat="1" ht="15" hidden="1" customHeight="1">
      <c r="N117" s="180"/>
      <c r="AD117" s="167"/>
      <c r="CM117" s="168"/>
      <c r="CN117" s="168"/>
      <c r="CO117" s="187"/>
      <c r="CP117" s="168"/>
    </row>
    <row r="118" spans="2:94" s="166" customFormat="1" ht="15" hidden="1" customHeight="1">
      <c r="N118" s="180"/>
      <c r="AD118" s="167"/>
      <c r="CM118" s="168"/>
      <c r="CN118" s="168"/>
      <c r="CO118" s="187"/>
      <c r="CP118" s="168"/>
    </row>
    <row r="119" spans="2:94" s="166" customFormat="1" ht="15" hidden="1" customHeight="1">
      <c r="N119" s="180"/>
      <c r="AD119" s="167"/>
      <c r="CM119" s="168"/>
      <c r="CN119" s="168"/>
      <c r="CO119" s="187"/>
      <c r="CP119" s="168"/>
    </row>
    <row r="120" spans="2:94" s="166" customFormat="1" ht="15" hidden="1" customHeight="1">
      <c r="N120" s="180"/>
      <c r="AD120" s="167"/>
      <c r="CM120" s="168"/>
      <c r="CN120" s="168"/>
      <c r="CO120" s="187" t="s">
        <v>1404</v>
      </c>
      <c r="CP120" s="168"/>
    </row>
    <row r="121" spans="2:94" s="166" customFormat="1" ht="15" hidden="1" customHeight="1">
      <c r="N121" s="180"/>
      <c r="AD121" s="167"/>
      <c r="CM121" s="168"/>
      <c r="CN121" s="168"/>
      <c r="CO121" s="187" t="s">
        <v>1405</v>
      </c>
      <c r="CP121" s="168"/>
    </row>
    <row r="122" spans="2:94" s="166" customFormat="1" ht="15" hidden="1" customHeight="1">
      <c r="N122" s="180"/>
      <c r="AD122" s="167"/>
      <c r="CM122" s="168"/>
      <c r="CN122" s="168"/>
      <c r="CO122" s="187" t="s">
        <v>1406</v>
      </c>
      <c r="CP122" s="168"/>
    </row>
    <row r="123" spans="2:94" s="166" customFormat="1" ht="15" hidden="1" customHeight="1">
      <c r="N123" s="180"/>
      <c r="AD123" s="167"/>
      <c r="CM123" s="168"/>
      <c r="CN123" s="168"/>
      <c r="CO123" s="187" t="s">
        <v>1407</v>
      </c>
      <c r="CP123" s="168"/>
    </row>
    <row r="124" spans="2:94" s="166" customFormat="1" ht="15" hidden="1" customHeight="1">
      <c r="N124" s="180"/>
      <c r="AD124" s="167"/>
      <c r="CM124" s="168"/>
      <c r="CN124" s="168"/>
      <c r="CO124" s="187" t="s">
        <v>1408</v>
      </c>
      <c r="CP124" s="168"/>
    </row>
    <row r="125" spans="2:94" s="166" customFormat="1" ht="15" hidden="1" customHeight="1">
      <c r="B125" s="180"/>
      <c r="C125" s="180"/>
      <c r="D125" s="180"/>
      <c r="E125" s="180"/>
      <c r="F125" s="180"/>
      <c r="G125" s="180"/>
      <c r="H125" s="180"/>
      <c r="I125" s="180"/>
      <c r="J125" s="181"/>
      <c r="K125" s="180"/>
      <c r="L125" s="180"/>
      <c r="M125" s="180"/>
      <c r="N125" s="180"/>
      <c r="P125" s="180"/>
      <c r="Q125" s="180"/>
      <c r="R125" s="180"/>
      <c r="S125" s="181"/>
      <c r="T125" s="180"/>
      <c r="U125" s="180"/>
      <c r="V125" s="180"/>
      <c r="W125" s="180"/>
      <c r="X125" s="181"/>
      <c r="Y125" s="180"/>
      <c r="Z125" s="180"/>
      <c r="AA125" s="180"/>
      <c r="AB125" s="181"/>
      <c r="AC125" s="180"/>
      <c r="AD125" s="167"/>
      <c r="CM125" s="168"/>
      <c r="CN125" s="168"/>
      <c r="CO125" s="187" t="s">
        <v>1409</v>
      </c>
      <c r="CP125" s="168"/>
    </row>
    <row r="126" spans="2:94" s="166" customFormat="1" ht="15" hidden="1" customHeight="1">
      <c r="B126" s="180"/>
      <c r="C126" s="180"/>
      <c r="D126" s="180"/>
      <c r="E126" s="180"/>
      <c r="F126" s="180"/>
      <c r="G126" s="180"/>
      <c r="H126" s="180"/>
      <c r="I126" s="180"/>
      <c r="J126" s="181"/>
      <c r="K126" s="180"/>
      <c r="L126" s="180"/>
      <c r="M126" s="180"/>
      <c r="N126" s="180"/>
      <c r="P126" s="180"/>
      <c r="Q126" s="180"/>
      <c r="R126" s="180"/>
      <c r="S126" s="181"/>
      <c r="T126" s="180"/>
      <c r="U126" s="180"/>
      <c r="V126" s="180"/>
      <c r="W126" s="180"/>
      <c r="X126" s="181"/>
      <c r="Y126" s="180"/>
      <c r="Z126" s="180"/>
      <c r="AA126" s="180"/>
      <c r="AB126" s="181"/>
      <c r="AC126" s="180"/>
      <c r="AD126" s="167"/>
      <c r="CM126" s="168"/>
      <c r="CN126" s="168"/>
      <c r="CO126" s="187" t="s">
        <v>1410</v>
      </c>
      <c r="CP126" s="168"/>
    </row>
  </sheetData>
  <sheetProtection password="CE4F" sheet="1" objects="1" scenarios="1" formatCells="0" formatColumns="0" formatRows="0" insertColumns="0" insertRows="0" insertHyperlinks="0" sort="0" autoFilter="0" pivotTables="0"/>
  <mergeCells count="23">
    <mergeCell ref="B4:C4"/>
    <mergeCell ref="D4:M4"/>
    <mergeCell ref="H5:L5"/>
    <mergeCell ref="AC5:AE5"/>
    <mergeCell ref="B6:C7"/>
    <mergeCell ref="D6:F6"/>
    <mergeCell ref="H6:L6"/>
    <mergeCell ref="D7:F7"/>
    <mergeCell ref="H7:L7"/>
    <mergeCell ref="AC7:AE7"/>
    <mergeCell ref="B9:N9"/>
    <mergeCell ref="P9:AE9"/>
    <mergeCell ref="B11:N11"/>
    <mergeCell ref="P11:AE11"/>
    <mergeCell ref="I13:K13"/>
    <mergeCell ref="R13:T13"/>
    <mergeCell ref="W13:Y13"/>
    <mergeCell ref="AA13:AC13"/>
    <mergeCell ref="B64:N64"/>
    <mergeCell ref="P64:AE64"/>
    <mergeCell ref="R65:T65"/>
    <mergeCell ref="W65:Y65"/>
    <mergeCell ref="AA65:AC65"/>
  </mergeCells>
  <conditionalFormatting sqref="G15:G62 G66:G81">
    <cfRule type="expression" dxfId="467" priority="21" stopIfTrue="1">
      <formula>I15&gt;K15</formula>
    </cfRule>
    <cfRule type="expression" dxfId="466" priority="22" stopIfTrue="1">
      <formula>I15&lt;K15</formula>
    </cfRule>
  </conditionalFormatting>
  <conditionalFormatting sqref="M15:M62">
    <cfRule type="expression" dxfId="465" priority="23" stopIfTrue="1">
      <formula>K15&gt;I15</formula>
    </cfRule>
    <cfRule type="expression" dxfId="464" priority="24" stopIfTrue="1">
      <formula>K15&lt;I15</formula>
    </cfRule>
  </conditionalFormatting>
  <conditionalFormatting sqref="S15:S62 S66:S81">
    <cfRule type="expression" dxfId="463" priority="25" stopIfTrue="1">
      <formula>AND($R15&lt;&gt;"",$T15&lt;&gt;"")</formula>
    </cfRule>
  </conditionalFormatting>
  <conditionalFormatting sqref="P15:R62 P66:R81 T66:T81">
    <cfRule type="expression" dxfId="462" priority="26" stopIfTrue="1">
      <formula>AND($R15&gt;$T15,$R15&lt;&gt;"",$T15&lt;&gt;"")</formula>
    </cfRule>
    <cfRule type="expression" dxfId="461" priority="27" stopIfTrue="1">
      <formula>AND($R15&lt;$T15,$R15&lt;&gt;"",$T15&lt;&gt;"")</formula>
    </cfRule>
    <cfRule type="expression" dxfId="460" priority="28" stopIfTrue="1">
      <formula>AND($R15&lt;&gt;"",$T15&lt;&gt;"")</formula>
    </cfRule>
  </conditionalFormatting>
  <conditionalFormatting sqref="U66:V81 T15:V62">
    <cfRule type="expression" dxfId="459" priority="29" stopIfTrue="1">
      <formula>AND($T15&gt;$R15,$R15&lt;&gt;"",$T15&lt;&gt;"")</formula>
    </cfRule>
    <cfRule type="expression" dxfId="458" priority="30" stopIfTrue="1">
      <formula>AND($T15&lt;$R15,$R15&lt;&gt;"",$T15&lt;&gt;"")</formula>
    </cfRule>
    <cfRule type="expression" dxfId="457" priority="31" stopIfTrue="1">
      <formula>AND($R15&lt;&gt;"",$T15&lt;&gt;"")</formula>
    </cfRule>
  </conditionalFormatting>
  <conditionalFormatting sqref="O15">
    <cfRule type="expression" dxfId="456" priority="32" stopIfTrue="1">
      <formula>#REF!&gt;#REF!</formula>
    </cfRule>
    <cfRule type="expression" dxfId="455" priority="33" stopIfTrue="1">
      <formula>#REF!&lt;#REF!</formula>
    </cfRule>
  </conditionalFormatting>
  <conditionalFormatting sqref="I15:I62 K15:K62 K66:K81 I66:I81">
    <cfRule type="expression" dxfId="454" priority="34" stopIfTrue="1">
      <formula>ISBLANK(I15)</formula>
    </cfRule>
  </conditionalFormatting>
  <conditionalFormatting sqref="X15:X61">
    <cfRule type="expression" dxfId="453" priority="14" stopIfTrue="1">
      <formula>AND($R15&lt;&gt;"",$T15&lt;&gt;"")</formula>
    </cfRule>
  </conditionalFormatting>
  <conditionalFormatting sqref="W15:W61">
    <cfRule type="expression" dxfId="452" priority="15" stopIfTrue="1">
      <formula>AND($R15&gt;$T15,$R15&lt;&gt;"",$T15&lt;&gt;"")</formula>
    </cfRule>
    <cfRule type="expression" dxfId="451" priority="16" stopIfTrue="1">
      <formula>AND($R15&lt;$T15,$R15&lt;&gt;"",$T15&lt;&gt;"")</formula>
    </cfRule>
    <cfRule type="expression" dxfId="450" priority="17" stopIfTrue="1">
      <formula>AND($R15&lt;&gt;"",$T15&lt;&gt;"")</formula>
    </cfRule>
  </conditionalFormatting>
  <conditionalFormatting sqref="Y15:Z61">
    <cfRule type="expression" dxfId="449" priority="18" stopIfTrue="1">
      <formula>AND($T15&gt;$R15,$R15&lt;&gt;"",$T15&lt;&gt;"")</formula>
    </cfRule>
    <cfRule type="expression" dxfId="448" priority="19" stopIfTrue="1">
      <formula>AND($T15&lt;$R15,$R15&lt;&gt;"",$T15&lt;&gt;"")</formula>
    </cfRule>
    <cfRule type="expression" dxfId="447" priority="20" stopIfTrue="1">
      <formula>AND($R15&lt;&gt;"",$T15&lt;&gt;"")</formula>
    </cfRule>
  </conditionalFormatting>
  <conditionalFormatting sqref="AB15:AB61">
    <cfRule type="expression" dxfId="446" priority="7" stopIfTrue="1">
      <formula>AND($R15&lt;&gt;"",$T15&lt;&gt;"")</formula>
    </cfRule>
  </conditionalFormatting>
  <conditionalFormatting sqref="AA15:AA61">
    <cfRule type="expression" dxfId="445" priority="8" stopIfTrue="1">
      <formula>AND($R15&gt;$T15,$R15&lt;&gt;"",$T15&lt;&gt;"")</formula>
    </cfRule>
    <cfRule type="expression" dxfId="444" priority="9" stopIfTrue="1">
      <formula>AND($R15&lt;$T15,$R15&lt;&gt;"",$T15&lt;&gt;"")</formula>
    </cfRule>
    <cfRule type="expression" dxfId="443" priority="10" stopIfTrue="1">
      <formula>AND($R15&lt;&gt;"",$T15&lt;&gt;"")</formula>
    </cfRule>
  </conditionalFormatting>
  <conditionalFormatting sqref="AC15:AC61">
    <cfRule type="expression" dxfId="442" priority="11" stopIfTrue="1">
      <formula>AND($T15&gt;$R15,$R15&lt;&gt;"",$T15&lt;&gt;"")</formula>
    </cfRule>
    <cfRule type="expression" dxfId="441" priority="12" stopIfTrue="1">
      <formula>AND($T15&lt;$R15,$R15&lt;&gt;"",$T15&lt;&gt;"")</formula>
    </cfRule>
    <cfRule type="expression" dxfId="440" priority="13" stopIfTrue="1">
      <formula>AND($R15&lt;&gt;"",$T15&lt;&gt;"")</formula>
    </cfRule>
  </conditionalFormatting>
  <conditionalFormatting sqref="M66:M81">
    <cfRule type="expression" dxfId="439" priority="35">
      <formula>K66&gt;I66</formula>
    </cfRule>
    <cfRule type="expression" dxfId="438" priority="36">
      <formula>$K66&lt;$I66</formula>
    </cfRule>
  </conditionalFormatting>
  <conditionalFormatting sqref="X66:X81">
    <cfRule type="expression" dxfId="437" priority="6">
      <formula>AND($W66&lt;&gt;"",$Y66&lt;&gt;"")</formula>
    </cfRule>
  </conditionalFormatting>
  <conditionalFormatting sqref="AB66:AB81">
    <cfRule type="expression" dxfId="436" priority="5">
      <formula>AND($AA66&lt;&gt;"",$AC66&lt;&gt;"")</formula>
    </cfRule>
  </conditionalFormatting>
  <conditionalFormatting sqref="AA65:AC65">
    <cfRule type="expression" dxfId="435" priority="4">
      <formula>$Z$67=1</formula>
    </cfRule>
  </conditionalFormatting>
  <conditionalFormatting sqref="W65:Y65">
    <cfRule type="expression" dxfId="434" priority="3">
      <formula>OR($Z$66=1,$Z$67=1)</formula>
    </cfRule>
  </conditionalFormatting>
  <conditionalFormatting sqref="W66:Y81">
    <cfRule type="expression" dxfId="433" priority="2">
      <formula>OR($Z$66=1,$Z$67=1)</formula>
    </cfRule>
  </conditionalFormatting>
  <conditionalFormatting sqref="AA66:AC81">
    <cfRule type="expression" dxfId="432" priority="1">
      <formula>$Z$67=1</formula>
    </cfRule>
  </conditionalFormatting>
  <printOptions horizontalCentered="1" verticalCentered="1"/>
  <pageMargins left="0.39" right="0.32" top="0.28999999999999998" bottom="0.39" header="0.21" footer="0.26"/>
  <pageSetup scale="59" orientation="portrait" horizontalDpi="300" verticalDpi="300" r:id="rId1"/>
  <headerFooter alignWithMargins="0">
    <oddFooter xml:space="preserve">&amp;C
</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S126"/>
  <sheetViews>
    <sheetView showGridLines="0" zoomScaleNormal="100" workbookViewId="0">
      <selection activeCell="C82" sqref="C82"/>
    </sheetView>
  </sheetViews>
  <sheetFormatPr defaultColWidth="0" defaultRowHeight="14.4" customHeight="1" zeroHeight="1"/>
  <cols>
    <col min="1" max="1" width="2.44140625" style="204" customWidth="1"/>
    <col min="2" max="2" width="3.6640625" style="204" customWidth="1"/>
    <col min="3" max="3" width="4.109375" style="204" customWidth="1"/>
    <col min="4" max="4" width="6.33203125" style="204" customWidth="1"/>
    <col min="5" max="5" width="8.21875" style="204" customWidth="1"/>
    <col min="6" max="6" width="6.88671875" style="205" customWidth="1"/>
    <col min="7" max="7" width="20.6640625" style="204" customWidth="1"/>
    <col min="8" max="8" width="1.77734375" style="204" customWidth="1"/>
    <col min="9" max="9" width="3.44140625" style="204" customWidth="1"/>
    <col min="10" max="10" width="1.77734375" style="206" customWidth="1"/>
    <col min="11" max="11" width="3.44140625" style="204" customWidth="1"/>
    <col min="12" max="12" width="1.6640625" style="204" customWidth="1"/>
    <col min="13" max="13" width="20.6640625" style="204" customWidth="1"/>
    <col min="14" max="14" width="2.44140625" style="204" customWidth="1"/>
    <col min="15" max="15" width="1.77734375" style="204" customWidth="1"/>
    <col min="16" max="16" width="20.6640625" style="204" customWidth="1"/>
    <col min="17" max="17" width="1.6640625" style="204" customWidth="1"/>
    <col min="18" max="18" width="3.44140625" style="204" customWidth="1"/>
    <col min="19" max="19" width="1.77734375" style="206" customWidth="1"/>
    <col min="20" max="20" width="3.44140625" style="204" customWidth="1"/>
    <col min="21" max="21" width="1.6640625" style="204" customWidth="1"/>
    <col min="22" max="22" width="17.5546875" style="204" customWidth="1"/>
    <col min="23" max="23" width="3.44140625" style="204" customWidth="1"/>
    <col min="24" max="24" width="1.77734375" style="206" customWidth="1"/>
    <col min="25" max="25" width="3.44140625" style="204" customWidth="1"/>
    <col min="26" max="26" width="1.77734375" style="204" customWidth="1"/>
    <col min="27" max="27" width="3.44140625" style="204" customWidth="1"/>
    <col min="28" max="28" width="1.77734375" style="206" customWidth="1"/>
    <col min="29" max="29" width="3.44140625" style="204" customWidth="1"/>
    <col min="30" max="30" width="5.77734375" style="206" customWidth="1"/>
    <col min="31" max="31" width="9.109375" style="204" customWidth="1"/>
    <col min="32" max="32" width="2.6640625" style="204" customWidth="1"/>
    <col min="33" max="33" width="9.109375" style="204" hidden="1" customWidth="1"/>
    <col min="34" max="90" width="0" style="204" hidden="1" customWidth="1"/>
    <col min="91" max="94" width="0" style="207" hidden="1" customWidth="1"/>
    <col min="95" max="97" width="0" style="204" hidden="1" customWidth="1"/>
    <col min="98" max="16384" width="9.109375" style="204" hidden="1"/>
  </cols>
  <sheetData>
    <row r="1" spans="2:97" s="166" customFormat="1" ht="15" customHeight="1">
      <c r="J1" s="167"/>
      <c r="S1" s="167"/>
      <c r="X1" s="167"/>
      <c r="AB1" s="167"/>
      <c r="AD1" s="167"/>
      <c r="CM1" s="168"/>
      <c r="CN1" s="168"/>
      <c r="CO1" s="168"/>
      <c r="CP1" s="168"/>
    </row>
    <row r="2" spans="2:97" s="166" customFormat="1" ht="15" customHeight="1">
      <c r="J2" s="167"/>
      <c r="S2" s="167"/>
      <c r="X2" s="167"/>
      <c r="AB2" s="167"/>
      <c r="AD2" s="167"/>
      <c r="CM2" s="168"/>
      <c r="CN2" s="168"/>
      <c r="CO2" s="168"/>
      <c r="CP2" s="168"/>
    </row>
    <row r="3" spans="2:97" s="166" customFormat="1" ht="15" customHeight="1">
      <c r="J3" s="167"/>
      <c r="S3" s="167"/>
      <c r="X3" s="167"/>
      <c r="AB3" s="167"/>
      <c r="AD3" s="167"/>
      <c r="CM3" s="168"/>
      <c r="CN3" s="168"/>
      <c r="CO3" s="168"/>
      <c r="CP3" s="168"/>
    </row>
    <row r="4" spans="2:97" s="166" customFormat="1" ht="25.05" customHeight="1">
      <c r="B4" s="297" t="s">
        <v>3871</v>
      </c>
      <c r="C4" s="298"/>
      <c r="D4" s="307" t="str">
        <f ca="1">IF(INDIRECT("'Player Name'!"&amp;"$c"&amp;B8)&lt;&gt;"",INDIRECT("'Player Name'!"&amp;"$c"&amp;B8),"")</f>
        <v>John 4</v>
      </c>
      <c r="E4" s="308"/>
      <c r="F4" s="308"/>
      <c r="G4" s="308"/>
      <c r="H4" s="308"/>
      <c r="I4" s="308"/>
      <c r="J4" s="308"/>
      <c r="K4" s="308"/>
      <c r="L4" s="308"/>
      <c r="M4" s="309"/>
      <c r="S4" s="167"/>
      <c r="X4" s="167"/>
      <c r="AB4" s="167"/>
      <c r="CM4" s="168"/>
      <c r="CN4" s="168"/>
      <c r="CO4" s="168"/>
      <c r="CP4" s="168"/>
    </row>
    <row r="5" spans="2:97" s="173" customFormat="1" ht="15" customHeight="1">
      <c r="B5" s="169"/>
      <c r="C5" s="169"/>
      <c r="D5" s="170"/>
      <c r="E5" s="170"/>
      <c r="F5" s="170"/>
      <c r="G5" s="171" t="s">
        <v>848</v>
      </c>
      <c r="H5" s="294" t="s">
        <v>3872</v>
      </c>
      <c r="I5" s="294"/>
      <c r="J5" s="294"/>
      <c r="K5" s="294"/>
      <c r="L5" s="295"/>
      <c r="M5" s="171" t="s">
        <v>3870</v>
      </c>
      <c r="N5" s="166"/>
      <c r="O5" s="166"/>
      <c r="P5" s="172"/>
      <c r="Q5" s="166"/>
      <c r="R5" s="166"/>
      <c r="S5" s="167"/>
      <c r="T5" s="166"/>
      <c r="U5" s="166"/>
      <c r="V5" s="166"/>
      <c r="W5" s="166"/>
      <c r="X5" s="167"/>
      <c r="Y5" s="166"/>
      <c r="Z5" s="166"/>
      <c r="AA5" s="166"/>
      <c r="AB5" s="167"/>
      <c r="AC5" s="296"/>
      <c r="AD5" s="296"/>
      <c r="AE5" s="296"/>
      <c r="CM5" s="174"/>
      <c r="CN5" s="174"/>
      <c r="CO5" s="174"/>
      <c r="CP5" s="174"/>
    </row>
    <row r="6" spans="2:97" s="166" customFormat="1" ht="15" customHeight="1">
      <c r="B6" s="318">
        <f>B8-5</f>
        <v>4</v>
      </c>
      <c r="C6" s="318"/>
      <c r="D6" s="315" t="s">
        <v>3868</v>
      </c>
      <c r="E6" s="315"/>
      <c r="F6" s="315"/>
      <c r="G6" s="175">
        <f>SUM(AD15:AD62)</f>
        <v>0</v>
      </c>
      <c r="H6" s="310">
        <f>SUM(AD66:AD81)</f>
        <v>0</v>
      </c>
      <c r="I6" s="311"/>
      <c r="J6" s="311"/>
      <c r="K6" s="311"/>
      <c r="L6" s="311"/>
      <c r="M6" s="176">
        <f>H6+G6</f>
        <v>0</v>
      </c>
      <c r="X6" s="167"/>
      <c r="AB6" s="167"/>
      <c r="CM6" s="168"/>
      <c r="CN6" s="168"/>
      <c r="CO6" s="168"/>
      <c r="CP6" s="168"/>
    </row>
    <row r="7" spans="2:97" s="166" customFormat="1" ht="15" customHeight="1">
      <c r="B7" s="318"/>
      <c r="C7" s="319"/>
      <c r="D7" s="316" t="s">
        <v>3869</v>
      </c>
      <c r="E7" s="317"/>
      <c r="F7" s="317"/>
      <c r="G7" s="177"/>
      <c r="H7" s="312"/>
      <c r="I7" s="312"/>
      <c r="J7" s="312"/>
      <c r="K7" s="312"/>
      <c r="L7" s="313"/>
      <c r="M7" s="178">
        <f ca="1">INDEX('Player Leaderboard'!$A$9:$A$23,MATCH($D4,'Player Leaderboard'!$B$9:$B$23,0),0)</f>
        <v>4</v>
      </c>
      <c r="P7" s="210" t="str">
        <f>HYPERLINK("["&amp;Setup!$C$5&amp;"]'Player ("&amp;B8-6&amp;")'!B6","&lt;&lt; Previous Player ("&amp;B8-6&amp;")")</f>
        <v>&lt;&lt; Previous Player (3)</v>
      </c>
      <c r="S7" s="167"/>
      <c r="X7" s="167"/>
      <c r="AB7" s="167"/>
      <c r="AC7" s="320" t="str">
        <f>HYPERLINK("["&amp;Setup!$C$5&amp;"]'Player ("&amp;B8-4&amp;")'!B6","Next Player ("&amp;B8-4&amp;") &gt;&gt;")</f>
        <v>Next Player (5) &gt;&gt;</v>
      </c>
      <c r="AD7" s="320"/>
      <c r="AE7" s="320"/>
      <c r="CM7" s="168"/>
      <c r="CN7" s="168"/>
      <c r="CO7" s="168"/>
      <c r="CP7" s="168"/>
    </row>
    <row r="8" spans="2:97" s="166" customFormat="1" ht="15" customHeight="1">
      <c r="B8" s="208">
        <v>9</v>
      </c>
      <c r="J8" s="167"/>
      <c r="S8" s="167"/>
      <c r="X8" s="167"/>
      <c r="AB8" s="167"/>
      <c r="AD8" s="167"/>
      <c r="CM8" s="168"/>
      <c r="CN8" s="168"/>
      <c r="CO8" s="168"/>
      <c r="CP8" s="168"/>
    </row>
    <row r="9" spans="2:97" s="166" customFormat="1" ht="15" customHeight="1">
      <c r="B9" s="314" t="s">
        <v>491</v>
      </c>
      <c r="C9" s="314"/>
      <c r="D9" s="314"/>
      <c r="E9" s="314"/>
      <c r="F9" s="314"/>
      <c r="G9" s="314"/>
      <c r="H9" s="314"/>
      <c r="I9" s="314"/>
      <c r="J9" s="314"/>
      <c r="K9" s="314"/>
      <c r="L9" s="314"/>
      <c r="M9" s="314"/>
      <c r="N9" s="314"/>
      <c r="P9" s="303" t="s">
        <v>492</v>
      </c>
      <c r="Q9" s="304"/>
      <c r="R9" s="304"/>
      <c r="S9" s="304"/>
      <c r="T9" s="304"/>
      <c r="U9" s="304"/>
      <c r="V9" s="304"/>
      <c r="W9" s="304"/>
      <c r="X9" s="304"/>
      <c r="Y9" s="304"/>
      <c r="Z9" s="304"/>
      <c r="AA9" s="304"/>
      <c r="AB9" s="304"/>
      <c r="AC9" s="304"/>
      <c r="AD9" s="304"/>
      <c r="AE9" s="305"/>
      <c r="CM9" s="168"/>
      <c r="CN9" s="168"/>
      <c r="CO9" s="168"/>
      <c r="CP9" s="168"/>
    </row>
    <row r="10" spans="2:97" s="166" customFormat="1" ht="15" customHeight="1">
      <c r="B10" s="180"/>
      <c r="C10" s="180"/>
      <c r="D10" s="180"/>
      <c r="E10" s="180"/>
      <c r="F10" s="180"/>
      <c r="G10" s="180"/>
      <c r="H10" s="180"/>
      <c r="I10" s="180"/>
      <c r="J10" s="181"/>
      <c r="K10" s="180"/>
      <c r="L10" s="180"/>
      <c r="M10" s="180"/>
      <c r="N10" s="180"/>
      <c r="O10" s="180"/>
      <c r="P10" s="180"/>
      <c r="Q10" s="180"/>
      <c r="R10" s="180"/>
      <c r="S10" s="180"/>
      <c r="T10" s="180"/>
      <c r="U10" s="180"/>
      <c r="V10" s="180"/>
      <c r="W10" s="180"/>
      <c r="X10" s="180"/>
      <c r="Y10" s="180"/>
      <c r="Z10" s="180"/>
      <c r="AA10" s="180"/>
      <c r="AB10" s="180"/>
      <c r="AC10" s="180"/>
      <c r="AD10" s="180"/>
      <c r="AE10" s="180"/>
      <c r="AF10" s="180"/>
      <c r="AG10" s="180"/>
      <c r="CM10" s="168"/>
      <c r="CN10" s="168"/>
      <c r="CO10" s="168"/>
      <c r="CP10" s="168"/>
    </row>
    <row r="11" spans="2:97" s="166" customFormat="1" ht="15" customHeight="1">
      <c r="B11" s="300" t="str">
        <f>Tournament!B10</f>
        <v>Group Stages</v>
      </c>
      <c r="C11" s="301"/>
      <c r="D11" s="301"/>
      <c r="E11" s="301"/>
      <c r="F11" s="301"/>
      <c r="G11" s="301"/>
      <c r="H11" s="301"/>
      <c r="I11" s="301"/>
      <c r="J11" s="301"/>
      <c r="K11" s="301"/>
      <c r="L11" s="301"/>
      <c r="M11" s="301"/>
      <c r="N11" s="302"/>
      <c r="P11" s="303" t="str">
        <f>B11</f>
        <v>Group Stages</v>
      </c>
      <c r="Q11" s="304"/>
      <c r="R11" s="304"/>
      <c r="S11" s="304"/>
      <c r="T11" s="304"/>
      <c r="U11" s="304"/>
      <c r="V11" s="304"/>
      <c r="W11" s="304"/>
      <c r="X11" s="304"/>
      <c r="Y11" s="304"/>
      <c r="Z11" s="304"/>
      <c r="AA11" s="304"/>
      <c r="AB11" s="304"/>
      <c r="AC11" s="304"/>
      <c r="AD11" s="304"/>
      <c r="AE11" s="305"/>
      <c r="CM11" s="168"/>
      <c r="CN11" s="168"/>
      <c r="CO11" s="168"/>
      <c r="CP11" s="168"/>
    </row>
    <row r="12" spans="2:97" s="166" customFormat="1" ht="15" customHeight="1">
      <c r="B12" s="182"/>
      <c r="C12" s="180"/>
      <c r="D12" s="180"/>
      <c r="E12" s="180"/>
      <c r="F12" s="180"/>
      <c r="G12" s="180"/>
      <c r="H12" s="180"/>
      <c r="I12" s="180"/>
      <c r="J12" s="181"/>
      <c r="K12" s="180"/>
      <c r="L12" s="180"/>
      <c r="M12" s="180"/>
      <c r="N12" s="183"/>
      <c r="P12" s="182"/>
      <c r="Q12" s="180"/>
      <c r="R12" s="180"/>
      <c r="S12" s="180"/>
      <c r="T12" s="180"/>
      <c r="U12" s="180"/>
      <c r="V12" s="180"/>
      <c r="W12" s="180"/>
      <c r="X12" s="180"/>
      <c r="Y12" s="180"/>
      <c r="Z12" s="180"/>
      <c r="AA12" s="180"/>
      <c r="AB12" s="180"/>
      <c r="AC12" s="180"/>
      <c r="AD12" s="180"/>
      <c r="AE12" s="183"/>
      <c r="CM12" s="168"/>
      <c r="CN12" s="168"/>
      <c r="CO12" s="168"/>
      <c r="CP12" s="168"/>
    </row>
    <row r="13" spans="2:97" s="166" customFormat="1" ht="15" customHeight="1">
      <c r="B13" s="182"/>
      <c r="C13" s="184" t="str">
        <f>Tournament!D14</f>
        <v>Match #</v>
      </c>
      <c r="D13" s="184" t="str">
        <f>Tournament!E14</f>
        <v>Group</v>
      </c>
      <c r="E13" s="184" t="str">
        <f>Tournament!F14</f>
        <v>Date</v>
      </c>
      <c r="F13" s="184" t="str">
        <f>Tournament!G14</f>
        <v>Time</v>
      </c>
      <c r="G13" s="184" t="str">
        <f>Tournament!H14</f>
        <v>Country</v>
      </c>
      <c r="H13" s="184"/>
      <c r="I13" s="306" t="str">
        <f>Tournament!J14</f>
        <v>Score</v>
      </c>
      <c r="J13" s="306"/>
      <c r="K13" s="306"/>
      <c r="L13" s="184"/>
      <c r="M13" s="184" t="str">
        <f>Tournament!N14</f>
        <v>Country</v>
      </c>
      <c r="N13" s="183"/>
      <c r="P13" s="185" t="str">
        <f>G13</f>
        <v>Country</v>
      </c>
      <c r="Q13" s="184"/>
      <c r="R13" s="306" t="str">
        <f>I13</f>
        <v>Score</v>
      </c>
      <c r="S13" s="306"/>
      <c r="T13" s="306"/>
      <c r="U13" s="184"/>
      <c r="V13" s="184" t="str">
        <f>M13</f>
        <v>Country</v>
      </c>
      <c r="W13" s="306"/>
      <c r="X13" s="306"/>
      <c r="Y13" s="306"/>
      <c r="Z13" s="184"/>
      <c r="AA13" s="306"/>
      <c r="AB13" s="306"/>
      <c r="AC13" s="306"/>
      <c r="AD13" s="184" t="s">
        <v>3277</v>
      </c>
      <c r="AE13" s="183"/>
      <c r="CP13" s="168"/>
      <c r="CQ13" s="186"/>
      <c r="CR13" s="187"/>
      <c r="CS13" s="168"/>
    </row>
    <row r="14" spans="2:97" s="166" customFormat="1" ht="15" customHeight="1">
      <c r="B14" s="182"/>
      <c r="C14" s="180"/>
      <c r="D14" s="180"/>
      <c r="E14" s="180"/>
      <c r="F14" s="180"/>
      <c r="G14" s="180"/>
      <c r="H14" s="180"/>
      <c r="I14" s="180"/>
      <c r="J14" s="180"/>
      <c r="K14" s="180"/>
      <c r="L14" s="180"/>
      <c r="M14" s="180"/>
      <c r="N14" s="183"/>
      <c r="P14" s="182"/>
      <c r="Q14" s="180"/>
      <c r="R14" s="180"/>
      <c r="S14" s="180"/>
      <c r="T14" s="180"/>
      <c r="U14" s="180"/>
      <c r="V14" s="180"/>
      <c r="W14" s="180"/>
      <c r="X14" s="180"/>
      <c r="Y14" s="180"/>
      <c r="Z14" s="180"/>
      <c r="AA14" s="180"/>
      <c r="AB14" s="180"/>
      <c r="AC14" s="180"/>
      <c r="AD14" s="181"/>
      <c r="AE14" s="183"/>
      <c r="CP14" s="168"/>
      <c r="CQ14" s="186"/>
      <c r="CR14" s="187"/>
      <c r="CS14" s="168"/>
    </row>
    <row r="15" spans="2:97" s="166" customFormat="1" ht="15" customHeight="1">
      <c r="B15" s="182"/>
      <c r="C15" s="181">
        <f>Tournament!D16</f>
        <v>1</v>
      </c>
      <c r="D15" s="181" t="str">
        <f>Tournament!E16</f>
        <v>A</v>
      </c>
      <c r="E15" s="188">
        <f>Tournament!F16</f>
        <v>41802.708333333336</v>
      </c>
      <c r="F15" s="189">
        <f>Tournament!G16</f>
        <v>41802.708333333336</v>
      </c>
      <c r="G15" s="190" t="str">
        <f>Tournament!H16</f>
        <v>Brazil</v>
      </c>
      <c r="H15" s="180"/>
      <c r="I15" s="9"/>
      <c r="J15" s="191" t="s">
        <v>3088</v>
      </c>
      <c r="K15" s="9"/>
      <c r="L15" s="180"/>
      <c r="M15" s="180" t="str">
        <f>Tournament!N16</f>
        <v>Croatia</v>
      </c>
      <c r="N15" s="183"/>
      <c r="O15" s="180"/>
      <c r="P15" s="192" t="str">
        <f>G15</f>
        <v>Brazil</v>
      </c>
      <c r="Q15" s="193"/>
      <c r="R15" s="194">
        <f>IF(Tournament!J16&lt;&gt;"",Tournament!J16,"")</f>
        <v>3</v>
      </c>
      <c r="S15" s="194" t="s">
        <v>3088</v>
      </c>
      <c r="T15" s="194">
        <f>IF(Tournament!L16&lt;&gt;"",Tournament!L16,"")</f>
        <v>1</v>
      </c>
      <c r="U15" s="193"/>
      <c r="V15" s="193" t="str">
        <f>M15</f>
        <v>Croatia</v>
      </c>
      <c r="W15" s="194"/>
      <c r="X15" s="194"/>
      <c r="Y15" s="194"/>
      <c r="Z15" s="194"/>
      <c r="AA15" s="194"/>
      <c r="AB15" s="194"/>
      <c r="AC15" s="194"/>
      <c r="AD15" s="195" t="str">
        <f>IF(AND(I15&lt;&gt;"",K15&lt;&gt;"",R15&lt;&gt;"",T15&lt;&gt;""),IF(AND(I15=R15,K15=T15),Setup!$D$10,IF((I15-K15)=(R15-T15),Setup!$D$11,IF(AND((I15&gt;K15),(R15&gt;T15)),Setup!$D$12,IF(AND((K15&gt;I15),(T15&gt;R15)),Setup!$D$12,0)))),"")</f>
        <v/>
      </c>
      <c r="AE15" s="183"/>
      <c r="CP15" s="168"/>
      <c r="CQ15" s="186"/>
      <c r="CR15" s="187"/>
      <c r="CS15" s="168"/>
    </row>
    <row r="16" spans="2:97" s="166" customFormat="1" ht="15" customHeight="1">
      <c r="B16" s="182"/>
      <c r="C16" s="181">
        <f>Tournament!D17</f>
        <v>2</v>
      </c>
      <c r="D16" s="181" t="str">
        <f>Tournament!E17</f>
        <v>A</v>
      </c>
      <c r="E16" s="188">
        <f>Tournament!F17</f>
        <v>41803.541666666664</v>
      </c>
      <c r="F16" s="189">
        <f>Tournament!G17</f>
        <v>41803.541666666664</v>
      </c>
      <c r="G16" s="190" t="str">
        <f>Tournament!H17</f>
        <v>Mexico</v>
      </c>
      <c r="H16" s="180"/>
      <c r="I16" s="9"/>
      <c r="J16" s="191" t="s">
        <v>3088</v>
      </c>
      <c r="K16" s="9"/>
      <c r="L16" s="180"/>
      <c r="M16" s="180" t="str">
        <f>Tournament!N17</f>
        <v>Cameroon</v>
      </c>
      <c r="N16" s="183"/>
      <c r="P16" s="192" t="str">
        <f t="shared" ref="P16:P62" si="0">G16</f>
        <v>Mexico</v>
      </c>
      <c r="Q16" s="193"/>
      <c r="R16" s="194">
        <f>IF(Tournament!J17&lt;&gt;"",Tournament!J17,"")</f>
        <v>1</v>
      </c>
      <c r="S16" s="194" t="s">
        <v>3088</v>
      </c>
      <c r="T16" s="194">
        <f>IF(Tournament!L17&lt;&gt;"",Tournament!L17,"")</f>
        <v>0</v>
      </c>
      <c r="U16" s="193"/>
      <c r="V16" s="193" t="str">
        <f t="shared" ref="V16:V62" si="1">M16</f>
        <v>Cameroon</v>
      </c>
      <c r="W16" s="194"/>
      <c r="X16" s="194"/>
      <c r="Y16" s="194"/>
      <c r="Z16" s="194"/>
      <c r="AA16" s="194"/>
      <c r="AB16" s="194"/>
      <c r="AC16" s="194"/>
      <c r="AD16" s="195" t="str">
        <f>IF(AND(I16&lt;&gt;"",K16&lt;&gt;"",R16&lt;&gt;"",T16&lt;&gt;""),IF(AND(I16=R16,K16=T16),Setup!$D$10,IF((I16-K16)=(R16-T16),Setup!$D$11,IF(AND((I16&gt;K16),(R16&gt;T16)),Setup!$D$12,IF(AND((K16&gt;I16),(T16&gt;R16)),Setup!$D$12,0)))),"")</f>
        <v/>
      </c>
      <c r="AE16" s="183"/>
      <c r="AI16" s="179" t="s">
        <v>3904</v>
      </c>
      <c r="CP16" s="168"/>
      <c r="CQ16" s="186"/>
      <c r="CR16" s="187"/>
      <c r="CS16" s="168"/>
    </row>
    <row r="17" spans="2:97" s="166" customFormat="1" ht="15" customHeight="1">
      <c r="B17" s="182"/>
      <c r="C17" s="181">
        <f>Tournament!D18</f>
        <v>3</v>
      </c>
      <c r="D17" s="181" t="str">
        <f>Tournament!E18</f>
        <v>B</v>
      </c>
      <c r="E17" s="188">
        <f>Tournament!F18</f>
        <v>41803.666666666664</v>
      </c>
      <c r="F17" s="189">
        <f>Tournament!G18</f>
        <v>41803.666666666664</v>
      </c>
      <c r="G17" s="190" t="str">
        <f>Tournament!H18</f>
        <v>Spain</v>
      </c>
      <c r="H17" s="180"/>
      <c r="I17" s="9"/>
      <c r="J17" s="191" t="s">
        <v>3088</v>
      </c>
      <c r="K17" s="9"/>
      <c r="L17" s="180"/>
      <c r="M17" s="180" t="str">
        <f>Tournament!N18</f>
        <v>Netherlands</v>
      </c>
      <c r="N17" s="183"/>
      <c r="P17" s="192" t="str">
        <f t="shared" si="0"/>
        <v>Spain</v>
      </c>
      <c r="Q17" s="193"/>
      <c r="R17" s="194">
        <f>IF(Tournament!J18&lt;&gt;"",Tournament!J18,"")</f>
        <v>1</v>
      </c>
      <c r="S17" s="194" t="s">
        <v>3088</v>
      </c>
      <c r="T17" s="194">
        <f>IF(Tournament!L18&lt;&gt;"",Tournament!L18,"")</f>
        <v>5</v>
      </c>
      <c r="U17" s="193"/>
      <c r="V17" s="193" t="str">
        <f t="shared" si="1"/>
        <v>Netherlands</v>
      </c>
      <c r="W17" s="194"/>
      <c r="X17" s="194"/>
      <c r="Y17" s="194"/>
      <c r="Z17" s="194"/>
      <c r="AA17" s="194"/>
      <c r="AB17" s="194"/>
      <c r="AC17" s="194"/>
      <c r="AD17" s="195" t="str">
        <f>IF(AND(I17&lt;&gt;"",K17&lt;&gt;"",R17&lt;&gt;"",T17&lt;&gt;""),IF(AND(I17=R17,K17=T17),Setup!$D$10,IF((I17-K17)=(R17-T17),Setup!$D$11,IF(AND((I17&gt;K17),(R17&gt;T17)),Setup!$D$12,IF(AND((K17&gt;I17),(T17&gt;R17)),Setup!$D$12,0)))),"")</f>
        <v/>
      </c>
      <c r="AE17" s="183"/>
      <c r="CP17" s="168"/>
      <c r="CQ17" s="186"/>
      <c r="CR17" s="187"/>
      <c r="CS17" s="168"/>
    </row>
    <row r="18" spans="2:97" s="166" customFormat="1" ht="15" customHeight="1">
      <c r="B18" s="182"/>
      <c r="C18" s="181">
        <f>Tournament!D19</f>
        <v>4</v>
      </c>
      <c r="D18" s="181" t="str">
        <f>Tournament!E19</f>
        <v>B</v>
      </c>
      <c r="E18" s="188">
        <f>Tournament!F19</f>
        <v>41803.791666666664</v>
      </c>
      <c r="F18" s="189">
        <f>Tournament!G19</f>
        <v>41803.791666666664</v>
      </c>
      <c r="G18" s="190" t="str">
        <f>Tournament!H19</f>
        <v>Chile</v>
      </c>
      <c r="H18" s="180"/>
      <c r="I18" s="9"/>
      <c r="J18" s="191" t="s">
        <v>3088</v>
      </c>
      <c r="K18" s="9"/>
      <c r="L18" s="180"/>
      <c r="M18" s="180" t="str">
        <f>Tournament!N19</f>
        <v>Australia</v>
      </c>
      <c r="N18" s="183"/>
      <c r="P18" s="192" t="str">
        <f t="shared" si="0"/>
        <v>Chile</v>
      </c>
      <c r="Q18" s="193"/>
      <c r="R18" s="194">
        <f>IF(Tournament!J19&lt;&gt;"",Tournament!J19,"")</f>
        <v>3</v>
      </c>
      <c r="S18" s="194" t="s">
        <v>3088</v>
      </c>
      <c r="T18" s="194">
        <f>IF(Tournament!L19&lt;&gt;"",Tournament!L19,"")</f>
        <v>1</v>
      </c>
      <c r="U18" s="193"/>
      <c r="V18" s="193" t="str">
        <f t="shared" si="1"/>
        <v>Australia</v>
      </c>
      <c r="W18" s="194"/>
      <c r="X18" s="194"/>
      <c r="Y18" s="194"/>
      <c r="Z18" s="194"/>
      <c r="AA18" s="194"/>
      <c r="AB18" s="194"/>
      <c r="AC18" s="194"/>
      <c r="AD18" s="195" t="str">
        <f>IF(AND(I18&lt;&gt;"",K18&lt;&gt;"",R18&lt;&gt;"",T18&lt;&gt;""),IF(AND(I18=R18,K18=T18),Setup!$D$10,IF((I18-K18)=(R18-T18),Setup!$D$11,IF(AND((I18&gt;K18),(R18&gt;T18)),Setup!$D$12,IF(AND((K18&gt;I18),(T18&gt;R18)),Setup!$D$12,0)))),"")</f>
        <v/>
      </c>
      <c r="AE18" s="183"/>
      <c r="CP18" s="168"/>
      <c r="CQ18" s="186"/>
      <c r="CR18" s="187"/>
      <c r="CS18" s="168"/>
    </row>
    <row r="19" spans="2:97" s="166" customFormat="1" ht="15" customHeight="1">
      <c r="B19" s="182"/>
      <c r="C19" s="181">
        <f>Tournament!D20</f>
        <v>5</v>
      </c>
      <c r="D19" s="181" t="str">
        <f>Tournament!E20</f>
        <v>C</v>
      </c>
      <c r="E19" s="188">
        <f>Tournament!F20</f>
        <v>41804.541666666664</v>
      </c>
      <c r="F19" s="189">
        <f>Tournament!G20</f>
        <v>41804.541666666664</v>
      </c>
      <c r="G19" s="190" t="str">
        <f>Tournament!H20</f>
        <v>Colombia</v>
      </c>
      <c r="H19" s="180"/>
      <c r="I19" s="9"/>
      <c r="J19" s="191" t="s">
        <v>3088</v>
      </c>
      <c r="K19" s="9"/>
      <c r="L19" s="180"/>
      <c r="M19" s="180" t="str">
        <f>Tournament!N20</f>
        <v>Greece</v>
      </c>
      <c r="N19" s="183"/>
      <c r="P19" s="192" t="str">
        <f t="shared" si="0"/>
        <v>Colombia</v>
      </c>
      <c r="Q19" s="193"/>
      <c r="R19" s="194" t="str">
        <f>IF(Tournament!J20&lt;&gt;"",Tournament!J20,"")</f>
        <v/>
      </c>
      <c r="S19" s="194" t="s">
        <v>3088</v>
      </c>
      <c r="T19" s="194" t="str">
        <f>IF(Tournament!L20&lt;&gt;"",Tournament!L20,"")</f>
        <v/>
      </c>
      <c r="U19" s="193"/>
      <c r="V19" s="193" t="str">
        <f t="shared" si="1"/>
        <v>Greece</v>
      </c>
      <c r="W19" s="194"/>
      <c r="X19" s="194"/>
      <c r="Y19" s="194"/>
      <c r="Z19" s="194"/>
      <c r="AA19" s="194"/>
      <c r="AB19" s="194"/>
      <c r="AC19" s="194"/>
      <c r="AD19" s="195" t="str">
        <f>IF(AND(I19&lt;&gt;"",K19&lt;&gt;"",R19&lt;&gt;"",T19&lt;&gt;""),IF(AND(I19=R19,K19=T19),Setup!$D$10,IF((I19-K19)=(R19-T19),Setup!$D$11,IF(AND((I19&gt;K19),(R19&gt;T19)),Setup!$D$12,IF(AND((K19&gt;I19),(T19&gt;R19)),Setup!$D$12,0)))),"")</f>
        <v/>
      </c>
      <c r="AE19" s="183"/>
      <c r="CP19" s="168"/>
      <c r="CQ19" s="186"/>
      <c r="CR19" s="187"/>
      <c r="CS19" s="168"/>
    </row>
    <row r="20" spans="2:97" s="166" customFormat="1" ht="15" customHeight="1">
      <c r="B20" s="182"/>
      <c r="C20" s="181">
        <f>Tournament!D21</f>
        <v>6</v>
      </c>
      <c r="D20" s="181" t="str">
        <f>Tournament!E21</f>
        <v>C</v>
      </c>
      <c r="E20" s="188">
        <f>Tournament!F21</f>
        <v>41804.916666666664</v>
      </c>
      <c r="F20" s="189">
        <f>Tournament!G21</f>
        <v>41804.916666666664</v>
      </c>
      <c r="G20" s="190" t="str">
        <f>Tournament!H21</f>
        <v>Ivory Coast</v>
      </c>
      <c r="H20" s="180"/>
      <c r="I20" s="9"/>
      <c r="J20" s="191" t="s">
        <v>3088</v>
      </c>
      <c r="K20" s="9"/>
      <c r="L20" s="180"/>
      <c r="M20" s="180" t="str">
        <f>Tournament!N21</f>
        <v>Japan</v>
      </c>
      <c r="N20" s="183"/>
      <c r="P20" s="192" t="str">
        <f t="shared" si="0"/>
        <v>Ivory Coast</v>
      </c>
      <c r="Q20" s="193"/>
      <c r="R20" s="194" t="str">
        <f>IF(Tournament!J21&lt;&gt;"",Tournament!J21,"")</f>
        <v/>
      </c>
      <c r="S20" s="194" t="s">
        <v>3088</v>
      </c>
      <c r="T20" s="194" t="str">
        <f>IF(Tournament!L21&lt;&gt;"",Tournament!L21,"")</f>
        <v/>
      </c>
      <c r="U20" s="193"/>
      <c r="V20" s="193" t="str">
        <f t="shared" si="1"/>
        <v>Japan</v>
      </c>
      <c r="W20" s="194"/>
      <c r="X20" s="194"/>
      <c r="Y20" s="194"/>
      <c r="Z20" s="194"/>
      <c r="AA20" s="194"/>
      <c r="AB20" s="194"/>
      <c r="AC20" s="194"/>
      <c r="AD20" s="195" t="str">
        <f>IF(AND(I20&lt;&gt;"",K20&lt;&gt;"",R20&lt;&gt;"",T20&lt;&gt;""),IF(AND(I20=R20,K20=T20),Setup!$D$10,IF((I20-K20)=(R20-T20),Setup!$D$11,IF(AND((I20&gt;K20),(R20&gt;T20)),Setup!$D$12,IF(AND((K20&gt;I20),(T20&gt;R20)),Setup!$D$12,0)))),"")</f>
        <v/>
      </c>
      <c r="AE20" s="183"/>
      <c r="CP20" s="168"/>
      <c r="CQ20" s="186"/>
      <c r="CR20" s="187"/>
      <c r="CS20" s="168"/>
    </row>
    <row r="21" spans="2:97" s="166" customFormat="1" ht="15" customHeight="1">
      <c r="B21" s="182"/>
      <c r="C21" s="181">
        <f>Tournament!D22</f>
        <v>7</v>
      </c>
      <c r="D21" s="181" t="str">
        <f>Tournament!E22</f>
        <v>D</v>
      </c>
      <c r="E21" s="188">
        <f>Tournament!F22</f>
        <v>41804.666666666664</v>
      </c>
      <c r="F21" s="189">
        <f>Tournament!G22</f>
        <v>41804.666666666664</v>
      </c>
      <c r="G21" s="190" t="str">
        <f>Tournament!H22</f>
        <v>Uruguay</v>
      </c>
      <c r="H21" s="180"/>
      <c r="I21" s="9"/>
      <c r="J21" s="191" t="s">
        <v>3088</v>
      </c>
      <c r="K21" s="9"/>
      <c r="L21" s="180"/>
      <c r="M21" s="180" t="str">
        <f>Tournament!N22</f>
        <v>Costa Rica</v>
      </c>
      <c r="N21" s="183"/>
      <c r="P21" s="192" t="str">
        <f t="shared" si="0"/>
        <v>Uruguay</v>
      </c>
      <c r="Q21" s="193"/>
      <c r="R21" s="194" t="str">
        <f>IF(Tournament!J22&lt;&gt;"",Tournament!J22,"")</f>
        <v/>
      </c>
      <c r="S21" s="194" t="s">
        <v>3088</v>
      </c>
      <c r="T21" s="194" t="str">
        <f>IF(Tournament!L22&lt;&gt;"",Tournament!L22,"")</f>
        <v/>
      </c>
      <c r="U21" s="193"/>
      <c r="V21" s="193" t="str">
        <f t="shared" si="1"/>
        <v>Costa Rica</v>
      </c>
      <c r="W21" s="194"/>
      <c r="X21" s="194"/>
      <c r="Y21" s="194"/>
      <c r="Z21" s="194"/>
      <c r="AA21" s="194"/>
      <c r="AB21" s="194"/>
      <c r="AC21" s="194"/>
      <c r="AD21" s="195" t="str">
        <f>IF(AND(I21&lt;&gt;"",K21&lt;&gt;"",R21&lt;&gt;"",T21&lt;&gt;""),IF(AND(I21=R21,K21=T21),Setup!$D$10,IF((I21-K21)=(R21-T21),Setup!$D$11,IF(AND((I21&gt;K21),(R21&gt;T21)),Setup!$D$12,IF(AND((K21&gt;I21),(T21&gt;R21)),Setup!$D$12,0)))),"")</f>
        <v/>
      </c>
      <c r="AE21" s="183"/>
      <c r="CP21" s="168"/>
      <c r="CQ21" s="196"/>
      <c r="CR21" s="187"/>
      <c r="CS21" s="168"/>
    </row>
    <row r="22" spans="2:97" s="166" customFormat="1" ht="15" customHeight="1">
      <c r="B22" s="182"/>
      <c r="C22" s="181">
        <f>Tournament!D23</f>
        <v>8</v>
      </c>
      <c r="D22" s="181" t="str">
        <f>Tournament!E23</f>
        <v>D</v>
      </c>
      <c r="E22" s="188">
        <f>Tournament!F23</f>
        <v>41804.791666666664</v>
      </c>
      <c r="F22" s="189">
        <f>Tournament!G23</f>
        <v>41804.791666666664</v>
      </c>
      <c r="G22" s="190" t="str">
        <f>Tournament!H23</f>
        <v>England</v>
      </c>
      <c r="H22" s="180"/>
      <c r="I22" s="9"/>
      <c r="J22" s="191" t="s">
        <v>3088</v>
      </c>
      <c r="K22" s="9"/>
      <c r="L22" s="180"/>
      <c r="M22" s="180" t="str">
        <f>Tournament!N23</f>
        <v>Italy</v>
      </c>
      <c r="N22" s="183"/>
      <c r="P22" s="192" t="str">
        <f t="shared" si="0"/>
        <v>England</v>
      </c>
      <c r="Q22" s="193"/>
      <c r="R22" s="194" t="str">
        <f>IF(Tournament!J23&lt;&gt;"",Tournament!J23,"")</f>
        <v/>
      </c>
      <c r="S22" s="194" t="s">
        <v>3088</v>
      </c>
      <c r="T22" s="194" t="str">
        <f>IF(Tournament!L23&lt;&gt;"",Tournament!L23,"")</f>
        <v/>
      </c>
      <c r="U22" s="193"/>
      <c r="V22" s="193" t="str">
        <f t="shared" si="1"/>
        <v>Italy</v>
      </c>
      <c r="W22" s="194"/>
      <c r="X22" s="194"/>
      <c r="Y22" s="194"/>
      <c r="Z22" s="194"/>
      <c r="AA22" s="194"/>
      <c r="AB22" s="194"/>
      <c r="AC22" s="194"/>
      <c r="AD22" s="195" t="str">
        <f>IF(AND(I22&lt;&gt;"",K22&lt;&gt;"",R22&lt;&gt;"",T22&lt;&gt;""),IF(AND(I22=R22,K22=T22),Setup!$D$10,IF((I22-K22)=(R22-T22),Setup!$D$11,IF(AND((I22&gt;K22),(R22&gt;T22)),Setup!$D$12,IF(AND((K22&gt;I22),(T22&gt;R22)),Setup!$D$12,0)))),"")</f>
        <v/>
      </c>
      <c r="AE22" s="183"/>
      <c r="CP22" s="168"/>
      <c r="CQ22" s="186"/>
      <c r="CR22" s="187"/>
      <c r="CS22" s="168"/>
    </row>
    <row r="23" spans="2:97" s="166" customFormat="1" ht="15" customHeight="1">
      <c r="B23" s="182"/>
      <c r="C23" s="181">
        <f>Tournament!D24</f>
        <v>9</v>
      </c>
      <c r="D23" s="181" t="str">
        <f>Tournament!E24</f>
        <v>E</v>
      </c>
      <c r="E23" s="188">
        <f>Tournament!F24</f>
        <v>41805.541666666664</v>
      </c>
      <c r="F23" s="189">
        <f>Tournament!G24</f>
        <v>41805.541666666664</v>
      </c>
      <c r="G23" s="190" t="str">
        <f>Tournament!H24</f>
        <v>Switzerland</v>
      </c>
      <c r="H23" s="180"/>
      <c r="I23" s="9"/>
      <c r="J23" s="191" t="s">
        <v>3088</v>
      </c>
      <c r="K23" s="9"/>
      <c r="L23" s="180"/>
      <c r="M23" s="180" t="str">
        <f>Tournament!N24</f>
        <v>Ecuador</v>
      </c>
      <c r="N23" s="183"/>
      <c r="P23" s="192" t="str">
        <f t="shared" si="0"/>
        <v>Switzerland</v>
      </c>
      <c r="Q23" s="193"/>
      <c r="R23" s="194" t="str">
        <f>IF(Tournament!J24&lt;&gt;"",Tournament!J24,"")</f>
        <v/>
      </c>
      <c r="S23" s="194" t="s">
        <v>3088</v>
      </c>
      <c r="T23" s="194" t="str">
        <f>IF(Tournament!L24&lt;&gt;"",Tournament!L24,"")</f>
        <v/>
      </c>
      <c r="U23" s="193"/>
      <c r="V23" s="193" t="str">
        <f t="shared" si="1"/>
        <v>Ecuador</v>
      </c>
      <c r="W23" s="194"/>
      <c r="X23" s="194"/>
      <c r="Y23" s="194"/>
      <c r="Z23" s="194"/>
      <c r="AA23" s="194"/>
      <c r="AB23" s="194"/>
      <c r="AC23" s="194"/>
      <c r="AD23" s="195" t="str">
        <f>IF(AND(I23&lt;&gt;"",K23&lt;&gt;"",R23&lt;&gt;"",T23&lt;&gt;""),IF(AND(I23=R23,K23=T23),Setup!$D$10,IF((I23-K23)=(R23-T23),Setup!$D$11,IF(AND((I23&gt;K23),(R23&gt;T23)),Setup!$D$12,IF(AND((K23&gt;I23),(T23&gt;R23)),Setup!$D$12,0)))),"")</f>
        <v/>
      </c>
      <c r="AE23" s="183"/>
      <c r="CP23" s="168"/>
      <c r="CQ23" s="186"/>
      <c r="CR23" s="187"/>
      <c r="CS23" s="168"/>
    </row>
    <row r="24" spans="2:97" s="166" customFormat="1" ht="15" customHeight="1">
      <c r="B24" s="182"/>
      <c r="C24" s="181">
        <f>Tournament!D25</f>
        <v>10</v>
      </c>
      <c r="D24" s="181" t="str">
        <f>Tournament!E25</f>
        <v>E</v>
      </c>
      <c r="E24" s="188">
        <f>Tournament!F25</f>
        <v>41805.666666666664</v>
      </c>
      <c r="F24" s="189">
        <f>Tournament!G25</f>
        <v>41805.666666666664</v>
      </c>
      <c r="G24" s="190" t="str">
        <f>Tournament!H25</f>
        <v>France</v>
      </c>
      <c r="H24" s="180"/>
      <c r="I24" s="9"/>
      <c r="J24" s="191" t="s">
        <v>3088</v>
      </c>
      <c r="K24" s="9"/>
      <c r="L24" s="180"/>
      <c r="M24" s="180" t="str">
        <f>Tournament!N25</f>
        <v>Honduras</v>
      </c>
      <c r="N24" s="183"/>
      <c r="P24" s="192" t="str">
        <f t="shared" si="0"/>
        <v>France</v>
      </c>
      <c r="Q24" s="193"/>
      <c r="R24" s="194" t="str">
        <f>IF(Tournament!J25&lt;&gt;"",Tournament!J25,"")</f>
        <v/>
      </c>
      <c r="S24" s="194" t="s">
        <v>3088</v>
      </c>
      <c r="T24" s="194" t="str">
        <f>IF(Tournament!L25&lt;&gt;"",Tournament!L25,"")</f>
        <v/>
      </c>
      <c r="U24" s="193"/>
      <c r="V24" s="193" t="str">
        <f t="shared" si="1"/>
        <v>Honduras</v>
      </c>
      <c r="W24" s="194"/>
      <c r="X24" s="194"/>
      <c r="Y24" s="194"/>
      <c r="Z24" s="194"/>
      <c r="AA24" s="194"/>
      <c r="AB24" s="194"/>
      <c r="AC24" s="194"/>
      <c r="AD24" s="195" t="str">
        <f>IF(AND(I24&lt;&gt;"",K24&lt;&gt;"",R24&lt;&gt;"",T24&lt;&gt;""),IF(AND(I24=R24,K24=T24),Setup!$D$10,IF((I24-K24)=(R24-T24),Setup!$D$11,IF(AND((I24&gt;K24),(R24&gt;T24)),Setup!$D$12,IF(AND((K24&gt;I24),(T24&gt;R24)),Setup!$D$12,0)))),"")</f>
        <v/>
      </c>
      <c r="AE24" s="183"/>
      <c r="CP24" s="168"/>
      <c r="CQ24" s="186"/>
      <c r="CR24" s="187"/>
      <c r="CS24" s="168"/>
    </row>
    <row r="25" spans="2:97" s="166" customFormat="1" ht="15" customHeight="1">
      <c r="B25" s="182"/>
      <c r="C25" s="181">
        <f>Tournament!D26</f>
        <v>11</v>
      </c>
      <c r="D25" s="181" t="str">
        <f>Tournament!E26</f>
        <v>F</v>
      </c>
      <c r="E25" s="188">
        <f>Tournament!F26</f>
        <v>41805.791666666664</v>
      </c>
      <c r="F25" s="189">
        <f>Tournament!G26</f>
        <v>41805.791666666664</v>
      </c>
      <c r="G25" s="190" t="str">
        <f>Tournament!H26</f>
        <v>Argentina</v>
      </c>
      <c r="H25" s="180"/>
      <c r="I25" s="9"/>
      <c r="J25" s="191" t="s">
        <v>3088</v>
      </c>
      <c r="K25" s="9"/>
      <c r="L25" s="180"/>
      <c r="M25" s="180" t="str">
        <f>Tournament!N26</f>
        <v>Bosnia-Herzegovina</v>
      </c>
      <c r="N25" s="183"/>
      <c r="P25" s="192" t="str">
        <f t="shared" si="0"/>
        <v>Argentina</v>
      </c>
      <c r="Q25" s="193"/>
      <c r="R25" s="194" t="str">
        <f>IF(Tournament!J26&lt;&gt;"",Tournament!J26,"")</f>
        <v/>
      </c>
      <c r="S25" s="194" t="s">
        <v>3088</v>
      </c>
      <c r="T25" s="194" t="str">
        <f>IF(Tournament!L26&lt;&gt;"",Tournament!L26,"")</f>
        <v/>
      </c>
      <c r="U25" s="193"/>
      <c r="V25" s="193" t="str">
        <f t="shared" si="1"/>
        <v>Bosnia-Herzegovina</v>
      </c>
      <c r="W25" s="194"/>
      <c r="X25" s="194"/>
      <c r="Y25" s="194"/>
      <c r="Z25" s="194"/>
      <c r="AA25" s="194"/>
      <c r="AB25" s="194"/>
      <c r="AC25" s="194"/>
      <c r="AD25" s="195" t="str">
        <f>IF(AND(I25&lt;&gt;"",K25&lt;&gt;"",R25&lt;&gt;"",T25&lt;&gt;""),IF(AND(I25=R25,K25=T25),Setup!$D$10,IF((I25-K25)=(R25-T25),Setup!$D$11,IF(AND((I25&gt;K25),(R25&gt;T25)),Setup!$D$12,IF(AND((K25&gt;I25),(T25&gt;R25)),Setup!$D$12,0)))),"")</f>
        <v/>
      </c>
      <c r="AE25" s="183"/>
      <c r="CP25" s="168"/>
      <c r="CQ25" s="186"/>
      <c r="CR25" s="187"/>
      <c r="CS25" s="168"/>
    </row>
    <row r="26" spans="2:97" s="166" customFormat="1" ht="15" customHeight="1">
      <c r="B26" s="182"/>
      <c r="C26" s="181">
        <f>Tournament!D27</f>
        <v>12</v>
      </c>
      <c r="D26" s="181" t="str">
        <f>Tournament!E27</f>
        <v>F</v>
      </c>
      <c r="E26" s="188">
        <f>Tournament!F27</f>
        <v>41806.666666666664</v>
      </c>
      <c r="F26" s="189">
        <f>Tournament!G27</f>
        <v>41806.666666666664</v>
      </c>
      <c r="G26" s="190" t="str">
        <f>Tournament!H27</f>
        <v>Iran</v>
      </c>
      <c r="H26" s="180"/>
      <c r="I26" s="9"/>
      <c r="J26" s="191" t="s">
        <v>3088</v>
      </c>
      <c r="K26" s="9"/>
      <c r="L26" s="180"/>
      <c r="M26" s="180" t="str">
        <f>Tournament!N27</f>
        <v>Nigeria</v>
      </c>
      <c r="N26" s="183"/>
      <c r="P26" s="192" t="str">
        <f t="shared" si="0"/>
        <v>Iran</v>
      </c>
      <c r="Q26" s="193"/>
      <c r="R26" s="194" t="str">
        <f>IF(Tournament!J27&lt;&gt;"",Tournament!J27,"")</f>
        <v/>
      </c>
      <c r="S26" s="194" t="s">
        <v>3088</v>
      </c>
      <c r="T26" s="194" t="str">
        <f>IF(Tournament!L27&lt;&gt;"",Tournament!L27,"")</f>
        <v/>
      </c>
      <c r="U26" s="193"/>
      <c r="V26" s="193" t="str">
        <f t="shared" si="1"/>
        <v>Nigeria</v>
      </c>
      <c r="W26" s="194"/>
      <c r="X26" s="194"/>
      <c r="Y26" s="194"/>
      <c r="Z26" s="194"/>
      <c r="AA26" s="194"/>
      <c r="AB26" s="194"/>
      <c r="AC26" s="194"/>
      <c r="AD26" s="195" t="str">
        <f>IF(AND(I26&lt;&gt;"",K26&lt;&gt;"",R26&lt;&gt;"",T26&lt;&gt;""),IF(AND(I26=R26,K26=T26),Setup!$D$10,IF((I26-K26)=(R26-T26),Setup!$D$11,IF(AND((I26&gt;K26),(R26&gt;T26)),Setup!$D$12,IF(AND((K26&gt;I26),(T26&gt;R26)),Setup!$D$12,0)))),"")</f>
        <v/>
      </c>
      <c r="AE26" s="183"/>
      <c r="CP26" s="168"/>
      <c r="CQ26" s="186"/>
      <c r="CR26" s="187"/>
      <c r="CS26" s="168"/>
    </row>
    <row r="27" spans="2:97" s="166" customFormat="1" ht="15" customHeight="1">
      <c r="B27" s="182"/>
      <c r="C27" s="181">
        <f>Tournament!D28</f>
        <v>13</v>
      </c>
      <c r="D27" s="181" t="str">
        <f>Tournament!E28</f>
        <v>G</v>
      </c>
      <c r="E27" s="188">
        <f>Tournament!F28</f>
        <v>41806.541666666664</v>
      </c>
      <c r="F27" s="189">
        <f>Tournament!G28</f>
        <v>41806.541666666664</v>
      </c>
      <c r="G27" s="190" t="str">
        <f>Tournament!H28</f>
        <v>Germany</v>
      </c>
      <c r="H27" s="180"/>
      <c r="I27" s="9"/>
      <c r="J27" s="191" t="s">
        <v>3088</v>
      </c>
      <c r="K27" s="9"/>
      <c r="L27" s="180"/>
      <c r="M27" s="180" t="str">
        <f>Tournament!N28</f>
        <v>Portugal</v>
      </c>
      <c r="N27" s="183"/>
      <c r="P27" s="192" t="str">
        <f t="shared" si="0"/>
        <v>Germany</v>
      </c>
      <c r="Q27" s="193"/>
      <c r="R27" s="194" t="str">
        <f>IF(Tournament!J28&lt;&gt;"",Tournament!J28,"")</f>
        <v/>
      </c>
      <c r="S27" s="194" t="s">
        <v>3088</v>
      </c>
      <c r="T27" s="194" t="str">
        <f>IF(Tournament!L28&lt;&gt;"",Tournament!L28,"")</f>
        <v/>
      </c>
      <c r="U27" s="193"/>
      <c r="V27" s="193" t="str">
        <f t="shared" si="1"/>
        <v>Portugal</v>
      </c>
      <c r="W27" s="194"/>
      <c r="X27" s="194"/>
      <c r="Y27" s="194"/>
      <c r="Z27" s="194"/>
      <c r="AA27" s="194"/>
      <c r="AB27" s="194"/>
      <c r="AC27" s="194"/>
      <c r="AD27" s="195" t="str">
        <f>IF(AND(I27&lt;&gt;"",K27&lt;&gt;"",R27&lt;&gt;"",T27&lt;&gt;""),IF(AND(I27=R27,K27=T27),Setup!$D$10,IF((I27-K27)=(R27-T27),Setup!$D$11,IF(AND((I27&gt;K27),(R27&gt;T27)),Setup!$D$12,IF(AND((K27&gt;I27),(T27&gt;R27)),Setup!$D$12,0)))),"")</f>
        <v/>
      </c>
      <c r="AE27" s="183"/>
      <c r="CP27" s="168"/>
      <c r="CQ27" s="186"/>
      <c r="CR27" s="187"/>
      <c r="CS27" s="168"/>
    </row>
    <row r="28" spans="2:97" s="166" customFormat="1" ht="15" customHeight="1">
      <c r="B28" s="182"/>
      <c r="C28" s="181">
        <f>Tournament!D29</f>
        <v>14</v>
      </c>
      <c r="D28" s="181" t="str">
        <f>Tournament!E29</f>
        <v>G</v>
      </c>
      <c r="E28" s="188">
        <f>Tournament!F29</f>
        <v>41806.791666666664</v>
      </c>
      <c r="F28" s="189">
        <f>Tournament!G29</f>
        <v>41806.791666666664</v>
      </c>
      <c r="G28" s="190" t="str">
        <f>Tournament!H29</f>
        <v>Ghana</v>
      </c>
      <c r="H28" s="180"/>
      <c r="I28" s="9"/>
      <c r="J28" s="191" t="s">
        <v>3088</v>
      </c>
      <c r="K28" s="9"/>
      <c r="L28" s="180"/>
      <c r="M28" s="180" t="str">
        <f>Tournament!N29</f>
        <v>USA</v>
      </c>
      <c r="N28" s="183"/>
      <c r="P28" s="192" t="str">
        <f t="shared" si="0"/>
        <v>Ghana</v>
      </c>
      <c r="Q28" s="193"/>
      <c r="R28" s="194" t="str">
        <f>IF(Tournament!J29&lt;&gt;"",Tournament!J29,"")</f>
        <v/>
      </c>
      <c r="S28" s="194" t="s">
        <v>3088</v>
      </c>
      <c r="T28" s="194" t="str">
        <f>IF(Tournament!L29&lt;&gt;"",Tournament!L29,"")</f>
        <v/>
      </c>
      <c r="U28" s="193"/>
      <c r="V28" s="193" t="str">
        <f t="shared" si="1"/>
        <v>USA</v>
      </c>
      <c r="W28" s="194"/>
      <c r="X28" s="194"/>
      <c r="Y28" s="194"/>
      <c r="Z28" s="194"/>
      <c r="AA28" s="194"/>
      <c r="AB28" s="194"/>
      <c r="AC28" s="194"/>
      <c r="AD28" s="195" t="str">
        <f>IF(AND(I28&lt;&gt;"",K28&lt;&gt;"",R28&lt;&gt;"",T28&lt;&gt;""),IF(AND(I28=R28,K28=T28),Setup!$D$10,IF((I28-K28)=(R28-T28),Setup!$D$11,IF(AND((I28&gt;K28),(R28&gt;T28)),Setup!$D$12,IF(AND((K28&gt;I28),(T28&gt;R28)),Setup!$D$12,0)))),"")</f>
        <v/>
      </c>
      <c r="AE28" s="183"/>
      <c r="CP28" s="168"/>
      <c r="CQ28" s="186"/>
      <c r="CR28" s="187"/>
      <c r="CS28" s="168"/>
    </row>
    <row r="29" spans="2:97" s="166" customFormat="1" ht="15" customHeight="1">
      <c r="B29" s="182"/>
      <c r="C29" s="181">
        <f>Tournament!D30</f>
        <v>15</v>
      </c>
      <c r="D29" s="181" t="str">
        <f>Tournament!E30</f>
        <v>H</v>
      </c>
      <c r="E29" s="188">
        <f>Tournament!F30</f>
        <v>41807.541666666664</v>
      </c>
      <c r="F29" s="189">
        <f>Tournament!G30</f>
        <v>41807.541666666664</v>
      </c>
      <c r="G29" s="190" t="str">
        <f>Tournament!H30</f>
        <v>Belgium</v>
      </c>
      <c r="H29" s="180"/>
      <c r="I29" s="9"/>
      <c r="J29" s="191" t="s">
        <v>3088</v>
      </c>
      <c r="K29" s="9"/>
      <c r="L29" s="180"/>
      <c r="M29" s="180" t="str">
        <f>Tournament!N30</f>
        <v>Algeria</v>
      </c>
      <c r="N29" s="183"/>
      <c r="P29" s="192" t="str">
        <f t="shared" si="0"/>
        <v>Belgium</v>
      </c>
      <c r="Q29" s="193"/>
      <c r="R29" s="194" t="str">
        <f>IF(Tournament!J30&lt;&gt;"",Tournament!J30,"")</f>
        <v/>
      </c>
      <c r="S29" s="194" t="s">
        <v>3088</v>
      </c>
      <c r="T29" s="194" t="str">
        <f>IF(Tournament!L30&lt;&gt;"",Tournament!L30,"")</f>
        <v/>
      </c>
      <c r="U29" s="193"/>
      <c r="V29" s="193" t="str">
        <f t="shared" si="1"/>
        <v>Algeria</v>
      </c>
      <c r="W29" s="194"/>
      <c r="X29" s="194"/>
      <c r="Y29" s="194"/>
      <c r="Z29" s="194"/>
      <c r="AA29" s="194"/>
      <c r="AB29" s="194"/>
      <c r="AC29" s="194"/>
      <c r="AD29" s="195" t="str">
        <f>IF(AND(I29&lt;&gt;"",K29&lt;&gt;"",R29&lt;&gt;"",T29&lt;&gt;""),IF(AND(I29=R29,K29=T29),Setup!$D$10,IF((I29-K29)=(R29-T29),Setup!$D$11,IF(AND((I29&gt;K29),(R29&gt;T29)),Setup!$D$12,IF(AND((K29&gt;I29),(T29&gt;R29)),Setup!$D$12,0)))),"")</f>
        <v/>
      </c>
      <c r="AE29" s="183"/>
      <c r="CP29" s="168"/>
      <c r="CQ29" s="186"/>
      <c r="CR29" s="187"/>
      <c r="CS29" s="168"/>
    </row>
    <row r="30" spans="2:97" s="166" customFormat="1" ht="15" customHeight="1">
      <c r="B30" s="182"/>
      <c r="C30" s="181">
        <f>Tournament!D31</f>
        <v>16</v>
      </c>
      <c r="D30" s="181" t="str">
        <f>Tournament!E31</f>
        <v>H</v>
      </c>
      <c r="E30" s="188">
        <f>Tournament!F31</f>
        <v>41807.791666666664</v>
      </c>
      <c r="F30" s="189">
        <f>Tournament!G31</f>
        <v>41807.791666666664</v>
      </c>
      <c r="G30" s="190" t="str">
        <f>Tournament!H31</f>
        <v>Russia</v>
      </c>
      <c r="H30" s="180"/>
      <c r="I30" s="9"/>
      <c r="J30" s="191" t="s">
        <v>3088</v>
      </c>
      <c r="K30" s="9"/>
      <c r="L30" s="180"/>
      <c r="M30" s="180" t="str">
        <f>Tournament!N31</f>
        <v>South Korea</v>
      </c>
      <c r="N30" s="183"/>
      <c r="P30" s="192" t="str">
        <f t="shared" si="0"/>
        <v>Russia</v>
      </c>
      <c r="Q30" s="193"/>
      <c r="R30" s="194" t="str">
        <f>IF(Tournament!J31&lt;&gt;"",Tournament!J31,"")</f>
        <v/>
      </c>
      <c r="S30" s="194" t="s">
        <v>3088</v>
      </c>
      <c r="T30" s="194" t="str">
        <f>IF(Tournament!L31&lt;&gt;"",Tournament!L31,"")</f>
        <v/>
      </c>
      <c r="U30" s="193"/>
      <c r="V30" s="193" t="str">
        <f t="shared" si="1"/>
        <v>South Korea</v>
      </c>
      <c r="W30" s="194"/>
      <c r="X30" s="194"/>
      <c r="Y30" s="194"/>
      <c r="Z30" s="194"/>
      <c r="AA30" s="194"/>
      <c r="AB30" s="194"/>
      <c r="AC30" s="194"/>
      <c r="AD30" s="195" t="str">
        <f>IF(AND(I30&lt;&gt;"",K30&lt;&gt;"",R30&lt;&gt;"",T30&lt;&gt;""),IF(AND(I30=R30,K30=T30),Setup!$D$10,IF((I30-K30)=(R30-T30),Setup!$D$11,IF(AND((I30&gt;K30),(R30&gt;T30)),Setup!$D$12,IF(AND((K30&gt;I30),(T30&gt;R30)),Setup!$D$12,0)))),"")</f>
        <v/>
      </c>
      <c r="AE30" s="183"/>
      <c r="CP30" s="168"/>
      <c r="CQ30" s="186"/>
      <c r="CR30" s="187"/>
      <c r="CS30" s="168"/>
    </row>
    <row r="31" spans="2:97" s="166" customFormat="1" ht="15" customHeight="1">
      <c r="B31" s="182"/>
      <c r="C31" s="181">
        <f>Tournament!D32</f>
        <v>17</v>
      </c>
      <c r="D31" s="181" t="str">
        <f>Tournament!E32</f>
        <v>A</v>
      </c>
      <c r="E31" s="188">
        <f>Tournament!F32</f>
        <v>41807.666666666664</v>
      </c>
      <c r="F31" s="189">
        <f>Tournament!G32</f>
        <v>41807.666666666664</v>
      </c>
      <c r="G31" s="190" t="str">
        <f>Tournament!H32</f>
        <v>Brazil</v>
      </c>
      <c r="H31" s="180"/>
      <c r="I31" s="9"/>
      <c r="J31" s="191" t="s">
        <v>3088</v>
      </c>
      <c r="K31" s="9"/>
      <c r="L31" s="180"/>
      <c r="M31" s="180" t="str">
        <f>Tournament!N32</f>
        <v>Mexico</v>
      </c>
      <c r="N31" s="183"/>
      <c r="P31" s="192" t="str">
        <f t="shared" si="0"/>
        <v>Brazil</v>
      </c>
      <c r="Q31" s="193"/>
      <c r="R31" s="194" t="str">
        <f>IF(Tournament!J32&lt;&gt;"",Tournament!J32,"")</f>
        <v/>
      </c>
      <c r="S31" s="194" t="s">
        <v>3088</v>
      </c>
      <c r="T31" s="194" t="str">
        <f>IF(Tournament!L32&lt;&gt;"",Tournament!L32,"")</f>
        <v/>
      </c>
      <c r="U31" s="193"/>
      <c r="V31" s="193" t="str">
        <f t="shared" si="1"/>
        <v>Mexico</v>
      </c>
      <c r="W31" s="194"/>
      <c r="X31" s="194"/>
      <c r="Y31" s="194"/>
      <c r="Z31" s="194"/>
      <c r="AA31" s="194"/>
      <c r="AB31" s="194"/>
      <c r="AC31" s="194"/>
      <c r="AD31" s="195" t="str">
        <f>IF(AND(I31&lt;&gt;"",K31&lt;&gt;"",R31&lt;&gt;"",T31&lt;&gt;""),IF(AND(I31=R31,K31=T31),Setup!$D$10,IF((I31-K31)=(R31-T31),Setup!$D$11,IF(AND((I31&gt;K31),(R31&gt;T31)),Setup!$D$12,IF(AND((K31&gt;I31),(T31&gt;R31)),Setup!$D$12,0)))),"")</f>
        <v/>
      </c>
      <c r="AE31" s="183"/>
      <c r="CP31" s="168"/>
      <c r="CQ31" s="186"/>
      <c r="CR31" s="187"/>
      <c r="CS31" s="168"/>
    </row>
    <row r="32" spans="2:97" s="166" customFormat="1" ht="15" customHeight="1">
      <c r="B32" s="182"/>
      <c r="C32" s="181">
        <f>Tournament!D33</f>
        <v>18</v>
      </c>
      <c r="D32" s="181" t="str">
        <f>Tournament!E33</f>
        <v>A</v>
      </c>
      <c r="E32" s="188">
        <f>Tournament!F33</f>
        <v>41808.791666666664</v>
      </c>
      <c r="F32" s="189">
        <f>Tournament!G33</f>
        <v>41808.791666666664</v>
      </c>
      <c r="G32" s="190" t="str">
        <f>Tournament!H33</f>
        <v>Cameroon</v>
      </c>
      <c r="H32" s="180"/>
      <c r="I32" s="9"/>
      <c r="J32" s="191" t="s">
        <v>3088</v>
      </c>
      <c r="K32" s="9"/>
      <c r="L32" s="180"/>
      <c r="M32" s="180" t="str">
        <f>Tournament!N33</f>
        <v>Croatia</v>
      </c>
      <c r="N32" s="183"/>
      <c r="P32" s="192" t="str">
        <f t="shared" si="0"/>
        <v>Cameroon</v>
      </c>
      <c r="Q32" s="193"/>
      <c r="R32" s="194" t="str">
        <f>IF(Tournament!J33&lt;&gt;"",Tournament!J33,"")</f>
        <v/>
      </c>
      <c r="S32" s="194" t="s">
        <v>3088</v>
      </c>
      <c r="T32" s="194" t="str">
        <f>IF(Tournament!L33&lt;&gt;"",Tournament!L33,"")</f>
        <v/>
      </c>
      <c r="U32" s="193"/>
      <c r="V32" s="193" t="str">
        <f t="shared" si="1"/>
        <v>Croatia</v>
      </c>
      <c r="W32" s="194"/>
      <c r="X32" s="194"/>
      <c r="Y32" s="194"/>
      <c r="Z32" s="194"/>
      <c r="AA32" s="194"/>
      <c r="AB32" s="194"/>
      <c r="AC32" s="194"/>
      <c r="AD32" s="195" t="str">
        <f>IF(AND(I32&lt;&gt;"",K32&lt;&gt;"",R32&lt;&gt;"",T32&lt;&gt;""),IF(AND(I32=R32,K32=T32),Setup!$D$10,IF((I32-K32)=(R32-T32),Setup!$D$11,IF(AND((I32&gt;K32),(R32&gt;T32)),Setup!$D$12,IF(AND((K32&gt;I32),(T32&gt;R32)),Setup!$D$12,0)))),"")</f>
        <v/>
      </c>
      <c r="AE32" s="183"/>
      <c r="CP32" s="168"/>
      <c r="CQ32" s="186"/>
      <c r="CR32" s="187"/>
      <c r="CS32" s="168"/>
    </row>
    <row r="33" spans="2:97" s="166" customFormat="1" ht="15" customHeight="1">
      <c r="B33" s="182"/>
      <c r="C33" s="181">
        <f>Tournament!D34</f>
        <v>19</v>
      </c>
      <c r="D33" s="181" t="str">
        <f>Tournament!E34</f>
        <v>B</v>
      </c>
      <c r="E33" s="188">
        <f>Tournament!F34</f>
        <v>41808.666666666664</v>
      </c>
      <c r="F33" s="189">
        <f>Tournament!G34</f>
        <v>41808.666666666664</v>
      </c>
      <c r="G33" s="190" t="str">
        <f>Tournament!H34</f>
        <v>Spain</v>
      </c>
      <c r="H33" s="180"/>
      <c r="I33" s="9"/>
      <c r="J33" s="191" t="s">
        <v>3088</v>
      </c>
      <c r="K33" s="9"/>
      <c r="L33" s="180"/>
      <c r="M33" s="180" t="str">
        <f>Tournament!N34</f>
        <v>Chile</v>
      </c>
      <c r="N33" s="183"/>
      <c r="P33" s="192" t="str">
        <f t="shared" si="0"/>
        <v>Spain</v>
      </c>
      <c r="Q33" s="193"/>
      <c r="R33" s="194" t="str">
        <f>IF(Tournament!J34&lt;&gt;"",Tournament!J34,"")</f>
        <v/>
      </c>
      <c r="S33" s="194" t="s">
        <v>3088</v>
      </c>
      <c r="T33" s="194" t="str">
        <f>IF(Tournament!L34&lt;&gt;"",Tournament!L34,"")</f>
        <v/>
      </c>
      <c r="U33" s="193"/>
      <c r="V33" s="193" t="str">
        <f t="shared" si="1"/>
        <v>Chile</v>
      </c>
      <c r="W33" s="194"/>
      <c r="X33" s="194"/>
      <c r="Y33" s="194"/>
      <c r="Z33" s="194"/>
      <c r="AA33" s="194"/>
      <c r="AB33" s="194"/>
      <c r="AC33" s="194"/>
      <c r="AD33" s="195" t="str">
        <f>IF(AND(I33&lt;&gt;"",K33&lt;&gt;"",R33&lt;&gt;"",T33&lt;&gt;""),IF(AND(I33=R33,K33=T33),Setup!$D$10,IF((I33-K33)=(R33-T33),Setup!$D$11,IF(AND((I33&gt;K33),(R33&gt;T33)),Setup!$D$12,IF(AND((K33&gt;I33),(T33&gt;R33)),Setup!$D$12,0)))),"")</f>
        <v/>
      </c>
      <c r="AE33" s="183"/>
      <c r="CP33" s="168"/>
      <c r="CQ33" s="186"/>
      <c r="CR33" s="187"/>
      <c r="CS33" s="168"/>
    </row>
    <row r="34" spans="2:97" s="166" customFormat="1" ht="15" customHeight="1">
      <c r="B34" s="182"/>
      <c r="C34" s="181">
        <f>Tournament!D35</f>
        <v>20</v>
      </c>
      <c r="D34" s="181" t="str">
        <f>Tournament!E35</f>
        <v>B</v>
      </c>
      <c r="E34" s="188">
        <f>Tournament!F35</f>
        <v>41808.541666666664</v>
      </c>
      <c r="F34" s="189">
        <f>Tournament!G35</f>
        <v>41808.541666666664</v>
      </c>
      <c r="G34" s="190" t="str">
        <f>Tournament!H35</f>
        <v>Australia</v>
      </c>
      <c r="H34" s="180"/>
      <c r="I34" s="9"/>
      <c r="J34" s="191" t="s">
        <v>3088</v>
      </c>
      <c r="K34" s="9"/>
      <c r="L34" s="180"/>
      <c r="M34" s="180" t="str">
        <f>Tournament!N35</f>
        <v>Netherlands</v>
      </c>
      <c r="N34" s="183"/>
      <c r="P34" s="192" t="str">
        <f t="shared" si="0"/>
        <v>Australia</v>
      </c>
      <c r="Q34" s="193"/>
      <c r="R34" s="194" t="str">
        <f>IF(Tournament!J35&lt;&gt;"",Tournament!J35,"")</f>
        <v/>
      </c>
      <c r="S34" s="194" t="s">
        <v>3088</v>
      </c>
      <c r="T34" s="194" t="str">
        <f>IF(Tournament!L35&lt;&gt;"",Tournament!L35,"")</f>
        <v/>
      </c>
      <c r="U34" s="193"/>
      <c r="V34" s="193" t="str">
        <f t="shared" si="1"/>
        <v>Netherlands</v>
      </c>
      <c r="W34" s="194"/>
      <c r="X34" s="194"/>
      <c r="Y34" s="194"/>
      <c r="Z34" s="194"/>
      <c r="AA34" s="194"/>
      <c r="AB34" s="194"/>
      <c r="AC34" s="194"/>
      <c r="AD34" s="195" t="str">
        <f>IF(AND(I34&lt;&gt;"",K34&lt;&gt;"",R34&lt;&gt;"",T34&lt;&gt;""),IF(AND(I34=R34,K34=T34),Setup!$D$10,IF((I34-K34)=(R34-T34),Setup!$D$11,IF(AND((I34&gt;K34),(R34&gt;T34)),Setup!$D$12,IF(AND((K34&gt;I34),(T34&gt;R34)),Setup!$D$12,0)))),"")</f>
        <v/>
      </c>
      <c r="AE34" s="183"/>
      <c r="CP34" s="168"/>
      <c r="CQ34" s="186"/>
      <c r="CR34" s="187"/>
      <c r="CS34" s="168"/>
    </row>
    <row r="35" spans="2:97" s="166" customFormat="1" ht="15" customHeight="1">
      <c r="B35" s="182"/>
      <c r="C35" s="181">
        <f>Tournament!D36</f>
        <v>21</v>
      </c>
      <c r="D35" s="181" t="str">
        <f>Tournament!E36</f>
        <v>C</v>
      </c>
      <c r="E35" s="188">
        <f>Tournament!F36</f>
        <v>41809.541666666664</v>
      </c>
      <c r="F35" s="189">
        <f>Tournament!G36</f>
        <v>41809.541666666664</v>
      </c>
      <c r="G35" s="190" t="str">
        <f>Tournament!H36</f>
        <v>Colombia</v>
      </c>
      <c r="H35" s="180"/>
      <c r="I35" s="9"/>
      <c r="J35" s="191" t="s">
        <v>3088</v>
      </c>
      <c r="K35" s="9"/>
      <c r="L35" s="180"/>
      <c r="M35" s="180" t="str">
        <f>Tournament!N36</f>
        <v>Ivory Coast</v>
      </c>
      <c r="N35" s="183"/>
      <c r="P35" s="192" t="str">
        <f t="shared" si="0"/>
        <v>Colombia</v>
      </c>
      <c r="Q35" s="193"/>
      <c r="R35" s="194" t="str">
        <f>IF(Tournament!J36&lt;&gt;"",Tournament!J36,"")</f>
        <v/>
      </c>
      <c r="S35" s="194" t="s">
        <v>3088</v>
      </c>
      <c r="T35" s="194" t="str">
        <f>IF(Tournament!L36&lt;&gt;"",Tournament!L36,"")</f>
        <v/>
      </c>
      <c r="U35" s="193"/>
      <c r="V35" s="193" t="str">
        <f t="shared" si="1"/>
        <v>Ivory Coast</v>
      </c>
      <c r="W35" s="194"/>
      <c r="X35" s="194"/>
      <c r="Y35" s="194"/>
      <c r="Z35" s="194"/>
      <c r="AA35" s="194"/>
      <c r="AB35" s="194"/>
      <c r="AC35" s="194"/>
      <c r="AD35" s="195" t="str">
        <f>IF(AND(I35&lt;&gt;"",K35&lt;&gt;"",R35&lt;&gt;"",T35&lt;&gt;""),IF(AND(I35=R35,K35=T35),Setup!$D$10,IF((I35-K35)=(R35-T35),Setup!$D$11,IF(AND((I35&gt;K35),(R35&gt;T35)),Setup!$D$12,IF(AND((K35&gt;I35),(T35&gt;R35)),Setup!$D$12,0)))),"")</f>
        <v/>
      </c>
      <c r="AE35" s="183"/>
      <c r="CP35" s="168"/>
      <c r="CQ35" s="186"/>
      <c r="CR35" s="187"/>
      <c r="CS35" s="168"/>
    </row>
    <row r="36" spans="2:97" s="166" customFormat="1" ht="15" customHeight="1">
      <c r="B36" s="182"/>
      <c r="C36" s="181">
        <f>Tournament!D37</f>
        <v>22</v>
      </c>
      <c r="D36" s="181" t="str">
        <f>Tournament!E37</f>
        <v>C</v>
      </c>
      <c r="E36" s="188">
        <f>Tournament!F37</f>
        <v>41809.791666666664</v>
      </c>
      <c r="F36" s="189">
        <f>Tournament!G37</f>
        <v>41809.791666666664</v>
      </c>
      <c r="G36" s="190" t="str">
        <f>Tournament!H37</f>
        <v>Japan</v>
      </c>
      <c r="H36" s="180"/>
      <c r="I36" s="9"/>
      <c r="J36" s="191" t="s">
        <v>3088</v>
      </c>
      <c r="K36" s="9"/>
      <c r="L36" s="180"/>
      <c r="M36" s="180" t="str">
        <f>Tournament!N37</f>
        <v>Greece</v>
      </c>
      <c r="N36" s="183"/>
      <c r="P36" s="192" t="str">
        <f t="shared" si="0"/>
        <v>Japan</v>
      </c>
      <c r="Q36" s="193"/>
      <c r="R36" s="194" t="str">
        <f>IF(Tournament!J37&lt;&gt;"",Tournament!J37,"")</f>
        <v/>
      </c>
      <c r="S36" s="194" t="s">
        <v>3088</v>
      </c>
      <c r="T36" s="194" t="str">
        <f>IF(Tournament!L37&lt;&gt;"",Tournament!L37,"")</f>
        <v/>
      </c>
      <c r="U36" s="193"/>
      <c r="V36" s="193" t="str">
        <f t="shared" si="1"/>
        <v>Greece</v>
      </c>
      <c r="W36" s="194"/>
      <c r="X36" s="194"/>
      <c r="Y36" s="194"/>
      <c r="Z36" s="194"/>
      <c r="AA36" s="194"/>
      <c r="AB36" s="194"/>
      <c r="AC36" s="194"/>
      <c r="AD36" s="195" t="str">
        <f>IF(AND(I36&lt;&gt;"",K36&lt;&gt;"",R36&lt;&gt;"",T36&lt;&gt;""),IF(AND(I36=R36,K36=T36),Setup!$D$10,IF((I36-K36)=(R36-T36),Setup!$D$11,IF(AND((I36&gt;K36),(R36&gt;T36)),Setup!$D$12,IF(AND((K36&gt;I36),(T36&gt;R36)),Setup!$D$12,0)))),"")</f>
        <v/>
      </c>
      <c r="AE36" s="183"/>
      <c r="CP36" s="168"/>
      <c r="CQ36" s="186"/>
      <c r="CR36" s="187"/>
      <c r="CS36" s="168"/>
    </row>
    <row r="37" spans="2:97" s="166" customFormat="1" ht="15" customHeight="1">
      <c r="B37" s="182"/>
      <c r="C37" s="181">
        <f>Tournament!D38</f>
        <v>23</v>
      </c>
      <c r="D37" s="181" t="str">
        <f>Tournament!E38</f>
        <v>D</v>
      </c>
      <c r="E37" s="188">
        <f>Tournament!F38</f>
        <v>41809.666666666664</v>
      </c>
      <c r="F37" s="189">
        <f>Tournament!G38</f>
        <v>41809.666666666664</v>
      </c>
      <c r="G37" s="190" t="str">
        <f>Tournament!H38</f>
        <v>Uruguay</v>
      </c>
      <c r="H37" s="180"/>
      <c r="I37" s="9"/>
      <c r="J37" s="191" t="s">
        <v>3088</v>
      </c>
      <c r="K37" s="9"/>
      <c r="L37" s="180"/>
      <c r="M37" s="180" t="str">
        <f>Tournament!N38</f>
        <v>England</v>
      </c>
      <c r="N37" s="183"/>
      <c r="P37" s="192" t="str">
        <f t="shared" si="0"/>
        <v>Uruguay</v>
      </c>
      <c r="Q37" s="193"/>
      <c r="R37" s="194" t="str">
        <f>IF(Tournament!J38&lt;&gt;"",Tournament!J38,"")</f>
        <v/>
      </c>
      <c r="S37" s="194" t="s">
        <v>3088</v>
      </c>
      <c r="T37" s="194" t="str">
        <f>IF(Tournament!L38&lt;&gt;"",Tournament!L38,"")</f>
        <v/>
      </c>
      <c r="U37" s="193"/>
      <c r="V37" s="193" t="str">
        <f t="shared" si="1"/>
        <v>England</v>
      </c>
      <c r="W37" s="194"/>
      <c r="X37" s="194"/>
      <c r="Y37" s="194"/>
      <c r="Z37" s="194"/>
      <c r="AA37" s="194"/>
      <c r="AB37" s="194"/>
      <c r="AC37" s="194"/>
      <c r="AD37" s="195" t="str">
        <f>IF(AND(I37&lt;&gt;"",K37&lt;&gt;"",R37&lt;&gt;"",T37&lt;&gt;""),IF(AND(I37=R37,K37=T37),Setup!$D$10,IF((I37-K37)=(R37-T37),Setup!$D$11,IF(AND((I37&gt;K37),(R37&gt;T37)),Setup!$D$12,IF(AND((K37&gt;I37),(T37&gt;R37)),Setup!$D$12,0)))),"")</f>
        <v/>
      </c>
      <c r="AE37" s="183"/>
      <c r="CP37" s="168"/>
      <c r="CQ37" s="186"/>
      <c r="CR37" s="187"/>
      <c r="CS37" s="168"/>
    </row>
    <row r="38" spans="2:97" s="166" customFormat="1" ht="15" customHeight="1">
      <c r="B38" s="182"/>
      <c r="C38" s="181">
        <f>Tournament!D39</f>
        <v>24</v>
      </c>
      <c r="D38" s="181" t="str">
        <f>Tournament!E39</f>
        <v>D</v>
      </c>
      <c r="E38" s="188">
        <f>Tournament!F39</f>
        <v>41810.541666666664</v>
      </c>
      <c r="F38" s="189">
        <f>Tournament!G39</f>
        <v>41810.541666666664</v>
      </c>
      <c r="G38" s="190" t="str">
        <f>Tournament!H39</f>
        <v>Italy</v>
      </c>
      <c r="H38" s="180"/>
      <c r="I38" s="9"/>
      <c r="J38" s="191" t="s">
        <v>3088</v>
      </c>
      <c r="K38" s="9"/>
      <c r="L38" s="180"/>
      <c r="M38" s="180" t="str">
        <f>Tournament!N39</f>
        <v>Costa Rica</v>
      </c>
      <c r="N38" s="183"/>
      <c r="P38" s="192" t="str">
        <f t="shared" si="0"/>
        <v>Italy</v>
      </c>
      <c r="Q38" s="193"/>
      <c r="R38" s="194" t="str">
        <f>IF(Tournament!J39&lt;&gt;"",Tournament!J39,"")</f>
        <v/>
      </c>
      <c r="S38" s="194" t="s">
        <v>3088</v>
      </c>
      <c r="T38" s="194" t="str">
        <f>IF(Tournament!L39&lt;&gt;"",Tournament!L39,"")</f>
        <v/>
      </c>
      <c r="U38" s="193"/>
      <c r="V38" s="193" t="str">
        <f t="shared" si="1"/>
        <v>Costa Rica</v>
      </c>
      <c r="W38" s="194"/>
      <c r="X38" s="194"/>
      <c r="Y38" s="194"/>
      <c r="Z38" s="194"/>
      <c r="AA38" s="194"/>
      <c r="AB38" s="194"/>
      <c r="AC38" s="194"/>
      <c r="AD38" s="195" t="str">
        <f>IF(AND(I38&lt;&gt;"",K38&lt;&gt;"",R38&lt;&gt;"",T38&lt;&gt;""),IF(AND(I38=R38,K38=T38),Setup!$D$10,IF((I38-K38)=(R38-T38),Setup!$D$11,IF(AND((I38&gt;K38),(R38&gt;T38)),Setup!$D$12,IF(AND((K38&gt;I38),(T38&gt;R38)),Setup!$D$12,0)))),"")</f>
        <v/>
      </c>
      <c r="AE38" s="183"/>
      <c r="CP38" s="168"/>
      <c r="CQ38" s="186"/>
      <c r="CR38" s="187"/>
      <c r="CS38" s="168"/>
    </row>
    <row r="39" spans="2:97" s="166" customFormat="1" ht="15" customHeight="1">
      <c r="B39" s="182"/>
      <c r="C39" s="181">
        <f>Tournament!D40</f>
        <v>25</v>
      </c>
      <c r="D39" s="181" t="str">
        <f>Tournament!E40</f>
        <v>E</v>
      </c>
      <c r="E39" s="188">
        <f>Tournament!F40</f>
        <v>41810.666666666664</v>
      </c>
      <c r="F39" s="189">
        <f>Tournament!G40</f>
        <v>41810.666666666664</v>
      </c>
      <c r="G39" s="190" t="str">
        <f>Tournament!H40</f>
        <v>Switzerland</v>
      </c>
      <c r="H39" s="180"/>
      <c r="I39" s="9"/>
      <c r="J39" s="191" t="s">
        <v>3088</v>
      </c>
      <c r="K39" s="9"/>
      <c r="L39" s="180"/>
      <c r="M39" s="180" t="str">
        <f>Tournament!N40</f>
        <v>France</v>
      </c>
      <c r="N39" s="183"/>
      <c r="P39" s="192" t="str">
        <f t="shared" si="0"/>
        <v>Switzerland</v>
      </c>
      <c r="Q39" s="193"/>
      <c r="R39" s="194" t="str">
        <f>IF(Tournament!J40&lt;&gt;"",Tournament!J40,"")</f>
        <v/>
      </c>
      <c r="S39" s="194" t="s">
        <v>3088</v>
      </c>
      <c r="T39" s="194" t="str">
        <f>IF(Tournament!L40&lt;&gt;"",Tournament!L40,"")</f>
        <v/>
      </c>
      <c r="U39" s="193"/>
      <c r="V39" s="193" t="str">
        <f t="shared" si="1"/>
        <v>France</v>
      </c>
      <c r="W39" s="194"/>
      <c r="X39" s="194"/>
      <c r="Y39" s="194"/>
      <c r="Z39" s="194"/>
      <c r="AA39" s="194"/>
      <c r="AB39" s="194"/>
      <c r="AC39" s="194"/>
      <c r="AD39" s="195" t="str">
        <f>IF(AND(I39&lt;&gt;"",K39&lt;&gt;"",R39&lt;&gt;"",T39&lt;&gt;""),IF(AND(I39=R39,K39=T39),Setup!$D$10,IF((I39-K39)=(R39-T39),Setup!$D$11,IF(AND((I39&gt;K39),(R39&gt;T39)),Setup!$D$12,IF(AND((K39&gt;I39),(T39&gt;R39)),Setup!$D$12,0)))),"")</f>
        <v/>
      </c>
      <c r="AE39" s="183"/>
      <c r="CP39" s="168"/>
      <c r="CQ39" s="186"/>
      <c r="CR39" s="187"/>
      <c r="CS39" s="168"/>
    </row>
    <row r="40" spans="2:97" s="166" customFormat="1" ht="15" customHeight="1">
      <c r="B40" s="182"/>
      <c r="C40" s="181">
        <f>Tournament!D41</f>
        <v>26</v>
      </c>
      <c r="D40" s="181" t="str">
        <f>Tournament!E41</f>
        <v>E</v>
      </c>
      <c r="E40" s="188">
        <f>Tournament!F41</f>
        <v>41810.791666666664</v>
      </c>
      <c r="F40" s="189">
        <f>Tournament!G41</f>
        <v>41810.791666666664</v>
      </c>
      <c r="G40" s="190" t="str">
        <f>Tournament!H41</f>
        <v>Honduras</v>
      </c>
      <c r="H40" s="180"/>
      <c r="I40" s="9"/>
      <c r="J40" s="191" t="s">
        <v>3088</v>
      </c>
      <c r="K40" s="9"/>
      <c r="L40" s="180"/>
      <c r="M40" s="180" t="str">
        <f>Tournament!N41</f>
        <v>Ecuador</v>
      </c>
      <c r="N40" s="183"/>
      <c r="P40" s="192" t="str">
        <f t="shared" si="0"/>
        <v>Honduras</v>
      </c>
      <c r="Q40" s="193"/>
      <c r="R40" s="194" t="str">
        <f>IF(Tournament!J41&lt;&gt;"",Tournament!J41,"")</f>
        <v/>
      </c>
      <c r="S40" s="194" t="s">
        <v>3088</v>
      </c>
      <c r="T40" s="194" t="str">
        <f>IF(Tournament!L41&lt;&gt;"",Tournament!L41,"")</f>
        <v/>
      </c>
      <c r="U40" s="193"/>
      <c r="V40" s="193" t="str">
        <f t="shared" si="1"/>
        <v>Ecuador</v>
      </c>
      <c r="W40" s="194"/>
      <c r="X40" s="194"/>
      <c r="Y40" s="194"/>
      <c r="Z40" s="194"/>
      <c r="AA40" s="194"/>
      <c r="AB40" s="194"/>
      <c r="AC40" s="194"/>
      <c r="AD40" s="195" t="str">
        <f>IF(AND(I40&lt;&gt;"",K40&lt;&gt;"",R40&lt;&gt;"",T40&lt;&gt;""),IF(AND(I40=R40,K40=T40),Setup!$D$10,IF((I40-K40)=(R40-T40),Setup!$D$11,IF(AND((I40&gt;K40),(R40&gt;T40)),Setup!$D$12,IF(AND((K40&gt;I40),(T40&gt;R40)),Setup!$D$12,0)))),"")</f>
        <v/>
      </c>
      <c r="AE40" s="183"/>
      <c r="CP40" s="168"/>
      <c r="CQ40" s="196"/>
      <c r="CR40" s="187"/>
      <c r="CS40" s="168"/>
    </row>
    <row r="41" spans="2:97" s="166" customFormat="1" ht="15" customHeight="1">
      <c r="B41" s="182"/>
      <c r="C41" s="181">
        <f>Tournament!D42</f>
        <v>27</v>
      </c>
      <c r="D41" s="181" t="str">
        <f>Tournament!E42</f>
        <v>F</v>
      </c>
      <c r="E41" s="188">
        <f>Tournament!F42</f>
        <v>41811.541666666664</v>
      </c>
      <c r="F41" s="189">
        <f>Tournament!G42</f>
        <v>41811.541666666664</v>
      </c>
      <c r="G41" s="190" t="str">
        <f>Tournament!H42</f>
        <v>Argentina</v>
      </c>
      <c r="H41" s="180"/>
      <c r="I41" s="9"/>
      <c r="J41" s="191" t="s">
        <v>3088</v>
      </c>
      <c r="K41" s="9"/>
      <c r="L41" s="180"/>
      <c r="M41" s="180" t="str">
        <f>Tournament!N42</f>
        <v>Iran</v>
      </c>
      <c r="N41" s="183"/>
      <c r="P41" s="192" t="str">
        <f t="shared" si="0"/>
        <v>Argentina</v>
      </c>
      <c r="Q41" s="193"/>
      <c r="R41" s="194" t="str">
        <f>IF(Tournament!J42&lt;&gt;"",Tournament!J42,"")</f>
        <v/>
      </c>
      <c r="S41" s="194" t="s">
        <v>3088</v>
      </c>
      <c r="T41" s="194" t="str">
        <f>IF(Tournament!L42&lt;&gt;"",Tournament!L42,"")</f>
        <v/>
      </c>
      <c r="U41" s="193"/>
      <c r="V41" s="193" t="str">
        <f t="shared" si="1"/>
        <v>Iran</v>
      </c>
      <c r="W41" s="194"/>
      <c r="X41" s="194"/>
      <c r="Y41" s="194"/>
      <c r="Z41" s="194"/>
      <c r="AA41" s="194"/>
      <c r="AB41" s="194"/>
      <c r="AC41" s="194"/>
      <c r="AD41" s="195" t="str">
        <f>IF(AND(I41&lt;&gt;"",K41&lt;&gt;"",R41&lt;&gt;"",T41&lt;&gt;""),IF(AND(I41=R41,K41=T41),Setup!$D$10,IF((I41-K41)=(R41-T41),Setup!$D$11,IF(AND((I41&gt;K41),(R41&gt;T41)),Setup!$D$12,IF(AND((K41&gt;I41),(T41&gt;R41)),Setup!$D$12,0)))),"")</f>
        <v/>
      </c>
      <c r="AE41" s="183"/>
      <c r="CP41" s="168"/>
      <c r="CQ41" s="196"/>
      <c r="CR41" s="187"/>
      <c r="CS41" s="168"/>
    </row>
    <row r="42" spans="2:97" s="166" customFormat="1" ht="15" customHeight="1">
      <c r="B42" s="182"/>
      <c r="C42" s="181">
        <f>Tournament!D43</f>
        <v>28</v>
      </c>
      <c r="D42" s="181" t="str">
        <f>Tournament!E43</f>
        <v>F</v>
      </c>
      <c r="E42" s="188">
        <f>Tournament!F43</f>
        <v>41811.791666666664</v>
      </c>
      <c r="F42" s="189">
        <f>Tournament!G43</f>
        <v>41811.791666666664</v>
      </c>
      <c r="G42" s="190" t="str">
        <f>Tournament!H43</f>
        <v>Nigeria</v>
      </c>
      <c r="H42" s="180"/>
      <c r="I42" s="9"/>
      <c r="J42" s="191" t="s">
        <v>3088</v>
      </c>
      <c r="K42" s="9"/>
      <c r="L42" s="180"/>
      <c r="M42" s="180" t="str">
        <f>Tournament!N43</f>
        <v>Bosnia-Herzegovina</v>
      </c>
      <c r="N42" s="183"/>
      <c r="P42" s="192" t="str">
        <f t="shared" si="0"/>
        <v>Nigeria</v>
      </c>
      <c r="Q42" s="193"/>
      <c r="R42" s="194" t="str">
        <f>IF(Tournament!J43&lt;&gt;"",Tournament!J43,"")</f>
        <v/>
      </c>
      <c r="S42" s="194" t="s">
        <v>3088</v>
      </c>
      <c r="T42" s="194" t="str">
        <f>IF(Tournament!L43&lt;&gt;"",Tournament!L43,"")</f>
        <v/>
      </c>
      <c r="U42" s="193"/>
      <c r="V42" s="193" t="str">
        <f t="shared" si="1"/>
        <v>Bosnia-Herzegovina</v>
      </c>
      <c r="W42" s="194"/>
      <c r="X42" s="194"/>
      <c r="Y42" s="194"/>
      <c r="Z42" s="194"/>
      <c r="AA42" s="194"/>
      <c r="AB42" s="194"/>
      <c r="AC42" s="194"/>
      <c r="AD42" s="195" t="str">
        <f>IF(AND(I42&lt;&gt;"",K42&lt;&gt;"",R42&lt;&gt;"",T42&lt;&gt;""),IF(AND(I42=R42,K42=T42),Setup!$D$10,IF((I42-K42)=(R42-T42),Setup!$D$11,IF(AND((I42&gt;K42),(R42&gt;T42)),Setup!$D$12,IF(AND((K42&gt;I42),(T42&gt;R42)),Setup!$D$12,0)))),"")</f>
        <v/>
      </c>
      <c r="AE42" s="183"/>
      <c r="CP42" s="168"/>
      <c r="CQ42" s="168"/>
      <c r="CR42" s="187"/>
      <c r="CS42" s="168"/>
    </row>
    <row r="43" spans="2:97" s="166" customFormat="1" ht="15" customHeight="1">
      <c r="B43" s="182"/>
      <c r="C43" s="181">
        <f>Tournament!D44</f>
        <v>29</v>
      </c>
      <c r="D43" s="181" t="str">
        <f>Tournament!E44</f>
        <v>G</v>
      </c>
      <c r="E43" s="188">
        <f>Tournament!F44</f>
        <v>41811.666666666664</v>
      </c>
      <c r="F43" s="189">
        <f>Tournament!G44</f>
        <v>41811.666666666664</v>
      </c>
      <c r="G43" s="190" t="str">
        <f>Tournament!H44</f>
        <v>Germany</v>
      </c>
      <c r="H43" s="180"/>
      <c r="I43" s="9"/>
      <c r="J43" s="191" t="s">
        <v>3088</v>
      </c>
      <c r="K43" s="9"/>
      <c r="L43" s="180"/>
      <c r="M43" s="180" t="str">
        <f>Tournament!N44</f>
        <v>Ghana</v>
      </c>
      <c r="N43" s="183"/>
      <c r="P43" s="192" t="str">
        <f t="shared" si="0"/>
        <v>Germany</v>
      </c>
      <c r="Q43" s="193"/>
      <c r="R43" s="194" t="str">
        <f>IF(Tournament!J44&lt;&gt;"",Tournament!J44,"")</f>
        <v/>
      </c>
      <c r="S43" s="194" t="s">
        <v>3088</v>
      </c>
      <c r="T43" s="194" t="str">
        <f>IF(Tournament!L44&lt;&gt;"",Tournament!L44,"")</f>
        <v/>
      </c>
      <c r="U43" s="193"/>
      <c r="V43" s="193" t="str">
        <f t="shared" si="1"/>
        <v>Ghana</v>
      </c>
      <c r="W43" s="194"/>
      <c r="X43" s="194"/>
      <c r="Y43" s="194"/>
      <c r="Z43" s="194"/>
      <c r="AA43" s="194"/>
      <c r="AB43" s="194"/>
      <c r="AC43" s="194"/>
      <c r="AD43" s="195" t="str">
        <f>IF(AND(I43&lt;&gt;"",K43&lt;&gt;"",R43&lt;&gt;"",T43&lt;&gt;""),IF(AND(I43=R43,K43=T43),Setup!$D$10,IF((I43-K43)=(R43-T43),Setup!$D$11,IF(AND((I43&gt;K43),(R43&gt;T43)),Setup!$D$12,IF(AND((K43&gt;I43),(T43&gt;R43)),Setup!$D$12,0)))),"")</f>
        <v/>
      </c>
      <c r="AE43" s="183"/>
      <c r="CP43" s="168"/>
      <c r="CQ43" s="168"/>
      <c r="CR43" s="187"/>
      <c r="CS43" s="168"/>
    </row>
    <row r="44" spans="2:97" s="166" customFormat="1" ht="15" customHeight="1">
      <c r="B44" s="182"/>
      <c r="C44" s="181">
        <f>Tournament!D45</f>
        <v>30</v>
      </c>
      <c r="D44" s="181" t="str">
        <f>Tournament!E45</f>
        <v>G</v>
      </c>
      <c r="E44" s="188">
        <f>Tournament!F45</f>
        <v>41812.791666666664</v>
      </c>
      <c r="F44" s="189">
        <f>Tournament!G45</f>
        <v>41812.791666666664</v>
      </c>
      <c r="G44" s="190" t="str">
        <f>Tournament!H45</f>
        <v>USA</v>
      </c>
      <c r="H44" s="180"/>
      <c r="I44" s="9"/>
      <c r="J44" s="191" t="s">
        <v>3088</v>
      </c>
      <c r="K44" s="9"/>
      <c r="L44" s="180"/>
      <c r="M44" s="180" t="str">
        <f>Tournament!N45</f>
        <v>Portugal</v>
      </c>
      <c r="N44" s="183"/>
      <c r="P44" s="192" t="str">
        <f t="shared" si="0"/>
        <v>USA</v>
      </c>
      <c r="Q44" s="193"/>
      <c r="R44" s="194" t="str">
        <f>IF(Tournament!J45&lt;&gt;"",Tournament!J45,"")</f>
        <v/>
      </c>
      <c r="S44" s="194" t="s">
        <v>3088</v>
      </c>
      <c r="T44" s="194" t="str">
        <f>IF(Tournament!L45&lt;&gt;"",Tournament!L45,"")</f>
        <v/>
      </c>
      <c r="U44" s="193"/>
      <c r="V44" s="193" t="str">
        <f t="shared" si="1"/>
        <v>Portugal</v>
      </c>
      <c r="W44" s="194"/>
      <c r="X44" s="194"/>
      <c r="Y44" s="194"/>
      <c r="Z44" s="194"/>
      <c r="AA44" s="194"/>
      <c r="AB44" s="194"/>
      <c r="AC44" s="194"/>
      <c r="AD44" s="195" t="str">
        <f>IF(AND(I44&lt;&gt;"",K44&lt;&gt;"",R44&lt;&gt;"",T44&lt;&gt;""),IF(AND(I44=R44,K44=T44),Setup!$D$10,IF((I44-K44)=(R44-T44),Setup!$D$11,IF(AND((I44&gt;K44),(R44&gt;T44)),Setup!$D$12,IF(AND((K44&gt;I44),(T44&gt;R44)),Setup!$D$12,0)))),"")</f>
        <v/>
      </c>
      <c r="AE44" s="183"/>
      <c r="CP44" s="168"/>
      <c r="CQ44" s="168"/>
      <c r="CR44" s="187"/>
      <c r="CS44" s="168"/>
    </row>
    <row r="45" spans="2:97" s="166" customFormat="1" ht="15" customHeight="1">
      <c r="B45" s="182"/>
      <c r="C45" s="181">
        <f>Tournament!D46</f>
        <v>31</v>
      </c>
      <c r="D45" s="181" t="str">
        <f>Tournament!E46</f>
        <v>H</v>
      </c>
      <c r="E45" s="188">
        <f>Tournament!F46</f>
        <v>41812.541666666664</v>
      </c>
      <c r="F45" s="189">
        <f>Tournament!G46</f>
        <v>41812.541666666664</v>
      </c>
      <c r="G45" s="190" t="str">
        <f>Tournament!H46</f>
        <v>Belgium</v>
      </c>
      <c r="H45" s="180"/>
      <c r="I45" s="9"/>
      <c r="J45" s="191" t="s">
        <v>3088</v>
      </c>
      <c r="K45" s="9"/>
      <c r="L45" s="180"/>
      <c r="M45" s="180" t="str">
        <f>Tournament!N46</f>
        <v>Russia</v>
      </c>
      <c r="N45" s="183"/>
      <c r="P45" s="192" t="str">
        <f t="shared" si="0"/>
        <v>Belgium</v>
      </c>
      <c r="Q45" s="193"/>
      <c r="R45" s="194" t="str">
        <f>IF(Tournament!J46&lt;&gt;"",Tournament!J46,"")</f>
        <v/>
      </c>
      <c r="S45" s="194" t="s">
        <v>3088</v>
      </c>
      <c r="T45" s="194" t="str">
        <f>IF(Tournament!L46&lt;&gt;"",Tournament!L46,"")</f>
        <v/>
      </c>
      <c r="U45" s="193"/>
      <c r="V45" s="193" t="str">
        <f t="shared" si="1"/>
        <v>Russia</v>
      </c>
      <c r="W45" s="194"/>
      <c r="X45" s="194"/>
      <c r="Y45" s="194"/>
      <c r="Z45" s="194"/>
      <c r="AA45" s="194"/>
      <c r="AB45" s="194"/>
      <c r="AC45" s="194"/>
      <c r="AD45" s="195" t="str">
        <f>IF(AND(I45&lt;&gt;"",K45&lt;&gt;"",R45&lt;&gt;"",T45&lt;&gt;""),IF(AND(I45=R45,K45=T45),Setup!$D$10,IF((I45-K45)=(R45-T45),Setup!$D$11,IF(AND((I45&gt;K45),(R45&gt;T45)),Setup!$D$12,IF(AND((K45&gt;I45),(T45&gt;R45)),Setup!$D$12,0)))),"")</f>
        <v/>
      </c>
      <c r="AE45" s="183"/>
      <c r="CP45" s="168"/>
      <c r="CQ45" s="168"/>
      <c r="CR45" s="187"/>
      <c r="CS45" s="168"/>
    </row>
    <row r="46" spans="2:97" s="166" customFormat="1" ht="15" customHeight="1">
      <c r="B46" s="182"/>
      <c r="C46" s="181">
        <f>Tournament!D47</f>
        <v>32</v>
      </c>
      <c r="D46" s="181" t="str">
        <f>Tournament!E47</f>
        <v>H</v>
      </c>
      <c r="E46" s="188">
        <f>Tournament!F47</f>
        <v>41812.666666666664</v>
      </c>
      <c r="F46" s="189">
        <f>Tournament!G47</f>
        <v>41812.666666666664</v>
      </c>
      <c r="G46" s="190" t="str">
        <f>Tournament!H47</f>
        <v>South Korea</v>
      </c>
      <c r="H46" s="180"/>
      <c r="I46" s="9"/>
      <c r="J46" s="191" t="s">
        <v>3088</v>
      </c>
      <c r="K46" s="9"/>
      <c r="L46" s="180"/>
      <c r="M46" s="180" t="str">
        <f>Tournament!N47</f>
        <v>Algeria</v>
      </c>
      <c r="N46" s="183"/>
      <c r="P46" s="192" t="str">
        <f t="shared" si="0"/>
        <v>South Korea</v>
      </c>
      <c r="Q46" s="193"/>
      <c r="R46" s="194" t="str">
        <f>IF(Tournament!J47&lt;&gt;"",Tournament!J47,"")</f>
        <v/>
      </c>
      <c r="S46" s="194" t="s">
        <v>3088</v>
      </c>
      <c r="T46" s="194" t="str">
        <f>IF(Tournament!L47&lt;&gt;"",Tournament!L47,"")</f>
        <v/>
      </c>
      <c r="U46" s="193"/>
      <c r="V46" s="193" t="str">
        <f t="shared" si="1"/>
        <v>Algeria</v>
      </c>
      <c r="W46" s="194"/>
      <c r="X46" s="194"/>
      <c r="Y46" s="194"/>
      <c r="Z46" s="194"/>
      <c r="AA46" s="194"/>
      <c r="AB46" s="194"/>
      <c r="AC46" s="194"/>
      <c r="AD46" s="195" t="str">
        <f>IF(AND(I46&lt;&gt;"",K46&lt;&gt;"",R46&lt;&gt;"",T46&lt;&gt;""),IF(AND(I46=R46,K46=T46),Setup!$D$10,IF((I46-K46)=(R46-T46),Setup!$D$11,IF(AND((I46&gt;K46),(R46&gt;T46)),Setup!$D$12,IF(AND((K46&gt;I46),(T46&gt;R46)),Setup!$D$12,0)))),"")</f>
        <v/>
      </c>
      <c r="AE46" s="183"/>
      <c r="CP46" s="168"/>
      <c r="CQ46" s="168"/>
      <c r="CR46" s="187"/>
      <c r="CS46" s="168"/>
    </row>
    <row r="47" spans="2:97" s="166" customFormat="1" ht="15" customHeight="1">
      <c r="B47" s="182"/>
      <c r="C47" s="181">
        <f>Tournament!D48</f>
        <v>33</v>
      </c>
      <c r="D47" s="181" t="str">
        <f>Tournament!E48</f>
        <v>A</v>
      </c>
      <c r="E47" s="188">
        <f>Tournament!F48</f>
        <v>41813.708333333336</v>
      </c>
      <c r="F47" s="189">
        <f>Tournament!G48</f>
        <v>41813.708333333336</v>
      </c>
      <c r="G47" s="190" t="str">
        <f>Tournament!H48</f>
        <v>Cameroon</v>
      </c>
      <c r="H47" s="180"/>
      <c r="I47" s="9"/>
      <c r="J47" s="191" t="s">
        <v>3088</v>
      </c>
      <c r="K47" s="9"/>
      <c r="L47" s="180"/>
      <c r="M47" s="180" t="str">
        <f>Tournament!N48</f>
        <v>Brazil</v>
      </c>
      <c r="N47" s="183"/>
      <c r="P47" s="192" t="str">
        <f t="shared" si="0"/>
        <v>Cameroon</v>
      </c>
      <c r="Q47" s="193"/>
      <c r="R47" s="194" t="str">
        <f>IF(Tournament!J48&lt;&gt;"",Tournament!J48,"")</f>
        <v/>
      </c>
      <c r="S47" s="194" t="s">
        <v>3088</v>
      </c>
      <c r="T47" s="194" t="str">
        <f>IF(Tournament!L48&lt;&gt;"",Tournament!L48,"")</f>
        <v/>
      </c>
      <c r="U47" s="193"/>
      <c r="V47" s="193" t="str">
        <f t="shared" si="1"/>
        <v>Brazil</v>
      </c>
      <c r="W47" s="194"/>
      <c r="X47" s="194"/>
      <c r="Y47" s="194"/>
      <c r="Z47" s="194"/>
      <c r="AA47" s="194"/>
      <c r="AB47" s="194"/>
      <c r="AC47" s="194"/>
      <c r="AD47" s="195" t="str">
        <f>IF(AND(I47&lt;&gt;"",K47&lt;&gt;"",R47&lt;&gt;"",T47&lt;&gt;""),IF(AND(I47=R47,K47=T47),Setup!$D$10,IF((I47-K47)=(R47-T47),Setup!$D$11,IF(AND((I47&gt;K47),(R47&gt;T47)),Setup!$D$12,IF(AND((K47&gt;I47),(T47&gt;R47)),Setup!$D$12,0)))),"")</f>
        <v/>
      </c>
      <c r="AE47" s="183"/>
      <c r="CP47" s="168"/>
      <c r="CQ47" s="168"/>
      <c r="CR47" s="187"/>
      <c r="CS47" s="168"/>
    </row>
    <row r="48" spans="2:97" s="166" customFormat="1" ht="15" customHeight="1">
      <c r="B48" s="182"/>
      <c r="C48" s="181">
        <f>Tournament!D49</f>
        <v>34</v>
      </c>
      <c r="D48" s="181" t="str">
        <f>Tournament!E49</f>
        <v>A</v>
      </c>
      <c r="E48" s="188">
        <f>Tournament!F49</f>
        <v>41813.708333333336</v>
      </c>
      <c r="F48" s="189">
        <f>Tournament!G49</f>
        <v>41813.708333333336</v>
      </c>
      <c r="G48" s="190" t="str">
        <f>Tournament!H49</f>
        <v>Croatia</v>
      </c>
      <c r="H48" s="180"/>
      <c r="I48" s="9"/>
      <c r="J48" s="191" t="s">
        <v>3088</v>
      </c>
      <c r="K48" s="9"/>
      <c r="L48" s="180"/>
      <c r="M48" s="180" t="str">
        <f>Tournament!N49</f>
        <v>Mexico</v>
      </c>
      <c r="N48" s="183"/>
      <c r="P48" s="192" t="str">
        <f t="shared" si="0"/>
        <v>Croatia</v>
      </c>
      <c r="Q48" s="193"/>
      <c r="R48" s="194" t="str">
        <f>IF(Tournament!J49&lt;&gt;"",Tournament!J49,"")</f>
        <v/>
      </c>
      <c r="S48" s="194" t="s">
        <v>3088</v>
      </c>
      <c r="T48" s="194" t="str">
        <f>IF(Tournament!L49&lt;&gt;"",Tournament!L49,"")</f>
        <v/>
      </c>
      <c r="U48" s="193"/>
      <c r="V48" s="193" t="str">
        <f t="shared" si="1"/>
        <v>Mexico</v>
      </c>
      <c r="W48" s="194"/>
      <c r="X48" s="194"/>
      <c r="Y48" s="194"/>
      <c r="Z48" s="194"/>
      <c r="AA48" s="194"/>
      <c r="AB48" s="194"/>
      <c r="AC48" s="194"/>
      <c r="AD48" s="195" t="str">
        <f>IF(AND(I48&lt;&gt;"",K48&lt;&gt;"",R48&lt;&gt;"",T48&lt;&gt;""),IF(AND(I48=R48,K48=T48),Setup!$D$10,IF((I48-K48)=(R48-T48),Setup!$D$11,IF(AND((I48&gt;K48),(R48&gt;T48)),Setup!$D$12,IF(AND((K48&gt;I48),(T48&gt;R48)),Setup!$D$12,0)))),"")</f>
        <v/>
      </c>
      <c r="AE48" s="183"/>
      <c r="CP48" s="168"/>
      <c r="CQ48" s="168"/>
      <c r="CR48" s="187"/>
      <c r="CS48" s="168"/>
    </row>
    <row r="49" spans="2:97" s="166" customFormat="1" ht="15" customHeight="1">
      <c r="B49" s="182"/>
      <c r="C49" s="181">
        <f>Tournament!D50</f>
        <v>35</v>
      </c>
      <c r="D49" s="181" t="str">
        <f>Tournament!E50</f>
        <v>B</v>
      </c>
      <c r="E49" s="188">
        <f>Tournament!F50</f>
        <v>41813.541666666664</v>
      </c>
      <c r="F49" s="189">
        <f>Tournament!G50</f>
        <v>41813.541666666664</v>
      </c>
      <c r="G49" s="190" t="str">
        <f>Tournament!H50</f>
        <v>Australia</v>
      </c>
      <c r="H49" s="180"/>
      <c r="I49" s="9"/>
      <c r="J49" s="191" t="s">
        <v>3088</v>
      </c>
      <c r="K49" s="9"/>
      <c r="L49" s="180"/>
      <c r="M49" s="180" t="str">
        <f>Tournament!N50</f>
        <v>Spain</v>
      </c>
      <c r="N49" s="183"/>
      <c r="P49" s="192" t="str">
        <f t="shared" si="0"/>
        <v>Australia</v>
      </c>
      <c r="Q49" s="193"/>
      <c r="R49" s="194" t="str">
        <f>IF(Tournament!J50&lt;&gt;"",Tournament!J50,"")</f>
        <v/>
      </c>
      <c r="S49" s="194" t="s">
        <v>3088</v>
      </c>
      <c r="T49" s="194" t="str">
        <f>IF(Tournament!L50&lt;&gt;"",Tournament!L50,"")</f>
        <v/>
      </c>
      <c r="U49" s="193"/>
      <c r="V49" s="193" t="str">
        <f t="shared" si="1"/>
        <v>Spain</v>
      </c>
      <c r="W49" s="194"/>
      <c r="X49" s="194"/>
      <c r="Y49" s="194"/>
      <c r="Z49" s="194"/>
      <c r="AA49" s="194"/>
      <c r="AB49" s="194"/>
      <c r="AC49" s="194"/>
      <c r="AD49" s="195" t="str">
        <f>IF(AND(I49&lt;&gt;"",K49&lt;&gt;"",R49&lt;&gt;"",T49&lt;&gt;""),IF(AND(I49=R49,K49=T49),Setup!$D$10,IF((I49-K49)=(R49-T49),Setup!$D$11,IF(AND((I49&gt;K49),(R49&gt;T49)),Setup!$D$12,IF(AND((K49&gt;I49),(T49&gt;R49)),Setup!$D$12,0)))),"")</f>
        <v/>
      </c>
      <c r="AE49" s="183"/>
      <c r="CP49" s="168"/>
      <c r="CQ49" s="168"/>
      <c r="CR49" s="187"/>
      <c r="CS49" s="168"/>
    </row>
    <row r="50" spans="2:97" s="166" customFormat="1" ht="15" customHeight="1">
      <c r="B50" s="182"/>
      <c r="C50" s="181">
        <f>Tournament!D51</f>
        <v>36</v>
      </c>
      <c r="D50" s="181" t="str">
        <f>Tournament!E51</f>
        <v>B</v>
      </c>
      <c r="E50" s="188">
        <f>Tournament!F51</f>
        <v>41813.541666666664</v>
      </c>
      <c r="F50" s="189">
        <f>Tournament!G51</f>
        <v>41813.541666666664</v>
      </c>
      <c r="G50" s="190" t="str">
        <f>Tournament!H51</f>
        <v>Netherlands</v>
      </c>
      <c r="H50" s="180"/>
      <c r="I50" s="9"/>
      <c r="J50" s="191" t="s">
        <v>3088</v>
      </c>
      <c r="K50" s="9"/>
      <c r="L50" s="180"/>
      <c r="M50" s="180" t="str">
        <f>Tournament!N51</f>
        <v>Chile</v>
      </c>
      <c r="N50" s="183"/>
      <c r="P50" s="192" t="str">
        <f t="shared" si="0"/>
        <v>Netherlands</v>
      </c>
      <c r="Q50" s="193"/>
      <c r="R50" s="194" t="str">
        <f>IF(Tournament!J51&lt;&gt;"",Tournament!J51,"")</f>
        <v/>
      </c>
      <c r="S50" s="194" t="s">
        <v>3088</v>
      </c>
      <c r="T50" s="194" t="str">
        <f>IF(Tournament!L51&lt;&gt;"",Tournament!L51,"")</f>
        <v/>
      </c>
      <c r="U50" s="193"/>
      <c r="V50" s="193" t="str">
        <f t="shared" si="1"/>
        <v>Chile</v>
      </c>
      <c r="W50" s="194"/>
      <c r="X50" s="194"/>
      <c r="Y50" s="194"/>
      <c r="Z50" s="194"/>
      <c r="AA50" s="194"/>
      <c r="AB50" s="194"/>
      <c r="AC50" s="194"/>
      <c r="AD50" s="195" t="str">
        <f>IF(AND(I50&lt;&gt;"",K50&lt;&gt;"",R50&lt;&gt;"",T50&lt;&gt;""),IF(AND(I50=R50,K50=T50),Setup!$D$10,IF((I50-K50)=(R50-T50),Setup!$D$11,IF(AND((I50&gt;K50),(R50&gt;T50)),Setup!$D$12,IF(AND((K50&gt;I50),(T50&gt;R50)),Setup!$D$12,0)))),"")</f>
        <v/>
      </c>
      <c r="AE50" s="183"/>
      <c r="CP50" s="168"/>
      <c r="CQ50" s="168"/>
      <c r="CR50" s="187"/>
      <c r="CS50" s="168"/>
    </row>
    <row r="51" spans="2:97" s="166" customFormat="1" ht="15" customHeight="1">
      <c r="B51" s="182"/>
      <c r="C51" s="181">
        <f>Tournament!D52</f>
        <v>37</v>
      </c>
      <c r="D51" s="181" t="str">
        <f>Tournament!E52</f>
        <v>C</v>
      </c>
      <c r="E51" s="188">
        <f>Tournament!F52</f>
        <v>41814.708333333336</v>
      </c>
      <c r="F51" s="189">
        <f>Tournament!G52</f>
        <v>41814.708333333336</v>
      </c>
      <c r="G51" s="190" t="str">
        <f>Tournament!H52</f>
        <v>Japan</v>
      </c>
      <c r="H51" s="180"/>
      <c r="I51" s="9"/>
      <c r="J51" s="191" t="s">
        <v>3088</v>
      </c>
      <c r="K51" s="9"/>
      <c r="L51" s="180"/>
      <c r="M51" s="180" t="str">
        <f>Tournament!N52</f>
        <v>Colombia</v>
      </c>
      <c r="N51" s="183"/>
      <c r="P51" s="192" t="str">
        <f t="shared" si="0"/>
        <v>Japan</v>
      </c>
      <c r="Q51" s="193"/>
      <c r="R51" s="194" t="str">
        <f>IF(Tournament!J52&lt;&gt;"",Tournament!J52,"")</f>
        <v/>
      </c>
      <c r="S51" s="194" t="s">
        <v>3088</v>
      </c>
      <c r="T51" s="194" t="str">
        <f>IF(Tournament!L52&lt;&gt;"",Tournament!L52,"")</f>
        <v/>
      </c>
      <c r="U51" s="193"/>
      <c r="V51" s="193" t="str">
        <f t="shared" si="1"/>
        <v>Colombia</v>
      </c>
      <c r="W51" s="194"/>
      <c r="X51" s="194"/>
      <c r="Y51" s="194"/>
      <c r="Z51" s="194"/>
      <c r="AA51" s="194"/>
      <c r="AB51" s="194"/>
      <c r="AC51" s="194"/>
      <c r="AD51" s="195" t="str">
        <f>IF(AND(I51&lt;&gt;"",K51&lt;&gt;"",R51&lt;&gt;"",T51&lt;&gt;""),IF(AND(I51=R51,K51=T51),Setup!$D$10,IF((I51-K51)=(R51-T51),Setup!$D$11,IF(AND((I51&gt;K51),(R51&gt;T51)),Setup!$D$12,IF(AND((K51&gt;I51),(T51&gt;R51)),Setup!$D$12,0)))),"")</f>
        <v/>
      </c>
      <c r="AE51" s="183"/>
      <c r="CP51" s="168"/>
      <c r="CQ51" s="168"/>
      <c r="CR51" s="187"/>
      <c r="CS51" s="168"/>
    </row>
    <row r="52" spans="2:97" s="166" customFormat="1" ht="15" customHeight="1">
      <c r="B52" s="182"/>
      <c r="C52" s="181">
        <f>Tournament!D53</f>
        <v>38</v>
      </c>
      <c r="D52" s="181" t="str">
        <f>Tournament!E53</f>
        <v>C</v>
      </c>
      <c r="E52" s="188">
        <f>Tournament!F53</f>
        <v>41814.708333333336</v>
      </c>
      <c r="F52" s="189">
        <f>Tournament!G53</f>
        <v>41814.708333333336</v>
      </c>
      <c r="G52" s="190" t="str">
        <f>Tournament!H53</f>
        <v>Greece</v>
      </c>
      <c r="H52" s="180"/>
      <c r="I52" s="9"/>
      <c r="J52" s="191" t="s">
        <v>3088</v>
      </c>
      <c r="K52" s="9"/>
      <c r="L52" s="180"/>
      <c r="M52" s="180" t="str">
        <f>Tournament!N53</f>
        <v>Ivory Coast</v>
      </c>
      <c r="N52" s="183"/>
      <c r="P52" s="192" t="str">
        <f t="shared" si="0"/>
        <v>Greece</v>
      </c>
      <c r="Q52" s="193"/>
      <c r="R52" s="194" t="str">
        <f>IF(Tournament!J53&lt;&gt;"",Tournament!J53,"")</f>
        <v/>
      </c>
      <c r="S52" s="194" t="s">
        <v>3088</v>
      </c>
      <c r="T52" s="194" t="str">
        <f>IF(Tournament!L53&lt;&gt;"",Tournament!L53,"")</f>
        <v/>
      </c>
      <c r="U52" s="193"/>
      <c r="V52" s="193" t="str">
        <f t="shared" si="1"/>
        <v>Ivory Coast</v>
      </c>
      <c r="W52" s="194"/>
      <c r="X52" s="194"/>
      <c r="Y52" s="194"/>
      <c r="Z52" s="194"/>
      <c r="AA52" s="194"/>
      <c r="AB52" s="194"/>
      <c r="AC52" s="194"/>
      <c r="AD52" s="195" t="str">
        <f>IF(AND(I52&lt;&gt;"",K52&lt;&gt;"",R52&lt;&gt;"",T52&lt;&gt;""),IF(AND(I52=R52,K52=T52),Setup!$D$10,IF((I52-K52)=(R52-T52),Setup!$D$11,IF(AND((I52&gt;K52),(R52&gt;T52)),Setup!$D$12,IF(AND((K52&gt;I52),(T52&gt;R52)),Setup!$D$12,0)))),"")</f>
        <v/>
      </c>
      <c r="AE52" s="183"/>
      <c r="CP52" s="168"/>
      <c r="CQ52" s="168"/>
      <c r="CR52" s="187"/>
      <c r="CS52" s="168"/>
    </row>
    <row r="53" spans="2:97" s="166" customFormat="1" ht="15" customHeight="1">
      <c r="B53" s="182"/>
      <c r="C53" s="181">
        <f>Tournament!D54</f>
        <v>39</v>
      </c>
      <c r="D53" s="181" t="str">
        <f>Tournament!E54</f>
        <v>D</v>
      </c>
      <c r="E53" s="188">
        <f>Tournament!F54</f>
        <v>41814.541666666664</v>
      </c>
      <c r="F53" s="189">
        <f>Tournament!G54</f>
        <v>41814.541666666664</v>
      </c>
      <c r="G53" s="190" t="str">
        <f>Tournament!H54</f>
        <v>Italy</v>
      </c>
      <c r="H53" s="180"/>
      <c r="I53" s="9"/>
      <c r="J53" s="191" t="s">
        <v>3088</v>
      </c>
      <c r="K53" s="9"/>
      <c r="L53" s="180"/>
      <c r="M53" s="180" t="str">
        <f>Tournament!N54</f>
        <v>Uruguay</v>
      </c>
      <c r="N53" s="183"/>
      <c r="P53" s="192" t="str">
        <f t="shared" si="0"/>
        <v>Italy</v>
      </c>
      <c r="Q53" s="193"/>
      <c r="R53" s="194" t="str">
        <f>IF(Tournament!J54&lt;&gt;"",Tournament!J54,"")</f>
        <v/>
      </c>
      <c r="S53" s="194" t="s">
        <v>3088</v>
      </c>
      <c r="T53" s="194" t="str">
        <f>IF(Tournament!L54&lt;&gt;"",Tournament!L54,"")</f>
        <v/>
      </c>
      <c r="U53" s="193"/>
      <c r="V53" s="193" t="str">
        <f t="shared" si="1"/>
        <v>Uruguay</v>
      </c>
      <c r="W53" s="194"/>
      <c r="X53" s="194"/>
      <c r="Y53" s="194"/>
      <c r="Z53" s="194"/>
      <c r="AA53" s="194"/>
      <c r="AB53" s="194"/>
      <c r="AC53" s="194"/>
      <c r="AD53" s="195" t="str">
        <f>IF(AND(I53&lt;&gt;"",K53&lt;&gt;"",R53&lt;&gt;"",T53&lt;&gt;""),IF(AND(I53=R53,K53=T53),Setup!$D$10,IF((I53-K53)=(R53-T53),Setup!$D$11,IF(AND((I53&gt;K53),(R53&gt;T53)),Setup!$D$12,IF(AND((K53&gt;I53),(T53&gt;R53)),Setup!$D$12,0)))),"")</f>
        <v/>
      </c>
      <c r="AE53" s="183"/>
      <c r="CP53" s="168"/>
      <c r="CQ53" s="168"/>
      <c r="CR53" s="187"/>
      <c r="CS53" s="168"/>
    </row>
    <row r="54" spans="2:97" s="166" customFormat="1" ht="15" customHeight="1">
      <c r="B54" s="182"/>
      <c r="C54" s="181">
        <f>Tournament!D55</f>
        <v>40</v>
      </c>
      <c r="D54" s="181" t="str">
        <f>Tournament!E55</f>
        <v>D</v>
      </c>
      <c r="E54" s="188">
        <f>Tournament!F55</f>
        <v>41814.541666666664</v>
      </c>
      <c r="F54" s="189">
        <f>Tournament!G55</f>
        <v>41814.541666666664</v>
      </c>
      <c r="G54" s="190" t="str">
        <f>Tournament!H55</f>
        <v>Costa Rica</v>
      </c>
      <c r="H54" s="180"/>
      <c r="I54" s="9"/>
      <c r="J54" s="191" t="s">
        <v>3088</v>
      </c>
      <c r="K54" s="9"/>
      <c r="L54" s="180"/>
      <c r="M54" s="180" t="str">
        <f>Tournament!N55</f>
        <v>England</v>
      </c>
      <c r="N54" s="183"/>
      <c r="P54" s="192" t="str">
        <f t="shared" si="0"/>
        <v>Costa Rica</v>
      </c>
      <c r="Q54" s="193"/>
      <c r="R54" s="194" t="str">
        <f>IF(Tournament!J55&lt;&gt;"",Tournament!J55,"")</f>
        <v/>
      </c>
      <c r="S54" s="194" t="s">
        <v>3088</v>
      </c>
      <c r="T54" s="194" t="str">
        <f>IF(Tournament!L55&lt;&gt;"",Tournament!L55,"")</f>
        <v/>
      </c>
      <c r="U54" s="193"/>
      <c r="V54" s="193" t="str">
        <f t="shared" si="1"/>
        <v>England</v>
      </c>
      <c r="W54" s="194"/>
      <c r="X54" s="194"/>
      <c r="Y54" s="194"/>
      <c r="Z54" s="194"/>
      <c r="AA54" s="194"/>
      <c r="AB54" s="194"/>
      <c r="AC54" s="194"/>
      <c r="AD54" s="195" t="str">
        <f>IF(AND(I54&lt;&gt;"",K54&lt;&gt;"",R54&lt;&gt;"",T54&lt;&gt;""),IF(AND(I54=R54,K54=T54),Setup!$D$10,IF((I54-K54)=(R54-T54),Setup!$D$11,IF(AND((I54&gt;K54),(R54&gt;T54)),Setup!$D$12,IF(AND((K54&gt;I54),(T54&gt;R54)),Setup!$D$12,0)))),"")</f>
        <v/>
      </c>
      <c r="AE54" s="183"/>
      <c r="CP54" s="168"/>
      <c r="CQ54" s="168"/>
      <c r="CR54" s="187"/>
      <c r="CS54" s="168"/>
    </row>
    <row r="55" spans="2:97" s="166" customFormat="1" ht="15" customHeight="1">
      <c r="B55" s="182"/>
      <c r="C55" s="181">
        <f>Tournament!D56</f>
        <v>41</v>
      </c>
      <c r="D55" s="181" t="str">
        <f>Tournament!E56</f>
        <v>E</v>
      </c>
      <c r="E55" s="188">
        <f>Tournament!F56</f>
        <v>41815.708333333336</v>
      </c>
      <c r="F55" s="189">
        <f>Tournament!G56</f>
        <v>41815.708333333336</v>
      </c>
      <c r="G55" s="190" t="str">
        <f>Tournament!H56</f>
        <v>Honduras</v>
      </c>
      <c r="H55" s="180"/>
      <c r="I55" s="9"/>
      <c r="J55" s="191" t="s">
        <v>3088</v>
      </c>
      <c r="K55" s="9"/>
      <c r="L55" s="180"/>
      <c r="M55" s="180" t="str">
        <f>Tournament!N56</f>
        <v>Switzerland</v>
      </c>
      <c r="N55" s="183"/>
      <c r="P55" s="192" t="str">
        <f t="shared" si="0"/>
        <v>Honduras</v>
      </c>
      <c r="Q55" s="193"/>
      <c r="R55" s="194" t="str">
        <f>IF(Tournament!J56&lt;&gt;"",Tournament!J56,"")</f>
        <v/>
      </c>
      <c r="S55" s="194" t="s">
        <v>3088</v>
      </c>
      <c r="T55" s="194" t="str">
        <f>IF(Tournament!L56&lt;&gt;"",Tournament!L56,"")</f>
        <v/>
      </c>
      <c r="U55" s="193"/>
      <c r="V55" s="193" t="str">
        <f t="shared" si="1"/>
        <v>Switzerland</v>
      </c>
      <c r="W55" s="194"/>
      <c r="X55" s="194"/>
      <c r="Y55" s="194"/>
      <c r="Z55" s="194"/>
      <c r="AA55" s="194"/>
      <c r="AB55" s="194"/>
      <c r="AC55" s="194"/>
      <c r="AD55" s="195" t="str">
        <f>IF(AND(I55&lt;&gt;"",K55&lt;&gt;"",R55&lt;&gt;"",T55&lt;&gt;""),IF(AND(I55=R55,K55=T55),Setup!$D$10,IF((I55-K55)=(R55-T55),Setup!$D$11,IF(AND((I55&gt;K55),(R55&gt;T55)),Setup!$D$12,IF(AND((K55&gt;I55),(T55&gt;R55)),Setup!$D$12,0)))),"")</f>
        <v/>
      </c>
      <c r="AE55" s="183"/>
      <c r="CP55" s="168"/>
      <c r="CQ55" s="168"/>
      <c r="CR55" s="187"/>
      <c r="CS55" s="168"/>
    </row>
    <row r="56" spans="2:97" s="166" customFormat="1" ht="15" customHeight="1">
      <c r="B56" s="182"/>
      <c r="C56" s="181">
        <f>Tournament!D57</f>
        <v>42</v>
      </c>
      <c r="D56" s="181" t="str">
        <f>Tournament!E57</f>
        <v>E</v>
      </c>
      <c r="E56" s="188">
        <f>Tournament!F57</f>
        <v>41815.708333333336</v>
      </c>
      <c r="F56" s="189">
        <f>Tournament!G57</f>
        <v>41815.708333333336</v>
      </c>
      <c r="G56" s="190" t="str">
        <f>Tournament!H57</f>
        <v>Ecuador</v>
      </c>
      <c r="H56" s="180"/>
      <c r="I56" s="9"/>
      <c r="J56" s="191" t="s">
        <v>3088</v>
      </c>
      <c r="K56" s="9"/>
      <c r="L56" s="180"/>
      <c r="M56" s="180" t="str">
        <f>Tournament!N57</f>
        <v>France</v>
      </c>
      <c r="N56" s="183"/>
      <c r="P56" s="192" t="str">
        <f t="shared" si="0"/>
        <v>Ecuador</v>
      </c>
      <c r="Q56" s="193"/>
      <c r="R56" s="194" t="str">
        <f>IF(Tournament!J57&lt;&gt;"",Tournament!J57,"")</f>
        <v/>
      </c>
      <c r="S56" s="194" t="s">
        <v>3088</v>
      </c>
      <c r="T56" s="194" t="str">
        <f>IF(Tournament!L57&lt;&gt;"",Tournament!L57,"")</f>
        <v/>
      </c>
      <c r="U56" s="193"/>
      <c r="V56" s="193" t="str">
        <f t="shared" si="1"/>
        <v>France</v>
      </c>
      <c r="W56" s="194"/>
      <c r="X56" s="194"/>
      <c r="Y56" s="194"/>
      <c r="Z56" s="194"/>
      <c r="AA56" s="194"/>
      <c r="AB56" s="194"/>
      <c r="AC56" s="194"/>
      <c r="AD56" s="195" t="str">
        <f>IF(AND(I56&lt;&gt;"",K56&lt;&gt;"",R56&lt;&gt;"",T56&lt;&gt;""),IF(AND(I56=R56,K56=T56),Setup!$D$10,IF((I56-K56)=(R56-T56),Setup!$D$11,IF(AND((I56&gt;K56),(R56&gt;T56)),Setup!$D$12,IF(AND((K56&gt;I56),(T56&gt;R56)),Setup!$D$12,0)))),"")</f>
        <v/>
      </c>
      <c r="AE56" s="183"/>
      <c r="CP56" s="168"/>
      <c r="CQ56" s="168"/>
      <c r="CR56" s="187"/>
      <c r="CS56" s="168"/>
    </row>
    <row r="57" spans="2:97" s="166" customFormat="1" ht="15" customHeight="1">
      <c r="B57" s="182"/>
      <c r="C57" s="181">
        <f>Tournament!D58</f>
        <v>43</v>
      </c>
      <c r="D57" s="181" t="str">
        <f>Tournament!E58</f>
        <v>F</v>
      </c>
      <c r="E57" s="188">
        <f>Tournament!F58</f>
        <v>41815.541666666664</v>
      </c>
      <c r="F57" s="189">
        <f>Tournament!G58</f>
        <v>41815.541666666664</v>
      </c>
      <c r="G57" s="190" t="str">
        <f>Tournament!H58</f>
        <v>Nigeria</v>
      </c>
      <c r="H57" s="180"/>
      <c r="I57" s="9"/>
      <c r="J57" s="191" t="s">
        <v>3088</v>
      </c>
      <c r="K57" s="9"/>
      <c r="L57" s="180"/>
      <c r="M57" s="180" t="str">
        <f>Tournament!N58</f>
        <v>Argentina</v>
      </c>
      <c r="N57" s="183"/>
      <c r="P57" s="192" t="str">
        <f t="shared" si="0"/>
        <v>Nigeria</v>
      </c>
      <c r="Q57" s="193"/>
      <c r="R57" s="194" t="str">
        <f>IF(Tournament!J58&lt;&gt;"",Tournament!J58,"")</f>
        <v/>
      </c>
      <c r="S57" s="194" t="s">
        <v>3088</v>
      </c>
      <c r="T57" s="194" t="str">
        <f>IF(Tournament!L58&lt;&gt;"",Tournament!L58,"")</f>
        <v/>
      </c>
      <c r="U57" s="193"/>
      <c r="V57" s="193" t="str">
        <f t="shared" si="1"/>
        <v>Argentina</v>
      </c>
      <c r="W57" s="194"/>
      <c r="X57" s="194"/>
      <c r="Y57" s="194"/>
      <c r="Z57" s="194"/>
      <c r="AA57" s="194"/>
      <c r="AB57" s="194"/>
      <c r="AC57" s="194"/>
      <c r="AD57" s="195" t="str">
        <f>IF(AND(I57&lt;&gt;"",K57&lt;&gt;"",R57&lt;&gt;"",T57&lt;&gt;""),IF(AND(I57=R57,K57=T57),Setup!$D$10,IF((I57-K57)=(R57-T57),Setup!$D$11,IF(AND((I57&gt;K57),(R57&gt;T57)),Setup!$D$12,IF(AND((K57&gt;I57),(T57&gt;R57)),Setup!$D$12,0)))),"")</f>
        <v/>
      </c>
      <c r="AE57" s="183"/>
      <c r="CP57" s="168"/>
      <c r="CQ57" s="168"/>
      <c r="CR57" s="187"/>
      <c r="CS57" s="168"/>
    </row>
    <row r="58" spans="2:97" s="166" customFormat="1" ht="15" customHeight="1">
      <c r="B58" s="182"/>
      <c r="C58" s="181">
        <f>Tournament!D59</f>
        <v>44</v>
      </c>
      <c r="D58" s="181" t="str">
        <f>Tournament!E59</f>
        <v>F</v>
      </c>
      <c r="E58" s="188">
        <f>Tournament!F59</f>
        <v>41815.541666666664</v>
      </c>
      <c r="F58" s="189">
        <f>Tournament!G59</f>
        <v>41815.541666666664</v>
      </c>
      <c r="G58" s="190" t="str">
        <f>Tournament!H59</f>
        <v>Bosnia-Herzegovina</v>
      </c>
      <c r="H58" s="180"/>
      <c r="I58" s="9"/>
      <c r="J58" s="191" t="s">
        <v>3088</v>
      </c>
      <c r="K58" s="9"/>
      <c r="L58" s="180"/>
      <c r="M58" s="180" t="str">
        <f>Tournament!N59</f>
        <v>Iran</v>
      </c>
      <c r="N58" s="183"/>
      <c r="P58" s="192" t="str">
        <f t="shared" si="0"/>
        <v>Bosnia-Herzegovina</v>
      </c>
      <c r="Q58" s="193"/>
      <c r="R58" s="194" t="str">
        <f>IF(Tournament!J59&lt;&gt;"",Tournament!J59,"")</f>
        <v/>
      </c>
      <c r="S58" s="194" t="s">
        <v>3088</v>
      </c>
      <c r="T58" s="194" t="str">
        <f>IF(Tournament!L59&lt;&gt;"",Tournament!L59,"")</f>
        <v/>
      </c>
      <c r="U58" s="193"/>
      <c r="V58" s="193" t="str">
        <f t="shared" si="1"/>
        <v>Iran</v>
      </c>
      <c r="W58" s="194"/>
      <c r="X58" s="194"/>
      <c r="Y58" s="194"/>
      <c r="Z58" s="194"/>
      <c r="AA58" s="194"/>
      <c r="AB58" s="194"/>
      <c r="AC58" s="194"/>
      <c r="AD58" s="195" t="str">
        <f>IF(AND(I58&lt;&gt;"",K58&lt;&gt;"",R58&lt;&gt;"",T58&lt;&gt;""),IF(AND(I58=R58,K58=T58),Setup!$D$10,IF((I58-K58)=(R58-T58),Setup!$D$11,IF(AND((I58&gt;K58),(R58&gt;T58)),Setup!$D$12,IF(AND((K58&gt;I58),(T58&gt;R58)),Setup!$D$12,0)))),"")</f>
        <v/>
      </c>
      <c r="AE58" s="183"/>
      <c r="CP58" s="168"/>
      <c r="CQ58" s="168"/>
      <c r="CR58" s="187"/>
      <c r="CS58" s="168"/>
    </row>
    <row r="59" spans="2:97" s="166" customFormat="1" ht="15" customHeight="1">
      <c r="B59" s="182"/>
      <c r="C59" s="181">
        <f>Tournament!D60</f>
        <v>45</v>
      </c>
      <c r="D59" s="181" t="str">
        <f>Tournament!E60</f>
        <v>G</v>
      </c>
      <c r="E59" s="188">
        <f>Tournament!F60</f>
        <v>41816.541666666664</v>
      </c>
      <c r="F59" s="189">
        <f>Tournament!G60</f>
        <v>41816.541666666664</v>
      </c>
      <c r="G59" s="190" t="str">
        <f>Tournament!H60</f>
        <v>USA</v>
      </c>
      <c r="H59" s="180"/>
      <c r="I59" s="9"/>
      <c r="J59" s="191" t="s">
        <v>3088</v>
      </c>
      <c r="K59" s="9"/>
      <c r="L59" s="180"/>
      <c r="M59" s="180" t="str">
        <f>Tournament!N60</f>
        <v>Germany</v>
      </c>
      <c r="N59" s="183"/>
      <c r="P59" s="192" t="str">
        <f t="shared" si="0"/>
        <v>USA</v>
      </c>
      <c r="Q59" s="193"/>
      <c r="R59" s="194" t="str">
        <f>IF(Tournament!J60&lt;&gt;"",Tournament!J60,"")</f>
        <v/>
      </c>
      <c r="S59" s="194" t="s">
        <v>3088</v>
      </c>
      <c r="T59" s="194" t="str">
        <f>IF(Tournament!L60&lt;&gt;"",Tournament!L60,"")</f>
        <v/>
      </c>
      <c r="U59" s="193"/>
      <c r="V59" s="193" t="str">
        <f t="shared" si="1"/>
        <v>Germany</v>
      </c>
      <c r="W59" s="194"/>
      <c r="X59" s="194"/>
      <c r="Y59" s="194"/>
      <c r="Z59" s="194"/>
      <c r="AA59" s="194"/>
      <c r="AB59" s="194"/>
      <c r="AC59" s="194"/>
      <c r="AD59" s="195" t="str">
        <f>IF(AND(I59&lt;&gt;"",K59&lt;&gt;"",R59&lt;&gt;"",T59&lt;&gt;""),IF(AND(I59=R59,K59=T59),Setup!$D$10,IF((I59-K59)=(R59-T59),Setup!$D$11,IF(AND((I59&gt;K59),(R59&gt;T59)),Setup!$D$12,IF(AND((K59&gt;I59),(T59&gt;R59)),Setup!$D$12,0)))),"")</f>
        <v/>
      </c>
      <c r="AE59" s="183"/>
      <c r="CP59" s="168"/>
      <c r="CQ59" s="168"/>
      <c r="CR59" s="187"/>
      <c r="CS59" s="168"/>
    </row>
    <row r="60" spans="2:97" s="166" customFormat="1" ht="15" customHeight="1">
      <c r="B60" s="182"/>
      <c r="C60" s="181">
        <f>Tournament!D61</f>
        <v>46</v>
      </c>
      <c r="D60" s="181" t="str">
        <f>Tournament!E61</f>
        <v>G</v>
      </c>
      <c r="E60" s="188">
        <f>Tournament!F61</f>
        <v>41816.541666666664</v>
      </c>
      <c r="F60" s="189">
        <f>Tournament!G61</f>
        <v>41816.541666666664</v>
      </c>
      <c r="G60" s="190" t="str">
        <f>Tournament!H61</f>
        <v>Portugal</v>
      </c>
      <c r="H60" s="180"/>
      <c r="I60" s="9"/>
      <c r="J60" s="191" t="s">
        <v>3088</v>
      </c>
      <c r="K60" s="9"/>
      <c r="L60" s="180"/>
      <c r="M60" s="180" t="str">
        <f>Tournament!N61</f>
        <v>Ghana</v>
      </c>
      <c r="N60" s="183"/>
      <c r="P60" s="192" t="str">
        <f t="shared" si="0"/>
        <v>Portugal</v>
      </c>
      <c r="Q60" s="193"/>
      <c r="R60" s="194" t="str">
        <f>IF(Tournament!J61&lt;&gt;"",Tournament!J61,"")</f>
        <v/>
      </c>
      <c r="S60" s="194" t="s">
        <v>3088</v>
      </c>
      <c r="T60" s="194" t="str">
        <f>IF(Tournament!L61&lt;&gt;"",Tournament!L61,"")</f>
        <v/>
      </c>
      <c r="U60" s="193"/>
      <c r="V60" s="193" t="str">
        <f t="shared" si="1"/>
        <v>Ghana</v>
      </c>
      <c r="W60" s="194"/>
      <c r="X60" s="194"/>
      <c r="Y60" s="194"/>
      <c r="Z60" s="194"/>
      <c r="AA60" s="194"/>
      <c r="AB60" s="194"/>
      <c r="AC60" s="194"/>
      <c r="AD60" s="195" t="str">
        <f>IF(AND(I60&lt;&gt;"",K60&lt;&gt;"",R60&lt;&gt;"",T60&lt;&gt;""),IF(AND(I60=R60,K60=T60),Setup!$D$10,IF((I60-K60)=(R60-T60),Setup!$D$11,IF(AND((I60&gt;K60),(R60&gt;T60)),Setup!$D$12,IF(AND((K60&gt;I60),(T60&gt;R60)),Setup!$D$12,0)))),"")</f>
        <v/>
      </c>
      <c r="AE60" s="183"/>
      <c r="CN60" s="168"/>
      <c r="CO60" s="168"/>
      <c r="CP60" s="187"/>
      <c r="CQ60" s="168"/>
    </row>
    <row r="61" spans="2:97" s="166" customFormat="1" ht="15" customHeight="1">
      <c r="B61" s="182"/>
      <c r="C61" s="181">
        <f>Tournament!D62</f>
        <v>47</v>
      </c>
      <c r="D61" s="181" t="str">
        <f>Tournament!E62</f>
        <v>H</v>
      </c>
      <c r="E61" s="188">
        <f>Tournament!F62</f>
        <v>41816.708333333336</v>
      </c>
      <c r="F61" s="189">
        <f>Tournament!G62</f>
        <v>41816.708333333336</v>
      </c>
      <c r="G61" s="190" t="str">
        <f>Tournament!H62</f>
        <v>South Korea</v>
      </c>
      <c r="H61" s="180"/>
      <c r="I61" s="9"/>
      <c r="J61" s="191" t="s">
        <v>3088</v>
      </c>
      <c r="K61" s="9"/>
      <c r="L61" s="180"/>
      <c r="M61" s="180" t="str">
        <f>Tournament!N62</f>
        <v>Belgium</v>
      </c>
      <c r="N61" s="183"/>
      <c r="P61" s="192" t="str">
        <f t="shared" si="0"/>
        <v>South Korea</v>
      </c>
      <c r="Q61" s="193"/>
      <c r="R61" s="194" t="str">
        <f>IF(Tournament!J62&lt;&gt;"",Tournament!J62,"")</f>
        <v/>
      </c>
      <c r="S61" s="194" t="s">
        <v>3088</v>
      </c>
      <c r="T61" s="194" t="str">
        <f>IF(Tournament!L62&lt;&gt;"",Tournament!L62,"")</f>
        <v/>
      </c>
      <c r="U61" s="193"/>
      <c r="V61" s="193" t="str">
        <f t="shared" si="1"/>
        <v>Belgium</v>
      </c>
      <c r="W61" s="194"/>
      <c r="X61" s="194"/>
      <c r="Y61" s="194"/>
      <c r="Z61" s="194"/>
      <c r="AA61" s="194"/>
      <c r="AB61" s="194"/>
      <c r="AC61" s="194"/>
      <c r="AD61" s="195" t="str">
        <f>IF(AND(I61&lt;&gt;"",K61&lt;&gt;"",R61&lt;&gt;"",T61&lt;&gt;""),IF(AND(I61=R61,K61=T61),Setup!$D$10,IF((I61-K61)=(R61-T61),Setup!$D$11,IF(AND((I61&gt;K61),(R61&gt;T61)),Setup!$D$12,IF(AND((K61&gt;I61),(T61&gt;R61)),Setup!$D$12,0)))),"")</f>
        <v/>
      </c>
      <c r="AE61" s="183"/>
      <c r="CM61" s="168"/>
      <c r="CN61" s="168"/>
      <c r="CO61" s="187"/>
      <c r="CP61" s="168"/>
    </row>
    <row r="62" spans="2:97" s="166" customFormat="1" ht="15" customHeight="1">
      <c r="B62" s="182"/>
      <c r="C62" s="181">
        <f>Tournament!D63</f>
        <v>48</v>
      </c>
      <c r="D62" s="181" t="str">
        <f>Tournament!E63</f>
        <v>H</v>
      </c>
      <c r="E62" s="188">
        <f>Tournament!F63</f>
        <v>41816.708333333336</v>
      </c>
      <c r="F62" s="189">
        <f>Tournament!G63</f>
        <v>41816.708333333336</v>
      </c>
      <c r="G62" s="190" t="str">
        <f>Tournament!H63</f>
        <v>Algeria</v>
      </c>
      <c r="H62" s="180"/>
      <c r="I62" s="9"/>
      <c r="J62" s="191" t="s">
        <v>3088</v>
      </c>
      <c r="K62" s="9"/>
      <c r="L62" s="180"/>
      <c r="M62" s="180" t="str">
        <f>Tournament!N63</f>
        <v>Russia</v>
      </c>
      <c r="N62" s="183"/>
      <c r="P62" s="192" t="str">
        <f t="shared" si="0"/>
        <v>Algeria</v>
      </c>
      <c r="Q62" s="193"/>
      <c r="R62" s="194" t="str">
        <f>IF(Tournament!J63&lt;&gt;"",Tournament!J63,"")</f>
        <v/>
      </c>
      <c r="S62" s="194" t="s">
        <v>3088</v>
      </c>
      <c r="T62" s="194" t="str">
        <f>IF(Tournament!L63&lt;&gt;"",Tournament!L63,"")</f>
        <v/>
      </c>
      <c r="U62" s="193"/>
      <c r="V62" s="193" t="str">
        <f t="shared" si="1"/>
        <v>Russia</v>
      </c>
      <c r="AD62" s="195" t="str">
        <f>IF(AND(I62&lt;&gt;"",K62&lt;&gt;"",R62&lt;&gt;"",T62&lt;&gt;""),IF(AND(I62=R62,K62=T62),Setup!$D$10,IF((I62-K62)=(R62-T62),Setup!$D$11,IF(AND((I62&gt;K62),(R62&gt;T62)),Setup!$D$12,IF(AND((K62&gt;I62),(T62&gt;R62)),Setup!$D$12,0)))),"")</f>
        <v/>
      </c>
      <c r="AE62" s="183"/>
      <c r="CM62" s="168"/>
      <c r="CN62" s="168"/>
      <c r="CO62" s="187"/>
      <c r="CP62" s="168"/>
    </row>
    <row r="63" spans="2:97" s="166" customFormat="1" ht="15" customHeight="1">
      <c r="B63" s="182"/>
      <c r="C63" s="181"/>
      <c r="D63" s="181"/>
      <c r="E63" s="188"/>
      <c r="F63" s="189"/>
      <c r="G63" s="190"/>
      <c r="H63" s="180"/>
      <c r="I63" s="191"/>
      <c r="J63" s="191"/>
      <c r="K63" s="191"/>
      <c r="L63" s="180"/>
      <c r="M63" s="180"/>
      <c r="N63" s="183"/>
      <c r="P63" s="192"/>
      <c r="Q63" s="193"/>
      <c r="R63" s="194"/>
      <c r="S63" s="194"/>
      <c r="T63" s="194"/>
      <c r="U63" s="193"/>
      <c r="V63" s="193"/>
      <c r="AD63" s="181"/>
      <c r="AE63" s="183"/>
      <c r="CM63" s="168"/>
      <c r="CN63" s="168"/>
      <c r="CO63" s="187"/>
      <c r="CP63" s="168"/>
    </row>
    <row r="64" spans="2:97" s="166" customFormat="1" ht="15" customHeight="1">
      <c r="B64" s="300" t="s">
        <v>3544</v>
      </c>
      <c r="C64" s="301"/>
      <c r="D64" s="301"/>
      <c r="E64" s="301"/>
      <c r="F64" s="301"/>
      <c r="G64" s="301"/>
      <c r="H64" s="301"/>
      <c r="I64" s="301"/>
      <c r="J64" s="301"/>
      <c r="K64" s="301"/>
      <c r="L64" s="301"/>
      <c r="M64" s="301"/>
      <c r="N64" s="302"/>
      <c r="P64" s="303" t="str">
        <f>B64</f>
        <v>Knock Out Stages</v>
      </c>
      <c r="Q64" s="304"/>
      <c r="R64" s="304"/>
      <c r="S64" s="304"/>
      <c r="T64" s="304"/>
      <c r="U64" s="304"/>
      <c r="V64" s="304"/>
      <c r="W64" s="304"/>
      <c r="X64" s="304"/>
      <c r="Y64" s="304"/>
      <c r="Z64" s="304"/>
      <c r="AA64" s="304"/>
      <c r="AB64" s="304"/>
      <c r="AC64" s="304"/>
      <c r="AD64" s="304"/>
      <c r="AE64" s="305"/>
      <c r="CM64" s="168"/>
      <c r="CN64" s="168"/>
      <c r="CO64" s="187"/>
      <c r="CP64" s="168"/>
    </row>
    <row r="65" spans="2:94" s="166" customFormat="1" ht="15" customHeight="1">
      <c r="B65" s="182"/>
      <c r="C65" s="181"/>
      <c r="D65" s="181"/>
      <c r="E65" s="188"/>
      <c r="F65" s="189"/>
      <c r="G65" s="190"/>
      <c r="H65" s="180"/>
      <c r="I65" s="191"/>
      <c r="J65" s="191"/>
      <c r="K65" s="191"/>
      <c r="L65" s="180"/>
      <c r="M65" s="180"/>
      <c r="N65" s="183"/>
      <c r="P65" s="192"/>
      <c r="Q65" s="193"/>
      <c r="R65" s="299" t="s">
        <v>3554</v>
      </c>
      <c r="S65" s="299"/>
      <c r="T65" s="299"/>
      <c r="U65" s="193"/>
      <c r="V65" s="193"/>
      <c r="W65" s="299" t="s">
        <v>3546</v>
      </c>
      <c r="X65" s="299"/>
      <c r="Y65" s="299"/>
      <c r="Z65" s="197"/>
      <c r="AA65" s="299" t="s">
        <v>3547</v>
      </c>
      <c r="AB65" s="299"/>
      <c r="AC65" s="299"/>
      <c r="AD65" s="181"/>
      <c r="AE65" s="183"/>
      <c r="CM65" s="168"/>
      <c r="CN65" s="168"/>
      <c r="CO65" s="187"/>
      <c r="CP65" s="168"/>
    </row>
    <row r="66" spans="2:94" s="166" customFormat="1" ht="15" customHeight="1">
      <c r="B66" s="182"/>
      <c r="C66" s="181">
        <v>49</v>
      </c>
      <c r="D66" s="181" t="s">
        <v>3548</v>
      </c>
      <c r="E66" s="188">
        <f>Tournament!F69</f>
        <v>41818.541666666664</v>
      </c>
      <c r="F66" s="189">
        <f>Tournament!G69</f>
        <v>41818.541666666664</v>
      </c>
      <c r="G66" s="190" t="str">
        <f>Tournament!H69</f>
        <v>Group A Winner</v>
      </c>
      <c r="H66" s="180"/>
      <c r="I66" s="9"/>
      <c r="J66" s="191" t="s">
        <v>3088</v>
      </c>
      <c r="K66" s="9"/>
      <c r="L66" s="180"/>
      <c r="M66" s="198" t="str">
        <f>Tournament!N69</f>
        <v>Group B Runner Up</v>
      </c>
      <c r="N66" s="183"/>
      <c r="P66" s="192" t="str">
        <f t="shared" ref="P66:P81" si="2">G66</f>
        <v>Group A Winner</v>
      </c>
      <c r="Q66" s="193"/>
      <c r="R66" s="194" t="str">
        <f>IF($Z$67=0,IF($Z$66=0,IF(Tournament!J70&lt;&gt;"",Tournament!J70,""),IF(Tournament!J70&lt;&gt;"",Tournament!J70+Tournament!J71,"")),IF(Tournament!J69&lt;&gt;"",Tournament!J69,""))</f>
        <v/>
      </c>
      <c r="S66" s="194" t="s">
        <v>3088</v>
      </c>
      <c r="T66" s="194" t="str">
        <f>IF($Z$67=0,IF($Z$66=0,IF(Tournament!L70&lt;&gt;"",Tournament!L70,""),IF(Tournament!L70&lt;&gt;"",Tournament!L70+Tournament!L71,"")),IF(Tournament!L69&lt;&gt;"",Tournament!L69,""))</f>
        <v/>
      </c>
      <c r="U66" s="193"/>
      <c r="V66" s="193" t="str">
        <f t="shared" ref="V66:V81" si="3">M66</f>
        <v>Group B Runner Up</v>
      </c>
      <c r="W66" s="191" t="str">
        <f>IF(Tournament!J71&lt;&gt;"",Tournament!J71,"")</f>
        <v/>
      </c>
      <c r="X66" s="199" t="s">
        <v>3088</v>
      </c>
      <c r="Y66" s="191" t="str">
        <f>IF(Tournament!L71&lt;&gt;"",Tournament!L71,"")</f>
        <v/>
      </c>
      <c r="Z66" s="199">
        <f>Setup!E16</f>
        <v>1</v>
      </c>
      <c r="AA66" s="191" t="str">
        <f>IF(Tournament!J72&lt;&gt;"",Tournament!J72,"")</f>
        <v/>
      </c>
      <c r="AB66" s="194" t="s">
        <v>3088</v>
      </c>
      <c r="AC66" s="191" t="str">
        <f>IF(Tournament!L72&lt;&gt;"",Tournament!L72,"")</f>
        <v/>
      </c>
      <c r="AD66" s="195" t="str">
        <f>IF(AND(I66&lt;&gt;"",K66&lt;&gt;"",R66&lt;&gt;"",T66&lt;&gt;""),IF(AND(I66=R66,K66=T66),Setup!$D$20,IF((I66-K66)=(R66-T66),Setup!$D$21,IF(AND((I66&gt;K66),(R66&gt;T66)),Setup!$D$22,IF(AND((K66&gt;I66),(T66&gt;R66)),Setup!$D$22,0)))),"")</f>
        <v/>
      </c>
      <c r="AE66" s="183"/>
      <c r="CM66" s="168"/>
      <c r="CN66" s="168"/>
      <c r="CO66" s="187"/>
      <c r="CP66" s="168"/>
    </row>
    <row r="67" spans="2:94" s="166" customFormat="1" ht="15" customHeight="1">
      <c r="B67" s="182"/>
      <c r="C67" s="181">
        <v>50</v>
      </c>
      <c r="D67" s="181" t="str">
        <f>D66</f>
        <v>R16</v>
      </c>
      <c r="E67" s="188">
        <f>Tournament!F75</f>
        <v>41818.708333333336</v>
      </c>
      <c r="F67" s="189">
        <f>Tournament!G75</f>
        <v>41818.708333333336</v>
      </c>
      <c r="G67" s="190" t="str">
        <f>Tournament!H75</f>
        <v>Group C Winner</v>
      </c>
      <c r="H67" s="180"/>
      <c r="I67" s="9"/>
      <c r="J67" s="191" t="s">
        <v>3088</v>
      </c>
      <c r="K67" s="9"/>
      <c r="L67" s="180"/>
      <c r="M67" s="198" t="str">
        <f>Tournament!N75</f>
        <v>Group D Runner Up</v>
      </c>
      <c r="N67" s="183"/>
      <c r="P67" s="192" t="str">
        <f t="shared" si="2"/>
        <v>Group C Winner</v>
      </c>
      <c r="Q67" s="193"/>
      <c r="R67" s="194" t="str">
        <f>IF($Z$67=0,IF($Z$66=0,IF(Tournament!J76&lt;&gt;"",Tournament!J76,""),IF(Tournament!J76&lt;&gt;"",Tournament!J76+Tournament!J77,"")),IF(Tournament!J75&lt;&gt;"",Tournament!J75,""))</f>
        <v/>
      </c>
      <c r="S67" s="194" t="s">
        <v>3088</v>
      </c>
      <c r="T67" s="194" t="str">
        <f>IF($Z$67=0,IF($Z$66=0,IF(Tournament!L76&lt;&gt;"",Tournament!L76,""),IF(Tournament!L76&lt;&gt;"",Tournament!L76+Tournament!L77,"")),IF(Tournament!L75&lt;&gt;"",Tournament!L75,""))</f>
        <v/>
      </c>
      <c r="U67" s="193"/>
      <c r="V67" s="193" t="str">
        <f t="shared" si="3"/>
        <v>Group D Runner Up</v>
      </c>
      <c r="W67" s="191" t="str">
        <f>IF(Tournament!J77&lt;&gt;"",Tournament!J77,"")</f>
        <v/>
      </c>
      <c r="X67" s="199" t="s">
        <v>3088</v>
      </c>
      <c r="Y67" s="191" t="str">
        <f>IF(Tournament!L77&lt;&gt;"",Tournament!L77,"")</f>
        <v/>
      </c>
      <c r="Z67" s="199">
        <f>Setup!E17</f>
        <v>0</v>
      </c>
      <c r="AA67" s="191" t="str">
        <f>IF(Tournament!J78&lt;&gt;"",Tournament!J78,"")</f>
        <v/>
      </c>
      <c r="AB67" s="194" t="s">
        <v>3088</v>
      </c>
      <c r="AC67" s="191" t="str">
        <f>IF(Tournament!L78&lt;&gt;"",Tournament!L78,"")</f>
        <v/>
      </c>
      <c r="AD67" s="195" t="str">
        <f>IF(AND(I67&lt;&gt;"",K67&lt;&gt;"",R67&lt;&gt;"",T67&lt;&gt;""),IF(AND(I67=R67,K67=T67),Setup!$D$20,IF((I67-K67)=(R67-T67),Setup!$D$21,IF(AND((I67&gt;K67),(R67&gt;T67)),Setup!$D$22,IF(AND((K67&gt;I67),(T67&gt;R67)),Setup!$D$22,0)))),"")</f>
        <v/>
      </c>
      <c r="AE67" s="183"/>
      <c r="CM67" s="168"/>
      <c r="CN67" s="168"/>
      <c r="CO67" s="187"/>
      <c r="CP67" s="168"/>
    </row>
    <row r="68" spans="2:94" s="166" customFormat="1" ht="15" customHeight="1">
      <c r="B68" s="182"/>
      <c r="C68" s="181">
        <v>52</v>
      </c>
      <c r="D68" s="181" t="str">
        <f t="shared" ref="D68:D73" si="4">D67</f>
        <v>R16</v>
      </c>
      <c r="E68" s="188">
        <f>Tournament!F81</f>
        <v>41819.708333333336</v>
      </c>
      <c r="F68" s="189">
        <f>Tournament!G81</f>
        <v>41819.708333333336</v>
      </c>
      <c r="G68" s="190" t="str">
        <f>Tournament!H81</f>
        <v>Group D Winner</v>
      </c>
      <c r="H68" s="180"/>
      <c r="I68" s="9"/>
      <c r="J68" s="191" t="s">
        <v>3088</v>
      </c>
      <c r="K68" s="9"/>
      <c r="L68" s="180"/>
      <c r="M68" s="198" t="str">
        <f>Tournament!N81</f>
        <v>Group C Runner Up</v>
      </c>
      <c r="N68" s="183"/>
      <c r="P68" s="192" t="str">
        <f t="shared" si="2"/>
        <v>Group D Winner</v>
      </c>
      <c r="Q68" s="193"/>
      <c r="R68" s="194" t="str">
        <f>IF($Z$67=0,IF($Z$66=0,IF(Tournament!J82&lt;&gt;"",Tournament!J82,""),IF(Tournament!J82&lt;&gt;"",Tournament!J82+Tournament!J83,"")),IF(Tournament!J81&lt;&gt;"",Tournament!J81,""))</f>
        <v/>
      </c>
      <c r="S68" s="194" t="s">
        <v>3088</v>
      </c>
      <c r="T68" s="194" t="str">
        <f>IF($Z$67=0,IF($Z$66=0,IF(Tournament!L82&lt;&gt;"",Tournament!L82,""),IF(Tournament!L82&lt;&gt;"",Tournament!L82+Tournament!L83,"")),IF(Tournament!L81&lt;&gt;"",Tournament!L81,""))</f>
        <v/>
      </c>
      <c r="U68" s="193"/>
      <c r="V68" s="193" t="str">
        <f t="shared" si="3"/>
        <v>Group C Runner Up</v>
      </c>
      <c r="W68" s="191" t="str">
        <f>IF(Tournament!J83&lt;&gt;"",Tournament!J83,"")</f>
        <v/>
      </c>
      <c r="X68" s="199" t="s">
        <v>3088</v>
      </c>
      <c r="Y68" s="191" t="str">
        <f>IF(Tournament!L83&lt;&gt;"",Tournament!L83,"")</f>
        <v/>
      </c>
      <c r="Z68" s="191"/>
      <c r="AA68" s="191" t="str">
        <f>IF(Tournament!J84&lt;&gt;"",Tournament!J84,"")</f>
        <v/>
      </c>
      <c r="AB68" s="194" t="s">
        <v>3088</v>
      </c>
      <c r="AC68" s="191" t="str">
        <f>IF(Tournament!L84&lt;&gt;"",Tournament!L84,"")</f>
        <v/>
      </c>
      <c r="AD68" s="195" t="str">
        <f>IF(AND(I68&lt;&gt;"",K68&lt;&gt;"",R68&lt;&gt;"",T68&lt;&gt;""),IF(AND(I68=R68,K68=T68),Setup!$D$20,IF((I68-K68)=(R68-T68),Setup!$D$21,IF(AND((I68&gt;K68),(R68&gt;T68)),Setup!$D$22,IF(AND((K68&gt;I68),(T68&gt;R68)),Setup!$D$22,0)))),"")</f>
        <v/>
      </c>
      <c r="AE68" s="183"/>
      <c r="CM68" s="168"/>
      <c r="CN68" s="168"/>
      <c r="CO68" s="187"/>
      <c r="CP68" s="168"/>
    </row>
    <row r="69" spans="2:94" s="166" customFormat="1" ht="15" customHeight="1">
      <c r="B69" s="182"/>
      <c r="C69" s="181">
        <v>51</v>
      </c>
      <c r="D69" s="181" t="str">
        <f t="shared" si="4"/>
        <v>R16</v>
      </c>
      <c r="E69" s="188">
        <f>Tournament!F87</f>
        <v>41819.541666666664</v>
      </c>
      <c r="F69" s="189">
        <f>Tournament!G93</f>
        <v>41820.541666666664</v>
      </c>
      <c r="G69" s="190" t="str">
        <f>Tournament!H87</f>
        <v>Group B Winner</v>
      </c>
      <c r="H69" s="180"/>
      <c r="I69" s="9"/>
      <c r="J69" s="191" t="s">
        <v>3088</v>
      </c>
      <c r="K69" s="9"/>
      <c r="L69" s="180"/>
      <c r="M69" s="198" t="str">
        <f>Tournament!N87</f>
        <v>Group A Runner Up</v>
      </c>
      <c r="N69" s="183"/>
      <c r="P69" s="192" t="str">
        <f t="shared" si="2"/>
        <v>Group B Winner</v>
      </c>
      <c r="Q69" s="193"/>
      <c r="R69" s="194" t="str">
        <f>IF($Z$67=0,IF($Z$66=0,IF(Tournament!J88&lt;&gt;"",Tournament!J88,""),IF(Tournament!J88&lt;&gt;"",Tournament!J88+Tournament!J89,"")),IF(Tournament!J87&lt;&gt;"",Tournament!J87,""))</f>
        <v/>
      </c>
      <c r="S69" s="194" t="s">
        <v>3088</v>
      </c>
      <c r="T69" s="194" t="str">
        <f>IF($Z$67=0,IF($Z$66=0,IF(Tournament!L88&lt;&gt;"",Tournament!L88,""),IF(Tournament!L88&lt;&gt;"",Tournament!L88+Tournament!L89,"")),IF(Tournament!L87&lt;&gt;"",Tournament!L87,""))</f>
        <v/>
      </c>
      <c r="U69" s="193"/>
      <c r="V69" s="193" t="str">
        <f t="shared" si="3"/>
        <v>Group A Runner Up</v>
      </c>
      <c r="W69" s="191" t="str">
        <f>IF(Tournament!J89&lt;&gt;"",Tournament!J89,"")</f>
        <v/>
      </c>
      <c r="X69" s="199" t="s">
        <v>3088</v>
      </c>
      <c r="Y69" s="191" t="str">
        <f>IF(Tournament!L89&lt;&gt;"",Tournament!L89,"")</f>
        <v/>
      </c>
      <c r="Z69" s="191"/>
      <c r="AA69" s="191" t="str">
        <f>IF(Tournament!J90&lt;&gt;"",Tournament!J90,"")</f>
        <v/>
      </c>
      <c r="AB69" s="194" t="s">
        <v>3088</v>
      </c>
      <c r="AC69" s="191" t="str">
        <f>IF(Tournament!L90&lt;&gt;"",Tournament!L90,"")</f>
        <v/>
      </c>
      <c r="AD69" s="195" t="str">
        <f>IF(AND(I69&lt;&gt;"",K69&lt;&gt;"",R69&lt;&gt;"",T69&lt;&gt;""),IF(AND(I69=R69,K69=T69),Setup!$D$20,IF((I69-K69)=(R69-T69),Setup!$D$21,IF(AND((I69&gt;K69),(R69&gt;T69)),Setup!$D$22,IF(AND((K69&gt;I69),(T69&gt;R69)),Setup!$D$22,0)))),"")</f>
        <v/>
      </c>
      <c r="AE69" s="183"/>
      <c r="CM69" s="168"/>
      <c r="CN69" s="168"/>
      <c r="CO69" s="187"/>
      <c r="CP69" s="168"/>
    </row>
    <row r="70" spans="2:94" s="166" customFormat="1" ht="15" customHeight="1">
      <c r="B70" s="182"/>
      <c r="C70" s="181">
        <v>53</v>
      </c>
      <c r="D70" s="181" t="str">
        <f t="shared" si="4"/>
        <v>R16</v>
      </c>
      <c r="E70" s="188">
        <f>Tournament!F93</f>
        <v>41820.541666666664</v>
      </c>
      <c r="F70" s="189">
        <f>Tournament!G93</f>
        <v>41820.541666666664</v>
      </c>
      <c r="G70" s="190" t="str">
        <f>Tournament!H93</f>
        <v>Group E Winner</v>
      </c>
      <c r="H70" s="180"/>
      <c r="I70" s="9"/>
      <c r="J70" s="191" t="s">
        <v>3088</v>
      </c>
      <c r="K70" s="9"/>
      <c r="L70" s="180"/>
      <c r="M70" s="198" t="str">
        <f>Tournament!N93</f>
        <v>Group F Runner Up</v>
      </c>
      <c r="N70" s="183"/>
      <c r="P70" s="192" t="str">
        <f t="shared" si="2"/>
        <v>Group E Winner</v>
      </c>
      <c r="Q70" s="193"/>
      <c r="R70" s="194" t="str">
        <f>IF($Z$67=0,IF($Z$66=0,IF(Tournament!J94&lt;&gt;"",Tournament!J94,""),IF(Tournament!J94&lt;&gt;"",Tournament!J94+Tournament!J95,"")),IF(Tournament!J93&lt;&gt;"",Tournament!J93,""))</f>
        <v/>
      </c>
      <c r="S70" s="194" t="s">
        <v>3088</v>
      </c>
      <c r="T70" s="194" t="str">
        <f>IF($Z$67=0,IF($Z$66=0,IF(Tournament!L94&lt;&gt;"",Tournament!L94,""),IF(Tournament!L94&lt;&gt;"",Tournament!L94+Tournament!L95,"")),IF(Tournament!L93&lt;&gt;"",Tournament!L93,""))</f>
        <v/>
      </c>
      <c r="U70" s="193"/>
      <c r="V70" s="193" t="str">
        <f t="shared" si="3"/>
        <v>Group F Runner Up</v>
      </c>
      <c r="W70" s="191" t="str">
        <f>IF(Tournament!J95&lt;&gt;"",Tournament!J95,"")</f>
        <v/>
      </c>
      <c r="X70" s="199" t="s">
        <v>3088</v>
      </c>
      <c r="Y70" s="191" t="str">
        <f>IF(Tournament!L95&lt;&gt;"",Tournament!L95,"")</f>
        <v/>
      </c>
      <c r="Z70" s="191"/>
      <c r="AA70" s="191" t="str">
        <f>IF(Tournament!J96&lt;&gt;"",Tournament!J96,"")</f>
        <v/>
      </c>
      <c r="AB70" s="194" t="s">
        <v>3088</v>
      </c>
      <c r="AC70" s="191" t="str">
        <f>IF(Tournament!L96&lt;&gt;"",Tournament!L96,"")</f>
        <v/>
      </c>
      <c r="AD70" s="195" t="str">
        <f>IF(AND(I70&lt;&gt;"",K70&lt;&gt;"",R70&lt;&gt;"",T70&lt;&gt;""),IF(AND(I70=R70,K70=T70),Setup!$D$20,IF((I70-K70)=(R70-T70),Setup!$D$21,IF(AND((I70&gt;K70),(R70&gt;T70)),Setup!$D$22,IF(AND((K70&gt;I70),(T70&gt;R70)),Setup!$D$22,0)))),"")</f>
        <v/>
      </c>
      <c r="AE70" s="183"/>
      <c r="CM70" s="168"/>
      <c r="CN70" s="168"/>
      <c r="CO70" s="187"/>
      <c r="CP70" s="168"/>
    </row>
    <row r="71" spans="2:94" s="166" customFormat="1" ht="15" customHeight="1">
      <c r="B71" s="182"/>
      <c r="C71" s="181">
        <v>54</v>
      </c>
      <c r="D71" s="181" t="str">
        <f t="shared" si="4"/>
        <v>R16</v>
      </c>
      <c r="E71" s="188">
        <f>Tournament!F99</f>
        <v>41820.708333333336</v>
      </c>
      <c r="F71" s="189">
        <f>Tournament!G99</f>
        <v>41820.708333333336</v>
      </c>
      <c r="G71" s="190" t="str">
        <f>Tournament!H99</f>
        <v>Group G Winner</v>
      </c>
      <c r="H71" s="180"/>
      <c r="I71" s="9"/>
      <c r="J71" s="191" t="s">
        <v>3088</v>
      </c>
      <c r="K71" s="9"/>
      <c r="L71" s="180"/>
      <c r="M71" s="198" t="str">
        <f>Tournament!N99</f>
        <v>Group H Runner Up</v>
      </c>
      <c r="N71" s="183"/>
      <c r="P71" s="192" t="str">
        <f t="shared" si="2"/>
        <v>Group G Winner</v>
      </c>
      <c r="Q71" s="193"/>
      <c r="R71" s="194" t="str">
        <f>IF($Z$67=0,IF($Z$66=0,IF(Tournament!J100&lt;&gt;"",Tournament!J100,""),IF(Tournament!J100&lt;&gt;"",Tournament!J100+Tournament!J101,"")),IF(Tournament!J99&lt;&gt;"",Tournament!J99,""))</f>
        <v/>
      </c>
      <c r="S71" s="194" t="s">
        <v>3088</v>
      </c>
      <c r="T71" s="194" t="str">
        <f>IF($Z$67=0,IF($Z$66=0,IF(Tournament!L100&lt;&gt;"",Tournament!L100,""),IF(Tournament!L100&lt;&gt;"",Tournament!L100+Tournament!L101,"")),IF(Tournament!L99&lt;&gt;"",Tournament!L99,""))</f>
        <v/>
      </c>
      <c r="U71" s="193"/>
      <c r="V71" s="193" t="str">
        <f t="shared" si="3"/>
        <v>Group H Runner Up</v>
      </c>
      <c r="W71" s="191" t="str">
        <f>IF(Tournament!J101&lt;&gt;"",Tournament!J101,"")</f>
        <v/>
      </c>
      <c r="X71" s="199" t="s">
        <v>3088</v>
      </c>
      <c r="Y71" s="191" t="str">
        <f>IF(Tournament!L101&lt;&gt;"",Tournament!L101,"")</f>
        <v/>
      </c>
      <c r="Z71" s="191"/>
      <c r="AA71" s="191" t="str">
        <f>IF(Tournament!J102&lt;&gt;"",Tournament!J102,"")</f>
        <v/>
      </c>
      <c r="AB71" s="194" t="s">
        <v>3088</v>
      </c>
      <c r="AC71" s="191" t="str">
        <f>IF(Tournament!L102&lt;&gt;"",Tournament!L102,"")</f>
        <v/>
      </c>
      <c r="AD71" s="195" t="str">
        <f>IF(AND(I71&lt;&gt;"",K71&lt;&gt;"",R71&lt;&gt;"",T71&lt;&gt;""),IF(AND(I71=R71,K71=T71),Setup!$D$20,IF((I71-K71)=(R71-T71),Setup!$D$21,IF(AND((I71&gt;K71),(R71&gt;T71)),Setup!$D$22,IF(AND((K71&gt;I71),(T71&gt;R71)),Setup!$D$22,0)))),"")</f>
        <v/>
      </c>
      <c r="AE71" s="183"/>
      <c r="CM71" s="168"/>
      <c r="CN71" s="168"/>
      <c r="CO71" s="187"/>
      <c r="CP71" s="168"/>
    </row>
    <row r="72" spans="2:94" s="166" customFormat="1" ht="15" customHeight="1">
      <c r="B72" s="182"/>
      <c r="C72" s="181">
        <v>55</v>
      </c>
      <c r="D72" s="181" t="str">
        <f t="shared" si="4"/>
        <v>R16</v>
      </c>
      <c r="E72" s="188">
        <f>Tournament!F105</f>
        <v>41821.541666666664</v>
      </c>
      <c r="F72" s="189">
        <f>Tournament!G105</f>
        <v>41821.541666666664</v>
      </c>
      <c r="G72" s="190" t="str">
        <f>Tournament!H105</f>
        <v>Group F Winner</v>
      </c>
      <c r="H72" s="180"/>
      <c r="I72" s="9"/>
      <c r="J72" s="191" t="s">
        <v>3088</v>
      </c>
      <c r="K72" s="9"/>
      <c r="L72" s="180"/>
      <c r="M72" s="198" t="str">
        <f>Tournament!N105</f>
        <v>Group E Runner Up</v>
      </c>
      <c r="N72" s="183"/>
      <c r="P72" s="192" t="str">
        <f t="shared" si="2"/>
        <v>Group F Winner</v>
      </c>
      <c r="Q72" s="193"/>
      <c r="R72" s="194" t="str">
        <f>IF($Z$67=0,IF($Z$66=0,IF(Tournament!J106&lt;&gt;"",Tournament!J106,""),IF(Tournament!J106&lt;&gt;"",Tournament!J106+Tournament!J107,"")),IF(Tournament!J105&lt;&gt;"",Tournament!J105,""))</f>
        <v/>
      </c>
      <c r="S72" s="194" t="s">
        <v>3088</v>
      </c>
      <c r="T72" s="194" t="str">
        <f>IF($Z$67=0,IF($Z$66=0,IF(Tournament!L106&lt;&gt;"",Tournament!L106,""),IF(Tournament!L106&lt;&gt;"",Tournament!L106+Tournament!L107,"")),IF(Tournament!L105&lt;&gt;"",Tournament!L105,""))</f>
        <v/>
      </c>
      <c r="U72" s="193"/>
      <c r="V72" s="193" t="str">
        <f t="shared" si="3"/>
        <v>Group E Runner Up</v>
      </c>
      <c r="W72" s="191" t="str">
        <f>IF(Tournament!J107&lt;&gt;"",Tournament!J107,"")</f>
        <v/>
      </c>
      <c r="X72" s="199" t="s">
        <v>3088</v>
      </c>
      <c r="Y72" s="191" t="str">
        <f>IF(Tournament!L107&lt;&gt;"",Tournament!L107,"")</f>
        <v/>
      </c>
      <c r="Z72" s="191"/>
      <c r="AA72" s="191" t="str">
        <f>IF(Tournament!J108&lt;&gt;"",Tournament!J108,"")</f>
        <v/>
      </c>
      <c r="AB72" s="194" t="s">
        <v>3088</v>
      </c>
      <c r="AC72" s="191" t="str">
        <f>IF(Tournament!L108&lt;&gt;"",Tournament!L108,"")</f>
        <v/>
      </c>
      <c r="AD72" s="195" t="str">
        <f>IF(AND(I72&lt;&gt;"",K72&lt;&gt;"",R72&lt;&gt;"",T72&lt;&gt;""),IF(AND(I72=R72,K72=T72),Setup!$D$20,IF((I72-K72)=(R72-T72),Setup!$D$21,IF(AND((I72&gt;K72),(R72&gt;T72)),Setup!$D$22,IF(AND((K72&gt;I72),(T72&gt;R72)),Setup!$D$22,0)))),"")</f>
        <v/>
      </c>
      <c r="AE72" s="183"/>
      <c r="CM72" s="168"/>
      <c r="CN72" s="168"/>
      <c r="CO72" s="187"/>
      <c r="CP72" s="168"/>
    </row>
    <row r="73" spans="2:94" s="166" customFormat="1" ht="15" customHeight="1">
      <c r="B73" s="182"/>
      <c r="C73" s="181">
        <v>56</v>
      </c>
      <c r="D73" s="181" t="str">
        <f t="shared" si="4"/>
        <v>R16</v>
      </c>
      <c r="E73" s="188">
        <f>Tournament!F111</f>
        <v>41821.708333333336</v>
      </c>
      <c r="F73" s="189">
        <f>Tournament!G111</f>
        <v>41821.708333333336</v>
      </c>
      <c r="G73" s="190" t="str">
        <f>Tournament!H111</f>
        <v>Group H Winner</v>
      </c>
      <c r="H73" s="180"/>
      <c r="I73" s="9"/>
      <c r="J73" s="191" t="s">
        <v>3088</v>
      </c>
      <c r="K73" s="9"/>
      <c r="L73" s="180"/>
      <c r="M73" s="198" t="str">
        <f>Tournament!N111</f>
        <v>Group G Runner Up</v>
      </c>
      <c r="N73" s="183"/>
      <c r="P73" s="192" t="str">
        <f t="shared" si="2"/>
        <v>Group H Winner</v>
      </c>
      <c r="Q73" s="193"/>
      <c r="R73" s="194" t="str">
        <f>IF($Z$67=0,IF($Z$66=0,IF(Tournament!J112&lt;&gt;"",Tournament!J112,""),IF(Tournament!J112&lt;&gt;"",Tournament!J112+Tournament!J113,"")),IF(Tournament!J111&lt;&gt;"",Tournament!J111,""))</f>
        <v/>
      </c>
      <c r="S73" s="194" t="s">
        <v>3088</v>
      </c>
      <c r="T73" s="194" t="str">
        <f>IF($Z$67=0,IF($Z$66=0,IF(Tournament!L112&lt;&gt;"",Tournament!L112,""),IF(Tournament!L112&lt;&gt;"",Tournament!L112+Tournament!L113,"")),IF(Tournament!L111&lt;&gt;"",Tournament!L111,""))</f>
        <v/>
      </c>
      <c r="U73" s="193"/>
      <c r="V73" s="193" t="str">
        <f t="shared" si="3"/>
        <v>Group G Runner Up</v>
      </c>
      <c r="W73" s="191" t="str">
        <f>IF(Tournament!J113&lt;&gt;"",Tournament!J113,"")</f>
        <v/>
      </c>
      <c r="X73" s="199" t="s">
        <v>3088</v>
      </c>
      <c r="Y73" s="191" t="str">
        <f>IF(Tournament!L113&lt;&gt;"",Tournament!L113,"")</f>
        <v/>
      </c>
      <c r="Z73" s="191"/>
      <c r="AA73" s="191" t="str">
        <f>IF(Tournament!J114&lt;&gt;"",Tournament!J114,"")</f>
        <v/>
      </c>
      <c r="AB73" s="194" t="s">
        <v>3088</v>
      </c>
      <c r="AC73" s="191" t="str">
        <f>IF(Tournament!L114&lt;&gt;"",Tournament!L114,"")</f>
        <v/>
      </c>
      <c r="AD73" s="195" t="str">
        <f>IF(AND(I73&lt;&gt;"",K73&lt;&gt;"",R73&lt;&gt;"",T73&lt;&gt;""),IF(AND(I73=R73,K73=T73),Setup!$D$20,IF((I73-K73)=(R73-T73),Setup!$D$21,IF(AND((I73&gt;K73),(R73&gt;T73)),Setup!$D$22,IF(AND((K73&gt;I73),(T73&gt;R73)),Setup!$D$22,0)))),"")</f>
        <v/>
      </c>
      <c r="AE73" s="183"/>
      <c r="CM73" s="168"/>
      <c r="CN73" s="168"/>
      <c r="CO73" s="187"/>
      <c r="CP73" s="168"/>
    </row>
    <row r="74" spans="2:94" s="166" customFormat="1" ht="15" customHeight="1">
      <c r="B74" s="182"/>
      <c r="C74" s="181">
        <v>58</v>
      </c>
      <c r="D74" s="181" t="s">
        <v>3549</v>
      </c>
      <c r="E74" s="188">
        <f>Tournament!T69</f>
        <v>41824.541666666664</v>
      </c>
      <c r="F74" s="189">
        <f>Tournament!U69</f>
        <v>41824.541666666664</v>
      </c>
      <c r="G74" s="190" t="str">
        <f>Tournament!Y69</f>
        <v>Match 53 Winner</v>
      </c>
      <c r="H74" s="180"/>
      <c r="I74" s="9"/>
      <c r="J74" s="191" t="s">
        <v>3088</v>
      </c>
      <c r="K74" s="9"/>
      <c r="L74" s="180"/>
      <c r="M74" s="198" t="str">
        <f>Tournament!AE69</f>
        <v>Match 54 Winner</v>
      </c>
      <c r="N74" s="183"/>
      <c r="P74" s="192" t="str">
        <f t="shared" si="2"/>
        <v>Match 53 Winner</v>
      </c>
      <c r="Q74" s="193"/>
      <c r="R74" s="194" t="str">
        <f>IF($Z$67=0,IF($Z$66=0,IF(Tournament!AA70&lt;&gt;"",Tournament!AA70,""),IF(Tournament!AA70&lt;&gt;"",Tournament!AA70+Tournament!AA71,"")),IF(Tournament!AA69&lt;&gt;"",Tournament!AA69,""))</f>
        <v/>
      </c>
      <c r="S74" s="194" t="s">
        <v>3088</v>
      </c>
      <c r="T74" s="194" t="str">
        <f>IF($Z$67=0,IF($Z$66=0,IF(Tournament!AC70&lt;&gt;"",Tournament!AC70,""),IF(Tournament!AC70&lt;&gt;"",Tournament!AC70+Tournament!AC71,"")),IF(Tournament!AC69&lt;&gt;"",Tournament!AC69,""))</f>
        <v/>
      </c>
      <c r="U74" s="193"/>
      <c r="V74" s="193" t="str">
        <f t="shared" si="3"/>
        <v>Match 54 Winner</v>
      </c>
      <c r="W74" s="191" t="str">
        <f>IF(Tournament!AA71&lt;&gt;"",Tournament!AA71,"")</f>
        <v/>
      </c>
      <c r="X74" s="199" t="s">
        <v>3088</v>
      </c>
      <c r="Y74" s="191" t="str">
        <f>IF(Tournament!AC71&lt;&gt;"",Tournament!AC71,"")</f>
        <v/>
      </c>
      <c r="Z74" s="191"/>
      <c r="AA74" s="191" t="str">
        <f>IF(Tournament!AA72&lt;&gt;"",Tournament!AA72,"")</f>
        <v/>
      </c>
      <c r="AB74" s="194" t="s">
        <v>3088</v>
      </c>
      <c r="AC74" s="191" t="str">
        <f>IF(Tournament!AC72&lt;&gt;"",Tournament!AC72,"")</f>
        <v/>
      </c>
      <c r="AD74" s="195" t="str">
        <f>IF(AND(I74&lt;&gt;"",K74&lt;&gt;"",R74&lt;&gt;"",T74&lt;&gt;""),IF(AND(I74=R74,K74=T74),Setup!$E$20,IF((I74-K74)=(R74-T74),Setup!$E$21,IF(AND((I74&gt;K74),(R74&gt;T74)),Setup!$E$22,IF(AND((K74&gt;I74),(T74&gt;R74)),Setup!$E$22,0)))),"")</f>
        <v/>
      </c>
      <c r="AE74" s="183"/>
      <c r="CM74" s="168"/>
      <c r="CN74" s="168"/>
      <c r="CO74" s="187"/>
      <c r="CP74" s="168"/>
    </row>
    <row r="75" spans="2:94" s="166" customFormat="1" ht="15" customHeight="1">
      <c r="B75" s="182"/>
      <c r="C75" s="181">
        <v>57</v>
      </c>
      <c r="D75" s="181" t="str">
        <f>D74</f>
        <v>QF</v>
      </c>
      <c r="E75" s="188">
        <f>Tournament!T74</f>
        <v>41824.708333333336</v>
      </c>
      <c r="F75" s="189">
        <f>Tournament!U74</f>
        <v>41824.708333333336</v>
      </c>
      <c r="G75" s="190" t="str">
        <f>Tournament!Y74</f>
        <v>Match 49 Winner</v>
      </c>
      <c r="H75" s="180"/>
      <c r="I75" s="9"/>
      <c r="J75" s="191" t="s">
        <v>3088</v>
      </c>
      <c r="K75" s="9"/>
      <c r="L75" s="180"/>
      <c r="M75" s="198" t="str">
        <f>Tournament!AE74</f>
        <v>Match 50 Winner</v>
      </c>
      <c r="N75" s="183"/>
      <c r="P75" s="192" t="str">
        <f t="shared" si="2"/>
        <v>Match 49 Winner</v>
      </c>
      <c r="Q75" s="193"/>
      <c r="R75" s="194" t="str">
        <f>IF($Z$67=0,IF($Z$66=0,IF(Tournament!AA75&lt;&gt;"",Tournament!AA75,""),IF(Tournament!AA75&lt;&gt;"",Tournament!AA75+Tournament!AA76,"")),IF(Tournament!AA74&lt;&gt;"",Tournament!AA74,""))</f>
        <v/>
      </c>
      <c r="S75" s="194" t="s">
        <v>3088</v>
      </c>
      <c r="T75" s="194" t="str">
        <f>IF($Z$67=0,IF($Z$66=0,IF(Tournament!AC75&lt;&gt;"",Tournament!AC75,""),IF(Tournament!AC75&lt;&gt;"",Tournament!AC75+Tournament!AC76,"")),IF(Tournament!AC74&lt;&gt;"",Tournament!AC74,""))</f>
        <v/>
      </c>
      <c r="U75" s="193"/>
      <c r="V75" s="193" t="str">
        <f t="shared" si="3"/>
        <v>Match 50 Winner</v>
      </c>
      <c r="W75" s="191" t="str">
        <f>IF(Tournament!AA76&lt;&gt;"",Tournament!AA76,"")</f>
        <v/>
      </c>
      <c r="X75" s="199" t="s">
        <v>3088</v>
      </c>
      <c r="Y75" s="191" t="str">
        <f>IF(Tournament!AC76&lt;&gt;"",Tournament!AC76,"")</f>
        <v/>
      </c>
      <c r="Z75" s="191"/>
      <c r="AA75" s="191" t="str">
        <f>IF(Tournament!AA77&lt;&gt;"",Tournament!AA77,"")</f>
        <v/>
      </c>
      <c r="AB75" s="194" t="s">
        <v>3088</v>
      </c>
      <c r="AC75" s="191" t="str">
        <f>IF(Tournament!AC77&lt;&gt;"",Tournament!AC77,"")</f>
        <v/>
      </c>
      <c r="AD75" s="195" t="str">
        <f>IF(AND(I75&lt;&gt;"",K75&lt;&gt;"",R75&lt;&gt;"",T75&lt;&gt;""),IF(AND(I75=R75,K75=T75),Setup!$E$20,IF((I75-K75)=(R75-T75),Setup!$E$21,IF(AND((I75&gt;K75),(R75&gt;T75)),Setup!$E$22,IF(AND((K75&gt;I75),(T75&gt;R75)),Setup!$E$22,0)))),"")</f>
        <v/>
      </c>
      <c r="AE75" s="183"/>
      <c r="CM75" s="168"/>
      <c r="CN75" s="168"/>
      <c r="CO75" s="187"/>
      <c r="CP75" s="168"/>
    </row>
    <row r="76" spans="2:94" s="166" customFormat="1" ht="15" customHeight="1">
      <c r="B76" s="182"/>
      <c r="C76" s="181">
        <v>59</v>
      </c>
      <c r="D76" s="181" t="str">
        <f>D75</f>
        <v>QF</v>
      </c>
      <c r="E76" s="188">
        <f>Tournament!T79</f>
        <v>41825.708333333336</v>
      </c>
      <c r="F76" s="189">
        <f>Tournament!U79</f>
        <v>41825.708333333336</v>
      </c>
      <c r="G76" s="190" t="str">
        <f>Tournament!Y79</f>
        <v>Match 51 Winner</v>
      </c>
      <c r="H76" s="180"/>
      <c r="I76" s="9"/>
      <c r="J76" s="191" t="s">
        <v>3088</v>
      </c>
      <c r="K76" s="9"/>
      <c r="L76" s="180"/>
      <c r="M76" s="198" t="str">
        <f>Tournament!AE79</f>
        <v>Match 52 Winner</v>
      </c>
      <c r="N76" s="183"/>
      <c r="P76" s="192" t="str">
        <f t="shared" si="2"/>
        <v>Match 51 Winner</v>
      </c>
      <c r="Q76" s="193"/>
      <c r="R76" s="194" t="str">
        <f>IF($Z$67=0,IF($Z$66=0,IF(Tournament!AA80&lt;&gt;"",Tournament!AA80,""),IF(Tournament!AA80&lt;&gt;"",Tournament!AA80+Tournament!AA81,"")),IF(Tournament!AA79&lt;&gt;"",Tournament!AA79,""))</f>
        <v/>
      </c>
      <c r="S76" s="194" t="s">
        <v>3088</v>
      </c>
      <c r="T76" s="194" t="str">
        <f>IF($Z$67=0,IF($Z$66=0,IF(Tournament!AC80&lt;&gt;"",Tournament!AC80,""),IF(Tournament!AC80&lt;&gt;"",Tournament!AC80+Tournament!AC81,"")),IF(Tournament!AC79&lt;&gt;"",Tournament!AC79,""))</f>
        <v/>
      </c>
      <c r="U76" s="193"/>
      <c r="V76" s="193" t="str">
        <f t="shared" si="3"/>
        <v>Match 52 Winner</v>
      </c>
      <c r="W76" s="191" t="str">
        <f>IF(Tournament!AA81&lt;&gt;"",Tournament!AA81,"")</f>
        <v/>
      </c>
      <c r="X76" s="199" t="s">
        <v>3088</v>
      </c>
      <c r="Y76" s="191" t="str">
        <f>IF(Tournament!AC81&lt;&gt;"",Tournament!AC81,"")</f>
        <v/>
      </c>
      <c r="Z76" s="191"/>
      <c r="AA76" s="191" t="str">
        <f>IF(Tournament!AA82&lt;&gt;"",Tournament!AA82,"")</f>
        <v/>
      </c>
      <c r="AB76" s="194" t="s">
        <v>3088</v>
      </c>
      <c r="AC76" s="191" t="str">
        <f>IF(Tournament!AC82&lt;&gt;"",Tournament!AC82,"")</f>
        <v/>
      </c>
      <c r="AD76" s="195" t="str">
        <f>IF(AND(I76&lt;&gt;"",K76&lt;&gt;"",R76&lt;&gt;"",T76&lt;&gt;""),IF(AND(I76=R76,K76=T76),Setup!$E$20,IF((I76-K76)=(R76-T76),Setup!$E$21,IF(AND((I76&gt;K76),(R76&gt;T76)),Setup!$E$22,IF(AND((K76&gt;I76),(T76&gt;R76)),Setup!$E$22,0)))),"")</f>
        <v/>
      </c>
      <c r="AE76" s="183"/>
      <c r="CM76" s="168"/>
      <c r="CN76" s="168"/>
      <c r="CO76" s="187"/>
      <c r="CP76" s="168"/>
    </row>
    <row r="77" spans="2:94" s="166" customFormat="1" ht="15" customHeight="1">
      <c r="B77" s="182"/>
      <c r="C77" s="181">
        <v>60</v>
      </c>
      <c r="D77" s="181" t="str">
        <f>D76</f>
        <v>QF</v>
      </c>
      <c r="E77" s="188">
        <f>Tournament!T84</f>
        <v>41825.541666666664</v>
      </c>
      <c r="F77" s="189">
        <f>Tournament!U84</f>
        <v>41825.541666666664</v>
      </c>
      <c r="G77" s="190" t="str">
        <f>Tournament!Y84</f>
        <v>Match 55 Winner</v>
      </c>
      <c r="H77" s="180"/>
      <c r="I77" s="9"/>
      <c r="J77" s="191" t="s">
        <v>3088</v>
      </c>
      <c r="K77" s="9"/>
      <c r="L77" s="180"/>
      <c r="M77" s="198" t="str">
        <f>Tournament!AE84</f>
        <v>Match 56 Winner</v>
      </c>
      <c r="N77" s="183"/>
      <c r="P77" s="192" t="str">
        <f t="shared" si="2"/>
        <v>Match 55 Winner</v>
      </c>
      <c r="Q77" s="193"/>
      <c r="R77" s="194" t="str">
        <f>IF($Z$67=0,IF($Z$66=0,IF(Tournament!AA85&lt;&gt;"",Tournament!AA85,""),IF(Tournament!AA85&lt;&gt;"",Tournament!AA85+Tournament!AA86,"")),IF(Tournament!AA84&lt;&gt;"",Tournament!AA84,""))</f>
        <v/>
      </c>
      <c r="S77" s="194" t="s">
        <v>3088</v>
      </c>
      <c r="T77" s="194" t="str">
        <f>IF($Z$67=0,IF($Z$66=0,IF(Tournament!AC85&lt;&gt;"",Tournament!AC85,""),IF(Tournament!AC85&lt;&gt;"",Tournament!AC85+Tournament!AC86,"")),IF(Tournament!AC84&lt;&gt;"",Tournament!AC84,""))</f>
        <v/>
      </c>
      <c r="U77" s="193"/>
      <c r="V77" s="193" t="str">
        <f t="shared" si="3"/>
        <v>Match 56 Winner</v>
      </c>
      <c r="W77" s="191" t="str">
        <f>IF(Tournament!AA86&lt;&gt;"",Tournament!AA86,"")</f>
        <v/>
      </c>
      <c r="X77" s="199" t="s">
        <v>3088</v>
      </c>
      <c r="Y77" s="191" t="str">
        <f>IF(Tournament!AC86&lt;&gt;"",Tournament!AC86,"")</f>
        <v/>
      </c>
      <c r="Z77" s="191"/>
      <c r="AA77" s="191" t="str">
        <f>IF(Tournament!AA87&lt;&gt;"",Tournament!AA87,"")</f>
        <v/>
      </c>
      <c r="AB77" s="194" t="s">
        <v>3088</v>
      </c>
      <c r="AC77" s="191" t="str">
        <f>IF(Tournament!AC87&lt;&gt;"",Tournament!AC87,"")</f>
        <v/>
      </c>
      <c r="AD77" s="195" t="str">
        <f>IF(AND(I77&lt;&gt;"",K77&lt;&gt;"",R77&lt;&gt;"",T77&lt;&gt;""),IF(AND(I77=R77,K77=T77),Setup!$E$20,IF((I77-K77)=(R77-T77),Setup!$E$21,IF(AND((I77&gt;K77),(R77&gt;T77)),Setup!$E$22,IF(AND((K77&gt;I77),(T77&gt;R77)),Setup!$E$22,0)))),"")</f>
        <v/>
      </c>
      <c r="AE77" s="183"/>
      <c r="CM77" s="168"/>
      <c r="CN77" s="168"/>
      <c r="CO77" s="187"/>
      <c r="CP77" s="168"/>
    </row>
    <row r="78" spans="2:94" s="166" customFormat="1" ht="15" customHeight="1">
      <c r="B78" s="182"/>
      <c r="C78" s="181">
        <v>61</v>
      </c>
      <c r="D78" s="181" t="s">
        <v>3550</v>
      </c>
      <c r="E78" s="188">
        <f>Tournament!T92</f>
        <v>41828.708333333336</v>
      </c>
      <c r="F78" s="189">
        <f>Tournament!U92</f>
        <v>41828.708333333336</v>
      </c>
      <c r="G78" s="190" t="str">
        <f>Tournament!Y92</f>
        <v>Match 57 Winner</v>
      </c>
      <c r="H78" s="180"/>
      <c r="I78" s="9"/>
      <c r="J78" s="191" t="s">
        <v>3088</v>
      </c>
      <c r="K78" s="9"/>
      <c r="L78" s="180"/>
      <c r="M78" s="198" t="str">
        <f>Tournament!AE92</f>
        <v>Match 58 Winner</v>
      </c>
      <c r="N78" s="183"/>
      <c r="P78" s="192" t="str">
        <f t="shared" si="2"/>
        <v>Match 57 Winner</v>
      </c>
      <c r="Q78" s="193"/>
      <c r="R78" s="194" t="str">
        <f>IF($Z$67=0,IF($Z$66=0,IF(Tournament!AA93&lt;&gt;"",Tournament!AA93,""),IF(Tournament!AA93&lt;&gt;"",Tournament!AA93+Tournament!AA94,"")),IF(Tournament!AA92&lt;&gt;"",Tournament!AA92,""))</f>
        <v/>
      </c>
      <c r="S78" s="194" t="s">
        <v>3088</v>
      </c>
      <c r="T78" s="194" t="str">
        <f>IF($Z$67=0,IF($Z$66=0,IF(Tournament!AC93&lt;&gt;"",Tournament!AC93,""),IF(Tournament!AC93&lt;&gt;"",Tournament!AC93+Tournament!AC94,"")),IF(Tournament!AC92&lt;&gt;"",Tournament!AC92,""))</f>
        <v/>
      </c>
      <c r="U78" s="193"/>
      <c r="V78" s="193" t="str">
        <f t="shared" si="3"/>
        <v>Match 58 Winner</v>
      </c>
      <c r="W78" s="191" t="str">
        <f>IF(Tournament!AA94&lt;&gt;"",Tournament!AA94,"")</f>
        <v/>
      </c>
      <c r="X78" s="199" t="s">
        <v>3088</v>
      </c>
      <c r="Y78" s="191" t="str">
        <f>IF(Tournament!AC94&lt;&gt;"",Tournament!AC94,"")</f>
        <v/>
      </c>
      <c r="Z78" s="191"/>
      <c r="AA78" s="191" t="str">
        <f>IF(Tournament!AA95&lt;&gt;"",Tournament!AA95,"")</f>
        <v/>
      </c>
      <c r="AB78" s="194" t="s">
        <v>3088</v>
      </c>
      <c r="AC78" s="191" t="str">
        <f>IF(Tournament!AC95&lt;&gt;"",Tournament!AC95,"")</f>
        <v/>
      </c>
      <c r="AD78" s="195" t="str">
        <f>IF(AND(I78&lt;&gt;"",K78&lt;&gt;"",R78&lt;&gt;"",T78&lt;&gt;""),IF(AND(I78=R78,K78=T78),Setup!$F$20,IF((I78-K78)=(R78-T78),Setup!$F$21,IF(AND((I78&gt;K78),(R78&gt;T78)),Setup!$F$22,IF(AND((K78&gt;I78),(T78&gt;R78)),Setup!$F$22,0)))),"")</f>
        <v/>
      </c>
      <c r="AE78" s="183"/>
      <c r="CM78" s="168"/>
      <c r="CN78" s="168"/>
      <c r="CO78" s="187"/>
      <c r="CP78" s="168"/>
    </row>
    <row r="79" spans="2:94" s="166" customFormat="1" ht="15" customHeight="1">
      <c r="B79" s="182"/>
      <c r="C79" s="181">
        <v>62</v>
      </c>
      <c r="D79" s="181" t="str">
        <f>D78</f>
        <v>SF</v>
      </c>
      <c r="E79" s="188">
        <f>Tournament!T97</f>
        <v>41829.708333333336</v>
      </c>
      <c r="F79" s="189">
        <f>Tournament!U97</f>
        <v>41829.708333333336</v>
      </c>
      <c r="G79" s="190" t="str">
        <f>Tournament!Y97</f>
        <v>Match 59 Winner</v>
      </c>
      <c r="H79" s="180"/>
      <c r="I79" s="9"/>
      <c r="J79" s="191" t="s">
        <v>3088</v>
      </c>
      <c r="K79" s="9"/>
      <c r="L79" s="180"/>
      <c r="M79" s="198" t="str">
        <f>Tournament!AE97</f>
        <v>Match 60 Winner</v>
      </c>
      <c r="N79" s="183"/>
      <c r="P79" s="192" t="str">
        <f t="shared" si="2"/>
        <v>Match 59 Winner</v>
      </c>
      <c r="Q79" s="193"/>
      <c r="R79" s="194" t="str">
        <f>IF($Z$67=0,IF($Z$66=0,IF(Tournament!AA98&lt;&gt;"",Tournament!AA98,""),IF(Tournament!AA98&lt;&gt;"",Tournament!AA98+Tournament!AA99,"")),IF(Tournament!AA97&lt;&gt;"",Tournament!AA97,""))</f>
        <v/>
      </c>
      <c r="S79" s="194" t="s">
        <v>3088</v>
      </c>
      <c r="T79" s="194" t="str">
        <f>IF($Z$67=0,IF($Z$66=0,IF(Tournament!AC98&lt;&gt;"",Tournament!AC98,""),IF(Tournament!AC98&lt;&gt;"",Tournament!AC98+Tournament!AC99,"")),IF(Tournament!AC97&lt;&gt;"",Tournament!AC97,""))</f>
        <v/>
      </c>
      <c r="U79" s="193"/>
      <c r="V79" s="193" t="str">
        <f t="shared" si="3"/>
        <v>Match 60 Winner</v>
      </c>
      <c r="W79" s="191" t="str">
        <f>IF(Tournament!AA99&lt;&gt;"",Tournament!AA99,"")</f>
        <v/>
      </c>
      <c r="X79" s="199" t="s">
        <v>3088</v>
      </c>
      <c r="Y79" s="191" t="str">
        <f>IF(Tournament!AC99&lt;&gt;"",Tournament!AC99,"")</f>
        <v/>
      </c>
      <c r="Z79" s="191"/>
      <c r="AA79" s="191" t="str">
        <f>IF(Tournament!AA100&lt;&gt;"",Tournament!AA100,"")</f>
        <v/>
      </c>
      <c r="AB79" s="194" t="s">
        <v>3088</v>
      </c>
      <c r="AC79" s="191" t="str">
        <f>IF(Tournament!AC100&lt;&gt;"",Tournament!AC100,"")</f>
        <v/>
      </c>
      <c r="AD79" s="195" t="str">
        <f>IF(AND(I79&lt;&gt;"",K79&lt;&gt;"",R79&lt;&gt;"",T79&lt;&gt;""),IF(AND(I79=R79,K79=T79),Setup!$F$20,IF((I79-K79)=(R79-T79),Setup!$F$21,IF(AND((I79&gt;K79),(R79&gt;T79)),Setup!$F$22,IF(AND((K79&gt;I79),(T79&gt;R79)),Setup!$F$22,0)))),"")</f>
        <v/>
      </c>
      <c r="AE79" s="183"/>
      <c r="CM79" s="168"/>
      <c r="CN79" s="168"/>
      <c r="CO79" s="187"/>
      <c r="CP79" s="168"/>
    </row>
    <row r="80" spans="2:94" s="166" customFormat="1" ht="15" customHeight="1">
      <c r="B80" s="182"/>
      <c r="C80" s="181">
        <v>63</v>
      </c>
      <c r="D80" s="181" t="s">
        <v>3551</v>
      </c>
      <c r="E80" s="188">
        <f>Tournament!T105</f>
        <v>41832.708333333336</v>
      </c>
      <c r="F80" s="189">
        <f>Tournament!U105</f>
        <v>41832.708333333336</v>
      </c>
      <c r="G80" s="190" t="str">
        <f>Tournament!Y105</f>
        <v>Match 61 Loser</v>
      </c>
      <c r="H80" s="180"/>
      <c r="I80" s="9"/>
      <c r="J80" s="191" t="s">
        <v>3088</v>
      </c>
      <c r="K80" s="9"/>
      <c r="L80" s="180"/>
      <c r="M80" s="198" t="str">
        <f>Tournament!AE105</f>
        <v>Match 62 Loser</v>
      </c>
      <c r="N80" s="183"/>
      <c r="P80" s="192" t="str">
        <f t="shared" si="2"/>
        <v>Match 61 Loser</v>
      </c>
      <c r="Q80" s="193"/>
      <c r="R80" s="194" t="str">
        <f>IF($Z$67=0,IF($Z$66=0,IF(Tournament!AA106&lt;&gt;"",Tournament!AA106,""),IF(Tournament!AA106&lt;&gt;"",Tournament!AA106+Tournament!AA107,"")),IF(Tournament!AA105&lt;&gt;"",Tournament!AA105,""))</f>
        <v/>
      </c>
      <c r="S80" s="194" t="s">
        <v>3088</v>
      </c>
      <c r="T80" s="194" t="str">
        <f>IF($Z$67=0,IF($Z$66=0,IF(Tournament!AC106&lt;&gt;"",Tournament!AC106,""),IF(Tournament!AC106&lt;&gt;"",Tournament!AC106+Tournament!AC107,"")),IF(Tournament!AC105&lt;&gt;"",Tournament!AC105,""))</f>
        <v/>
      </c>
      <c r="U80" s="193"/>
      <c r="V80" s="193" t="str">
        <f t="shared" si="3"/>
        <v>Match 62 Loser</v>
      </c>
      <c r="W80" s="191" t="str">
        <f>IF(Tournament!AA107&lt;&gt;"",Tournament!AA107,"")</f>
        <v/>
      </c>
      <c r="X80" s="199" t="s">
        <v>3088</v>
      </c>
      <c r="Y80" s="191" t="str">
        <f>IF(Tournament!AC107&lt;&gt;"",Tournament!AC107,"")</f>
        <v/>
      </c>
      <c r="Z80" s="191"/>
      <c r="AA80" s="191" t="str">
        <f>IF(Tournament!AA108&lt;&gt;"",Tournament!AA108,"")</f>
        <v/>
      </c>
      <c r="AB80" s="194" t="s">
        <v>3088</v>
      </c>
      <c r="AC80" s="191" t="str">
        <f>IF(Tournament!AC108&lt;&gt;"",Tournament!AC108,"")</f>
        <v/>
      </c>
      <c r="AD80" s="195" t="str">
        <f>IF(AND(I80&lt;&gt;"",K80&lt;&gt;"",R80&lt;&gt;"",T80&lt;&gt;""),IF(AND(I80=R80,K80=T80),Setup!$G$20,IF((I80-K80)=(R80-T80),Setup!$G$21,IF(AND((I80&gt;K80),(R80&gt;T80)),Setup!$G$22,IF(AND((K80&gt;I80),(T80&gt;R80)),Setup!$G$22,0)))),"")</f>
        <v/>
      </c>
      <c r="AE80" s="183"/>
      <c r="CM80" s="168"/>
      <c r="CN80" s="168"/>
      <c r="CO80" s="187"/>
      <c r="CP80" s="168"/>
    </row>
    <row r="81" spans="2:94" s="166" customFormat="1" ht="15" customHeight="1">
      <c r="B81" s="182"/>
      <c r="C81" s="181">
        <v>64</v>
      </c>
      <c r="D81" s="181" t="s">
        <v>3105</v>
      </c>
      <c r="E81" s="188">
        <f>Tournament!T113</f>
        <v>41833.666666666664</v>
      </c>
      <c r="F81" s="189">
        <f>Tournament!U113</f>
        <v>41833.666666666664</v>
      </c>
      <c r="G81" s="190" t="str">
        <f>Tournament!Y113</f>
        <v>Match 61 Winner</v>
      </c>
      <c r="H81" s="180"/>
      <c r="I81" s="9"/>
      <c r="J81" s="191" t="s">
        <v>3088</v>
      </c>
      <c r="K81" s="9"/>
      <c r="L81" s="180"/>
      <c r="M81" s="198" t="str">
        <f>Tournament!AE113</f>
        <v>Match 62 Winner</v>
      </c>
      <c r="N81" s="183"/>
      <c r="P81" s="192" t="str">
        <f t="shared" si="2"/>
        <v>Match 61 Winner</v>
      </c>
      <c r="Q81" s="193"/>
      <c r="R81" s="194" t="str">
        <f>IF($Z$67=0,IF($Z$66=0,IF(Tournament!AA114&lt;&gt;"",Tournament!AA114,""),IF(Tournament!AA114&lt;&gt;"",Tournament!AA114+Tournament!AA115,"")),IF(Tournament!AA113&lt;&gt;"",Tournament!AA113,""))</f>
        <v/>
      </c>
      <c r="S81" s="194" t="s">
        <v>3088</v>
      </c>
      <c r="T81" s="194" t="str">
        <f>IF($Z$67=0,IF($Z$66=0,IF(Tournament!AC114&lt;&gt;"",Tournament!AC114,""),IF(Tournament!AC114&lt;&gt;"",Tournament!AC114+Tournament!AC115,"")),IF(Tournament!AC113&lt;&gt;"",Tournament!AC113,""))</f>
        <v/>
      </c>
      <c r="U81" s="193"/>
      <c r="V81" s="193" t="str">
        <f t="shared" si="3"/>
        <v>Match 62 Winner</v>
      </c>
      <c r="W81" s="191" t="str">
        <f>IF(Tournament!AA115&lt;&gt;"",Tournament!AA115,"")</f>
        <v/>
      </c>
      <c r="X81" s="199" t="s">
        <v>3088</v>
      </c>
      <c r="Y81" s="191" t="str">
        <f>IF(Tournament!AC115&lt;&gt;"",Tournament!AC115,"")</f>
        <v/>
      </c>
      <c r="Z81" s="191"/>
      <c r="AA81" s="191" t="str">
        <f>IF(Tournament!AA116&lt;&gt;"",Tournament!AA116,"")</f>
        <v/>
      </c>
      <c r="AB81" s="194" t="s">
        <v>3088</v>
      </c>
      <c r="AC81" s="191" t="str">
        <f>IF(Tournament!AC116&lt;&gt;"",Tournament!AC116,"")</f>
        <v/>
      </c>
      <c r="AD81" s="195" t="str">
        <f>IF(AND(I81&lt;&gt;"",K81&lt;&gt;"",R81&lt;&gt;"",T81&lt;&gt;""),IF(AND(I81=R81,K81=T81),Setup!$H$20,IF((I81-K81)=(R81-T81),Setup!$H$21,IF(AND((I81&gt;K81),(R81&gt;T81)),Setup!$H$22,IF(AND((K81&gt;I81),(T81&gt;R81)),Setup!$H$22,0)))),"")</f>
        <v/>
      </c>
      <c r="AE81" s="183"/>
      <c r="CM81" s="168"/>
      <c r="CN81" s="168"/>
      <c r="CO81" s="187"/>
      <c r="CP81" s="168"/>
    </row>
    <row r="82" spans="2:94" s="166" customFormat="1" ht="15" customHeight="1">
      <c r="B82" s="200"/>
      <c r="C82" s="201"/>
      <c r="D82" s="201"/>
      <c r="E82" s="201"/>
      <c r="F82" s="201"/>
      <c r="G82" s="201"/>
      <c r="H82" s="201"/>
      <c r="I82" s="201"/>
      <c r="J82" s="202"/>
      <c r="K82" s="201"/>
      <c r="L82" s="201"/>
      <c r="M82" s="201"/>
      <c r="N82" s="203"/>
      <c r="P82" s="200"/>
      <c r="Q82" s="201"/>
      <c r="R82" s="201"/>
      <c r="S82" s="202"/>
      <c r="T82" s="201"/>
      <c r="U82" s="201"/>
      <c r="V82" s="201"/>
      <c r="W82" s="201"/>
      <c r="X82" s="202"/>
      <c r="Y82" s="201"/>
      <c r="Z82" s="201"/>
      <c r="AA82" s="201"/>
      <c r="AB82" s="202"/>
      <c r="AC82" s="201"/>
      <c r="AD82" s="202"/>
      <c r="AE82" s="203"/>
      <c r="CM82" s="168"/>
      <c r="CN82" s="168"/>
      <c r="CO82" s="187"/>
      <c r="CP82" s="168"/>
    </row>
    <row r="83" spans="2:94" s="166" customFormat="1" ht="15" customHeight="1">
      <c r="B83" s="166" t="s">
        <v>3905</v>
      </c>
      <c r="N83" s="180"/>
      <c r="AD83" s="167"/>
      <c r="CM83" s="168"/>
      <c r="CN83" s="168"/>
      <c r="CO83" s="187"/>
      <c r="CP83" s="168"/>
    </row>
    <row r="84" spans="2:94" s="166" customFormat="1" ht="15" hidden="1" customHeight="1">
      <c r="N84" s="180"/>
      <c r="AD84" s="167"/>
      <c r="CM84" s="168"/>
      <c r="CN84" s="168"/>
      <c r="CO84" s="187"/>
      <c r="CP84" s="168"/>
    </row>
    <row r="85" spans="2:94" s="166" customFormat="1" ht="15" hidden="1" customHeight="1">
      <c r="N85" s="180"/>
      <c r="AD85" s="167"/>
      <c r="CM85" s="168"/>
      <c r="CN85" s="168"/>
      <c r="CO85" s="187"/>
      <c r="CP85" s="168"/>
    </row>
    <row r="86" spans="2:94" s="166" customFormat="1" ht="15" hidden="1" customHeight="1">
      <c r="N86" s="180"/>
      <c r="AD86" s="167"/>
      <c r="CM86" s="168"/>
      <c r="CN86" s="168"/>
      <c r="CO86" s="187"/>
      <c r="CP86" s="168"/>
    </row>
    <row r="87" spans="2:94" s="166" customFormat="1" ht="15" hidden="1" customHeight="1">
      <c r="N87" s="180"/>
      <c r="AD87" s="167"/>
      <c r="CM87" s="168"/>
      <c r="CN87" s="168"/>
      <c r="CO87" s="187"/>
      <c r="CP87" s="168"/>
    </row>
    <row r="88" spans="2:94" s="166" customFormat="1" ht="15" hidden="1" customHeight="1">
      <c r="N88" s="180"/>
      <c r="AD88" s="167"/>
      <c r="CM88" s="168"/>
      <c r="CN88" s="168"/>
      <c r="CO88" s="187"/>
      <c r="CP88" s="168"/>
    </row>
    <row r="89" spans="2:94" s="166" customFormat="1" ht="15" hidden="1" customHeight="1">
      <c r="N89" s="180"/>
      <c r="AD89" s="167"/>
      <c r="CM89" s="168"/>
      <c r="CN89" s="168"/>
      <c r="CO89" s="187"/>
      <c r="CP89" s="168"/>
    </row>
    <row r="90" spans="2:94" s="166" customFormat="1" ht="15" hidden="1" customHeight="1">
      <c r="N90" s="180"/>
      <c r="AD90" s="167"/>
      <c r="CM90" s="168"/>
      <c r="CN90" s="168"/>
      <c r="CO90" s="187"/>
      <c r="CP90" s="168"/>
    </row>
    <row r="91" spans="2:94" s="166" customFormat="1" ht="15" hidden="1" customHeight="1">
      <c r="N91" s="180"/>
      <c r="AD91" s="167"/>
      <c r="CM91" s="168"/>
      <c r="CN91" s="168"/>
      <c r="CO91" s="187"/>
      <c r="CP91" s="168"/>
    </row>
    <row r="92" spans="2:94" s="166" customFormat="1" ht="15" hidden="1" customHeight="1">
      <c r="N92" s="180"/>
      <c r="AD92" s="167"/>
      <c r="CM92" s="168"/>
      <c r="CN92" s="168"/>
      <c r="CO92" s="187"/>
      <c r="CP92" s="168"/>
    </row>
    <row r="93" spans="2:94" s="166" customFormat="1" ht="15" hidden="1" customHeight="1">
      <c r="N93" s="180"/>
      <c r="AD93" s="167"/>
      <c r="CM93" s="168"/>
      <c r="CN93" s="168"/>
      <c r="CO93" s="187"/>
      <c r="CP93" s="168"/>
    </row>
    <row r="94" spans="2:94" s="166" customFormat="1" ht="15" hidden="1" customHeight="1">
      <c r="N94" s="180"/>
      <c r="AD94" s="167"/>
      <c r="CM94" s="168"/>
      <c r="CN94" s="168"/>
      <c r="CO94" s="187"/>
      <c r="CP94" s="168"/>
    </row>
    <row r="95" spans="2:94" s="166" customFormat="1" ht="15" hidden="1" customHeight="1">
      <c r="N95" s="180"/>
      <c r="AD95" s="167"/>
      <c r="CM95" s="168"/>
      <c r="CN95" s="168"/>
      <c r="CO95" s="187"/>
      <c r="CP95" s="168"/>
    </row>
    <row r="96" spans="2:94" s="166" customFormat="1" ht="15" hidden="1" customHeight="1">
      <c r="N96" s="180"/>
      <c r="AD96" s="167"/>
      <c r="CM96" s="168"/>
      <c r="CN96" s="168"/>
      <c r="CO96" s="187"/>
      <c r="CP96" s="168"/>
    </row>
    <row r="97" spans="14:94" s="166" customFormat="1" ht="15" hidden="1" customHeight="1">
      <c r="N97" s="180"/>
      <c r="AD97" s="167"/>
      <c r="CM97" s="168"/>
      <c r="CN97" s="168"/>
      <c r="CO97" s="187"/>
      <c r="CP97" s="168"/>
    </row>
    <row r="98" spans="14:94" s="166" customFormat="1" ht="15" hidden="1" customHeight="1">
      <c r="N98" s="180"/>
      <c r="AD98" s="167"/>
      <c r="CM98" s="168"/>
      <c r="CN98" s="168"/>
      <c r="CO98" s="187"/>
      <c r="CP98" s="168"/>
    </row>
    <row r="99" spans="14:94" s="166" customFormat="1" ht="15" hidden="1" customHeight="1">
      <c r="N99" s="180"/>
      <c r="AD99" s="167"/>
      <c r="CM99" s="168"/>
      <c r="CN99" s="168"/>
      <c r="CO99" s="187"/>
      <c r="CP99" s="168"/>
    </row>
    <row r="100" spans="14:94" s="166" customFormat="1" ht="15" hidden="1" customHeight="1">
      <c r="N100" s="180"/>
      <c r="AD100" s="167"/>
      <c r="CM100" s="168"/>
      <c r="CN100" s="168"/>
      <c r="CO100" s="187"/>
      <c r="CP100" s="168"/>
    </row>
    <row r="101" spans="14:94" s="166" customFormat="1" ht="15" hidden="1" customHeight="1">
      <c r="N101" s="180"/>
      <c r="AD101" s="167"/>
      <c r="CM101" s="168"/>
      <c r="CN101" s="168"/>
      <c r="CO101" s="187"/>
      <c r="CP101" s="168"/>
    </row>
    <row r="102" spans="14:94" s="166" customFormat="1" ht="15" hidden="1" customHeight="1">
      <c r="N102" s="180"/>
      <c r="AD102" s="167"/>
      <c r="CM102" s="168"/>
      <c r="CN102" s="168"/>
      <c r="CO102" s="187"/>
      <c r="CP102" s="168"/>
    </row>
    <row r="103" spans="14:94" s="166" customFormat="1" ht="15" hidden="1" customHeight="1">
      <c r="N103" s="180"/>
      <c r="AD103" s="167"/>
      <c r="CM103" s="168"/>
      <c r="CN103" s="168"/>
      <c r="CO103" s="187"/>
      <c r="CP103" s="168"/>
    </row>
    <row r="104" spans="14:94" s="166" customFormat="1" ht="15" hidden="1" customHeight="1">
      <c r="N104" s="180"/>
      <c r="AD104" s="167"/>
      <c r="CM104" s="168"/>
      <c r="CN104" s="168"/>
      <c r="CO104" s="187"/>
      <c r="CP104" s="168"/>
    </row>
    <row r="105" spans="14:94" s="166" customFormat="1" ht="15" hidden="1" customHeight="1">
      <c r="N105" s="180"/>
      <c r="AD105" s="167"/>
      <c r="CM105" s="168"/>
      <c r="CN105" s="168"/>
      <c r="CO105" s="187"/>
      <c r="CP105" s="168"/>
    </row>
    <row r="106" spans="14:94" s="166" customFormat="1" ht="15" hidden="1" customHeight="1">
      <c r="N106" s="180"/>
      <c r="AD106" s="167"/>
      <c r="CM106" s="168"/>
      <c r="CN106" s="168"/>
      <c r="CO106" s="187"/>
      <c r="CP106" s="168"/>
    </row>
    <row r="107" spans="14:94" s="166" customFormat="1" ht="15" hidden="1" customHeight="1">
      <c r="N107" s="180"/>
      <c r="AD107" s="167"/>
      <c r="CM107" s="168"/>
      <c r="CN107" s="168"/>
      <c r="CO107" s="187"/>
      <c r="CP107" s="168"/>
    </row>
    <row r="108" spans="14:94" s="166" customFormat="1" ht="15" hidden="1" customHeight="1">
      <c r="N108" s="180"/>
      <c r="AD108" s="167"/>
      <c r="CM108" s="168"/>
      <c r="CN108" s="168"/>
      <c r="CO108" s="187"/>
      <c r="CP108" s="168"/>
    </row>
    <row r="109" spans="14:94" s="166" customFormat="1" ht="15" hidden="1" customHeight="1">
      <c r="N109" s="180"/>
      <c r="AD109" s="167"/>
      <c r="CM109" s="168"/>
      <c r="CN109" s="168"/>
      <c r="CO109" s="187"/>
      <c r="CP109" s="168"/>
    </row>
    <row r="110" spans="14:94" s="166" customFormat="1" ht="15" hidden="1" customHeight="1">
      <c r="N110" s="180"/>
      <c r="AD110" s="167"/>
      <c r="CM110" s="168"/>
      <c r="CN110" s="168"/>
      <c r="CO110" s="187"/>
      <c r="CP110" s="168"/>
    </row>
    <row r="111" spans="14:94" s="166" customFormat="1" ht="15" hidden="1" customHeight="1">
      <c r="N111" s="180"/>
      <c r="AD111" s="167"/>
      <c r="CM111" s="168"/>
      <c r="CN111" s="168"/>
      <c r="CO111" s="187"/>
      <c r="CP111" s="168"/>
    </row>
    <row r="112" spans="14:94" s="166" customFormat="1" ht="15" hidden="1" customHeight="1">
      <c r="N112" s="180"/>
      <c r="AD112" s="167"/>
      <c r="CM112" s="168"/>
      <c r="CN112" s="168"/>
      <c r="CO112" s="187"/>
      <c r="CP112" s="168"/>
    </row>
    <row r="113" spans="2:94" s="166" customFormat="1" ht="15" hidden="1" customHeight="1">
      <c r="N113" s="180"/>
      <c r="AD113" s="167"/>
      <c r="CM113" s="168"/>
      <c r="CN113" s="168"/>
      <c r="CO113" s="187"/>
      <c r="CP113" s="168"/>
    </row>
    <row r="114" spans="2:94" s="166" customFormat="1" ht="15" hidden="1" customHeight="1">
      <c r="N114" s="180"/>
      <c r="AD114" s="167"/>
      <c r="CM114" s="168"/>
      <c r="CN114" s="168"/>
      <c r="CO114" s="187"/>
      <c r="CP114" s="168"/>
    </row>
    <row r="115" spans="2:94" s="166" customFormat="1" ht="15" hidden="1" customHeight="1">
      <c r="N115" s="180"/>
      <c r="AD115" s="167"/>
      <c r="CM115" s="168"/>
      <c r="CN115" s="168"/>
      <c r="CO115" s="187"/>
      <c r="CP115" s="168"/>
    </row>
    <row r="116" spans="2:94" s="166" customFormat="1" ht="15" hidden="1" customHeight="1">
      <c r="N116" s="180"/>
      <c r="AD116" s="167"/>
      <c r="CM116" s="168"/>
      <c r="CN116" s="168"/>
      <c r="CO116" s="187"/>
      <c r="CP116" s="168"/>
    </row>
    <row r="117" spans="2:94" s="166" customFormat="1" ht="15" hidden="1" customHeight="1">
      <c r="N117" s="180"/>
      <c r="AD117" s="167"/>
      <c r="CM117" s="168"/>
      <c r="CN117" s="168"/>
      <c r="CO117" s="187"/>
      <c r="CP117" s="168"/>
    </row>
    <row r="118" spans="2:94" s="166" customFormat="1" ht="15" hidden="1" customHeight="1">
      <c r="N118" s="180"/>
      <c r="AD118" s="167"/>
      <c r="CM118" s="168"/>
      <c r="CN118" s="168"/>
      <c r="CO118" s="187"/>
      <c r="CP118" s="168"/>
    </row>
    <row r="119" spans="2:94" s="166" customFormat="1" ht="15" hidden="1" customHeight="1">
      <c r="N119" s="180"/>
      <c r="AD119" s="167"/>
      <c r="CM119" s="168"/>
      <c r="CN119" s="168"/>
      <c r="CO119" s="187"/>
      <c r="CP119" s="168"/>
    </row>
    <row r="120" spans="2:94" s="166" customFormat="1" ht="15" hidden="1" customHeight="1">
      <c r="N120" s="180"/>
      <c r="AD120" s="167"/>
      <c r="CM120" s="168"/>
      <c r="CN120" s="168"/>
      <c r="CO120" s="187" t="s">
        <v>1404</v>
      </c>
      <c r="CP120" s="168"/>
    </row>
    <row r="121" spans="2:94" s="166" customFormat="1" ht="15" hidden="1" customHeight="1">
      <c r="N121" s="180"/>
      <c r="AD121" s="167"/>
      <c r="CM121" s="168"/>
      <c r="CN121" s="168"/>
      <c r="CO121" s="187" t="s">
        <v>1405</v>
      </c>
      <c r="CP121" s="168"/>
    </row>
    <row r="122" spans="2:94" s="166" customFormat="1" ht="15" hidden="1" customHeight="1">
      <c r="N122" s="180"/>
      <c r="AD122" s="167"/>
      <c r="CM122" s="168"/>
      <c r="CN122" s="168"/>
      <c r="CO122" s="187" t="s">
        <v>1406</v>
      </c>
      <c r="CP122" s="168"/>
    </row>
    <row r="123" spans="2:94" s="166" customFormat="1" ht="15" hidden="1" customHeight="1">
      <c r="N123" s="180"/>
      <c r="AD123" s="167"/>
      <c r="CM123" s="168"/>
      <c r="CN123" s="168"/>
      <c r="CO123" s="187" t="s">
        <v>1407</v>
      </c>
      <c r="CP123" s="168"/>
    </row>
    <row r="124" spans="2:94" s="166" customFormat="1" ht="15" hidden="1" customHeight="1">
      <c r="N124" s="180"/>
      <c r="AD124" s="167"/>
      <c r="CM124" s="168"/>
      <c r="CN124" s="168"/>
      <c r="CO124" s="187" t="s">
        <v>1408</v>
      </c>
      <c r="CP124" s="168"/>
    </row>
    <row r="125" spans="2:94" s="166" customFormat="1" ht="15" hidden="1" customHeight="1">
      <c r="B125" s="180"/>
      <c r="C125" s="180"/>
      <c r="D125" s="180"/>
      <c r="E125" s="180"/>
      <c r="F125" s="180"/>
      <c r="G125" s="180"/>
      <c r="H125" s="180"/>
      <c r="I125" s="180"/>
      <c r="J125" s="181"/>
      <c r="K125" s="180"/>
      <c r="L125" s="180"/>
      <c r="M125" s="180"/>
      <c r="N125" s="180"/>
      <c r="P125" s="180"/>
      <c r="Q125" s="180"/>
      <c r="R125" s="180"/>
      <c r="S125" s="181"/>
      <c r="T125" s="180"/>
      <c r="U125" s="180"/>
      <c r="V125" s="180"/>
      <c r="W125" s="180"/>
      <c r="X125" s="181"/>
      <c r="Y125" s="180"/>
      <c r="Z125" s="180"/>
      <c r="AA125" s="180"/>
      <c r="AB125" s="181"/>
      <c r="AC125" s="180"/>
      <c r="AD125" s="167"/>
      <c r="CM125" s="168"/>
      <c r="CN125" s="168"/>
      <c r="CO125" s="187" t="s">
        <v>1409</v>
      </c>
      <c r="CP125" s="168"/>
    </row>
    <row r="126" spans="2:94" s="166" customFormat="1" ht="15" hidden="1" customHeight="1">
      <c r="B126" s="180"/>
      <c r="C126" s="180"/>
      <c r="D126" s="180"/>
      <c r="E126" s="180"/>
      <c r="F126" s="180"/>
      <c r="G126" s="180"/>
      <c r="H126" s="180"/>
      <c r="I126" s="180"/>
      <c r="J126" s="181"/>
      <c r="K126" s="180"/>
      <c r="L126" s="180"/>
      <c r="M126" s="180"/>
      <c r="N126" s="180"/>
      <c r="P126" s="180"/>
      <c r="Q126" s="180"/>
      <c r="R126" s="180"/>
      <c r="S126" s="181"/>
      <c r="T126" s="180"/>
      <c r="U126" s="180"/>
      <c r="V126" s="180"/>
      <c r="W126" s="180"/>
      <c r="X126" s="181"/>
      <c r="Y126" s="180"/>
      <c r="Z126" s="180"/>
      <c r="AA126" s="180"/>
      <c r="AB126" s="181"/>
      <c r="AC126" s="180"/>
      <c r="AD126" s="167"/>
      <c r="CM126" s="168"/>
      <c r="CN126" s="168"/>
      <c r="CO126" s="187" t="s">
        <v>1410</v>
      </c>
      <c r="CP126" s="168"/>
    </row>
  </sheetData>
  <sheetProtection password="CE4F" sheet="1" objects="1" scenarios="1" formatCells="0" formatColumns="0" formatRows="0" insertColumns="0" insertRows="0" insertHyperlinks="0" sort="0" autoFilter="0" pivotTables="0"/>
  <mergeCells count="23">
    <mergeCell ref="B4:C4"/>
    <mergeCell ref="D4:M4"/>
    <mergeCell ref="H5:L5"/>
    <mergeCell ref="AC5:AE5"/>
    <mergeCell ref="B6:C7"/>
    <mergeCell ref="D6:F6"/>
    <mergeCell ref="H6:L6"/>
    <mergeCell ref="D7:F7"/>
    <mergeCell ref="H7:L7"/>
    <mergeCell ref="AC7:AE7"/>
    <mergeCell ref="B9:N9"/>
    <mergeCell ref="P9:AE9"/>
    <mergeCell ref="B11:N11"/>
    <mergeCell ref="P11:AE11"/>
    <mergeCell ref="I13:K13"/>
    <mergeCell ref="R13:T13"/>
    <mergeCell ref="W13:Y13"/>
    <mergeCell ref="AA13:AC13"/>
    <mergeCell ref="B64:N64"/>
    <mergeCell ref="P64:AE64"/>
    <mergeCell ref="R65:T65"/>
    <mergeCell ref="W65:Y65"/>
    <mergeCell ref="AA65:AC65"/>
  </mergeCells>
  <conditionalFormatting sqref="G15:G62 G66:G81">
    <cfRule type="expression" dxfId="431" priority="21" stopIfTrue="1">
      <formula>I15&gt;K15</formula>
    </cfRule>
    <cfRule type="expression" dxfId="430" priority="22" stopIfTrue="1">
      <formula>I15&lt;K15</formula>
    </cfRule>
  </conditionalFormatting>
  <conditionalFormatting sqref="M15:M62">
    <cfRule type="expression" dxfId="429" priority="23" stopIfTrue="1">
      <formula>K15&gt;I15</formula>
    </cfRule>
    <cfRule type="expression" dxfId="428" priority="24" stopIfTrue="1">
      <formula>K15&lt;I15</formula>
    </cfRule>
  </conditionalFormatting>
  <conditionalFormatting sqref="S15:S62 S66:S81">
    <cfRule type="expression" dxfId="427" priority="25" stopIfTrue="1">
      <formula>AND($R15&lt;&gt;"",$T15&lt;&gt;"")</formula>
    </cfRule>
  </conditionalFormatting>
  <conditionalFormatting sqref="P15:R62 P66:R81 T66:T81">
    <cfRule type="expression" dxfId="426" priority="26" stopIfTrue="1">
      <formula>AND($R15&gt;$T15,$R15&lt;&gt;"",$T15&lt;&gt;"")</formula>
    </cfRule>
    <cfRule type="expression" dxfId="425" priority="27" stopIfTrue="1">
      <formula>AND($R15&lt;$T15,$R15&lt;&gt;"",$T15&lt;&gt;"")</formula>
    </cfRule>
    <cfRule type="expression" dxfId="424" priority="28" stopIfTrue="1">
      <formula>AND($R15&lt;&gt;"",$T15&lt;&gt;"")</formula>
    </cfRule>
  </conditionalFormatting>
  <conditionalFormatting sqref="U66:V81 T15:V62">
    <cfRule type="expression" dxfId="423" priority="29" stopIfTrue="1">
      <formula>AND($T15&gt;$R15,$R15&lt;&gt;"",$T15&lt;&gt;"")</formula>
    </cfRule>
    <cfRule type="expression" dxfId="422" priority="30" stopIfTrue="1">
      <formula>AND($T15&lt;$R15,$R15&lt;&gt;"",$T15&lt;&gt;"")</formula>
    </cfRule>
    <cfRule type="expression" dxfId="421" priority="31" stopIfTrue="1">
      <formula>AND($R15&lt;&gt;"",$T15&lt;&gt;"")</formula>
    </cfRule>
  </conditionalFormatting>
  <conditionalFormatting sqref="O15">
    <cfRule type="expression" dxfId="420" priority="32" stopIfTrue="1">
      <formula>#REF!&gt;#REF!</formula>
    </cfRule>
    <cfRule type="expression" dxfId="419" priority="33" stopIfTrue="1">
      <formula>#REF!&lt;#REF!</formula>
    </cfRule>
  </conditionalFormatting>
  <conditionalFormatting sqref="I15:I62 K15:K62 K66:K81 I66:I81">
    <cfRule type="expression" dxfId="418" priority="34" stopIfTrue="1">
      <formula>ISBLANK(I15)</formula>
    </cfRule>
  </conditionalFormatting>
  <conditionalFormatting sqref="X15:X61">
    <cfRule type="expression" dxfId="417" priority="14" stopIfTrue="1">
      <formula>AND($R15&lt;&gt;"",$T15&lt;&gt;"")</formula>
    </cfRule>
  </conditionalFormatting>
  <conditionalFormatting sqref="W15:W61">
    <cfRule type="expression" dxfId="416" priority="15" stopIfTrue="1">
      <formula>AND($R15&gt;$T15,$R15&lt;&gt;"",$T15&lt;&gt;"")</formula>
    </cfRule>
    <cfRule type="expression" dxfId="415" priority="16" stopIfTrue="1">
      <formula>AND($R15&lt;$T15,$R15&lt;&gt;"",$T15&lt;&gt;"")</formula>
    </cfRule>
    <cfRule type="expression" dxfId="414" priority="17" stopIfTrue="1">
      <formula>AND($R15&lt;&gt;"",$T15&lt;&gt;"")</formula>
    </cfRule>
  </conditionalFormatting>
  <conditionalFormatting sqref="Y15:Z61">
    <cfRule type="expression" dxfId="413" priority="18" stopIfTrue="1">
      <formula>AND($T15&gt;$R15,$R15&lt;&gt;"",$T15&lt;&gt;"")</formula>
    </cfRule>
    <cfRule type="expression" dxfId="412" priority="19" stopIfTrue="1">
      <formula>AND($T15&lt;$R15,$R15&lt;&gt;"",$T15&lt;&gt;"")</formula>
    </cfRule>
    <cfRule type="expression" dxfId="411" priority="20" stopIfTrue="1">
      <formula>AND($R15&lt;&gt;"",$T15&lt;&gt;"")</formula>
    </cfRule>
  </conditionalFormatting>
  <conditionalFormatting sqref="AB15:AB61">
    <cfRule type="expression" dxfId="410" priority="7" stopIfTrue="1">
      <formula>AND($R15&lt;&gt;"",$T15&lt;&gt;"")</formula>
    </cfRule>
  </conditionalFormatting>
  <conditionalFormatting sqref="AA15:AA61">
    <cfRule type="expression" dxfId="409" priority="8" stopIfTrue="1">
      <formula>AND($R15&gt;$T15,$R15&lt;&gt;"",$T15&lt;&gt;"")</formula>
    </cfRule>
    <cfRule type="expression" dxfId="408" priority="9" stopIfTrue="1">
      <formula>AND($R15&lt;$T15,$R15&lt;&gt;"",$T15&lt;&gt;"")</formula>
    </cfRule>
    <cfRule type="expression" dxfId="407" priority="10" stopIfTrue="1">
      <formula>AND($R15&lt;&gt;"",$T15&lt;&gt;"")</formula>
    </cfRule>
  </conditionalFormatting>
  <conditionalFormatting sqref="AC15:AC61">
    <cfRule type="expression" dxfId="406" priority="11" stopIfTrue="1">
      <formula>AND($T15&gt;$R15,$R15&lt;&gt;"",$T15&lt;&gt;"")</formula>
    </cfRule>
    <cfRule type="expression" dxfId="405" priority="12" stopIfTrue="1">
      <formula>AND($T15&lt;$R15,$R15&lt;&gt;"",$T15&lt;&gt;"")</formula>
    </cfRule>
    <cfRule type="expression" dxfId="404" priority="13" stopIfTrue="1">
      <formula>AND($R15&lt;&gt;"",$T15&lt;&gt;"")</formula>
    </cfRule>
  </conditionalFormatting>
  <conditionalFormatting sqref="M66:M81">
    <cfRule type="expression" dxfId="403" priority="35">
      <formula>K66&gt;I66</formula>
    </cfRule>
    <cfRule type="expression" dxfId="402" priority="36">
      <formula>$K66&lt;$I66</formula>
    </cfRule>
  </conditionalFormatting>
  <conditionalFormatting sqref="X66:X81">
    <cfRule type="expression" dxfId="401" priority="6">
      <formula>AND($W66&lt;&gt;"",$Y66&lt;&gt;"")</formula>
    </cfRule>
  </conditionalFormatting>
  <conditionalFormatting sqref="AB66:AB81">
    <cfRule type="expression" dxfId="400" priority="5">
      <formula>AND($AA66&lt;&gt;"",$AC66&lt;&gt;"")</formula>
    </cfRule>
  </conditionalFormatting>
  <conditionalFormatting sqref="AA65:AC65">
    <cfRule type="expression" dxfId="399" priority="4">
      <formula>$Z$67=1</formula>
    </cfRule>
  </conditionalFormatting>
  <conditionalFormatting sqref="W65:Y65">
    <cfRule type="expression" dxfId="398" priority="3">
      <formula>OR($Z$66=1,$Z$67=1)</formula>
    </cfRule>
  </conditionalFormatting>
  <conditionalFormatting sqref="W66:Y81">
    <cfRule type="expression" dxfId="397" priority="2">
      <formula>OR($Z$66=1,$Z$67=1)</formula>
    </cfRule>
  </conditionalFormatting>
  <conditionalFormatting sqref="AA66:AC81">
    <cfRule type="expression" dxfId="396" priority="1">
      <formula>$Z$67=1</formula>
    </cfRule>
  </conditionalFormatting>
  <printOptions horizontalCentered="1" verticalCentered="1"/>
  <pageMargins left="0.39" right="0.32" top="0.28999999999999998" bottom="0.39" header="0.21" footer="0.26"/>
  <pageSetup scale="59" orientation="portrait" horizontalDpi="300" verticalDpi="300" r:id="rId1"/>
  <headerFooter alignWithMargins="0">
    <oddFooter xml:space="preserve">&amp;C
</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S126"/>
  <sheetViews>
    <sheetView showGridLines="0" zoomScaleNormal="100" workbookViewId="0">
      <selection activeCell="C82" sqref="C82"/>
    </sheetView>
  </sheetViews>
  <sheetFormatPr defaultColWidth="0" defaultRowHeight="14.4" customHeight="1" zeroHeight="1"/>
  <cols>
    <col min="1" max="1" width="2.44140625" style="204" customWidth="1"/>
    <col min="2" max="2" width="3.6640625" style="204" customWidth="1"/>
    <col min="3" max="3" width="4.109375" style="204" customWidth="1"/>
    <col min="4" max="4" width="6.33203125" style="204" customWidth="1"/>
    <col min="5" max="5" width="8.21875" style="204" customWidth="1"/>
    <col min="6" max="6" width="6.88671875" style="205" customWidth="1"/>
    <col min="7" max="7" width="20.6640625" style="204" customWidth="1"/>
    <col min="8" max="8" width="1.77734375" style="204" customWidth="1"/>
    <col min="9" max="9" width="3.44140625" style="204" customWidth="1"/>
    <col min="10" max="10" width="1.77734375" style="206" customWidth="1"/>
    <col min="11" max="11" width="3.44140625" style="204" customWidth="1"/>
    <col min="12" max="12" width="1.6640625" style="204" customWidth="1"/>
    <col min="13" max="13" width="20.6640625" style="204" customWidth="1"/>
    <col min="14" max="14" width="2.44140625" style="204" customWidth="1"/>
    <col min="15" max="15" width="1.77734375" style="204" customWidth="1"/>
    <col min="16" max="16" width="20.6640625" style="204" customWidth="1"/>
    <col min="17" max="17" width="1.6640625" style="204" customWidth="1"/>
    <col min="18" max="18" width="3.44140625" style="204" customWidth="1"/>
    <col min="19" max="19" width="1.77734375" style="206" customWidth="1"/>
    <col min="20" max="20" width="3.44140625" style="204" customWidth="1"/>
    <col min="21" max="21" width="1.6640625" style="204" customWidth="1"/>
    <col min="22" max="22" width="17.5546875" style="204" customWidth="1"/>
    <col min="23" max="23" width="3.44140625" style="204" customWidth="1"/>
    <col min="24" max="24" width="1.77734375" style="206" customWidth="1"/>
    <col min="25" max="25" width="3.44140625" style="204" customWidth="1"/>
    <col min="26" max="26" width="1.77734375" style="204" customWidth="1"/>
    <col min="27" max="27" width="3.44140625" style="204" customWidth="1"/>
    <col min="28" max="28" width="1.77734375" style="206" customWidth="1"/>
    <col min="29" max="29" width="3.44140625" style="204" customWidth="1"/>
    <col min="30" max="30" width="5.77734375" style="206" customWidth="1"/>
    <col min="31" max="31" width="9.109375" style="204" customWidth="1"/>
    <col min="32" max="32" width="2.6640625" style="204" customWidth="1"/>
    <col min="33" max="33" width="9.109375" style="204" hidden="1" customWidth="1"/>
    <col min="34" max="90" width="0" style="204" hidden="1" customWidth="1"/>
    <col min="91" max="94" width="0" style="207" hidden="1" customWidth="1"/>
    <col min="95" max="97" width="0" style="204" hidden="1" customWidth="1"/>
    <col min="98" max="16384" width="9.109375" style="204" hidden="1"/>
  </cols>
  <sheetData>
    <row r="1" spans="2:97" s="166" customFormat="1" ht="15" customHeight="1">
      <c r="J1" s="167"/>
      <c r="S1" s="167"/>
      <c r="X1" s="167"/>
      <c r="AB1" s="167"/>
      <c r="AD1" s="167"/>
      <c r="CM1" s="168"/>
      <c r="CN1" s="168"/>
      <c r="CO1" s="168"/>
      <c r="CP1" s="168"/>
    </row>
    <row r="2" spans="2:97" s="166" customFormat="1" ht="15" customHeight="1">
      <c r="J2" s="167"/>
      <c r="S2" s="167"/>
      <c r="X2" s="167"/>
      <c r="AB2" s="167"/>
      <c r="AD2" s="167"/>
      <c r="CM2" s="168"/>
      <c r="CN2" s="168"/>
      <c r="CO2" s="168"/>
      <c r="CP2" s="168"/>
    </row>
    <row r="3" spans="2:97" s="166" customFormat="1" ht="15" customHeight="1">
      <c r="J3" s="167"/>
      <c r="S3" s="167"/>
      <c r="X3" s="167"/>
      <c r="AB3" s="167"/>
      <c r="AD3" s="167"/>
      <c r="CM3" s="168"/>
      <c r="CN3" s="168"/>
      <c r="CO3" s="168"/>
      <c r="CP3" s="168"/>
    </row>
    <row r="4" spans="2:97" s="166" customFormat="1" ht="25.05" customHeight="1">
      <c r="B4" s="297" t="s">
        <v>3871</v>
      </c>
      <c r="C4" s="298"/>
      <c r="D4" s="307" t="str">
        <f ca="1">IF(INDIRECT("'Player Name'!"&amp;"$c"&amp;B8)&lt;&gt;"",INDIRECT("'Player Name'!"&amp;"$c"&amp;B8),"")</f>
        <v>John 5</v>
      </c>
      <c r="E4" s="308"/>
      <c r="F4" s="308"/>
      <c r="G4" s="308"/>
      <c r="H4" s="308"/>
      <c r="I4" s="308"/>
      <c r="J4" s="308"/>
      <c r="K4" s="308"/>
      <c r="L4" s="308"/>
      <c r="M4" s="309"/>
      <c r="S4" s="167"/>
      <c r="X4" s="167"/>
      <c r="AB4" s="167"/>
      <c r="CM4" s="168"/>
      <c r="CN4" s="168"/>
      <c r="CO4" s="168"/>
      <c r="CP4" s="168"/>
    </row>
    <row r="5" spans="2:97" s="173" customFormat="1" ht="15" customHeight="1">
      <c r="B5" s="169"/>
      <c r="C5" s="169"/>
      <c r="D5" s="170"/>
      <c r="E5" s="170"/>
      <c r="F5" s="170"/>
      <c r="G5" s="171" t="s">
        <v>848</v>
      </c>
      <c r="H5" s="294" t="s">
        <v>3872</v>
      </c>
      <c r="I5" s="294"/>
      <c r="J5" s="294"/>
      <c r="K5" s="294"/>
      <c r="L5" s="295"/>
      <c r="M5" s="171" t="s">
        <v>3870</v>
      </c>
      <c r="N5" s="166"/>
      <c r="O5" s="166"/>
      <c r="P5" s="172"/>
      <c r="Q5" s="166"/>
      <c r="R5" s="166"/>
      <c r="S5" s="167"/>
      <c r="T5" s="166"/>
      <c r="U5" s="166"/>
      <c r="V5" s="166"/>
      <c r="W5" s="166"/>
      <c r="X5" s="167"/>
      <c r="Y5" s="166"/>
      <c r="Z5" s="166"/>
      <c r="AA5" s="166"/>
      <c r="AB5" s="167"/>
      <c r="AC5" s="296"/>
      <c r="AD5" s="296"/>
      <c r="AE5" s="296"/>
      <c r="CM5" s="174"/>
      <c r="CN5" s="174"/>
      <c r="CO5" s="174"/>
      <c r="CP5" s="174"/>
    </row>
    <row r="6" spans="2:97" s="166" customFormat="1" ht="15" customHeight="1">
      <c r="B6" s="318">
        <f>B8-5</f>
        <v>5</v>
      </c>
      <c r="C6" s="318"/>
      <c r="D6" s="315" t="s">
        <v>3868</v>
      </c>
      <c r="E6" s="315"/>
      <c r="F6" s="315"/>
      <c r="G6" s="175">
        <f>SUM(AD15:AD62)</f>
        <v>0</v>
      </c>
      <c r="H6" s="310">
        <f>SUM(AD66:AD81)</f>
        <v>0</v>
      </c>
      <c r="I6" s="311"/>
      <c r="J6" s="311"/>
      <c r="K6" s="311"/>
      <c r="L6" s="311"/>
      <c r="M6" s="176">
        <f>H6+G6</f>
        <v>0</v>
      </c>
      <c r="X6" s="167"/>
      <c r="AB6" s="167"/>
      <c r="CM6" s="168"/>
      <c r="CN6" s="168"/>
      <c r="CO6" s="168"/>
      <c r="CP6" s="168"/>
    </row>
    <row r="7" spans="2:97" s="166" customFormat="1" ht="15" customHeight="1">
      <c r="B7" s="318"/>
      <c r="C7" s="319"/>
      <c r="D7" s="316" t="s">
        <v>3869</v>
      </c>
      <c r="E7" s="317"/>
      <c r="F7" s="317"/>
      <c r="G7" s="177"/>
      <c r="H7" s="312"/>
      <c r="I7" s="312"/>
      <c r="J7" s="312"/>
      <c r="K7" s="312"/>
      <c r="L7" s="313"/>
      <c r="M7" s="178">
        <f ca="1">INDEX('Player Leaderboard'!$A$9:$A$23,MATCH($D4,'Player Leaderboard'!$B$9:$B$23,0),0)</f>
        <v>5</v>
      </c>
      <c r="P7" s="210" t="str">
        <f>HYPERLINK("["&amp;Setup!$C$5&amp;"]'Player ("&amp;B8-6&amp;")'!B6","&lt;&lt; Previous Player ("&amp;B8-6&amp;")")</f>
        <v>&lt;&lt; Previous Player (4)</v>
      </c>
      <c r="S7" s="167"/>
      <c r="X7" s="167"/>
      <c r="AB7" s="167"/>
      <c r="AC7" s="320" t="str">
        <f>HYPERLINK("["&amp;Setup!$C$5&amp;"]'Player ("&amp;B8-4&amp;")'!B6","Next Player ("&amp;B8-4&amp;") &gt;&gt;")</f>
        <v>Next Player (6) &gt;&gt;</v>
      </c>
      <c r="AD7" s="320"/>
      <c r="AE7" s="320"/>
      <c r="CM7" s="168"/>
      <c r="CN7" s="168"/>
      <c r="CO7" s="168"/>
      <c r="CP7" s="168"/>
    </row>
    <row r="8" spans="2:97" s="166" customFormat="1" ht="15" customHeight="1">
      <c r="B8" s="208">
        <v>10</v>
      </c>
      <c r="J8" s="167"/>
      <c r="S8" s="167"/>
      <c r="X8" s="167"/>
      <c r="AB8" s="167"/>
      <c r="AD8" s="167"/>
      <c r="CM8" s="168"/>
      <c r="CN8" s="168"/>
      <c r="CO8" s="168"/>
      <c r="CP8" s="168"/>
    </row>
    <row r="9" spans="2:97" s="166" customFormat="1" ht="15" customHeight="1">
      <c r="B9" s="314" t="s">
        <v>491</v>
      </c>
      <c r="C9" s="314"/>
      <c r="D9" s="314"/>
      <c r="E9" s="314"/>
      <c r="F9" s="314"/>
      <c r="G9" s="314"/>
      <c r="H9" s="314"/>
      <c r="I9" s="314"/>
      <c r="J9" s="314"/>
      <c r="K9" s="314"/>
      <c r="L9" s="314"/>
      <c r="M9" s="314"/>
      <c r="N9" s="314"/>
      <c r="P9" s="303" t="s">
        <v>492</v>
      </c>
      <c r="Q9" s="304"/>
      <c r="R9" s="304"/>
      <c r="S9" s="304"/>
      <c r="T9" s="304"/>
      <c r="U9" s="304"/>
      <c r="V9" s="304"/>
      <c r="W9" s="304"/>
      <c r="X9" s="304"/>
      <c r="Y9" s="304"/>
      <c r="Z9" s="304"/>
      <c r="AA9" s="304"/>
      <c r="AB9" s="304"/>
      <c r="AC9" s="304"/>
      <c r="AD9" s="304"/>
      <c r="AE9" s="305"/>
      <c r="CM9" s="168"/>
      <c r="CN9" s="168"/>
      <c r="CO9" s="168"/>
      <c r="CP9" s="168"/>
    </row>
    <row r="10" spans="2:97" s="166" customFormat="1" ht="15" customHeight="1">
      <c r="B10" s="180"/>
      <c r="C10" s="180"/>
      <c r="D10" s="180"/>
      <c r="E10" s="180"/>
      <c r="F10" s="180"/>
      <c r="G10" s="180"/>
      <c r="H10" s="180"/>
      <c r="I10" s="180"/>
      <c r="J10" s="181"/>
      <c r="K10" s="180"/>
      <c r="L10" s="180"/>
      <c r="M10" s="180"/>
      <c r="N10" s="180"/>
      <c r="O10" s="180"/>
      <c r="P10" s="180"/>
      <c r="Q10" s="180"/>
      <c r="R10" s="180"/>
      <c r="S10" s="180"/>
      <c r="T10" s="180"/>
      <c r="U10" s="180"/>
      <c r="V10" s="180"/>
      <c r="W10" s="180"/>
      <c r="X10" s="180"/>
      <c r="Y10" s="180"/>
      <c r="Z10" s="180"/>
      <c r="AA10" s="180"/>
      <c r="AB10" s="180"/>
      <c r="AC10" s="180"/>
      <c r="AD10" s="180"/>
      <c r="AE10" s="180"/>
      <c r="AF10" s="180"/>
      <c r="AG10" s="180"/>
      <c r="CM10" s="168"/>
      <c r="CN10" s="168"/>
      <c r="CO10" s="168"/>
      <c r="CP10" s="168"/>
    </row>
    <row r="11" spans="2:97" s="166" customFormat="1" ht="15" customHeight="1">
      <c r="B11" s="300" t="str">
        <f>Tournament!B10</f>
        <v>Group Stages</v>
      </c>
      <c r="C11" s="301"/>
      <c r="D11" s="301"/>
      <c r="E11" s="301"/>
      <c r="F11" s="301"/>
      <c r="G11" s="301"/>
      <c r="H11" s="301"/>
      <c r="I11" s="301"/>
      <c r="J11" s="301"/>
      <c r="K11" s="301"/>
      <c r="L11" s="301"/>
      <c r="M11" s="301"/>
      <c r="N11" s="302"/>
      <c r="P11" s="303" t="str">
        <f>B11</f>
        <v>Group Stages</v>
      </c>
      <c r="Q11" s="304"/>
      <c r="R11" s="304"/>
      <c r="S11" s="304"/>
      <c r="T11" s="304"/>
      <c r="U11" s="304"/>
      <c r="V11" s="304"/>
      <c r="W11" s="304"/>
      <c r="X11" s="304"/>
      <c r="Y11" s="304"/>
      <c r="Z11" s="304"/>
      <c r="AA11" s="304"/>
      <c r="AB11" s="304"/>
      <c r="AC11" s="304"/>
      <c r="AD11" s="304"/>
      <c r="AE11" s="305"/>
      <c r="CM11" s="168"/>
      <c r="CN11" s="168"/>
      <c r="CO11" s="168"/>
      <c r="CP11" s="168"/>
    </row>
    <row r="12" spans="2:97" s="166" customFormat="1" ht="15" customHeight="1">
      <c r="B12" s="182"/>
      <c r="C12" s="180"/>
      <c r="D12" s="180"/>
      <c r="E12" s="180"/>
      <c r="F12" s="180"/>
      <c r="G12" s="180"/>
      <c r="H12" s="180"/>
      <c r="I12" s="180"/>
      <c r="J12" s="181"/>
      <c r="K12" s="180"/>
      <c r="L12" s="180"/>
      <c r="M12" s="180"/>
      <c r="N12" s="183"/>
      <c r="P12" s="182"/>
      <c r="Q12" s="180"/>
      <c r="R12" s="180"/>
      <c r="S12" s="180"/>
      <c r="T12" s="180"/>
      <c r="U12" s="180"/>
      <c r="V12" s="180"/>
      <c r="W12" s="180"/>
      <c r="X12" s="180"/>
      <c r="Y12" s="180"/>
      <c r="Z12" s="180"/>
      <c r="AA12" s="180"/>
      <c r="AB12" s="180"/>
      <c r="AC12" s="180"/>
      <c r="AD12" s="180"/>
      <c r="AE12" s="183"/>
      <c r="CM12" s="168"/>
      <c r="CN12" s="168"/>
      <c r="CO12" s="168"/>
      <c r="CP12" s="168"/>
    </row>
    <row r="13" spans="2:97" s="166" customFormat="1" ht="15" customHeight="1">
      <c r="B13" s="182"/>
      <c r="C13" s="184" t="str">
        <f>Tournament!D14</f>
        <v>Match #</v>
      </c>
      <c r="D13" s="184" t="str">
        <f>Tournament!E14</f>
        <v>Group</v>
      </c>
      <c r="E13" s="184" t="str">
        <f>Tournament!F14</f>
        <v>Date</v>
      </c>
      <c r="F13" s="184" t="str">
        <f>Tournament!G14</f>
        <v>Time</v>
      </c>
      <c r="G13" s="184" t="str">
        <f>Tournament!H14</f>
        <v>Country</v>
      </c>
      <c r="H13" s="184"/>
      <c r="I13" s="306" t="str">
        <f>Tournament!J14</f>
        <v>Score</v>
      </c>
      <c r="J13" s="306"/>
      <c r="K13" s="306"/>
      <c r="L13" s="184"/>
      <c r="M13" s="184" t="str">
        <f>Tournament!N14</f>
        <v>Country</v>
      </c>
      <c r="N13" s="183"/>
      <c r="P13" s="185" t="str">
        <f>G13</f>
        <v>Country</v>
      </c>
      <c r="Q13" s="184"/>
      <c r="R13" s="306" t="str">
        <f>I13</f>
        <v>Score</v>
      </c>
      <c r="S13" s="306"/>
      <c r="T13" s="306"/>
      <c r="U13" s="184"/>
      <c r="V13" s="184" t="str">
        <f>M13</f>
        <v>Country</v>
      </c>
      <c r="W13" s="306"/>
      <c r="X13" s="306"/>
      <c r="Y13" s="306"/>
      <c r="Z13" s="184"/>
      <c r="AA13" s="306"/>
      <c r="AB13" s="306"/>
      <c r="AC13" s="306"/>
      <c r="AD13" s="184" t="s">
        <v>3277</v>
      </c>
      <c r="AE13" s="183"/>
      <c r="CP13" s="168"/>
      <c r="CQ13" s="186"/>
      <c r="CR13" s="187"/>
      <c r="CS13" s="168"/>
    </row>
    <row r="14" spans="2:97" s="166" customFormat="1" ht="15" customHeight="1">
      <c r="B14" s="182"/>
      <c r="C14" s="180"/>
      <c r="D14" s="180"/>
      <c r="E14" s="180"/>
      <c r="F14" s="180"/>
      <c r="G14" s="180"/>
      <c r="H14" s="180"/>
      <c r="I14" s="180"/>
      <c r="J14" s="180"/>
      <c r="K14" s="180"/>
      <c r="L14" s="180"/>
      <c r="M14" s="180"/>
      <c r="N14" s="183"/>
      <c r="P14" s="182"/>
      <c r="Q14" s="180"/>
      <c r="R14" s="180"/>
      <c r="S14" s="180"/>
      <c r="T14" s="180"/>
      <c r="U14" s="180"/>
      <c r="V14" s="180"/>
      <c r="W14" s="180"/>
      <c r="X14" s="180"/>
      <c r="Y14" s="180"/>
      <c r="Z14" s="180"/>
      <c r="AA14" s="180"/>
      <c r="AB14" s="180"/>
      <c r="AC14" s="180"/>
      <c r="AD14" s="181"/>
      <c r="AE14" s="183"/>
      <c r="CP14" s="168"/>
      <c r="CQ14" s="186"/>
      <c r="CR14" s="187"/>
      <c r="CS14" s="168"/>
    </row>
    <row r="15" spans="2:97" s="166" customFormat="1" ht="15" customHeight="1">
      <c r="B15" s="182"/>
      <c r="C15" s="181">
        <f>Tournament!D16</f>
        <v>1</v>
      </c>
      <c r="D15" s="181" t="str">
        <f>Tournament!E16</f>
        <v>A</v>
      </c>
      <c r="E15" s="188">
        <f>Tournament!F16</f>
        <v>41802.708333333336</v>
      </c>
      <c r="F15" s="189">
        <f>Tournament!G16</f>
        <v>41802.708333333336</v>
      </c>
      <c r="G15" s="190" t="str">
        <f>Tournament!H16</f>
        <v>Brazil</v>
      </c>
      <c r="H15" s="180"/>
      <c r="I15" s="9"/>
      <c r="J15" s="191" t="s">
        <v>3088</v>
      </c>
      <c r="K15" s="9"/>
      <c r="L15" s="180"/>
      <c r="M15" s="180" t="str">
        <f>Tournament!N16</f>
        <v>Croatia</v>
      </c>
      <c r="N15" s="183"/>
      <c r="O15" s="180"/>
      <c r="P15" s="192" t="str">
        <f>G15</f>
        <v>Brazil</v>
      </c>
      <c r="Q15" s="193"/>
      <c r="R15" s="194">
        <f>IF(Tournament!J16&lt;&gt;"",Tournament!J16,"")</f>
        <v>3</v>
      </c>
      <c r="S15" s="194" t="s">
        <v>3088</v>
      </c>
      <c r="T15" s="194">
        <f>IF(Tournament!L16&lt;&gt;"",Tournament!L16,"")</f>
        <v>1</v>
      </c>
      <c r="U15" s="193"/>
      <c r="V15" s="193" t="str">
        <f>M15</f>
        <v>Croatia</v>
      </c>
      <c r="W15" s="194"/>
      <c r="X15" s="194"/>
      <c r="Y15" s="194"/>
      <c r="Z15" s="194"/>
      <c r="AA15" s="194"/>
      <c r="AB15" s="194"/>
      <c r="AC15" s="194"/>
      <c r="AD15" s="195" t="str">
        <f>IF(AND(I15&lt;&gt;"",K15&lt;&gt;"",R15&lt;&gt;"",T15&lt;&gt;""),IF(AND(I15=R15,K15=T15),Setup!$D$10,IF((I15-K15)=(R15-T15),Setup!$D$11,IF(AND((I15&gt;K15),(R15&gt;T15)),Setup!$D$12,IF(AND((K15&gt;I15),(T15&gt;R15)),Setup!$D$12,0)))),"")</f>
        <v/>
      </c>
      <c r="AE15" s="183"/>
      <c r="CP15" s="168"/>
      <c r="CQ15" s="186"/>
      <c r="CR15" s="187"/>
      <c r="CS15" s="168"/>
    </row>
    <row r="16" spans="2:97" s="166" customFormat="1" ht="15" customHeight="1">
      <c r="B16" s="182"/>
      <c r="C16" s="181">
        <f>Tournament!D17</f>
        <v>2</v>
      </c>
      <c r="D16" s="181" t="str">
        <f>Tournament!E17</f>
        <v>A</v>
      </c>
      <c r="E16" s="188">
        <f>Tournament!F17</f>
        <v>41803.541666666664</v>
      </c>
      <c r="F16" s="189">
        <f>Tournament!G17</f>
        <v>41803.541666666664</v>
      </c>
      <c r="G16" s="190" t="str">
        <f>Tournament!H17</f>
        <v>Mexico</v>
      </c>
      <c r="H16" s="180"/>
      <c r="I16" s="9"/>
      <c r="J16" s="191" t="s">
        <v>3088</v>
      </c>
      <c r="K16" s="9"/>
      <c r="L16" s="180"/>
      <c r="M16" s="180" t="str">
        <f>Tournament!N17</f>
        <v>Cameroon</v>
      </c>
      <c r="N16" s="183"/>
      <c r="P16" s="192" t="str">
        <f t="shared" ref="P16:P62" si="0">G16</f>
        <v>Mexico</v>
      </c>
      <c r="Q16" s="193"/>
      <c r="R16" s="194">
        <f>IF(Tournament!J17&lt;&gt;"",Tournament!J17,"")</f>
        <v>1</v>
      </c>
      <c r="S16" s="194" t="s">
        <v>3088</v>
      </c>
      <c r="T16" s="194">
        <f>IF(Tournament!L17&lt;&gt;"",Tournament!L17,"")</f>
        <v>0</v>
      </c>
      <c r="U16" s="193"/>
      <c r="V16" s="193" t="str">
        <f t="shared" ref="V16:V62" si="1">M16</f>
        <v>Cameroon</v>
      </c>
      <c r="W16" s="194"/>
      <c r="X16" s="194"/>
      <c r="Y16" s="194"/>
      <c r="Z16" s="194"/>
      <c r="AA16" s="194"/>
      <c r="AB16" s="194"/>
      <c r="AC16" s="194"/>
      <c r="AD16" s="195" t="str">
        <f>IF(AND(I16&lt;&gt;"",K16&lt;&gt;"",R16&lt;&gt;"",T16&lt;&gt;""),IF(AND(I16=R16,K16=T16),Setup!$D$10,IF((I16-K16)=(R16-T16),Setup!$D$11,IF(AND((I16&gt;K16),(R16&gt;T16)),Setup!$D$12,IF(AND((K16&gt;I16),(T16&gt;R16)),Setup!$D$12,0)))),"")</f>
        <v/>
      </c>
      <c r="AE16" s="183"/>
      <c r="AI16" s="179" t="s">
        <v>3904</v>
      </c>
      <c r="CP16" s="168"/>
      <c r="CQ16" s="186"/>
      <c r="CR16" s="187"/>
      <c r="CS16" s="168"/>
    </row>
    <row r="17" spans="2:97" s="166" customFormat="1" ht="15" customHeight="1">
      <c r="B17" s="182"/>
      <c r="C17" s="181">
        <f>Tournament!D18</f>
        <v>3</v>
      </c>
      <c r="D17" s="181" t="str">
        <f>Tournament!E18</f>
        <v>B</v>
      </c>
      <c r="E17" s="188">
        <f>Tournament!F18</f>
        <v>41803.666666666664</v>
      </c>
      <c r="F17" s="189">
        <f>Tournament!G18</f>
        <v>41803.666666666664</v>
      </c>
      <c r="G17" s="190" t="str">
        <f>Tournament!H18</f>
        <v>Spain</v>
      </c>
      <c r="H17" s="180"/>
      <c r="I17" s="9"/>
      <c r="J17" s="191" t="s">
        <v>3088</v>
      </c>
      <c r="K17" s="9"/>
      <c r="L17" s="180"/>
      <c r="M17" s="180" t="str">
        <f>Tournament!N18</f>
        <v>Netherlands</v>
      </c>
      <c r="N17" s="183"/>
      <c r="P17" s="192" t="str">
        <f t="shared" si="0"/>
        <v>Spain</v>
      </c>
      <c r="Q17" s="193"/>
      <c r="R17" s="194">
        <f>IF(Tournament!J18&lt;&gt;"",Tournament!J18,"")</f>
        <v>1</v>
      </c>
      <c r="S17" s="194" t="s">
        <v>3088</v>
      </c>
      <c r="T17" s="194">
        <f>IF(Tournament!L18&lt;&gt;"",Tournament!L18,"")</f>
        <v>5</v>
      </c>
      <c r="U17" s="193"/>
      <c r="V17" s="193" t="str">
        <f t="shared" si="1"/>
        <v>Netherlands</v>
      </c>
      <c r="W17" s="194"/>
      <c r="X17" s="194"/>
      <c r="Y17" s="194"/>
      <c r="Z17" s="194"/>
      <c r="AA17" s="194"/>
      <c r="AB17" s="194"/>
      <c r="AC17" s="194"/>
      <c r="AD17" s="195" t="str">
        <f>IF(AND(I17&lt;&gt;"",K17&lt;&gt;"",R17&lt;&gt;"",T17&lt;&gt;""),IF(AND(I17=R17,K17=T17),Setup!$D$10,IF((I17-K17)=(R17-T17),Setup!$D$11,IF(AND((I17&gt;K17),(R17&gt;T17)),Setup!$D$12,IF(AND((K17&gt;I17),(T17&gt;R17)),Setup!$D$12,0)))),"")</f>
        <v/>
      </c>
      <c r="AE17" s="183"/>
      <c r="CP17" s="168"/>
      <c r="CQ17" s="186"/>
      <c r="CR17" s="187"/>
      <c r="CS17" s="168"/>
    </row>
    <row r="18" spans="2:97" s="166" customFormat="1" ht="15" customHeight="1">
      <c r="B18" s="182"/>
      <c r="C18" s="181">
        <f>Tournament!D19</f>
        <v>4</v>
      </c>
      <c r="D18" s="181" t="str">
        <f>Tournament!E19</f>
        <v>B</v>
      </c>
      <c r="E18" s="188">
        <f>Tournament!F19</f>
        <v>41803.791666666664</v>
      </c>
      <c r="F18" s="189">
        <f>Tournament!G19</f>
        <v>41803.791666666664</v>
      </c>
      <c r="G18" s="190" t="str">
        <f>Tournament!H19</f>
        <v>Chile</v>
      </c>
      <c r="H18" s="180"/>
      <c r="I18" s="9"/>
      <c r="J18" s="191" t="s">
        <v>3088</v>
      </c>
      <c r="K18" s="9"/>
      <c r="L18" s="180"/>
      <c r="M18" s="180" t="str">
        <f>Tournament!N19</f>
        <v>Australia</v>
      </c>
      <c r="N18" s="183"/>
      <c r="P18" s="192" t="str">
        <f t="shared" si="0"/>
        <v>Chile</v>
      </c>
      <c r="Q18" s="193"/>
      <c r="R18" s="194">
        <f>IF(Tournament!J19&lt;&gt;"",Tournament!J19,"")</f>
        <v>3</v>
      </c>
      <c r="S18" s="194" t="s">
        <v>3088</v>
      </c>
      <c r="T18" s="194">
        <f>IF(Tournament!L19&lt;&gt;"",Tournament!L19,"")</f>
        <v>1</v>
      </c>
      <c r="U18" s="193"/>
      <c r="V18" s="193" t="str">
        <f t="shared" si="1"/>
        <v>Australia</v>
      </c>
      <c r="W18" s="194"/>
      <c r="X18" s="194"/>
      <c r="Y18" s="194"/>
      <c r="Z18" s="194"/>
      <c r="AA18" s="194"/>
      <c r="AB18" s="194"/>
      <c r="AC18" s="194"/>
      <c r="AD18" s="195" t="str">
        <f>IF(AND(I18&lt;&gt;"",K18&lt;&gt;"",R18&lt;&gt;"",T18&lt;&gt;""),IF(AND(I18=R18,K18=T18),Setup!$D$10,IF((I18-K18)=(R18-T18),Setup!$D$11,IF(AND((I18&gt;K18),(R18&gt;T18)),Setup!$D$12,IF(AND((K18&gt;I18),(T18&gt;R18)),Setup!$D$12,0)))),"")</f>
        <v/>
      </c>
      <c r="AE18" s="183"/>
      <c r="CP18" s="168"/>
      <c r="CQ18" s="186"/>
      <c r="CR18" s="187"/>
      <c r="CS18" s="168"/>
    </row>
    <row r="19" spans="2:97" s="166" customFormat="1" ht="15" customHeight="1">
      <c r="B19" s="182"/>
      <c r="C19" s="181">
        <f>Tournament!D20</f>
        <v>5</v>
      </c>
      <c r="D19" s="181" t="str">
        <f>Tournament!E20</f>
        <v>C</v>
      </c>
      <c r="E19" s="188">
        <f>Tournament!F20</f>
        <v>41804.541666666664</v>
      </c>
      <c r="F19" s="189">
        <f>Tournament!G20</f>
        <v>41804.541666666664</v>
      </c>
      <c r="G19" s="190" t="str">
        <f>Tournament!H20</f>
        <v>Colombia</v>
      </c>
      <c r="H19" s="180"/>
      <c r="I19" s="9"/>
      <c r="J19" s="191" t="s">
        <v>3088</v>
      </c>
      <c r="K19" s="9"/>
      <c r="L19" s="180"/>
      <c r="M19" s="180" t="str">
        <f>Tournament!N20</f>
        <v>Greece</v>
      </c>
      <c r="N19" s="183"/>
      <c r="P19" s="192" t="str">
        <f t="shared" si="0"/>
        <v>Colombia</v>
      </c>
      <c r="Q19" s="193"/>
      <c r="R19" s="194" t="str">
        <f>IF(Tournament!J20&lt;&gt;"",Tournament!J20,"")</f>
        <v/>
      </c>
      <c r="S19" s="194" t="s">
        <v>3088</v>
      </c>
      <c r="T19" s="194" t="str">
        <f>IF(Tournament!L20&lt;&gt;"",Tournament!L20,"")</f>
        <v/>
      </c>
      <c r="U19" s="193"/>
      <c r="V19" s="193" t="str">
        <f t="shared" si="1"/>
        <v>Greece</v>
      </c>
      <c r="W19" s="194"/>
      <c r="X19" s="194"/>
      <c r="Y19" s="194"/>
      <c r="Z19" s="194"/>
      <c r="AA19" s="194"/>
      <c r="AB19" s="194"/>
      <c r="AC19" s="194"/>
      <c r="AD19" s="195" t="str">
        <f>IF(AND(I19&lt;&gt;"",K19&lt;&gt;"",R19&lt;&gt;"",T19&lt;&gt;""),IF(AND(I19=R19,K19=T19),Setup!$D$10,IF((I19-K19)=(R19-T19),Setup!$D$11,IF(AND((I19&gt;K19),(R19&gt;T19)),Setup!$D$12,IF(AND((K19&gt;I19),(T19&gt;R19)),Setup!$D$12,0)))),"")</f>
        <v/>
      </c>
      <c r="AE19" s="183"/>
      <c r="CP19" s="168"/>
      <c r="CQ19" s="186"/>
      <c r="CR19" s="187"/>
      <c r="CS19" s="168"/>
    </row>
    <row r="20" spans="2:97" s="166" customFormat="1" ht="15" customHeight="1">
      <c r="B20" s="182"/>
      <c r="C20" s="181">
        <f>Tournament!D21</f>
        <v>6</v>
      </c>
      <c r="D20" s="181" t="str">
        <f>Tournament!E21</f>
        <v>C</v>
      </c>
      <c r="E20" s="188">
        <f>Tournament!F21</f>
        <v>41804.916666666664</v>
      </c>
      <c r="F20" s="189">
        <f>Tournament!G21</f>
        <v>41804.916666666664</v>
      </c>
      <c r="G20" s="190" t="str">
        <f>Tournament!H21</f>
        <v>Ivory Coast</v>
      </c>
      <c r="H20" s="180"/>
      <c r="I20" s="9"/>
      <c r="J20" s="191" t="s">
        <v>3088</v>
      </c>
      <c r="K20" s="9"/>
      <c r="L20" s="180"/>
      <c r="M20" s="180" t="str">
        <f>Tournament!N21</f>
        <v>Japan</v>
      </c>
      <c r="N20" s="183"/>
      <c r="P20" s="192" t="str">
        <f t="shared" si="0"/>
        <v>Ivory Coast</v>
      </c>
      <c r="Q20" s="193"/>
      <c r="R20" s="194" t="str">
        <f>IF(Tournament!J21&lt;&gt;"",Tournament!J21,"")</f>
        <v/>
      </c>
      <c r="S20" s="194" t="s">
        <v>3088</v>
      </c>
      <c r="T20" s="194" t="str">
        <f>IF(Tournament!L21&lt;&gt;"",Tournament!L21,"")</f>
        <v/>
      </c>
      <c r="U20" s="193"/>
      <c r="V20" s="193" t="str">
        <f t="shared" si="1"/>
        <v>Japan</v>
      </c>
      <c r="W20" s="194"/>
      <c r="X20" s="194"/>
      <c r="Y20" s="194"/>
      <c r="Z20" s="194"/>
      <c r="AA20" s="194"/>
      <c r="AB20" s="194"/>
      <c r="AC20" s="194"/>
      <c r="AD20" s="195" t="str">
        <f>IF(AND(I20&lt;&gt;"",K20&lt;&gt;"",R20&lt;&gt;"",T20&lt;&gt;""),IF(AND(I20=R20,K20=T20),Setup!$D$10,IF((I20-K20)=(R20-T20),Setup!$D$11,IF(AND((I20&gt;K20),(R20&gt;T20)),Setup!$D$12,IF(AND((K20&gt;I20),(T20&gt;R20)),Setup!$D$12,0)))),"")</f>
        <v/>
      </c>
      <c r="AE20" s="183"/>
      <c r="CP20" s="168"/>
      <c r="CQ20" s="186"/>
      <c r="CR20" s="187"/>
      <c r="CS20" s="168"/>
    </row>
    <row r="21" spans="2:97" s="166" customFormat="1" ht="15" customHeight="1">
      <c r="B21" s="182"/>
      <c r="C21" s="181">
        <f>Tournament!D22</f>
        <v>7</v>
      </c>
      <c r="D21" s="181" t="str">
        <f>Tournament!E22</f>
        <v>D</v>
      </c>
      <c r="E21" s="188">
        <f>Tournament!F22</f>
        <v>41804.666666666664</v>
      </c>
      <c r="F21" s="189">
        <f>Tournament!G22</f>
        <v>41804.666666666664</v>
      </c>
      <c r="G21" s="190" t="str">
        <f>Tournament!H22</f>
        <v>Uruguay</v>
      </c>
      <c r="H21" s="180"/>
      <c r="I21" s="9"/>
      <c r="J21" s="191" t="s">
        <v>3088</v>
      </c>
      <c r="K21" s="9"/>
      <c r="L21" s="180"/>
      <c r="M21" s="180" t="str">
        <f>Tournament!N22</f>
        <v>Costa Rica</v>
      </c>
      <c r="N21" s="183"/>
      <c r="P21" s="192" t="str">
        <f t="shared" si="0"/>
        <v>Uruguay</v>
      </c>
      <c r="Q21" s="193"/>
      <c r="R21" s="194" t="str">
        <f>IF(Tournament!J22&lt;&gt;"",Tournament!J22,"")</f>
        <v/>
      </c>
      <c r="S21" s="194" t="s">
        <v>3088</v>
      </c>
      <c r="T21" s="194" t="str">
        <f>IF(Tournament!L22&lt;&gt;"",Tournament!L22,"")</f>
        <v/>
      </c>
      <c r="U21" s="193"/>
      <c r="V21" s="193" t="str">
        <f t="shared" si="1"/>
        <v>Costa Rica</v>
      </c>
      <c r="W21" s="194"/>
      <c r="X21" s="194"/>
      <c r="Y21" s="194"/>
      <c r="Z21" s="194"/>
      <c r="AA21" s="194"/>
      <c r="AB21" s="194"/>
      <c r="AC21" s="194"/>
      <c r="AD21" s="195" t="str">
        <f>IF(AND(I21&lt;&gt;"",K21&lt;&gt;"",R21&lt;&gt;"",T21&lt;&gt;""),IF(AND(I21=R21,K21=T21),Setup!$D$10,IF((I21-K21)=(R21-T21),Setup!$D$11,IF(AND((I21&gt;K21),(R21&gt;T21)),Setup!$D$12,IF(AND((K21&gt;I21),(T21&gt;R21)),Setup!$D$12,0)))),"")</f>
        <v/>
      </c>
      <c r="AE21" s="183"/>
      <c r="CP21" s="168"/>
      <c r="CQ21" s="196"/>
      <c r="CR21" s="187"/>
      <c r="CS21" s="168"/>
    </row>
    <row r="22" spans="2:97" s="166" customFormat="1" ht="15" customHeight="1">
      <c r="B22" s="182"/>
      <c r="C22" s="181">
        <f>Tournament!D23</f>
        <v>8</v>
      </c>
      <c r="D22" s="181" t="str">
        <f>Tournament!E23</f>
        <v>D</v>
      </c>
      <c r="E22" s="188">
        <f>Tournament!F23</f>
        <v>41804.791666666664</v>
      </c>
      <c r="F22" s="189">
        <f>Tournament!G23</f>
        <v>41804.791666666664</v>
      </c>
      <c r="G22" s="190" t="str">
        <f>Tournament!H23</f>
        <v>England</v>
      </c>
      <c r="H22" s="180"/>
      <c r="I22" s="9"/>
      <c r="J22" s="191" t="s">
        <v>3088</v>
      </c>
      <c r="K22" s="9"/>
      <c r="L22" s="180"/>
      <c r="M22" s="180" t="str">
        <f>Tournament!N23</f>
        <v>Italy</v>
      </c>
      <c r="N22" s="183"/>
      <c r="P22" s="192" t="str">
        <f t="shared" si="0"/>
        <v>England</v>
      </c>
      <c r="Q22" s="193"/>
      <c r="R22" s="194" t="str">
        <f>IF(Tournament!J23&lt;&gt;"",Tournament!J23,"")</f>
        <v/>
      </c>
      <c r="S22" s="194" t="s">
        <v>3088</v>
      </c>
      <c r="T22" s="194" t="str">
        <f>IF(Tournament!L23&lt;&gt;"",Tournament!L23,"")</f>
        <v/>
      </c>
      <c r="U22" s="193"/>
      <c r="V22" s="193" t="str">
        <f t="shared" si="1"/>
        <v>Italy</v>
      </c>
      <c r="W22" s="194"/>
      <c r="X22" s="194"/>
      <c r="Y22" s="194"/>
      <c r="Z22" s="194"/>
      <c r="AA22" s="194"/>
      <c r="AB22" s="194"/>
      <c r="AC22" s="194"/>
      <c r="AD22" s="195" t="str">
        <f>IF(AND(I22&lt;&gt;"",K22&lt;&gt;"",R22&lt;&gt;"",T22&lt;&gt;""),IF(AND(I22=R22,K22=T22),Setup!$D$10,IF((I22-K22)=(R22-T22),Setup!$D$11,IF(AND((I22&gt;K22),(R22&gt;T22)),Setup!$D$12,IF(AND((K22&gt;I22),(T22&gt;R22)),Setup!$D$12,0)))),"")</f>
        <v/>
      </c>
      <c r="AE22" s="183"/>
      <c r="CP22" s="168"/>
      <c r="CQ22" s="186"/>
      <c r="CR22" s="187"/>
      <c r="CS22" s="168"/>
    </row>
    <row r="23" spans="2:97" s="166" customFormat="1" ht="15" customHeight="1">
      <c r="B23" s="182"/>
      <c r="C23" s="181">
        <f>Tournament!D24</f>
        <v>9</v>
      </c>
      <c r="D23" s="181" t="str">
        <f>Tournament!E24</f>
        <v>E</v>
      </c>
      <c r="E23" s="188">
        <f>Tournament!F24</f>
        <v>41805.541666666664</v>
      </c>
      <c r="F23" s="189">
        <f>Tournament!G24</f>
        <v>41805.541666666664</v>
      </c>
      <c r="G23" s="190" t="str">
        <f>Tournament!H24</f>
        <v>Switzerland</v>
      </c>
      <c r="H23" s="180"/>
      <c r="I23" s="9"/>
      <c r="J23" s="191" t="s">
        <v>3088</v>
      </c>
      <c r="K23" s="9"/>
      <c r="L23" s="180"/>
      <c r="M23" s="180" t="str">
        <f>Tournament!N24</f>
        <v>Ecuador</v>
      </c>
      <c r="N23" s="183"/>
      <c r="P23" s="192" t="str">
        <f t="shared" si="0"/>
        <v>Switzerland</v>
      </c>
      <c r="Q23" s="193"/>
      <c r="R23" s="194" t="str">
        <f>IF(Tournament!J24&lt;&gt;"",Tournament!J24,"")</f>
        <v/>
      </c>
      <c r="S23" s="194" t="s">
        <v>3088</v>
      </c>
      <c r="T23" s="194" t="str">
        <f>IF(Tournament!L24&lt;&gt;"",Tournament!L24,"")</f>
        <v/>
      </c>
      <c r="U23" s="193"/>
      <c r="V23" s="193" t="str">
        <f t="shared" si="1"/>
        <v>Ecuador</v>
      </c>
      <c r="W23" s="194"/>
      <c r="X23" s="194"/>
      <c r="Y23" s="194"/>
      <c r="Z23" s="194"/>
      <c r="AA23" s="194"/>
      <c r="AB23" s="194"/>
      <c r="AC23" s="194"/>
      <c r="AD23" s="195" t="str">
        <f>IF(AND(I23&lt;&gt;"",K23&lt;&gt;"",R23&lt;&gt;"",T23&lt;&gt;""),IF(AND(I23=R23,K23=T23),Setup!$D$10,IF((I23-K23)=(R23-T23),Setup!$D$11,IF(AND((I23&gt;K23),(R23&gt;T23)),Setup!$D$12,IF(AND((K23&gt;I23),(T23&gt;R23)),Setup!$D$12,0)))),"")</f>
        <v/>
      </c>
      <c r="AE23" s="183"/>
      <c r="CP23" s="168"/>
      <c r="CQ23" s="186"/>
      <c r="CR23" s="187"/>
      <c r="CS23" s="168"/>
    </row>
    <row r="24" spans="2:97" s="166" customFormat="1" ht="15" customHeight="1">
      <c r="B24" s="182"/>
      <c r="C24" s="181">
        <f>Tournament!D25</f>
        <v>10</v>
      </c>
      <c r="D24" s="181" t="str">
        <f>Tournament!E25</f>
        <v>E</v>
      </c>
      <c r="E24" s="188">
        <f>Tournament!F25</f>
        <v>41805.666666666664</v>
      </c>
      <c r="F24" s="189">
        <f>Tournament!G25</f>
        <v>41805.666666666664</v>
      </c>
      <c r="G24" s="190" t="str">
        <f>Tournament!H25</f>
        <v>France</v>
      </c>
      <c r="H24" s="180"/>
      <c r="I24" s="9"/>
      <c r="J24" s="191" t="s">
        <v>3088</v>
      </c>
      <c r="K24" s="9"/>
      <c r="L24" s="180"/>
      <c r="M24" s="180" t="str">
        <f>Tournament!N25</f>
        <v>Honduras</v>
      </c>
      <c r="N24" s="183"/>
      <c r="P24" s="192" t="str">
        <f t="shared" si="0"/>
        <v>France</v>
      </c>
      <c r="Q24" s="193"/>
      <c r="R24" s="194" t="str">
        <f>IF(Tournament!J25&lt;&gt;"",Tournament!J25,"")</f>
        <v/>
      </c>
      <c r="S24" s="194" t="s">
        <v>3088</v>
      </c>
      <c r="T24" s="194" t="str">
        <f>IF(Tournament!L25&lt;&gt;"",Tournament!L25,"")</f>
        <v/>
      </c>
      <c r="U24" s="193"/>
      <c r="V24" s="193" t="str">
        <f t="shared" si="1"/>
        <v>Honduras</v>
      </c>
      <c r="W24" s="194"/>
      <c r="X24" s="194"/>
      <c r="Y24" s="194"/>
      <c r="Z24" s="194"/>
      <c r="AA24" s="194"/>
      <c r="AB24" s="194"/>
      <c r="AC24" s="194"/>
      <c r="AD24" s="195" t="str">
        <f>IF(AND(I24&lt;&gt;"",K24&lt;&gt;"",R24&lt;&gt;"",T24&lt;&gt;""),IF(AND(I24=R24,K24=T24),Setup!$D$10,IF((I24-K24)=(R24-T24),Setup!$D$11,IF(AND((I24&gt;K24),(R24&gt;T24)),Setup!$D$12,IF(AND((K24&gt;I24),(T24&gt;R24)),Setup!$D$12,0)))),"")</f>
        <v/>
      </c>
      <c r="AE24" s="183"/>
      <c r="CP24" s="168"/>
      <c r="CQ24" s="186"/>
      <c r="CR24" s="187"/>
      <c r="CS24" s="168"/>
    </row>
    <row r="25" spans="2:97" s="166" customFormat="1" ht="15" customHeight="1">
      <c r="B25" s="182"/>
      <c r="C25" s="181">
        <f>Tournament!D26</f>
        <v>11</v>
      </c>
      <c r="D25" s="181" t="str">
        <f>Tournament!E26</f>
        <v>F</v>
      </c>
      <c r="E25" s="188">
        <f>Tournament!F26</f>
        <v>41805.791666666664</v>
      </c>
      <c r="F25" s="189">
        <f>Tournament!G26</f>
        <v>41805.791666666664</v>
      </c>
      <c r="G25" s="190" t="str">
        <f>Tournament!H26</f>
        <v>Argentina</v>
      </c>
      <c r="H25" s="180"/>
      <c r="I25" s="9"/>
      <c r="J25" s="191" t="s">
        <v>3088</v>
      </c>
      <c r="K25" s="9"/>
      <c r="L25" s="180"/>
      <c r="M25" s="180" t="str">
        <f>Tournament!N26</f>
        <v>Bosnia-Herzegovina</v>
      </c>
      <c r="N25" s="183"/>
      <c r="P25" s="192" t="str">
        <f t="shared" si="0"/>
        <v>Argentina</v>
      </c>
      <c r="Q25" s="193"/>
      <c r="R25" s="194" t="str">
        <f>IF(Tournament!J26&lt;&gt;"",Tournament!J26,"")</f>
        <v/>
      </c>
      <c r="S25" s="194" t="s">
        <v>3088</v>
      </c>
      <c r="T25" s="194" t="str">
        <f>IF(Tournament!L26&lt;&gt;"",Tournament!L26,"")</f>
        <v/>
      </c>
      <c r="U25" s="193"/>
      <c r="V25" s="193" t="str">
        <f t="shared" si="1"/>
        <v>Bosnia-Herzegovina</v>
      </c>
      <c r="W25" s="194"/>
      <c r="X25" s="194"/>
      <c r="Y25" s="194"/>
      <c r="Z25" s="194"/>
      <c r="AA25" s="194"/>
      <c r="AB25" s="194"/>
      <c r="AC25" s="194"/>
      <c r="AD25" s="195" t="str">
        <f>IF(AND(I25&lt;&gt;"",K25&lt;&gt;"",R25&lt;&gt;"",T25&lt;&gt;""),IF(AND(I25=R25,K25=T25),Setup!$D$10,IF((I25-K25)=(R25-T25),Setup!$D$11,IF(AND((I25&gt;K25),(R25&gt;T25)),Setup!$D$12,IF(AND((K25&gt;I25),(T25&gt;R25)),Setup!$D$12,0)))),"")</f>
        <v/>
      </c>
      <c r="AE25" s="183"/>
      <c r="CP25" s="168"/>
      <c r="CQ25" s="186"/>
      <c r="CR25" s="187"/>
      <c r="CS25" s="168"/>
    </row>
    <row r="26" spans="2:97" s="166" customFormat="1" ht="15" customHeight="1">
      <c r="B26" s="182"/>
      <c r="C26" s="181">
        <f>Tournament!D27</f>
        <v>12</v>
      </c>
      <c r="D26" s="181" t="str">
        <f>Tournament!E27</f>
        <v>F</v>
      </c>
      <c r="E26" s="188">
        <f>Tournament!F27</f>
        <v>41806.666666666664</v>
      </c>
      <c r="F26" s="189">
        <f>Tournament!G27</f>
        <v>41806.666666666664</v>
      </c>
      <c r="G26" s="190" t="str">
        <f>Tournament!H27</f>
        <v>Iran</v>
      </c>
      <c r="H26" s="180"/>
      <c r="I26" s="9"/>
      <c r="J26" s="191" t="s">
        <v>3088</v>
      </c>
      <c r="K26" s="9"/>
      <c r="L26" s="180"/>
      <c r="M26" s="180" t="str">
        <f>Tournament!N27</f>
        <v>Nigeria</v>
      </c>
      <c r="N26" s="183"/>
      <c r="P26" s="192" t="str">
        <f t="shared" si="0"/>
        <v>Iran</v>
      </c>
      <c r="Q26" s="193"/>
      <c r="R26" s="194" t="str">
        <f>IF(Tournament!J27&lt;&gt;"",Tournament!J27,"")</f>
        <v/>
      </c>
      <c r="S26" s="194" t="s">
        <v>3088</v>
      </c>
      <c r="T26" s="194" t="str">
        <f>IF(Tournament!L27&lt;&gt;"",Tournament!L27,"")</f>
        <v/>
      </c>
      <c r="U26" s="193"/>
      <c r="V26" s="193" t="str">
        <f t="shared" si="1"/>
        <v>Nigeria</v>
      </c>
      <c r="W26" s="194"/>
      <c r="X26" s="194"/>
      <c r="Y26" s="194"/>
      <c r="Z26" s="194"/>
      <c r="AA26" s="194"/>
      <c r="AB26" s="194"/>
      <c r="AC26" s="194"/>
      <c r="AD26" s="195" t="str">
        <f>IF(AND(I26&lt;&gt;"",K26&lt;&gt;"",R26&lt;&gt;"",T26&lt;&gt;""),IF(AND(I26=R26,K26=T26),Setup!$D$10,IF((I26-K26)=(R26-T26),Setup!$D$11,IF(AND((I26&gt;K26),(R26&gt;T26)),Setup!$D$12,IF(AND((K26&gt;I26),(T26&gt;R26)),Setup!$D$12,0)))),"")</f>
        <v/>
      </c>
      <c r="AE26" s="183"/>
      <c r="CP26" s="168"/>
      <c r="CQ26" s="186"/>
      <c r="CR26" s="187"/>
      <c r="CS26" s="168"/>
    </row>
    <row r="27" spans="2:97" s="166" customFormat="1" ht="15" customHeight="1">
      <c r="B27" s="182"/>
      <c r="C27" s="181">
        <f>Tournament!D28</f>
        <v>13</v>
      </c>
      <c r="D27" s="181" t="str">
        <f>Tournament!E28</f>
        <v>G</v>
      </c>
      <c r="E27" s="188">
        <f>Tournament!F28</f>
        <v>41806.541666666664</v>
      </c>
      <c r="F27" s="189">
        <f>Tournament!G28</f>
        <v>41806.541666666664</v>
      </c>
      <c r="G27" s="190" t="str">
        <f>Tournament!H28</f>
        <v>Germany</v>
      </c>
      <c r="H27" s="180"/>
      <c r="I27" s="9"/>
      <c r="J27" s="191" t="s">
        <v>3088</v>
      </c>
      <c r="K27" s="9"/>
      <c r="L27" s="180"/>
      <c r="M27" s="180" t="str">
        <f>Tournament!N28</f>
        <v>Portugal</v>
      </c>
      <c r="N27" s="183"/>
      <c r="P27" s="192" t="str">
        <f t="shared" si="0"/>
        <v>Germany</v>
      </c>
      <c r="Q27" s="193"/>
      <c r="R27" s="194" t="str">
        <f>IF(Tournament!J28&lt;&gt;"",Tournament!J28,"")</f>
        <v/>
      </c>
      <c r="S27" s="194" t="s">
        <v>3088</v>
      </c>
      <c r="T27" s="194" t="str">
        <f>IF(Tournament!L28&lt;&gt;"",Tournament!L28,"")</f>
        <v/>
      </c>
      <c r="U27" s="193"/>
      <c r="V27" s="193" t="str">
        <f t="shared" si="1"/>
        <v>Portugal</v>
      </c>
      <c r="W27" s="194"/>
      <c r="X27" s="194"/>
      <c r="Y27" s="194"/>
      <c r="Z27" s="194"/>
      <c r="AA27" s="194"/>
      <c r="AB27" s="194"/>
      <c r="AC27" s="194"/>
      <c r="AD27" s="195" t="str">
        <f>IF(AND(I27&lt;&gt;"",K27&lt;&gt;"",R27&lt;&gt;"",T27&lt;&gt;""),IF(AND(I27=R27,K27=T27),Setup!$D$10,IF((I27-K27)=(R27-T27),Setup!$D$11,IF(AND((I27&gt;K27),(R27&gt;T27)),Setup!$D$12,IF(AND((K27&gt;I27),(T27&gt;R27)),Setup!$D$12,0)))),"")</f>
        <v/>
      </c>
      <c r="AE27" s="183"/>
      <c r="CP27" s="168"/>
      <c r="CQ27" s="186"/>
      <c r="CR27" s="187"/>
      <c r="CS27" s="168"/>
    </row>
    <row r="28" spans="2:97" s="166" customFormat="1" ht="15" customHeight="1">
      <c r="B28" s="182"/>
      <c r="C28" s="181">
        <f>Tournament!D29</f>
        <v>14</v>
      </c>
      <c r="D28" s="181" t="str">
        <f>Tournament!E29</f>
        <v>G</v>
      </c>
      <c r="E28" s="188">
        <f>Tournament!F29</f>
        <v>41806.791666666664</v>
      </c>
      <c r="F28" s="189">
        <f>Tournament!G29</f>
        <v>41806.791666666664</v>
      </c>
      <c r="G28" s="190" t="str">
        <f>Tournament!H29</f>
        <v>Ghana</v>
      </c>
      <c r="H28" s="180"/>
      <c r="I28" s="9"/>
      <c r="J28" s="191" t="s">
        <v>3088</v>
      </c>
      <c r="K28" s="9"/>
      <c r="L28" s="180"/>
      <c r="M28" s="180" t="str">
        <f>Tournament!N29</f>
        <v>USA</v>
      </c>
      <c r="N28" s="183"/>
      <c r="P28" s="192" t="str">
        <f t="shared" si="0"/>
        <v>Ghana</v>
      </c>
      <c r="Q28" s="193"/>
      <c r="R28" s="194" t="str">
        <f>IF(Tournament!J29&lt;&gt;"",Tournament!J29,"")</f>
        <v/>
      </c>
      <c r="S28" s="194" t="s">
        <v>3088</v>
      </c>
      <c r="T28" s="194" t="str">
        <f>IF(Tournament!L29&lt;&gt;"",Tournament!L29,"")</f>
        <v/>
      </c>
      <c r="U28" s="193"/>
      <c r="V28" s="193" t="str">
        <f t="shared" si="1"/>
        <v>USA</v>
      </c>
      <c r="W28" s="194"/>
      <c r="X28" s="194"/>
      <c r="Y28" s="194"/>
      <c r="Z28" s="194"/>
      <c r="AA28" s="194"/>
      <c r="AB28" s="194"/>
      <c r="AC28" s="194"/>
      <c r="AD28" s="195" t="str">
        <f>IF(AND(I28&lt;&gt;"",K28&lt;&gt;"",R28&lt;&gt;"",T28&lt;&gt;""),IF(AND(I28=R28,K28=T28),Setup!$D$10,IF((I28-K28)=(R28-T28),Setup!$D$11,IF(AND((I28&gt;K28),(R28&gt;T28)),Setup!$D$12,IF(AND((K28&gt;I28),(T28&gt;R28)),Setup!$D$12,0)))),"")</f>
        <v/>
      </c>
      <c r="AE28" s="183"/>
      <c r="CP28" s="168"/>
      <c r="CQ28" s="186"/>
      <c r="CR28" s="187"/>
      <c r="CS28" s="168"/>
    </row>
    <row r="29" spans="2:97" s="166" customFormat="1" ht="15" customHeight="1">
      <c r="B29" s="182"/>
      <c r="C29" s="181">
        <f>Tournament!D30</f>
        <v>15</v>
      </c>
      <c r="D29" s="181" t="str">
        <f>Tournament!E30</f>
        <v>H</v>
      </c>
      <c r="E29" s="188">
        <f>Tournament!F30</f>
        <v>41807.541666666664</v>
      </c>
      <c r="F29" s="189">
        <f>Tournament!G30</f>
        <v>41807.541666666664</v>
      </c>
      <c r="G29" s="190" t="str">
        <f>Tournament!H30</f>
        <v>Belgium</v>
      </c>
      <c r="H29" s="180"/>
      <c r="I29" s="9"/>
      <c r="J29" s="191" t="s">
        <v>3088</v>
      </c>
      <c r="K29" s="9"/>
      <c r="L29" s="180"/>
      <c r="M29" s="180" t="str">
        <f>Tournament!N30</f>
        <v>Algeria</v>
      </c>
      <c r="N29" s="183"/>
      <c r="P29" s="192" t="str">
        <f t="shared" si="0"/>
        <v>Belgium</v>
      </c>
      <c r="Q29" s="193"/>
      <c r="R29" s="194" t="str">
        <f>IF(Tournament!J30&lt;&gt;"",Tournament!J30,"")</f>
        <v/>
      </c>
      <c r="S29" s="194" t="s">
        <v>3088</v>
      </c>
      <c r="T29" s="194" t="str">
        <f>IF(Tournament!L30&lt;&gt;"",Tournament!L30,"")</f>
        <v/>
      </c>
      <c r="U29" s="193"/>
      <c r="V29" s="193" t="str">
        <f t="shared" si="1"/>
        <v>Algeria</v>
      </c>
      <c r="W29" s="194"/>
      <c r="X29" s="194"/>
      <c r="Y29" s="194"/>
      <c r="Z29" s="194"/>
      <c r="AA29" s="194"/>
      <c r="AB29" s="194"/>
      <c r="AC29" s="194"/>
      <c r="AD29" s="195" t="str">
        <f>IF(AND(I29&lt;&gt;"",K29&lt;&gt;"",R29&lt;&gt;"",T29&lt;&gt;""),IF(AND(I29=R29,K29=T29),Setup!$D$10,IF((I29-K29)=(R29-T29),Setup!$D$11,IF(AND((I29&gt;K29),(R29&gt;T29)),Setup!$D$12,IF(AND((K29&gt;I29),(T29&gt;R29)),Setup!$D$12,0)))),"")</f>
        <v/>
      </c>
      <c r="AE29" s="183"/>
      <c r="CP29" s="168"/>
      <c r="CQ29" s="186"/>
      <c r="CR29" s="187"/>
      <c r="CS29" s="168"/>
    </row>
    <row r="30" spans="2:97" s="166" customFormat="1" ht="15" customHeight="1">
      <c r="B30" s="182"/>
      <c r="C30" s="181">
        <f>Tournament!D31</f>
        <v>16</v>
      </c>
      <c r="D30" s="181" t="str">
        <f>Tournament!E31</f>
        <v>H</v>
      </c>
      <c r="E30" s="188">
        <f>Tournament!F31</f>
        <v>41807.791666666664</v>
      </c>
      <c r="F30" s="189">
        <f>Tournament!G31</f>
        <v>41807.791666666664</v>
      </c>
      <c r="G30" s="190" t="str">
        <f>Tournament!H31</f>
        <v>Russia</v>
      </c>
      <c r="H30" s="180"/>
      <c r="I30" s="9"/>
      <c r="J30" s="191" t="s">
        <v>3088</v>
      </c>
      <c r="K30" s="9"/>
      <c r="L30" s="180"/>
      <c r="M30" s="180" t="str">
        <f>Tournament!N31</f>
        <v>South Korea</v>
      </c>
      <c r="N30" s="183"/>
      <c r="P30" s="192" t="str">
        <f t="shared" si="0"/>
        <v>Russia</v>
      </c>
      <c r="Q30" s="193"/>
      <c r="R30" s="194" t="str">
        <f>IF(Tournament!J31&lt;&gt;"",Tournament!J31,"")</f>
        <v/>
      </c>
      <c r="S30" s="194" t="s">
        <v>3088</v>
      </c>
      <c r="T30" s="194" t="str">
        <f>IF(Tournament!L31&lt;&gt;"",Tournament!L31,"")</f>
        <v/>
      </c>
      <c r="U30" s="193"/>
      <c r="V30" s="193" t="str">
        <f t="shared" si="1"/>
        <v>South Korea</v>
      </c>
      <c r="W30" s="194"/>
      <c r="X30" s="194"/>
      <c r="Y30" s="194"/>
      <c r="Z30" s="194"/>
      <c r="AA30" s="194"/>
      <c r="AB30" s="194"/>
      <c r="AC30" s="194"/>
      <c r="AD30" s="195" t="str">
        <f>IF(AND(I30&lt;&gt;"",K30&lt;&gt;"",R30&lt;&gt;"",T30&lt;&gt;""),IF(AND(I30=R30,K30=T30),Setup!$D$10,IF((I30-K30)=(R30-T30),Setup!$D$11,IF(AND((I30&gt;K30),(R30&gt;T30)),Setup!$D$12,IF(AND((K30&gt;I30),(T30&gt;R30)),Setup!$D$12,0)))),"")</f>
        <v/>
      </c>
      <c r="AE30" s="183"/>
      <c r="CP30" s="168"/>
      <c r="CQ30" s="186"/>
      <c r="CR30" s="187"/>
      <c r="CS30" s="168"/>
    </row>
    <row r="31" spans="2:97" s="166" customFormat="1" ht="15" customHeight="1">
      <c r="B31" s="182"/>
      <c r="C31" s="181">
        <f>Tournament!D32</f>
        <v>17</v>
      </c>
      <c r="D31" s="181" t="str">
        <f>Tournament!E32</f>
        <v>A</v>
      </c>
      <c r="E31" s="188">
        <f>Tournament!F32</f>
        <v>41807.666666666664</v>
      </c>
      <c r="F31" s="189">
        <f>Tournament!G32</f>
        <v>41807.666666666664</v>
      </c>
      <c r="G31" s="190" t="str">
        <f>Tournament!H32</f>
        <v>Brazil</v>
      </c>
      <c r="H31" s="180"/>
      <c r="I31" s="9"/>
      <c r="J31" s="191" t="s">
        <v>3088</v>
      </c>
      <c r="K31" s="9"/>
      <c r="L31" s="180"/>
      <c r="M31" s="180" t="str">
        <f>Tournament!N32</f>
        <v>Mexico</v>
      </c>
      <c r="N31" s="183"/>
      <c r="P31" s="192" t="str">
        <f t="shared" si="0"/>
        <v>Brazil</v>
      </c>
      <c r="Q31" s="193"/>
      <c r="R31" s="194" t="str">
        <f>IF(Tournament!J32&lt;&gt;"",Tournament!J32,"")</f>
        <v/>
      </c>
      <c r="S31" s="194" t="s">
        <v>3088</v>
      </c>
      <c r="T31" s="194" t="str">
        <f>IF(Tournament!L32&lt;&gt;"",Tournament!L32,"")</f>
        <v/>
      </c>
      <c r="U31" s="193"/>
      <c r="V31" s="193" t="str">
        <f t="shared" si="1"/>
        <v>Mexico</v>
      </c>
      <c r="W31" s="194"/>
      <c r="X31" s="194"/>
      <c r="Y31" s="194"/>
      <c r="Z31" s="194"/>
      <c r="AA31" s="194"/>
      <c r="AB31" s="194"/>
      <c r="AC31" s="194"/>
      <c r="AD31" s="195" t="str">
        <f>IF(AND(I31&lt;&gt;"",K31&lt;&gt;"",R31&lt;&gt;"",T31&lt;&gt;""),IF(AND(I31=R31,K31=T31),Setup!$D$10,IF((I31-K31)=(R31-T31),Setup!$D$11,IF(AND((I31&gt;K31),(R31&gt;T31)),Setup!$D$12,IF(AND((K31&gt;I31),(T31&gt;R31)),Setup!$D$12,0)))),"")</f>
        <v/>
      </c>
      <c r="AE31" s="183"/>
      <c r="CP31" s="168"/>
      <c r="CQ31" s="186"/>
      <c r="CR31" s="187"/>
      <c r="CS31" s="168"/>
    </row>
    <row r="32" spans="2:97" s="166" customFormat="1" ht="15" customHeight="1">
      <c r="B32" s="182"/>
      <c r="C32" s="181">
        <f>Tournament!D33</f>
        <v>18</v>
      </c>
      <c r="D32" s="181" t="str">
        <f>Tournament!E33</f>
        <v>A</v>
      </c>
      <c r="E32" s="188">
        <f>Tournament!F33</f>
        <v>41808.791666666664</v>
      </c>
      <c r="F32" s="189">
        <f>Tournament!G33</f>
        <v>41808.791666666664</v>
      </c>
      <c r="G32" s="190" t="str">
        <f>Tournament!H33</f>
        <v>Cameroon</v>
      </c>
      <c r="H32" s="180"/>
      <c r="I32" s="9"/>
      <c r="J32" s="191" t="s">
        <v>3088</v>
      </c>
      <c r="K32" s="9"/>
      <c r="L32" s="180"/>
      <c r="M32" s="180" t="str">
        <f>Tournament!N33</f>
        <v>Croatia</v>
      </c>
      <c r="N32" s="183"/>
      <c r="P32" s="192" t="str">
        <f t="shared" si="0"/>
        <v>Cameroon</v>
      </c>
      <c r="Q32" s="193"/>
      <c r="R32" s="194" t="str">
        <f>IF(Tournament!J33&lt;&gt;"",Tournament!J33,"")</f>
        <v/>
      </c>
      <c r="S32" s="194" t="s">
        <v>3088</v>
      </c>
      <c r="T32" s="194" t="str">
        <f>IF(Tournament!L33&lt;&gt;"",Tournament!L33,"")</f>
        <v/>
      </c>
      <c r="U32" s="193"/>
      <c r="V32" s="193" t="str">
        <f t="shared" si="1"/>
        <v>Croatia</v>
      </c>
      <c r="W32" s="194"/>
      <c r="X32" s="194"/>
      <c r="Y32" s="194"/>
      <c r="Z32" s="194"/>
      <c r="AA32" s="194"/>
      <c r="AB32" s="194"/>
      <c r="AC32" s="194"/>
      <c r="AD32" s="195" t="str">
        <f>IF(AND(I32&lt;&gt;"",K32&lt;&gt;"",R32&lt;&gt;"",T32&lt;&gt;""),IF(AND(I32=R32,K32=T32),Setup!$D$10,IF((I32-K32)=(R32-T32),Setup!$D$11,IF(AND((I32&gt;K32),(R32&gt;T32)),Setup!$D$12,IF(AND((K32&gt;I32),(T32&gt;R32)),Setup!$D$12,0)))),"")</f>
        <v/>
      </c>
      <c r="AE32" s="183"/>
      <c r="CP32" s="168"/>
      <c r="CQ32" s="186"/>
      <c r="CR32" s="187"/>
      <c r="CS32" s="168"/>
    </row>
    <row r="33" spans="2:97" s="166" customFormat="1" ht="15" customHeight="1">
      <c r="B33" s="182"/>
      <c r="C33" s="181">
        <f>Tournament!D34</f>
        <v>19</v>
      </c>
      <c r="D33" s="181" t="str">
        <f>Tournament!E34</f>
        <v>B</v>
      </c>
      <c r="E33" s="188">
        <f>Tournament!F34</f>
        <v>41808.666666666664</v>
      </c>
      <c r="F33" s="189">
        <f>Tournament!G34</f>
        <v>41808.666666666664</v>
      </c>
      <c r="G33" s="190" t="str">
        <f>Tournament!H34</f>
        <v>Spain</v>
      </c>
      <c r="H33" s="180"/>
      <c r="I33" s="9"/>
      <c r="J33" s="191" t="s">
        <v>3088</v>
      </c>
      <c r="K33" s="9"/>
      <c r="L33" s="180"/>
      <c r="M33" s="180" t="str">
        <f>Tournament!N34</f>
        <v>Chile</v>
      </c>
      <c r="N33" s="183"/>
      <c r="P33" s="192" t="str">
        <f t="shared" si="0"/>
        <v>Spain</v>
      </c>
      <c r="Q33" s="193"/>
      <c r="R33" s="194" t="str">
        <f>IF(Tournament!J34&lt;&gt;"",Tournament!J34,"")</f>
        <v/>
      </c>
      <c r="S33" s="194" t="s">
        <v>3088</v>
      </c>
      <c r="T33" s="194" t="str">
        <f>IF(Tournament!L34&lt;&gt;"",Tournament!L34,"")</f>
        <v/>
      </c>
      <c r="U33" s="193"/>
      <c r="V33" s="193" t="str">
        <f t="shared" si="1"/>
        <v>Chile</v>
      </c>
      <c r="W33" s="194"/>
      <c r="X33" s="194"/>
      <c r="Y33" s="194"/>
      <c r="Z33" s="194"/>
      <c r="AA33" s="194"/>
      <c r="AB33" s="194"/>
      <c r="AC33" s="194"/>
      <c r="AD33" s="195" t="str">
        <f>IF(AND(I33&lt;&gt;"",K33&lt;&gt;"",R33&lt;&gt;"",T33&lt;&gt;""),IF(AND(I33=R33,K33=T33),Setup!$D$10,IF((I33-K33)=(R33-T33),Setup!$D$11,IF(AND((I33&gt;K33),(R33&gt;T33)),Setup!$D$12,IF(AND((K33&gt;I33),(T33&gt;R33)),Setup!$D$12,0)))),"")</f>
        <v/>
      </c>
      <c r="AE33" s="183"/>
      <c r="CP33" s="168"/>
      <c r="CQ33" s="186"/>
      <c r="CR33" s="187"/>
      <c r="CS33" s="168"/>
    </row>
    <row r="34" spans="2:97" s="166" customFormat="1" ht="15" customHeight="1">
      <c r="B34" s="182"/>
      <c r="C34" s="181">
        <f>Tournament!D35</f>
        <v>20</v>
      </c>
      <c r="D34" s="181" t="str">
        <f>Tournament!E35</f>
        <v>B</v>
      </c>
      <c r="E34" s="188">
        <f>Tournament!F35</f>
        <v>41808.541666666664</v>
      </c>
      <c r="F34" s="189">
        <f>Tournament!G35</f>
        <v>41808.541666666664</v>
      </c>
      <c r="G34" s="190" t="str">
        <f>Tournament!H35</f>
        <v>Australia</v>
      </c>
      <c r="H34" s="180"/>
      <c r="I34" s="9"/>
      <c r="J34" s="191" t="s">
        <v>3088</v>
      </c>
      <c r="K34" s="9"/>
      <c r="L34" s="180"/>
      <c r="M34" s="180" t="str">
        <f>Tournament!N35</f>
        <v>Netherlands</v>
      </c>
      <c r="N34" s="183"/>
      <c r="P34" s="192" t="str">
        <f t="shared" si="0"/>
        <v>Australia</v>
      </c>
      <c r="Q34" s="193"/>
      <c r="R34" s="194" t="str">
        <f>IF(Tournament!J35&lt;&gt;"",Tournament!J35,"")</f>
        <v/>
      </c>
      <c r="S34" s="194" t="s">
        <v>3088</v>
      </c>
      <c r="T34" s="194" t="str">
        <f>IF(Tournament!L35&lt;&gt;"",Tournament!L35,"")</f>
        <v/>
      </c>
      <c r="U34" s="193"/>
      <c r="V34" s="193" t="str">
        <f t="shared" si="1"/>
        <v>Netherlands</v>
      </c>
      <c r="W34" s="194"/>
      <c r="X34" s="194"/>
      <c r="Y34" s="194"/>
      <c r="Z34" s="194"/>
      <c r="AA34" s="194"/>
      <c r="AB34" s="194"/>
      <c r="AC34" s="194"/>
      <c r="AD34" s="195" t="str">
        <f>IF(AND(I34&lt;&gt;"",K34&lt;&gt;"",R34&lt;&gt;"",T34&lt;&gt;""),IF(AND(I34=R34,K34=T34),Setup!$D$10,IF((I34-K34)=(R34-T34),Setup!$D$11,IF(AND((I34&gt;K34),(R34&gt;T34)),Setup!$D$12,IF(AND((K34&gt;I34),(T34&gt;R34)),Setup!$D$12,0)))),"")</f>
        <v/>
      </c>
      <c r="AE34" s="183"/>
      <c r="CP34" s="168"/>
      <c r="CQ34" s="186"/>
      <c r="CR34" s="187"/>
      <c r="CS34" s="168"/>
    </row>
    <row r="35" spans="2:97" s="166" customFormat="1" ht="15" customHeight="1">
      <c r="B35" s="182"/>
      <c r="C35" s="181">
        <f>Tournament!D36</f>
        <v>21</v>
      </c>
      <c r="D35" s="181" t="str">
        <f>Tournament!E36</f>
        <v>C</v>
      </c>
      <c r="E35" s="188">
        <f>Tournament!F36</f>
        <v>41809.541666666664</v>
      </c>
      <c r="F35" s="189">
        <f>Tournament!G36</f>
        <v>41809.541666666664</v>
      </c>
      <c r="G35" s="190" t="str">
        <f>Tournament!H36</f>
        <v>Colombia</v>
      </c>
      <c r="H35" s="180"/>
      <c r="I35" s="9"/>
      <c r="J35" s="191" t="s">
        <v>3088</v>
      </c>
      <c r="K35" s="9"/>
      <c r="L35" s="180"/>
      <c r="M35" s="180" t="str">
        <f>Tournament!N36</f>
        <v>Ivory Coast</v>
      </c>
      <c r="N35" s="183"/>
      <c r="P35" s="192" t="str">
        <f t="shared" si="0"/>
        <v>Colombia</v>
      </c>
      <c r="Q35" s="193"/>
      <c r="R35" s="194" t="str">
        <f>IF(Tournament!J36&lt;&gt;"",Tournament!J36,"")</f>
        <v/>
      </c>
      <c r="S35" s="194" t="s">
        <v>3088</v>
      </c>
      <c r="T35" s="194" t="str">
        <f>IF(Tournament!L36&lt;&gt;"",Tournament!L36,"")</f>
        <v/>
      </c>
      <c r="U35" s="193"/>
      <c r="V35" s="193" t="str">
        <f t="shared" si="1"/>
        <v>Ivory Coast</v>
      </c>
      <c r="W35" s="194"/>
      <c r="X35" s="194"/>
      <c r="Y35" s="194"/>
      <c r="Z35" s="194"/>
      <c r="AA35" s="194"/>
      <c r="AB35" s="194"/>
      <c r="AC35" s="194"/>
      <c r="AD35" s="195" t="str">
        <f>IF(AND(I35&lt;&gt;"",K35&lt;&gt;"",R35&lt;&gt;"",T35&lt;&gt;""),IF(AND(I35=R35,K35=T35),Setup!$D$10,IF((I35-K35)=(R35-T35),Setup!$D$11,IF(AND((I35&gt;K35),(R35&gt;T35)),Setup!$D$12,IF(AND((K35&gt;I35),(T35&gt;R35)),Setup!$D$12,0)))),"")</f>
        <v/>
      </c>
      <c r="AE35" s="183"/>
      <c r="CP35" s="168"/>
      <c r="CQ35" s="186"/>
      <c r="CR35" s="187"/>
      <c r="CS35" s="168"/>
    </row>
    <row r="36" spans="2:97" s="166" customFormat="1" ht="15" customHeight="1">
      <c r="B36" s="182"/>
      <c r="C36" s="181">
        <f>Tournament!D37</f>
        <v>22</v>
      </c>
      <c r="D36" s="181" t="str">
        <f>Tournament!E37</f>
        <v>C</v>
      </c>
      <c r="E36" s="188">
        <f>Tournament!F37</f>
        <v>41809.791666666664</v>
      </c>
      <c r="F36" s="189">
        <f>Tournament!G37</f>
        <v>41809.791666666664</v>
      </c>
      <c r="G36" s="190" t="str">
        <f>Tournament!H37</f>
        <v>Japan</v>
      </c>
      <c r="H36" s="180"/>
      <c r="I36" s="9"/>
      <c r="J36" s="191" t="s">
        <v>3088</v>
      </c>
      <c r="K36" s="9"/>
      <c r="L36" s="180"/>
      <c r="M36" s="180" t="str">
        <f>Tournament!N37</f>
        <v>Greece</v>
      </c>
      <c r="N36" s="183"/>
      <c r="P36" s="192" t="str">
        <f t="shared" si="0"/>
        <v>Japan</v>
      </c>
      <c r="Q36" s="193"/>
      <c r="R36" s="194" t="str">
        <f>IF(Tournament!J37&lt;&gt;"",Tournament!J37,"")</f>
        <v/>
      </c>
      <c r="S36" s="194" t="s">
        <v>3088</v>
      </c>
      <c r="T36" s="194" t="str">
        <f>IF(Tournament!L37&lt;&gt;"",Tournament!L37,"")</f>
        <v/>
      </c>
      <c r="U36" s="193"/>
      <c r="V36" s="193" t="str">
        <f t="shared" si="1"/>
        <v>Greece</v>
      </c>
      <c r="W36" s="194"/>
      <c r="X36" s="194"/>
      <c r="Y36" s="194"/>
      <c r="Z36" s="194"/>
      <c r="AA36" s="194"/>
      <c r="AB36" s="194"/>
      <c r="AC36" s="194"/>
      <c r="AD36" s="195" t="str">
        <f>IF(AND(I36&lt;&gt;"",K36&lt;&gt;"",R36&lt;&gt;"",T36&lt;&gt;""),IF(AND(I36=R36,K36=T36),Setup!$D$10,IF((I36-K36)=(R36-T36),Setup!$D$11,IF(AND((I36&gt;K36),(R36&gt;T36)),Setup!$D$12,IF(AND((K36&gt;I36),(T36&gt;R36)),Setup!$D$12,0)))),"")</f>
        <v/>
      </c>
      <c r="AE36" s="183"/>
      <c r="CP36" s="168"/>
      <c r="CQ36" s="186"/>
      <c r="CR36" s="187"/>
      <c r="CS36" s="168"/>
    </row>
    <row r="37" spans="2:97" s="166" customFormat="1" ht="15" customHeight="1">
      <c r="B37" s="182"/>
      <c r="C37" s="181">
        <f>Tournament!D38</f>
        <v>23</v>
      </c>
      <c r="D37" s="181" t="str">
        <f>Tournament!E38</f>
        <v>D</v>
      </c>
      <c r="E37" s="188">
        <f>Tournament!F38</f>
        <v>41809.666666666664</v>
      </c>
      <c r="F37" s="189">
        <f>Tournament!G38</f>
        <v>41809.666666666664</v>
      </c>
      <c r="G37" s="190" t="str">
        <f>Tournament!H38</f>
        <v>Uruguay</v>
      </c>
      <c r="H37" s="180"/>
      <c r="I37" s="9"/>
      <c r="J37" s="191" t="s">
        <v>3088</v>
      </c>
      <c r="K37" s="9"/>
      <c r="L37" s="180"/>
      <c r="M37" s="180" t="str">
        <f>Tournament!N38</f>
        <v>England</v>
      </c>
      <c r="N37" s="183"/>
      <c r="P37" s="192" t="str">
        <f t="shared" si="0"/>
        <v>Uruguay</v>
      </c>
      <c r="Q37" s="193"/>
      <c r="R37" s="194" t="str">
        <f>IF(Tournament!J38&lt;&gt;"",Tournament!J38,"")</f>
        <v/>
      </c>
      <c r="S37" s="194" t="s">
        <v>3088</v>
      </c>
      <c r="T37" s="194" t="str">
        <f>IF(Tournament!L38&lt;&gt;"",Tournament!L38,"")</f>
        <v/>
      </c>
      <c r="U37" s="193"/>
      <c r="V37" s="193" t="str">
        <f t="shared" si="1"/>
        <v>England</v>
      </c>
      <c r="W37" s="194"/>
      <c r="X37" s="194"/>
      <c r="Y37" s="194"/>
      <c r="Z37" s="194"/>
      <c r="AA37" s="194"/>
      <c r="AB37" s="194"/>
      <c r="AC37" s="194"/>
      <c r="AD37" s="195" t="str">
        <f>IF(AND(I37&lt;&gt;"",K37&lt;&gt;"",R37&lt;&gt;"",T37&lt;&gt;""),IF(AND(I37=R37,K37=T37),Setup!$D$10,IF((I37-K37)=(R37-T37),Setup!$D$11,IF(AND((I37&gt;K37),(R37&gt;T37)),Setup!$D$12,IF(AND((K37&gt;I37),(T37&gt;R37)),Setup!$D$12,0)))),"")</f>
        <v/>
      </c>
      <c r="AE37" s="183"/>
      <c r="CP37" s="168"/>
      <c r="CQ37" s="186"/>
      <c r="CR37" s="187"/>
      <c r="CS37" s="168"/>
    </row>
    <row r="38" spans="2:97" s="166" customFormat="1" ht="15" customHeight="1">
      <c r="B38" s="182"/>
      <c r="C38" s="181">
        <f>Tournament!D39</f>
        <v>24</v>
      </c>
      <c r="D38" s="181" t="str">
        <f>Tournament!E39</f>
        <v>D</v>
      </c>
      <c r="E38" s="188">
        <f>Tournament!F39</f>
        <v>41810.541666666664</v>
      </c>
      <c r="F38" s="189">
        <f>Tournament!G39</f>
        <v>41810.541666666664</v>
      </c>
      <c r="G38" s="190" t="str">
        <f>Tournament!H39</f>
        <v>Italy</v>
      </c>
      <c r="H38" s="180"/>
      <c r="I38" s="9"/>
      <c r="J38" s="191" t="s">
        <v>3088</v>
      </c>
      <c r="K38" s="9"/>
      <c r="L38" s="180"/>
      <c r="M38" s="180" t="str">
        <f>Tournament!N39</f>
        <v>Costa Rica</v>
      </c>
      <c r="N38" s="183"/>
      <c r="P38" s="192" t="str">
        <f t="shared" si="0"/>
        <v>Italy</v>
      </c>
      <c r="Q38" s="193"/>
      <c r="R38" s="194" t="str">
        <f>IF(Tournament!J39&lt;&gt;"",Tournament!J39,"")</f>
        <v/>
      </c>
      <c r="S38" s="194" t="s">
        <v>3088</v>
      </c>
      <c r="T38" s="194" t="str">
        <f>IF(Tournament!L39&lt;&gt;"",Tournament!L39,"")</f>
        <v/>
      </c>
      <c r="U38" s="193"/>
      <c r="V38" s="193" t="str">
        <f t="shared" si="1"/>
        <v>Costa Rica</v>
      </c>
      <c r="W38" s="194"/>
      <c r="X38" s="194"/>
      <c r="Y38" s="194"/>
      <c r="Z38" s="194"/>
      <c r="AA38" s="194"/>
      <c r="AB38" s="194"/>
      <c r="AC38" s="194"/>
      <c r="AD38" s="195" t="str">
        <f>IF(AND(I38&lt;&gt;"",K38&lt;&gt;"",R38&lt;&gt;"",T38&lt;&gt;""),IF(AND(I38=R38,K38=T38),Setup!$D$10,IF((I38-K38)=(R38-T38),Setup!$D$11,IF(AND((I38&gt;K38),(R38&gt;T38)),Setup!$D$12,IF(AND((K38&gt;I38),(T38&gt;R38)),Setup!$D$12,0)))),"")</f>
        <v/>
      </c>
      <c r="AE38" s="183"/>
      <c r="CP38" s="168"/>
      <c r="CQ38" s="186"/>
      <c r="CR38" s="187"/>
      <c r="CS38" s="168"/>
    </row>
    <row r="39" spans="2:97" s="166" customFormat="1" ht="15" customHeight="1">
      <c r="B39" s="182"/>
      <c r="C39" s="181">
        <f>Tournament!D40</f>
        <v>25</v>
      </c>
      <c r="D39" s="181" t="str">
        <f>Tournament!E40</f>
        <v>E</v>
      </c>
      <c r="E39" s="188">
        <f>Tournament!F40</f>
        <v>41810.666666666664</v>
      </c>
      <c r="F39" s="189">
        <f>Tournament!G40</f>
        <v>41810.666666666664</v>
      </c>
      <c r="G39" s="190" t="str">
        <f>Tournament!H40</f>
        <v>Switzerland</v>
      </c>
      <c r="H39" s="180"/>
      <c r="I39" s="9"/>
      <c r="J39" s="191" t="s">
        <v>3088</v>
      </c>
      <c r="K39" s="9"/>
      <c r="L39" s="180"/>
      <c r="M39" s="180" t="str">
        <f>Tournament!N40</f>
        <v>France</v>
      </c>
      <c r="N39" s="183"/>
      <c r="P39" s="192" t="str">
        <f t="shared" si="0"/>
        <v>Switzerland</v>
      </c>
      <c r="Q39" s="193"/>
      <c r="R39" s="194" t="str">
        <f>IF(Tournament!J40&lt;&gt;"",Tournament!J40,"")</f>
        <v/>
      </c>
      <c r="S39" s="194" t="s">
        <v>3088</v>
      </c>
      <c r="T39" s="194" t="str">
        <f>IF(Tournament!L40&lt;&gt;"",Tournament!L40,"")</f>
        <v/>
      </c>
      <c r="U39" s="193"/>
      <c r="V39" s="193" t="str">
        <f t="shared" si="1"/>
        <v>France</v>
      </c>
      <c r="W39" s="194"/>
      <c r="X39" s="194"/>
      <c r="Y39" s="194"/>
      <c r="Z39" s="194"/>
      <c r="AA39" s="194"/>
      <c r="AB39" s="194"/>
      <c r="AC39" s="194"/>
      <c r="AD39" s="195" t="str">
        <f>IF(AND(I39&lt;&gt;"",K39&lt;&gt;"",R39&lt;&gt;"",T39&lt;&gt;""),IF(AND(I39=R39,K39=T39),Setup!$D$10,IF((I39-K39)=(R39-T39),Setup!$D$11,IF(AND((I39&gt;K39),(R39&gt;T39)),Setup!$D$12,IF(AND((K39&gt;I39),(T39&gt;R39)),Setup!$D$12,0)))),"")</f>
        <v/>
      </c>
      <c r="AE39" s="183"/>
      <c r="CP39" s="168"/>
      <c r="CQ39" s="186"/>
      <c r="CR39" s="187"/>
      <c r="CS39" s="168"/>
    </row>
    <row r="40" spans="2:97" s="166" customFormat="1" ht="15" customHeight="1">
      <c r="B40" s="182"/>
      <c r="C40" s="181">
        <f>Tournament!D41</f>
        <v>26</v>
      </c>
      <c r="D40" s="181" t="str">
        <f>Tournament!E41</f>
        <v>E</v>
      </c>
      <c r="E40" s="188">
        <f>Tournament!F41</f>
        <v>41810.791666666664</v>
      </c>
      <c r="F40" s="189">
        <f>Tournament!G41</f>
        <v>41810.791666666664</v>
      </c>
      <c r="G40" s="190" t="str">
        <f>Tournament!H41</f>
        <v>Honduras</v>
      </c>
      <c r="H40" s="180"/>
      <c r="I40" s="9"/>
      <c r="J40" s="191" t="s">
        <v>3088</v>
      </c>
      <c r="K40" s="9"/>
      <c r="L40" s="180"/>
      <c r="M40" s="180" t="str">
        <f>Tournament!N41</f>
        <v>Ecuador</v>
      </c>
      <c r="N40" s="183"/>
      <c r="P40" s="192" t="str">
        <f t="shared" si="0"/>
        <v>Honduras</v>
      </c>
      <c r="Q40" s="193"/>
      <c r="R40" s="194" t="str">
        <f>IF(Tournament!J41&lt;&gt;"",Tournament!J41,"")</f>
        <v/>
      </c>
      <c r="S40" s="194" t="s">
        <v>3088</v>
      </c>
      <c r="T40" s="194" t="str">
        <f>IF(Tournament!L41&lt;&gt;"",Tournament!L41,"")</f>
        <v/>
      </c>
      <c r="U40" s="193"/>
      <c r="V40" s="193" t="str">
        <f t="shared" si="1"/>
        <v>Ecuador</v>
      </c>
      <c r="W40" s="194"/>
      <c r="X40" s="194"/>
      <c r="Y40" s="194"/>
      <c r="Z40" s="194"/>
      <c r="AA40" s="194"/>
      <c r="AB40" s="194"/>
      <c r="AC40" s="194"/>
      <c r="AD40" s="195" t="str">
        <f>IF(AND(I40&lt;&gt;"",K40&lt;&gt;"",R40&lt;&gt;"",T40&lt;&gt;""),IF(AND(I40=R40,K40=T40),Setup!$D$10,IF((I40-K40)=(R40-T40),Setup!$D$11,IF(AND((I40&gt;K40),(R40&gt;T40)),Setup!$D$12,IF(AND((K40&gt;I40),(T40&gt;R40)),Setup!$D$12,0)))),"")</f>
        <v/>
      </c>
      <c r="AE40" s="183"/>
      <c r="CP40" s="168"/>
      <c r="CQ40" s="196"/>
      <c r="CR40" s="187"/>
      <c r="CS40" s="168"/>
    </row>
    <row r="41" spans="2:97" s="166" customFormat="1" ht="15" customHeight="1">
      <c r="B41" s="182"/>
      <c r="C41" s="181">
        <f>Tournament!D42</f>
        <v>27</v>
      </c>
      <c r="D41" s="181" t="str">
        <f>Tournament!E42</f>
        <v>F</v>
      </c>
      <c r="E41" s="188">
        <f>Tournament!F42</f>
        <v>41811.541666666664</v>
      </c>
      <c r="F41" s="189">
        <f>Tournament!G42</f>
        <v>41811.541666666664</v>
      </c>
      <c r="G41" s="190" t="str">
        <f>Tournament!H42</f>
        <v>Argentina</v>
      </c>
      <c r="H41" s="180"/>
      <c r="I41" s="9"/>
      <c r="J41" s="191" t="s">
        <v>3088</v>
      </c>
      <c r="K41" s="9"/>
      <c r="L41" s="180"/>
      <c r="M41" s="180" t="str">
        <f>Tournament!N42</f>
        <v>Iran</v>
      </c>
      <c r="N41" s="183"/>
      <c r="P41" s="192" t="str">
        <f t="shared" si="0"/>
        <v>Argentina</v>
      </c>
      <c r="Q41" s="193"/>
      <c r="R41" s="194" t="str">
        <f>IF(Tournament!J42&lt;&gt;"",Tournament!J42,"")</f>
        <v/>
      </c>
      <c r="S41" s="194" t="s">
        <v>3088</v>
      </c>
      <c r="T41" s="194" t="str">
        <f>IF(Tournament!L42&lt;&gt;"",Tournament!L42,"")</f>
        <v/>
      </c>
      <c r="U41" s="193"/>
      <c r="V41" s="193" t="str">
        <f t="shared" si="1"/>
        <v>Iran</v>
      </c>
      <c r="W41" s="194"/>
      <c r="X41" s="194"/>
      <c r="Y41" s="194"/>
      <c r="Z41" s="194"/>
      <c r="AA41" s="194"/>
      <c r="AB41" s="194"/>
      <c r="AC41" s="194"/>
      <c r="AD41" s="195" t="str">
        <f>IF(AND(I41&lt;&gt;"",K41&lt;&gt;"",R41&lt;&gt;"",T41&lt;&gt;""),IF(AND(I41=R41,K41=T41),Setup!$D$10,IF((I41-K41)=(R41-T41),Setup!$D$11,IF(AND((I41&gt;K41),(R41&gt;T41)),Setup!$D$12,IF(AND((K41&gt;I41),(T41&gt;R41)),Setup!$D$12,0)))),"")</f>
        <v/>
      </c>
      <c r="AE41" s="183"/>
      <c r="CP41" s="168"/>
      <c r="CQ41" s="196"/>
      <c r="CR41" s="187"/>
      <c r="CS41" s="168"/>
    </row>
    <row r="42" spans="2:97" s="166" customFormat="1" ht="15" customHeight="1">
      <c r="B42" s="182"/>
      <c r="C42" s="181">
        <f>Tournament!D43</f>
        <v>28</v>
      </c>
      <c r="D42" s="181" t="str">
        <f>Tournament!E43</f>
        <v>F</v>
      </c>
      <c r="E42" s="188">
        <f>Tournament!F43</f>
        <v>41811.791666666664</v>
      </c>
      <c r="F42" s="189">
        <f>Tournament!G43</f>
        <v>41811.791666666664</v>
      </c>
      <c r="G42" s="190" t="str">
        <f>Tournament!H43</f>
        <v>Nigeria</v>
      </c>
      <c r="H42" s="180"/>
      <c r="I42" s="9"/>
      <c r="J42" s="191" t="s">
        <v>3088</v>
      </c>
      <c r="K42" s="9"/>
      <c r="L42" s="180"/>
      <c r="M42" s="180" t="str">
        <f>Tournament!N43</f>
        <v>Bosnia-Herzegovina</v>
      </c>
      <c r="N42" s="183"/>
      <c r="P42" s="192" t="str">
        <f t="shared" si="0"/>
        <v>Nigeria</v>
      </c>
      <c r="Q42" s="193"/>
      <c r="R42" s="194" t="str">
        <f>IF(Tournament!J43&lt;&gt;"",Tournament!J43,"")</f>
        <v/>
      </c>
      <c r="S42" s="194" t="s">
        <v>3088</v>
      </c>
      <c r="T42" s="194" t="str">
        <f>IF(Tournament!L43&lt;&gt;"",Tournament!L43,"")</f>
        <v/>
      </c>
      <c r="U42" s="193"/>
      <c r="V42" s="193" t="str">
        <f t="shared" si="1"/>
        <v>Bosnia-Herzegovina</v>
      </c>
      <c r="W42" s="194"/>
      <c r="X42" s="194"/>
      <c r="Y42" s="194"/>
      <c r="Z42" s="194"/>
      <c r="AA42" s="194"/>
      <c r="AB42" s="194"/>
      <c r="AC42" s="194"/>
      <c r="AD42" s="195" t="str">
        <f>IF(AND(I42&lt;&gt;"",K42&lt;&gt;"",R42&lt;&gt;"",T42&lt;&gt;""),IF(AND(I42=R42,K42=T42),Setup!$D$10,IF((I42-K42)=(R42-T42),Setup!$D$11,IF(AND((I42&gt;K42),(R42&gt;T42)),Setup!$D$12,IF(AND((K42&gt;I42),(T42&gt;R42)),Setup!$D$12,0)))),"")</f>
        <v/>
      </c>
      <c r="AE42" s="183"/>
      <c r="CP42" s="168"/>
      <c r="CQ42" s="168"/>
      <c r="CR42" s="187"/>
      <c r="CS42" s="168"/>
    </row>
    <row r="43" spans="2:97" s="166" customFormat="1" ht="15" customHeight="1">
      <c r="B43" s="182"/>
      <c r="C43" s="181">
        <f>Tournament!D44</f>
        <v>29</v>
      </c>
      <c r="D43" s="181" t="str">
        <f>Tournament!E44</f>
        <v>G</v>
      </c>
      <c r="E43" s="188">
        <f>Tournament!F44</f>
        <v>41811.666666666664</v>
      </c>
      <c r="F43" s="189">
        <f>Tournament!G44</f>
        <v>41811.666666666664</v>
      </c>
      <c r="G43" s="190" t="str">
        <f>Tournament!H44</f>
        <v>Germany</v>
      </c>
      <c r="H43" s="180"/>
      <c r="I43" s="9"/>
      <c r="J43" s="191" t="s">
        <v>3088</v>
      </c>
      <c r="K43" s="9"/>
      <c r="L43" s="180"/>
      <c r="M43" s="180" t="str">
        <f>Tournament!N44</f>
        <v>Ghana</v>
      </c>
      <c r="N43" s="183"/>
      <c r="P43" s="192" t="str">
        <f t="shared" si="0"/>
        <v>Germany</v>
      </c>
      <c r="Q43" s="193"/>
      <c r="R43" s="194" t="str">
        <f>IF(Tournament!J44&lt;&gt;"",Tournament!J44,"")</f>
        <v/>
      </c>
      <c r="S43" s="194" t="s">
        <v>3088</v>
      </c>
      <c r="T43" s="194" t="str">
        <f>IF(Tournament!L44&lt;&gt;"",Tournament!L44,"")</f>
        <v/>
      </c>
      <c r="U43" s="193"/>
      <c r="V43" s="193" t="str">
        <f t="shared" si="1"/>
        <v>Ghana</v>
      </c>
      <c r="W43" s="194"/>
      <c r="X43" s="194"/>
      <c r="Y43" s="194"/>
      <c r="Z43" s="194"/>
      <c r="AA43" s="194"/>
      <c r="AB43" s="194"/>
      <c r="AC43" s="194"/>
      <c r="AD43" s="195" t="str">
        <f>IF(AND(I43&lt;&gt;"",K43&lt;&gt;"",R43&lt;&gt;"",T43&lt;&gt;""),IF(AND(I43=R43,K43=T43),Setup!$D$10,IF((I43-K43)=(R43-T43),Setup!$D$11,IF(AND((I43&gt;K43),(R43&gt;T43)),Setup!$D$12,IF(AND((K43&gt;I43),(T43&gt;R43)),Setup!$D$12,0)))),"")</f>
        <v/>
      </c>
      <c r="AE43" s="183"/>
      <c r="CP43" s="168"/>
      <c r="CQ43" s="168"/>
      <c r="CR43" s="187"/>
      <c r="CS43" s="168"/>
    </row>
    <row r="44" spans="2:97" s="166" customFormat="1" ht="15" customHeight="1">
      <c r="B44" s="182"/>
      <c r="C44" s="181">
        <f>Tournament!D45</f>
        <v>30</v>
      </c>
      <c r="D44" s="181" t="str">
        <f>Tournament!E45</f>
        <v>G</v>
      </c>
      <c r="E44" s="188">
        <f>Tournament!F45</f>
        <v>41812.791666666664</v>
      </c>
      <c r="F44" s="189">
        <f>Tournament!G45</f>
        <v>41812.791666666664</v>
      </c>
      <c r="G44" s="190" t="str">
        <f>Tournament!H45</f>
        <v>USA</v>
      </c>
      <c r="H44" s="180"/>
      <c r="I44" s="9"/>
      <c r="J44" s="191" t="s">
        <v>3088</v>
      </c>
      <c r="K44" s="9"/>
      <c r="L44" s="180"/>
      <c r="M44" s="180" t="str">
        <f>Tournament!N45</f>
        <v>Portugal</v>
      </c>
      <c r="N44" s="183"/>
      <c r="P44" s="192" t="str">
        <f t="shared" si="0"/>
        <v>USA</v>
      </c>
      <c r="Q44" s="193"/>
      <c r="R44" s="194" t="str">
        <f>IF(Tournament!J45&lt;&gt;"",Tournament!J45,"")</f>
        <v/>
      </c>
      <c r="S44" s="194" t="s">
        <v>3088</v>
      </c>
      <c r="T44" s="194" t="str">
        <f>IF(Tournament!L45&lt;&gt;"",Tournament!L45,"")</f>
        <v/>
      </c>
      <c r="U44" s="193"/>
      <c r="V44" s="193" t="str">
        <f t="shared" si="1"/>
        <v>Portugal</v>
      </c>
      <c r="W44" s="194"/>
      <c r="X44" s="194"/>
      <c r="Y44" s="194"/>
      <c r="Z44" s="194"/>
      <c r="AA44" s="194"/>
      <c r="AB44" s="194"/>
      <c r="AC44" s="194"/>
      <c r="AD44" s="195" t="str">
        <f>IF(AND(I44&lt;&gt;"",K44&lt;&gt;"",R44&lt;&gt;"",T44&lt;&gt;""),IF(AND(I44=R44,K44=T44),Setup!$D$10,IF((I44-K44)=(R44-T44),Setup!$D$11,IF(AND((I44&gt;K44),(R44&gt;T44)),Setup!$D$12,IF(AND((K44&gt;I44),(T44&gt;R44)),Setup!$D$12,0)))),"")</f>
        <v/>
      </c>
      <c r="AE44" s="183"/>
      <c r="CP44" s="168"/>
      <c r="CQ44" s="168"/>
      <c r="CR44" s="187"/>
      <c r="CS44" s="168"/>
    </row>
    <row r="45" spans="2:97" s="166" customFormat="1" ht="15" customHeight="1">
      <c r="B45" s="182"/>
      <c r="C45" s="181">
        <f>Tournament!D46</f>
        <v>31</v>
      </c>
      <c r="D45" s="181" t="str">
        <f>Tournament!E46</f>
        <v>H</v>
      </c>
      <c r="E45" s="188">
        <f>Tournament!F46</f>
        <v>41812.541666666664</v>
      </c>
      <c r="F45" s="189">
        <f>Tournament!G46</f>
        <v>41812.541666666664</v>
      </c>
      <c r="G45" s="190" t="str">
        <f>Tournament!H46</f>
        <v>Belgium</v>
      </c>
      <c r="H45" s="180"/>
      <c r="I45" s="9"/>
      <c r="J45" s="191" t="s">
        <v>3088</v>
      </c>
      <c r="K45" s="9"/>
      <c r="L45" s="180"/>
      <c r="M45" s="180" t="str">
        <f>Tournament!N46</f>
        <v>Russia</v>
      </c>
      <c r="N45" s="183"/>
      <c r="P45" s="192" t="str">
        <f t="shared" si="0"/>
        <v>Belgium</v>
      </c>
      <c r="Q45" s="193"/>
      <c r="R45" s="194" t="str">
        <f>IF(Tournament!J46&lt;&gt;"",Tournament!J46,"")</f>
        <v/>
      </c>
      <c r="S45" s="194" t="s">
        <v>3088</v>
      </c>
      <c r="T45" s="194" t="str">
        <f>IF(Tournament!L46&lt;&gt;"",Tournament!L46,"")</f>
        <v/>
      </c>
      <c r="U45" s="193"/>
      <c r="V45" s="193" t="str">
        <f t="shared" si="1"/>
        <v>Russia</v>
      </c>
      <c r="W45" s="194"/>
      <c r="X45" s="194"/>
      <c r="Y45" s="194"/>
      <c r="Z45" s="194"/>
      <c r="AA45" s="194"/>
      <c r="AB45" s="194"/>
      <c r="AC45" s="194"/>
      <c r="AD45" s="195" t="str">
        <f>IF(AND(I45&lt;&gt;"",K45&lt;&gt;"",R45&lt;&gt;"",T45&lt;&gt;""),IF(AND(I45=R45,K45=T45),Setup!$D$10,IF((I45-K45)=(R45-T45),Setup!$D$11,IF(AND((I45&gt;K45),(R45&gt;T45)),Setup!$D$12,IF(AND((K45&gt;I45),(T45&gt;R45)),Setup!$D$12,0)))),"")</f>
        <v/>
      </c>
      <c r="AE45" s="183"/>
      <c r="CP45" s="168"/>
      <c r="CQ45" s="168"/>
      <c r="CR45" s="187"/>
      <c r="CS45" s="168"/>
    </row>
    <row r="46" spans="2:97" s="166" customFormat="1" ht="15" customHeight="1">
      <c r="B46" s="182"/>
      <c r="C46" s="181">
        <f>Tournament!D47</f>
        <v>32</v>
      </c>
      <c r="D46" s="181" t="str">
        <f>Tournament!E47</f>
        <v>H</v>
      </c>
      <c r="E46" s="188">
        <f>Tournament!F47</f>
        <v>41812.666666666664</v>
      </c>
      <c r="F46" s="189">
        <f>Tournament!G47</f>
        <v>41812.666666666664</v>
      </c>
      <c r="G46" s="190" t="str">
        <f>Tournament!H47</f>
        <v>South Korea</v>
      </c>
      <c r="H46" s="180"/>
      <c r="I46" s="9"/>
      <c r="J46" s="191" t="s">
        <v>3088</v>
      </c>
      <c r="K46" s="9"/>
      <c r="L46" s="180"/>
      <c r="M46" s="180" t="str">
        <f>Tournament!N47</f>
        <v>Algeria</v>
      </c>
      <c r="N46" s="183"/>
      <c r="P46" s="192" t="str">
        <f t="shared" si="0"/>
        <v>South Korea</v>
      </c>
      <c r="Q46" s="193"/>
      <c r="R46" s="194" t="str">
        <f>IF(Tournament!J47&lt;&gt;"",Tournament!J47,"")</f>
        <v/>
      </c>
      <c r="S46" s="194" t="s">
        <v>3088</v>
      </c>
      <c r="T46" s="194" t="str">
        <f>IF(Tournament!L47&lt;&gt;"",Tournament!L47,"")</f>
        <v/>
      </c>
      <c r="U46" s="193"/>
      <c r="V46" s="193" t="str">
        <f t="shared" si="1"/>
        <v>Algeria</v>
      </c>
      <c r="W46" s="194"/>
      <c r="X46" s="194"/>
      <c r="Y46" s="194"/>
      <c r="Z46" s="194"/>
      <c r="AA46" s="194"/>
      <c r="AB46" s="194"/>
      <c r="AC46" s="194"/>
      <c r="AD46" s="195" t="str">
        <f>IF(AND(I46&lt;&gt;"",K46&lt;&gt;"",R46&lt;&gt;"",T46&lt;&gt;""),IF(AND(I46=R46,K46=T46),Setup!$D$10,IF((I46-K46)=(R46-T46),Setup!$D$11,IF(AND((I46&gt;K46),(R46&gt;T46)),Setup!$D$12,IF(AND((K46&gt;I46),(T46&gt;R46)),Setup!$D$12,0)))),"")</f>
        <v/>
      </c>
      <c r="AE46" s="183"/>
      <c r="CP46" s="168"/>
      <c r="CQ46" s="168"/>
      <c r="CR46" s="187"/>
      <c r="CS46" s="168"/>
    </row>
    <row r="47" spans="2:97" s="166" customFormat="1" ht="15" customHeight="1">
      <c r="B47" s="182"/>
      <c r="C47" s="181">
        <f>Tournament!D48</f>
        <v>33</v>
      </c>
      <c r="D47" s="181" t="str">
        <f>Tournament!E48</f>
        <v>A</v>
      </c>
      <c r="E47" s="188">
        <f>Tournament!F48</f>
        <v>41813.708333333336</v>
      </c>
      <c r="F47" s="189">
        <f>Tournament!G48</f>
        <v>41813.708333333336</v>
      </c>
      <c r="G47" s="190" t="str">
        <f>Tournament!H48</f>
        <v>Cameroon</v>
      </c>
      <c r="H47" s="180"/>
      <c r="I47" s="9"/>
      <c r="J47" s="191" t="s">
        <v>3088</v>
      </c>
      <c r="K47" s="9"/>
      <c r="L47" s="180"/>
      <c r="M47" s="180" t="str">
        <f>Tournament!N48</f>
        <v>Brazil</v>
      </c>
      <c r="N47" s="183"/>
      <c r="P47" s="192" t="str">
        <f t="shared" si="0"/>
        <v>Cameroon</v>
      </c>
      <c r="Q47" s="193"/>
      <c r="R47" s="194" t="str">
        <f>IF(Tournament!J48&lt;&gt;"",Tournament!J48,"")</f>
        <v/>
      </c>
      <c r="S47" s="194" t="s">
        <v>3088</v>
      </c>
      <c r="T47" s="194" t="str">
        <f>IF(Tournament!L48&lt;&gt;"",Tournament!L48,"")</f>
        <v/>
      </c>
      <c r="U47" s="193"/>
      <c r="V47" s="193" t="str">
        <f t="shared" si="1"/>
        <v>Brazil</v>
      </c>
      <c r="W47" s="194"/>
      <c r="X47" s="194"/>
      <c r="Y47" s="194"/>
      <c r="Z47" s="194"/>
      <c r="AA47" s="194"/>
      <c r="AB47" s="194"/>
      <c r="AC47" s="194"/>
      <c r="AD47" s="195" t="str">
        <f>IF(AND(I47&lt;&gt;"",K47&lt;&gt;"",R47&lt;&gt;"",T47&lt;&gt;""),IF(AND(I47=R47,K47=T47),Setup!$D$10,IF((I47-K47)=(R47-T47),Setup!$D$11,IF(AND((I47&gt;K47),(R47&gt;T47)),Setup!$D$12,IF(AND((K47&gt;I47),(T47&gt;R47)),Setup!$D$12,0)))),"")</f>
        <v/>
      </c>
      <c r="AE47" s="183"/>
      <c r="CP47" s="168"/>
      <c r="CQ47" s="168"/>
      <c r="CR47" s="187"/>
      <c r="CS47" s="168"/>
    </row>
    <row r="48" spans="2:97" s="166" customFormat="1" ht="15" customHeight="1">
      <c r="B48" s="182"/>
      <c r="C48" s="181">
        <f>Tournament!D49</f>
        <v>34</v>
      </c>
      <c r="D48" s="181" t="str">
        <f>Tournament!E49</f>
        <v>A</v>
      </c>
      <c r="E48" s="188">
        <f>Tournament!F49</f>
        <v>41813.708333333336</v>
      </c>
      <c r="F48" s="189">
        <f>Tournament!G49</f>
        <v>41813.708333333336</v>
      </c>
      <c r="G48" s="190" t="str">
        <f>Tournament!H49</f>
        <v>Croatia</v>
      </c>
      <c r="H48" s="180"/>
      <c r="I48" s="9"/>
      <c r="J48" s="191" t="s">
        <v>3088</v>
      </c>
      <c r="K48" s="9"/>
      <c r="L48" s="180"/>
      <c r="M48" s="180" t="str">
        <f>Tournament!N49</f>
        <v>Mexico</v>
      </c>
      <c r="N48" s="183"/>
      <c r="P48" s="192" t="str">
        <f t="shared" si="0"/>
        <v>Croatia</v>
      </c>
      <c r="Q48" s="193"/>
      <c r="R48" s="194" t="str">
        <f>IF(Tournament!J49&lt;&gt;"",Tournament!J49,"")</f>
        <v/>
      </c>
      <c r="S48" s="194" t="s">
        <v>3088</v>
      </c>
      <c r="T48" s="194" t="str">
        <f>IF(Tournament!L49&lt;&gt;"",Tournament!L49,"")</f>
        <v/>
      </c>
      <c r="U48" s="193"/>
      <c r="V48" s="193" t="str">
        <f t="shared" si="1"/>
        <v>Mexico</v>
      </c>
      <c r="W48" s="194"/>
      <c r="X48" s="194"/>
      <c r="Y48" s="194"/>
      <c r="Z48" s="194"/>
      <c r="AA48" s="194"/>
      <c r="AB48" s="194"/>
      <c r="AC48" s="194"/>
      <c r="AD48" s="195" t="str">
        <f>IF(AND(I48&lt;&gt;"",K48&lt;&gt;"",R48&lt;&gt;"",T48&lt;&gt;""),IF(AND(I48=R48,K48=T48),Setup!$D$10,IF((I48-K48)=(R48-T48),Setup!$D$11,IF(AND((I48&gt;K48),(R48&gt;T48)),Setup!$D$12,IF(AND((K48&gt;I48),(T48&gt;R48)),Setup!$D$12,0)))),"")</f>
        <v/>
      </c>
      <c r="AE48" s="183"/>
      <c r="CP48" s="168"/>
      <c r="CQ48" s="168"/>
      <c r="CR48" s="187"/>
      <c r="CS48" s="168"/>
    </row>
    <row r="49" spans="2:97" s="166" customFormat="1" ht="15" customHeight="1">
      <c r="B49" s="182"/>
      <c r="C49" s="181">
        <f>Tournament!D50</f>
        <v>35</v>
      </c>
      <c r="D49" s="181" t="str">
        <f>Tournament!E50</f>
        <v>B</v>
      </c>
      <c r="E49" s="188">
        <f>Tournament!F50</f>
        <v>41813.541666666664</v>
      </c>
      <c r="F49" s="189">
        <f>Tournament!G50</f>
        <v>41813.541666666664</v>
      </c>
      <c r="G49" s="190" t="str">
        <f>Tournament!H50</f>
        <v>Australia</v>
      </c>
      <c r="H49" s="180"/>
      <c r="I49" s="9"/>
      <c r="J49" s="191" t="s">
        <v>3088</v>
      </c>
      <c r="K49" s="9"/>
      <c r="L49" s="180"/>
      <c r="M49" s="180" t="str">
        <f>Tournament!N50</f>
        <v>Spain</v>
      </c>
      <c r="N49" s="183"/>
      <c r="P49" s="192" t="str">
        <f t="shared" si="0"/>
        <v>Australia</v>
      </c>
      <c r="Q49" s="193"/>
      <c r="R49" s="194" t="str">
        <f>IF(Tournament!J50&lt;&gt;"",Tournament!J50,"")</f>
        <v/>
      </c>
      <c r="S49" s="194" t="s">
        <v>3088</v>
      </c>
      <c r="T49" s="194" t="str">
        <f>IF(Tournament!L50&lt;&gt;"",Tournament!L50,"")</f>
        <v/>
      </c>
      <c r="U49" s="193"/>
      <c r="V49" s="193" t="str">
        <f t="shared" si="1"/>
        <v>Spain</v>
      </c>
      <c r="W49" s="194"/>
      <c r="X49" s="194"/>
      <c r="Y49" s="194"/>
      <c r="Z49" s="194"/>
      <c r="AA49" s="194"/>
      <c r="AB49" s="194"/>
      <c r="AC49" s="194"/>
      <c r="AD49" s="195" t="str">
        <f>IF(AND(I49&lt;&gt;"",K49&lt;&gt;"",R49&lt;&gt;"",T49&lt;&gt;""),IF(AND(I49=R49,K49=T49),Setup!$D$10,IF((I49-K49)=(R49-T49),Setup!$D$11,IF(AND((I49&gt;K49),(R49&gt;T49)),Setup!$D$12,IF(AND((K49&gt;I49),(T49&gt;R49)),Setup!$D$12,0)))),"")</f>
        <v/>
      </c>
      <c r="AE49" s="183"/>
      <c r="CP49" s="168"/>
      <c r="CQ49" s="168"/>
      <c r="CR49" s="187"/>
      <c r="CS49" s="168"/>
    </row>
    <row r="50" spans="2:97" s="166" customFormat="1" ht="15" customHeight="1">
      <c r="B50" s="182"/>
      <c r="C50" s="181">
        <f>Tournament!D51</f>
        <v>36</v>
      </c>
      <c r="D50" s="181" t="str">
        <f>Tournament!E51</f>
        <v>B</v>
      </c>
      <c r="E50" s="188">
        <f>Tournament!F51</f>
        <v>41813.541666666664</v>
      </c>
      <c r="F50" s="189">
        <f>Tournament!G51</f>
        <v>41813.541666666664</v>
      </c>
      <c r="G50" s="190" t="str">
        <f>Tournament!H51</f>
        <v>Netherlands</v>
      </c>
      <c r="H50" s="180"/>
      <c r="I50" s="9"/>
      <c r="J50" s="191" t="s">
        <v>3088</v>
      </c>
      <c r="K50" s="9"/>
      <c r="L50" s="180"/>
      <c r="M50" s="180" t="str">
        <f>Tournament!N51</f>
        <v>Chile</v>
      </c>
      <c r="N50" s="183"/>
      <c r="P50" s="192" t="str">
        <f t="shared" si="0"/>
        <v>Netherlands</v>
      </c>
      <c r="Q50" s="193"/>
      <c r="R50" s="194" t="str">
        <f>IF(Tournament!J51&lt;&gt;"",Tournament!J51,"")</f>
        <v/>
      </c>
      <c r="S50" s="194" t="s">
        <v>3088</v>
      </c>
      <c r="T50" s="194" t="str">
        <f>IF(Tournament!L51&lt;&gt;"",Tournament!L51,"")</f>
        <v/>
      </c>
      <c r="U50" s="193"/>
      <c r="V50" s="193" t="str">
        <f t="shared" si="1"/>
        <v>Chile</v>
      </c>
      <c r="W50" s="194"/>
      <c r="X50" s="194"/>
      <c r="Y50" s="194"/>
      <c r="Z50" s="194"/>
      <c r="AA50" s="194"/>
      <c r="AB50" s="194"/>
      <c r="AC50" s="194"/>
      <c r="AD50" s="195" t="str">
        <f>IF(AND(I50&lt;&gt;"",K50&lt;&gt;"",R50&lt;&gt;"",T50&lt;&gt;""),IF(AND(I50=R50,K50=T50),Setup!$D$10,IF((I50-K50)=(R50-T50),Setup!$D$11,IF(AND((I50&gt;K50),(R50&gt;T50)),Setup!$D$12,IF(AND((K50&gt;I50),(T50&gt;R50)),Setup!$D$12,0)))),"")</f>
        <v/>
      </c>
      <c r="AE50" s="183"/>
      <c r="CP50" s="168"/>
      <c r="CQ50" s="168"/>
      <c r="CR50" s="187"/>
      <c r="CS50" s="168"/>
    </row>
    <row r="51" spans="2:97" s="166" customFormat="1" ht="15" customHeight="1">
      <c r="B51" s="182"/>
      <c r="C51" s="181">
        <f>Tournament!D52</f>
        <v>37</v>
      </c>
      <c r="D51" s="181" t="str">
        <f>Tournament!E52</f>
        <v>C</v>
      </c>
      <c r="E51" s="188">
        <f>Tournament!F52</f>
        <v>41814.708333333336</v>
      </c>
      <c r="F51" s="189">
        <f>Tournament!G52</f>
        <v>41814.708333333336</v>
      </c>
      <c r="G51" s="190" t="str">
        <f>Tournament!H52</f>
        <v>Japan</v>
      </c>
      <c r="H51" s="180"/>
      <c r="I51" s="9"/>
      <c r="J51" s="191" t="s">
        <v>3088</v>
      </c>
      <c r="K51" s="9"/>
      <c r="L51" s="180"/>
      <c r="M51" s="180" t="str">
        <f>Tournament!N52</f>
        <v>Colombia</v>
      </c>
      <c r="N51" s="183"/>
      <c r="P51" s="192" t="str">
        <f t="shared" si="0"/>
        <v>Japan</v>
      </c>
      <c r="Q51" s="193"/>
      <c r="R51" s="194" t="str">
        <f>IF(Tournament!J52&lt;&gt;"",Tournament!J52,"")</f>
        <v/>
      </c>
      <c r="S51" s="194" t="s">
        <v>3088</v>
      </c>
      <c r="T51" s="194" t="str">
        <f>IF(Tournament!L52&lt;&gt;"",Tournament!L52,"")</f>
        <v/>
      </c>
      <c r="U51" s="193"/>
      <c r="V51" s="193" t="str">
        <f t="shared" si="1"/>
        <v>Colombia</v>
      </c>
      <c r="W51" s="194"/>
      <c r="X51" s="194"/>
      <c r="Y51" s="194"/>
      <c r="Z51" s="194"/>
      <c r="AA51" s="194"/>
      <c r="AB51" s="194"/>
      <c r="AC51" s="194"/>
      <c r="AD51" s="195" t="str">
        <f>IF(AND(I51&lt;&gt;"",K51&lt;&gt;"",R51&lt;&gt;"",T51&lt;&gt;""),IF(AND(I51=R51,K51=T51),Setup!$D$10,IF((I51-K51)=(R51-T51),Setup!$D$11,IF(AND((I51&gt;K51),(R51&gt;T51)),Setup!$D$12,IF(AND((K51&gt;I51),(T51&gt;R51)),Setup!$D$12,0)))),"")</f>
        <v/>
      </c>
      <c r="AE51" s="183"/>
      <c r="CP51" s="168"/>
      <c r="CQ51" s="168"/>
      <c r="CR51" s="187"/>
      <c r="CS51" s="168"/>
    </row>
    <row r="52" spans="2:97" s="166" customFormat="1" ht="15" customHeight="1">
      <c r="B52" s="182"/>
      <c r="C52" s="181">
        <f>Tournament!D53</f>
        <v>38</v>
      </c>
      <c r="D52" s="181" t="str">
        <f>Tournament!E53</f>
        <v>C</v>
      </c>
      <c r="E52" s="188">
        <f>Tournament!F53</f>
        <v>41814.708333333336</v>
      </c>
      <c r="F52" s="189">
        <f>Tournament!G53</f>
        <v>41814.708333333336</v>
      </c>
      <c r="G52" s="190" t="str">
        <f>Tournament!H53</f>
        <v>Greece</v>
      </c>
      <c r="H52" s="180"/>
      <c r="I52" s="9"/>
      <c r="J52" s="191" t="s">
        <v>3088</v>
      </c>
      <c r="K52" s="9"/>
      <c r="L52" s="180"/>
      <c r="M52" s="180" t="str">
        <f>Tournament!N53</f>
        <v>Ivory Coast</v>
      </c>
      <c r="N52" s="183"/>
      <c r="P52" s="192" t="str">
        <f t="shared" si="0"/>
        <v>Greece</v>
      </c>
      <c r="Q52" s="193"/>
      <c r="R52" s="194" t="str">
        <f>IF(Tournament!J53&lt;&gt;"",Tournament!J53,"")</f>
        <v/>
      </c>
      <c r="S52" s="194" t="s">
        <v>3088</v>
      </c>
      <c r="T52" s="194" t="str">
        <f>IF(Tournament!L53&lt;&gt;"",Tournament!L53,"")</f>
        <v/>
      </c>
      <c r="U52" s="193"/>
      <c r="V52" s="193" t="str">
        <f t="shared" si="1"/>
        <v>Ivory Coast</v>
      </c>
      <c r="W52" s="194"/>
      <c r="X52" s="194"/>
      <c r="Y52" s="194"/>
      <c r="Z52" s="194"/>
      <c r="AA52" s="194"/>
      <c r="AB52" s="194"/>
      <c r="AC52" s="194"/>
      <c r="AD52" s="195" t="str">
        <f>IF(AND(I52&lt;&gt;"",K52&lt;&gt;"",R52&lt;&gt;"",T52&lt;&gt;""),IF(AND(I52=R52,K52=T52),Setup!$D$10,IF((I52-K52)=(R52-T52),Setup!$D$11,IF(AND((I52&gt;K52),(R52&gt;T52)),Setup!$D$12,IF(AND((K52&gt;I52),(T52&gt;R52)),Setup!$D$12,0)))),"")</f>
        <v/>
      </c>
      <c r="AE52" s="183"/>
      <c r="CP52" s="168"/>
      <c r="CQ52" s="168"/>
      <c r="CR52" s="187"/>
      <c r="CS52" s="168"/>
    </row>
    <row r="53" spans="2:97" s="166" customFormat="1" ht="15" customHeight="1">
      <c r="B53" s="182"/>
      <c r="C53" s="181">
        <f>Tournament!D54</f>
        <v>39</v>
      </c>
      <c r="D53" s="181" t="str">
        <f>Tournament!E54</f>
        <v>D</v>
      </c>
      <c r="E53" s="188">
        <f>Tournament!F54</f>
        <v>41814.541666666664</v>
      </c>
      <c r="F53" s="189">
        <f>Tournament!G54</f>
        <v>41814.541666666664</v>
      </c>
      <c r="G53" s="190" t="str">
        <f>Tournament!H54</f>
        <v>Italy</v>
      </c>
      <c r="H53" s="180"/>
      <c r="I53" s="9"/>
      <c r="J53" s="191" t="s">
        <v>3088</v>
      </c>
      <c r="K53" s="9"/>
      <c r="L53" s="180"/>
      <c r="M53" s="180" t="str">
        <f>Tournament!N54</f>
        <v>Uruguay</v>
      </c>
      <c r="N53" s="183"/>
      <c r="P53" s="192" t="str">
        <f t="shared" si="0"/>
        <v>Italy</v>
      </c>
      <c r="Q53" s="193"/>
      <c r="R53" s="194" t="str">
        <f>IF(Tournament!J54&lt;&gt;"",Tournament!J54,"")</f>
        <v/>
      </c>
      <c r="S53" s="194" t="s">
        <v>3088</v>
      </c>
      <c r="T53" s="194" t="str">
        <f>IF(Tournament!L54&lt;&gt;"",Tournament!L54,"")</f>
        <v/>
      </c>
      <c r="U53" s="193"/>
      <c r="V53" s="193" t="str">
        <f t="shared" si="1"/>
        <v>Uruguay</v>
      </c>
      <c r="W53" s="194"/>
      <c r="X53" s="194"/>
      <c r="Y53" s="194"/>
      <c r="Z53" s="194"/>
      <c r="AA53" s="194"/>
      <c r="AB53" s="194"/>
      <c r="AC53" s="194"/>
      <c r="AD53" s="195" t="str">
        <f>IF(AND(I53&lt;&gt;"",K53&lt;&gt;"",R53&lt;&gt;"",T53&lt;&gt;""),IF(AND(I53=R53,K53=T53),Setup!$D$10,IF((I53-K53)=(R53-T53),Setup!$D$11,IF(AND((I53&gt;K53),(R53&gt;T53)),Setup!$D$12,IF(AND((K53&gt;I53),(T53&gt;R53)),Setup!$D$12,0)))),"")</f>
        <v/>
      </c>
      <c r="AE53" s="183"/>
      <c r="CP53" s="168"/>
      <c r="CQ53" s="168"/>
      <c r="CR53" s="187"/>
      <c r="CS53" s="168"/>
    </row>
    <row r="54" spans="2:97" s="166" customFormat="1" ht="15" customHeight="1">
      <c r="B54" s="182"/>
      <c r="C54" s="181">
        <f>Tournament!D55</f>
        <v>40</v>
      </c>
      <c r="D54" s="181" t="str">
        <f>Tournament!E55</f>
        <v>D</v>
      </c>
      <c r="E54" s="188">
        <f>Tournament!F55</f>
        <v>41814.541666666664</v>
      </c>
      <c r="F54" s="189">
        <f>Tournament!G55</f>
        <v>41814.541666666664</v>
      </c>
      <c r="G54" s="190" t="str">
        <f>Tournament!H55</f>
        <v>Costa Rica</v>
      </c>
      <c r="H54" s="180"/>
      <c r="I54" s="9"/>
      <c r="J54" s="191" t="s">
        <v>3088</v>
      </c>
      <c r="K54" s="9"/>
      <c r="L54" s="180"/>
      <c r="M54" s="180" t="str">
        <f>Tournament!N55</f>
        <v>England</v>
      </c>
      <c r="N54" s="183"/>
      <c r="P54" s="192" t="str">
        <f t="shared" si="0"/>
        <v>Costa Rica</v>
      </c>
      <c r="Q54" s="193"/>
      <c r="R54" s="194" t="str">
        <f>IF(Tournament!J55&lt;&gt;"",Tournament!J55,"")</f>
        <v/>
      </c>
      <c r="S54" s="194" t="s">
        <v>3088</v>
      </c>
      <c r="T54" s="194" t="str">
        <f>IF(Tournament!L55&lt;&gt;"",Tournament!L55,"")</f>
        <v/>
      </c>
      <c r="U54" s="193"/>
      <c r="V54" s="193" t="str">
        <f t="shared" si="1"/>
        <v>England</v>
      </c>
      <c r="W54" s="194"/>
      <c r="X54" s="194"/>
      <c r="Y54" s="194"/>
      <c r="Z54" s="194"/>
      <c r="AA54" s="194"/>
      <c r="AB54" s="194"/>
      <c r="AC54" s="194"/>
      <c r="AD54" s="195" t="str">
        <f>IF(AND(I54&lt;&gt;"",K54&lt;&gt;"",R54&lt;&gt;"",T54&lt;&gt;""),IF(AND(I54=R54,K54=T54),Setup!$D$10,IF((I54-K54)=(R54-T54),Setup!$D$11,IF(AND((I54&gt;K54),(R54&gt;T54)),Setup!$D$12,IF(AND((K54&gt;I54),(T54&gt;R54)),Setup!$D$12,0)))),"")</f>
        <v/>
      </c>
      <c r="AE54" s="183"/>
      <c r="CP54" s="168"/>
      <c r="CQ54" s="168"/>
      <c r="CR54" s="187"/>
      <c r="CS54" s="168"/>
    </row>
    <row r="55" spans="2:97" s="166" customFormat="1" ht="15" customHeight="1">
      <c r="B55" s="182"/>
      <c r="C55" s="181">
        <f>Tournament!D56</f>
        <v>41</v>
      </c>
      <c r="D55" s="181" t="str">
        <f>Tournament!E56</f>
        <v>E</v>
      </c>
      <c r="E55" s="188">
        <f>Tournament!F56</f>
        <v>41815.708333333336</v>
      </c>
      <c r="F55" s="189">
        <f>Tournament!G56</f>
        <v>41815.708333333336</v>
      </c>
      <c r="G55" s="190" t="str">
        <f>Tournament!H56</f>
        <v>Honduras</v>
      </c>
      <c r="H55" s="180"/>
      <c r="I55" s="9"/>
      <c r="J55" s="191" t="s">
        <v>3088</v>
      </c>
      <c r="K55" s="9"/>
      <c r="L55" s="180"/>
      <c r="M55" s="180" t="str">
        <f>Tournament!N56</f>
        <v>Switzerland</v>
      </c>
      <c r="N55" s="183"/>
      <c r="P55" s="192" t="str">
        <f t="shared" si="0"/>
        <v>Honduras</v>
      </c>
      <c r="Q55" s="193"/>
      <c r="R55" s="194" t="str">
        <f>IF(Tournament!J56&lt;&gt;"",Tournament!J56,"")</f>
        <v/>
      </c>
      <c r="S55" s="194" t="s">
        <v>3088</v>
      </c>
      <c r="T55" s="194" t="str">
        <f>IF(Tournament!L56&lt;&gt;"",Tournament!L56,"")</f>
        <v/>
      </c>
      <c r="U55" s="193"/>
      <c r="V55" s="193" t="str">
        <f t="shared" si="1"/>
        <v>Switzerland</v>
      </c>
      <c r="W55" s="194"/>
      <c r="X55" s="194"/>
      <c r="Y55" s="194"/>
      <c r="Z55" s="194"/>
      <c r="AA55" s="194"/>
      <c r="AB55" s="194"/>
      <c r="AC55" s="194"/>
      <c r="AD55" s="195" t="str">
        <f>IF(AND(I55&lt;&gt;"",K55&lt;&gt;"",R55&lt;&gt;"",T55&lt;&gt;""),IF(AND(I55=R55,K55=T55),Setup!$D$10,IF((I55-K55)=(R55-T55),Setup!$D$11,IF(AND((I55&gt;K55),(R55&gt;T55)),Setup!$D$12,IF(AND((K55&gt;I55),(T55&gt;R55)),Setup!$D$12,0)))),"")</f>
        <v/>
      </c>
      <c r="AE55" s="183"/>
      <c r="CP55" s="168"/>
      <c r="CQ55" s="168"/>
      <c r="CR55" s="187"/>
      <c r="CS55" s="168"/>
    </row>
    <row r="56" spans="2:97" s="166" customFormat="1" ht="15" customHeight="1">
      <c r="B56" s="182"/>
      <c r="C56" s="181">
        <f>Tournament!D57</f>
        <v>42</v>
      </c>
      <c r="D56" s="181" t="str">
        <f>Tournament!E57</f>
        <v>E</v>
      </c>
      <c r="E56" s="188">
        <f>Tournament!F57</f>
        <v>41815.708333333336</v>
      </c>
      <c r="F56" s="189">
        <f>Tournament!G57</f>
        <v>41815.708333333336</v>
      </c>
      <c r="G56" s="190" t="str">
        <f>Tournament!H57</f>
        <v>Ecuador</v>
      </c>
      <c r="H56" s="180"/>
      <c r="I56" s="9"/>
      <c r="J56" s="191" t="s">
        <v>3088</v>
      </c>
      <c r="K56" s="9"/>
      <c r="L56" s="180"/>
      <c r="M56" s="180" t="str">
        <f>Tournament!N57</f>
        <v>France</v>
      </c>
      <c r="N56" s="183"/>
      <c r="P56" s="192" t="str">
        <f t="shared" si="0"/>
        <v>Ecuador</v>
      </c>
      <c r="Q56" s="193"/>
      <c r="R56" s="194" t="str">
        <f>IF(Tournament!J57&lt;&gt;"",Tournament!J57,"")</f>
        <v/>
      </c>
      <c r="S56" s="194" t="s">
        <v>3088</v>
      </c>
      <c r="T56" s="194" t="str">
        <f>IF(Tournament!L57&lt;&gt;"",Tournament!L57,"")</f>
        <v/>
      </c>
      <c r="U56" s="193"/>
      <c r="V56" s="193" t="str">
        <f t="shared" si="1"/>
        <v>France</v>
      </c>
      <c r="W56" s="194"/>
      <c r="X56" s="194"/>
      <c r="Y56" s="194"/>
      <c r="Z56" s="194"/>
      <c r="AA56" s="194"/>
      <c r="AB56" s="194"/>
      <c r="AC56" s="194"/>
      <c r="AD56" s="195" t="str">
        <f>IF(AND(I56&lt;&gt;"",K56&lt;&gt;"",R56&lt;&gt;"",T56&lt;&gt;""),IF(AND(I56=R56,K56=T56),Setup!$D$10,IF((I56-K56)=(R56-T56),Setup!$D$11,IF(AND((I56&gt;K56),(R56&gt;T56)),Setup!$D$12,IF(AND((K56&gt;I56),(T56&gt;R56)),Setup!$D$12,0)))),"")</f>
        <v/>
      </c>
      <c r="AE56" s="183"/>
      <c r="CP56" s="168"/>
      <c r="CQ56" s="168"/>
      <c r="CR56" s="187"/>
      <c r="CS56" s="168"/>
    </row>
    <row r="57" spans="2:97" s="166" customFormat="1" ht="15" customHeight="1">
      <c r="B57" s="182"/>
      <c r="C57" s="181">
        <f>Tournament!D58</f>
        <v>43</v>
      </c>
      <c r="D57" s="181" t="str">
        <f>Tournament!E58</f>
        <v>F</v>
      </c>
      <c r="E57" s="188">
        <f>Tournament!F58</f>
        <v>41815.541666666664</v>
      </c>
      <c r="F57" s="189">
        <f>Tournament!G58</f>
        <v>41815.541666666664</v>
      </c>
      <c r="G57" s="190" t="str">
        <f>Tournament!H58</f>
        <v>Nigeria</v>
      </c>
      <c r="H57" s="180"/>
      <c r="I57" s="9"/>
      <c r="J57" s="191" t="s">
        <v>3088</v>
      </c>
      <c r="K57" s="9"/>
      <c r="L57" s="180"/>
      <c r="M57" s="180" t="str">
        <f>Tournament!N58</f>
        <v>Argentina</v>
      </c>
      <c r="N57" s="183"/>
      <c r="P57" s="192" t="str">
        <f t="shared" si="0"/>
        <v>Nigeria</v>
      </c>
      <c r="Q57" s="193"/>
      <c r="R57" s="194" t="str">
        <f>IF(Tournament!J58&lt;&gt;"",Tournament!J58,"")</f>
        <v/>
      </c>
      <c r="S57" s="194" t="s">
        <v>3088</v>
      </c>
      <c r="T57" s="194" t="str">
        <f>IF(Tournament!L58&lt;&gt;"",Tournament!L58,"")</f>
        <v/>
      </c>
      <c r="U57" s="193"/>
      <c r="V57" s="193" t="str">
        <f t="shared" si="1"/>
        <v>Argentina</v>
      </c>
      <c r="W57" s="194"/>
      <c r="X57" s="194"/>
      <c r="Y57" s="194"/>
      <c r="Z57" s="194"/>
      <c r="AA57" s="194"/>
      <c r="AB57" s="194"/>
      <c r="AC57" s="194"/>
      <c r="AD57" s="195" t="str">
        <f>IF(AND(I57&lt;&gt;"",K57&lt;&gt;"",R57&lt;&gt;"",T57&lt;&gt;""),IF(AND(I57=R57,K57=T57),Setup!$D$10,IF((I57-K57)=(R57-T57),Setup!$D$11,IF(AND((I57&gt;K57),(R57&gt;T57)),Setup!$D$12,IF(AND((K57&gt;I57),(T57&gt;R57)),Setup!$D$12,0)))),"")</f>
        <v/>
      </c>
      <c r="AE57" s="183"/>
      <c r="CP57" s="168"/>
      <c r="CQ57" s="168"/>
      <c r="CR57" s="187"/>
      <c r="CS57" s="168"/>
    </row>
    <row r="58" spans="2:97" s="166" customFormat="1" ht="15" customHeight="1">
      <c r="B58" s="182"/>
      <c r="C58" s="181">
        <f>Tournament!D59</f>
        <v>44</v>
      </c>
      <c r="D58" s="181" t="str">
        <f>Tournament!E59</f>
        <v>F</v>
      </c>
      <c r="E58" s="188">
        <f>Tournament!F59</f>
        <v>41815.541666666664</v>
      </c>
      <c r="F58" s="189">
        <f>Tournament!G59</f>
        <v>41815.541666666664</v>
      </c>
      <c r="G58" s="190" t="str">
        <f>Tournament!H59</f>
        <v>Bosnia-Herzegovina</v>
      </c>
      <c r="H58" s="180"/>
      <c r="I58" s="9"/>
      <c r="J58" s="191" t="s">
        <v>3088</v>
      </c>
      <c r="K58" s="9"/>
      <c r="L58" s="180"/>
      <c r="M58" s="180" t="str">
        <f>Tournament!N59</f>
        <v>Iran</v>
      </c>
      <c r="N58" s="183"/>
      <c r="P58" s="192" t="str">
        <f t="shared" si="0"/>
        <v>Bosnia-Herzegovina</v>
      </c>
      <c r="Q58" s="193"/>
      <c r="R58" s="194" t="str">
        <f>IF(Tournament!J59&lt;&gt;"",Tournament!J59,"")</f>
        <v/>
      </c>
      <c r="S58" s="194" t="s">
        <v>3088</v>
      </c>
      <c r="T58" s="194" t="str">
        <f>IF(Tournament!L59&lt;&gt;"",Tournament!L59,"")</f>
        <v/>
      </c>
      <c r="U58" s="193"/>
      <c r="V58" s="193" t="str">
        <f t="shared" si="1"/>
        <v>Iran</v>
      </c>
      <c r="W58" s="194"/>
      <c r="X58" s="194"/>
      <c r="Y58" s="194"/>
      <c r="Z58" s="194"/>
      <c r="AA58" s="194"/>
      <c r="AB58" s="194"/>
      <c r="AC58" s="194"/>
      <c r="AD58" s="195" t="str">
        <f>IF(AND(I58&lt;&gt;"",K58&lt;&gt;"",R58&lt;&gt;"",T58&lt;&gt;""),IF(AND(I58=R58,K58=T58),Setup!$D$10,IF((I58-K58)=(R58-T58),Setup!$D$11,IF(AND((I58&gt;K58),(R58&gt;T58)),Setup!$D$12,IF(AND((K58&gt;I58),(T58&gt;R58)),Setup!$D$12,0)))),"")</f>
        <v/>
      </c>
      <c r="AE58" s="183"/>
      <c r="CP58" s="168"/>
      <c r="CQ58" s="168"/>
      <c r="CR58" s="187"/>
      <c r="CS58" s="168"/>
    </row>
    <row r="59" spans="2:97" s="166" customFormat="1" ht="15" customHeight="1">
      <c r="B59" s="182"/>
      <c r="C59" s="181">
        <f>Tournament!D60</f>
        <v>45</v>
      </c>
      <c r="D59" s="181" t="str">
        <f>Tournament!E60</f>
        <v>G</v>
      </c>
      <c r="E59" s="188">
        <f>Tournament!F60</f>
        <v>41816.541666666664</v>
      </c>
      <c r="F59" s="189">
        <f>Tournament!G60</f>
        <v>41816.541666666664</v>
      </c>
      <c r="G59" s="190" t="str">
        <f>Tournament!H60</f>
        <v>USA</v>
      </c>
      <c r="H59" s="180"/>
      <c r="I59" s="9"/>
      <c r="J59" s="191" t="s">
        <v>3088</v>
      </c>
      <c r="K59" s="9"/>
      <c r="L59" s="180"/>
      <c r="M59" s="180" t="str">
        <f>Tournament!N60</f>
        <v>Germany</v>
      </c>
      <c r="N59" s="183"/>
      <c r="P59" s="192" t="str">
        <f t="shared" si="0"/>
        <v>USA</v>
      </c>
      <c r="Q59" s="193"/>
      <c r="R59" s="194" t="str">
        <f>IF(Tournament!J60&lt;&gt;"",Tournament!J60,"")</f>
        <v/>
      </c>
      <c r="S59" s="194" t="s">
        <v>3088</v>
      </c>
      <c r="T59" s="194" t="str">
        <f>IF(Tournament!L60&lt;&gt;"",Tournament!L60,"")</f>
        <v/>
      </c>
      <c r="U59" s="193"/>
      <c r="V59" s="193" t="str">
        <f t="shared" si="1"/>
        <v>Germany</v>
      </c>
      <c r="W59" s="194"/>
      <c r="X59" s="194"/>
      <c r="Y59" s="194"/>
      <c r="Z59" s="194"/>
      <c r="AA59" s="194"/>
      <c r="AB59" s="194"/>
      <c r="AC59" s="194"/>
      <c r="AD59" s="195" t="str">
        <f>IF(AND(I59&lt;&gt;"",K59&lt;&gt;"",R59&lt;&gt;"",T59&lt;&gt;""),IF(AND(I59=R59,K59=T59),Setup!$D$10,IF((I59-K59)=(R59-T59),Setup!$D$11,IF(AND((I59&gt;K59),(R59&gt;T59)),Setup!$D$12,IF(AND((K59&gt;I59),(T59&gt;R59)),Setup!$D$12,0)))),"")</f>
        <v/>
      </c>
      <c r="AE59" s="183"/>
      <c r="CP59" s="168"/>
      <c r="CQ59" s="168"/>
      <c r="CR59" s="187"/>
      <c r="CS59" s="168"/>
    </row>
    <row r="60" spans="2:97" s="166" customFormat="1" ht="15" customHeight="1">
      <c r="B60" s="182"/>
      <c r="C60" s="181">
        <f>Tournament!D61</f>
        <v>46</v>
      </c>
      <c r="D60" s="181" t="str">
        <f>Tournament!E61</f>
        <v>G</v>
      </c>
      <c r="E60" s="188">
        <f>Tournament!F61</f>
        <v>41816.541666666664</v>
      </c>
      <c r="F60" s="189">
        <f>Tournament!G61</f>
        <v>41816.541666666664</v>
      </c>
      <c r="G60" s="190" t="str">
        <f>Tournament!H61</f>
        <v>Portugal</v>
      </c>
      <c r="H60" s="180"/>
      <c r="I60" s="9"/>
      <c r="J60" s="191" t="s">
        <v>3088</v>
      </c>
      <c r="K60" s="9"/>
      <c r="L60" s="180"/>
      <c r="M60" s="180" t="str">
        <f>Tournament!N61</f>
        <v>Ghana</v>
      </c>
      <c r="N60" s="183"/>
      <c r="P60" s="192" t="str">
        <f t="shared" si="0"/>
        <v>Portugal</v>
      </c>
      <c r="Q60" s="193"/>
      <c r="R60" s="194" t="str">
        <f>IF(Tournament!J61&lt;&gt;"",Tournament!J61,"")</f>
        <v/>
      </c>
      <c r="S60" s="194" t="s">
        <v>3088</v>
      </c>
      <c r="T60" s="194" t="str">
        <f>IF(Tournament!L61&lt;&gt;"",Tournament!L61,"")</f>
        <v/>
      </c>
      <c r="U60" s="193"/>
      <c r="V60" s="193" t="str">
        <f t="shared" si="1"/>
        <v>Ghana</v>
      </c>
      <c r="W60" s="194"/>
      <c r="X60" s="194"/>
      <c r="Y60" s="194"/>
      <c r="Z60" s="194"/>
      <c r="AA60" s="194"/>
      <c r="AB60" s="194"/>
      <c r="AC60" s="194"/>
      <c r="AD60" s="195" t="str">
        <f>IF(AND(I60&lt;&gt;"",K60&lt;&gt;"",R60&lt;&gt;"",T60&lt;&gt;""),IF(AND(I60=R60,K60=T60),Setup!$D$10,IF((I60-K60)=(R60-T60),Setup!$D$11,IF(AND((I60&gt;K60),(R60&gt;T60)),Setup!$D$12,IF(AND((K60&gt;I60),(T60&gt;R60)),Setup!$D$12,0)))),"")</f>
        <v/>
      </c>
      <c r="AE60" s="183"/>
      <c r="CN60" s="168"/>
      <c r="CO60" s="168"/>
      <c r="CP60" s="187"/>
      <c r="CQ60" s="168"/>
    </row>
    <row r="61" spans="2:97" s="166" customFormat="1" ht="15" customHeight="1">
      <c r="B61" s="182"/>
      <c r="C61" s="181">
        <f>Tournament!D62</f>
        <v>47</v>
      </c>
      <c r="D61" s="181" t="str">
        <f>Tournament!E62</f>
        <v>H</v>
      </c>
      <c r="E61" s="188">
        <f>Tournament!F62</f>
        <v>41816.708333333336</v>
      </c>
      <c r="F61" s="189">
        <f>Tournament!G62</f>
        <v>41816.708333333336</v>
      </c>
      <c r="G61" s="190" t="str">
        <f>Tournament!H62</f>
        <v>South Korea</v>
      </c>
      <c r="H61" s="180"/>
      <c r="I61" s="9"/>
      <c r="J61" s="191" t="s">
        <v>3088</v>
      </c>
      <c r="K61" s="9"/>
      <c r="L61" s="180"/>
      <c r="M61" s="180" t="str">
        <f>Tournament!N62</f>
        <v>Belgium</v>
      </c>
      <c r="N61" s="183"/>
      <c r="P61" s="192" t="str">
        <f t="shared" si="0"/>
        <v>South Korea</v>
      </c>
      <c r="Q61" s="193"/>
      <c r="R61" s="194" t="str">
        <f>IF(Tournament!J62&lt;&gt;"",Tournament!J62,"")</f>
        <v/>
      </c>
      <c r="S61" s="194" t="s">
        <v>3088</v>
      </c>
      <c r="T61" s="194" t="str">
        <f>IF(Tournament!L62&lt;&gt;"",Tournament!L62,"")</f>
        <v/>
      </c>
      <c r="U61" s="193"/>
      <c r="V61" s="193" t="str">
        <f t="shared" si="1"/>
        <v>Belgium</v>
      </c>
      <c r="W61" s="194"/>
      <c r="X61" s="194"/>
      <c r="Y61" s="194"/>
      <c r="Z61" s="194"/>
      <c r="AA61" s="194"/>
      <c r="AB61" s="194"/>
      <c r="AC61" s="194"/>
      <c r="AD61" s="195" t="str">
        <f>IF(AND(I61&lt;&gt;"",K61&lt;&gt;"",R61&lt;&gt;"",T61&lt;&gt;""),IF(AND(I61=R61,K61=T61),Setup!$D$10,IF((I61-K61)=(R61-T61),Setup!$D$11,IF(AND((I61&gt;K61),(R61&gt;T61)),Setup!$D$12,IF(AND((K61&gt;I61),(T61&gt;R61)),Setup!$D$12,0)))),"")</f>
        <v/>
      </c>
      <c r="AE61" s="183"/>
      <c r="CM61" s="168"/>
      <c r="CN61" s="168"/>
      <c r="CO61" s="187"/>
      <c r="CP61" s="168"/>
    </row>
    <row r="62" spans="2:97" s="166" customFormat="1" ht="15" customHeight="1">
      <c r="B62" s="182"/>
      <c r="C62" s="181">
        <f>Tournament!D63</f>
        <v>48</v>
      </c>
      <c r="D62" s="181" t="str">
        <f>Tournament!E63</f>
        <v>H</v>
      </c>
      <c r="E62" s="188">
        <f>Tournament!F63</f>
        <v>41816.708333333336</v>
      </c>
      <c r="F62" s="189">
        <f>Tournament!G63</f>
        <v>41816.708333333336</v>
      </c>
      <c r="G62" s="190" t="str">
        <f>Tournament!H63</f>
        <v>Algeria</v>
      </c>
      <c r="H62" s="180"/>
      <c r="I62" s="9"/>
      <c r="J62" s="191" t="s">
        <v>3088</v>
      </c>
      <c r="K62" s="9"/>
      <c r="L62" s="180"/>
      <c r="M62" s="180" t="str">
        <f>Tournament!N63</f>
        <v>Russia</v>
      </c>
      <c r="N62" s="183"/>
      <c r="P62" s="192" t="str">
        <f t="shared" si="0"/>
        <v>Algeria</v>
      </c>
      <c r="Q62" s="193"/>
      <c r="R62" s="194" t="str">
        <f>IF(Tournament!J63&lt;&gt;"",Tournament!J63,"")</f>
        <v/>
      </c>
      <c r="S62" s="194" t="s">
        <v>3088</v>
      </c>
      <c r="T62" s="194" t="str">
        <f>IF(Tournament!L63&lt;&gt;"",Tournament!L63,"")</f>
        <v/>
      </c>
      <c r="U62" s="193"/>
      <c r="V62" s="193" t="str">
        <f t="shared" si="1"/>
        <v>Russia</v>
      </c>
      <c r="AD62" s="195" t="str">
        <f>IF(AND(I62&lt;&gt;"",K62&lt;&gt;"",R62&lt;&gt;"",T62&lt;&gt;""),IF(AND(I62=R62,K62=T62),Setup!$D$10,IF((I62-K62)=(R62-T62),Setup!$D$11,IF(AND((I62&gt;K62),(R62&gt;T62)),Setup!$D$12,IF(AND((K62&gt;I62),(T62&gt;R62)),Setup!$D$12,0)))),"")</f>
        <v/>
      </c>
      <c r="AE62" s="183"/>
      <c r="CM62" s="168"/>
      <c r="CN62" s="168"/>
      <c r="CO62" s="187"/>
      <c r="CP62" s="168"/>
    </row>
    <row r="63" spans="2:97" s="166" customFormat="1" ht="15" customHeight="1">
      <c r="B63" s="182"/>
      <c r="C63" s="181"/>
      <c r="D63" s="181"/>
      <c r="E63" s="188"/>
      <c r="F63" s="189"/>
      <c r="G63" s="190"/>
      <c r="H63" s="180"/>
      <c r="I63" s="191"/>
      <c r="J63" s="191"/>
      <c r="K63" s="191"/>
      <c r="L63" s="180"/>
      <c r="M63" s="180"/>
      <c r="N63" s="183"/>
      <c r="P63" s="192"/>
      <c r="Q63" s="193"/>
      <c r="R63" s="194"/>
      <c r="S63" s="194"/>
      <c r="T63" s="194"/>
      <c r="U63" s="193"/>
      <c r="V63" s="193"/>
      <c r="AD63" s="181"/>
      <c r="AE63" s="183"/>
      <c r="CM63" s="168"/>
      <c r="CN63" s="168"/>
      <c r="CO63" s="187"/>
      <c r="CP63" s="168"/>
    </row>
    <row r="64" spans="2:97" s="166" customFormat="1" ht="15" customHeight="1">
      <c r="B64" s="300" t="s">
        <v>3544</v>
      </c>
      <c r="C64" s="301"/>
      <c r="D64" s="301"/>
      <c r="E64" s="301"/>
      <c r="F64" s="301"/>
      <c r="G64" s="301"/>
      <c r="H64" s="301"/>
      <c r="I64" s="301"/>
      <c r="J64" s="301"/>
      <c r="K64" s="301"/>
      <c r="L64" s="301"/>
      <c r="M64" s="301"/>
      <c r="N64" s="302"/>
      <c r="P64" s="303" t="str">
        <f>B64</f>
        <v>Knock Out Stages</v>
      </c>
      <c r="Q64" s="304"/>
      <c r="R64" s="304"/>
      <c r="S64" s="304"/>
      <c r="T64" s="304"/>
      <c r="U64" s="304"/>
      <c r="V64" s="304"/>
      <c r="W64" s="304"/>
      <c r="X64" s="304"/>
      <c r="Y64" s="304"/>
      <c r="Z64" s="304"/>
      <c r="AA64" s="304"/>
      <c r="AB64" s="304"/>
      <c r="AC64" s="304"/>
      <c r="AD64" s="304"/>
      <c r="AE64" s="305"/>
      <c r="CM64" s="168"/>
      <c r="CN64" s="168"/>
      <c r="CO64" s="187"/>
      <c r="CP64" s="168"/>
    </row>
    <row r="65" spans="2:94" s="166" customFormat="1" ht="15" customHeight="1">
      <c r="B65" s="182"/>
      <c r="C65" s="181"/>
      <c r="D65" s="181"/>
      <c r="E65" s="188"/>
      <c r="F65" s="189"/>
      <c r="G65" s="190"/>
      <c r="H65" s="180"/>
      <c r="I65" s="191"/>
      <c r="J65" s="191"/>
      <c r="K65" s="191"/>
      <c r="L65" s="180"/>
      <c r="M65" s="180"/>
      <c r="N65" s="183"/>
      <c r="P65" s="192"/>
      <c r="Q65" s="193"/>
      <c r="R65" s="299" t="s">
        <v>3554</v>
      </c>
      <c r="S65" s="299"/>
      <c r="T65" s="299"/>
      <c r="U65" s="193"/>
      <c r="V65" s="193"/>
      <c r="W65" s="299" t="s">
        <v>3546</v>
      </c>
      <c r="X65" s="299"/>
      <c r="Y65" s="299"/>
      <c r="Z65" s="197"/>
      <c r="AA65" s="299" t="s">
        <v>3547</v>
      </c>
      <c r="AB65" s="299"/>
      <c r="AC65" s="299"/>
      <c r="AD65" s="181"/>
      <c r="AE65" s="183"/>
      <c r="CM65" s="168"/>
      <c r="CN65" s="168"/>
      <c r="CO65" s="187"/>
      <c r="CP65" s="168"/>
    </row>
    <row r="66" spans="2:94" s="166" customFormat="1" ht="15" customHeight="1">
      <c r="B66" s="182"/>
      <c r="C66" s="181">
        <v>49</v>
      </c>
      <c r="D66" s="181" t="s">
        <v>3548</v>
      </c>
      <c r="E66" s="188">
        <f>Tournament!F69</f>
        <v>41818.541666666664</v>
      </c>
      <c r="F66" s="189">
        <f>Tournament!G69</f>
        <v>41818.541666666664</v>
      </c>
      <c r="G66" s="190" t="str">
        <f>Tournament!H69</f>
        <v>Group A Winner</v>
      </c>
      <c r="H66" s="180"/>
      <c r="I66" s="9"/>
      <c r="J66" s="191" t="s">
        <v>3088</v>
      </c>
      <c r="K66" s="9"/>
      <c r="L66" s="180"/>
      <c r="M66" s="198" t="str">
        <f>Tournament!N69</f>
        <v>Group B Runner Up</v>
      </c>
      <c r="N66" s="183"/>
      <c r="P66" s="192" t="str">
        <f t="shared" ref="P66:P81" si="2">G66</f>
        <v>Group A Winner</v>
      </c>
      <c r="Q66" s="193"/>
      <c r="R66" s="194" t="str">
        <f>IF($Z$67=0,IF($Z$66=0,IF(Tournament!J70&lt;&gt;"",Tournament!J70,""),IF(Tournament!J70&lt;&gt;"",Tournament!J70+Tournament!J71,"")),IF(Tournament!J69&lt;&gt;"",Tournament!J69,""))</f>
        <v/>
      </c>
      <c r="S66" s="194" t="s">
        <v>3088</v>
      </c>
      <c r="T66" s="194" t="str">
        <f>IF($Z$67=0,IF($Z$66=0,IF(Tournament!L70&lt;&gt;"",Tournament!L70,""),IF(Tournament!L70&lt;&gt;"",Tournament!L70+Tournament!L71,"")),IF(Tournament!L69&lt;&gt;"",Tournament!L69,""))</f>
        <v/>
      </c>
      <c r="U66" s="193"/>
      <c r="V66" s="193" t="str">
        <f t="shared" ref="V66:V81" si="3">M66</f>
        <v>Group B Runner Up</v>
      </c>
      <c r="W66" s="191" t="str">
        <f>IF(Tournament!J71&lt;&gt;"",Tournament!J71,"")</f>
        <v/>
      </c>
      <c r="X66" s="199" t="s">
        <v>3088</v>
      </c>
      <c r="Y66" s="191" t="str">
        <f>IF(Tournament!L71&lt;&gt;"",Tournament!L71,"")</f>
        <v/>
      </c>
      <c r="Z66" s="199">
        <f>Setup!E16</f>
        <v>1</v>
      </c>
      <c r="AA66" s="191" t="str">
        <f>IF(Tournament!J72&lt;&gt;"",Tournament!J72,"")</f>
        <v/>
      </c>
      <c r="AB66" s="194" t="s">
        <v>3088</v>
      </c>
      <c r="AC66" s="191" t="str">
        <f>IF(Tournament!L72&lt;&gt;"",Tournament!L72,"")</f>
        <v/>
      </c>
      <c r="AD66" s="195" t="str">
        <f>IF(AND(I66&lt;&gt;"",K66&lt;&gt;"",R66&lt;&gt;"",T66&lt;&gt;""),IF(AND(I66=R66,K66=T66),Setup!$D$20,IF((I66-K66)=(R66-T66),Setup!$D$21,IF(AND((I66&gt;K66),(R66&gt;T66)),Setup!$D$22,IF(AND((K66&gt;I66),(T66&gt;R66)),Setup!$D$22,0)))),"")</f>
        <v/>
      </c>
      <c r="AE66" s="183"/>
      <c r="CM66" s="168"/>
      <c r="CN66" s="168"/>
      <c r="CO66" s="187"/>
      <c r="CP66" s="168"/>
    </row>
    <row r="67" spans="2:94" s="166" customFormat="1" ht="15" customHeight="1">
      <c r="B67" s="182"/>
      <c r="C67" s="181">
        <v>50</v>
      </c>
      <c r="D67" s="181" t="str">
        <f>D66</f>
        <v>R16</v>
      </c>
      <c r="E67" s="188">
        <f>Tournament!F75</f>
        <v>41818.708333333336</v>
      </c>
      <c r="F67" s="189">
        <f>Tournament!G75</f>
        <v>41818.708333333336</v>
      </c>
      <c r="G67" s="190" t="str">
        <f>Tournament!H75</f>
        <v>Group C Winner</v>
      </c>
      <c r="H67" s="180"/>
      <c r="I67" s="9"/>
      <c r="J67" s="191" t="s">
        <v>3088</v>
      </c>
      <c r="K67" s="9"/>
      <c r="L67" s="180"/>
      <c r="M67" s="198" t="str">
        <f>Tournament!N75</f>
        <v>Group D Runner Up</v>
      </c>
      <c r="N67" s="183"/>
      <c r="P67" s="192" t="str">
        <f t="shared" si="2"/>
        <v>Group C Winner</v>
      </c>
      <c r="Q67" s="193"/>
      <c r="R67" s="194" t="str">
        <f>IF($Z$67=0,IF($Z$66=0,IF(Tournament!J76&lt;&gt;"",Tournament!J76,""),IF(Tournament!J76&lt;&gt;"",Tournament!J76+Tournament!J77,"")),IF(Tournament!J75&lt;&gt;"",Tournament!J75,""))</f>
        <v/>
      </c>
      <c r="S67" s="194" t="s">
        <v>3088</v>
      </c>
      <c r="T67" s="194" t="str">
        <f>IF($Z$67=0,IF($Z$66=0,IF(Tournament!L76&lt;&gt;"",Tournament!L76,""),IF(Tournament!L76&lt;&gt;"",Tournament!L76+Tournament!L77,"")),IF(Tournament!L75&lt;&gt;"",Tournament!L75,""))</f>
        <v/>
      </c>
      <c r="U67" s="193"/>
      <c r="V67" s="193" t="str">
        <f t="shared" si="3"/>
        <v>Group D Runner Up</v>
      </c>
      <c r="W67" s="191" t="str">
        <f>IF(Tournament!J77&lt;&gt;"",Tournament!J77,"")</f>
        <v/>
      </c>
      <c r="X67" s="199" t="s">
        <v>3088</v>
      </c>
      <c r="Y67" s="191" t="str">
        <f>IF(Tournament!L77&lt;&gt;"",Tournament!L77,"")</f>
        <v/>
      </c>
      <c r="Z67" s="199">
        <f>Setup!E17</f>
        <v>0</v>
      </c>
      <c r="AA67" s="191" t="str">
        <f>IF(Tournament!J78&lt;&gt;"",Tournament!J78,"")</f>
        <v/>
      </c>
      <c r="AB67" s="194" t="s">
        <v>3088</v>
      </c>
      <c r="AC67" s="191" t="str">
        <f>IF(Tournament!L78&lt;&gt;"",Tournament!L78,"")</f>
        <v/>
      </c>
      <c r="AD67" s="195" t="str">
        <f>IF(AND(I67&lt;&gt;"",K67&lt;&gt;"",R67&lt;&gt;"",T67&lt;&gt;""),IF(AND(I67=R67,K67=T67),Setup!$D$20,IF((I67-K67)=(R67-T67),Setup!$D$21,IF(AND((I67&gt;K67),(R67&gt;T67)),Setup!$D$22,IF(AND((K67&gt;I67),(T67&gt;R67)),Setup!$D$22,0)))),"")</f>
        <v/>
      </c>
      <c r="AE67" s="183"/>
      <c r="CM67" s="168"/>
      <c r="CN67" s="168"/>
      <c r="CO67" s="187"/>
      <c r="CP67" s="168"/>
    </row>
    <row r="68" spans="2:94" s="166" customFormat="1" ht="15" customHeight="1">
      <c r="B68" s="182"/>
      <c r="C68" s="181">
        <v>52</v>
      </c>
      <c r="D68" s="181" t="str">
        <f t="shared" ref="D68:D73" si="4">D67</f>
        <v>R16</v>
      </c>
      <c r="E68" s="188">
        <f>Tournament!F81</f>
        <v>41819.708333333336</v>
      </c>
      <c r="F68" s="189">
        <f>Tournament!G81</f>
        <v>41819.708333333336</v>
      </c>
      <c r="G68" s="190" t="str">
        <f>Tournament!H81</f>
        <v>Group D Winner</v>
      </c>
      <c r="H68" s="180"/>
      <c r="I68" s="9"/>
      <c r="J68" s="191" t="s">
        <v>3088</v>
      </c>
      <c r="K68" s="9"/>
      <c r="L68" s="180"/>
      <c r="M68" s="198" t="str">
        <f>Tournament!N81</f>
        <v>Group C Runner Up</v>
      </c>
      <c r="N68" s="183"/>
      <c r="P68" s="192" t="str">
        <f t="shared" si="2"/>
        <v>Group D Winner</v>
      </c>
      <c r="Q68" s="193"/>
      <c r="R68" s="194" t="str">
        <f>IF($Z$67=0,IF($Z$66=0,IF(Tournament!J82&lt;&gt;"",Tournament!J82,""),IF(Tournament!J82&lt;&gt;"",Tournament!J82+Tournament!J83,"")),IF(Tournament!J81&lt;&gt;"",Tournament!J81,""))</f>
        <v/>
      </c>
      <c r="S68" s="194" t="s">
        <v>3088</v>
      </c>
      <c r="T68" s="194" t="str">
        <f>IF($Z$67=0,IF($Z$66=0,IF(Tournament!L82&lt;&gt;"",Tournament!L82,""),IF(Tournament!L82&lt;&gt;"",Tournament!L82+Tournament!L83,"")),IF(Tournament!L81&lt;&gt;"",Tournament!L81,""))</f>
        <v/>
      </c>
      <c r="U68" s="193"/>
      <c r="V68" s="193" t="str">
        <f t="shared" si="3"/>
        <v>Group C Runner Up</v>
      </c>
      <c r="W68" s="191" t="str">
        <f>IF(Tournament!J83&lt;&gt;"",Tournament!J83,"")</f>
        <v/>
      </c>
      <c r="X68" s="199" t="s">
        <v>3088</v>
      </c>
      <c r="Y68" s="191" t="str">
        <f>IF(Tournament!L83&lt;&gt;"",Tournament!L83,"")</f>
        <v/>
      </c>
      <c r="Z68" s="191"/>
      <c r="AA68" s="191" t="str">
        <f>IF(Tournament!J84&lt;&gt;"",Tournament!J84,"")</f>
        <v/>
      </c>
      <c r="AB68" s="194" t="s">
        <v>3088</v>
      </c>
      <c r="AC68" s="191" t="str">
        <f>IF(Tournament!L84&lt;&gt;"",Tournament!L84,"")</f>
        <v/>
      </c>
      <c r="AD68" s="195" t="str">
        <f>IF(AND(I68&lt;&gt;"",K68&lt;&gt;"",R68&lt;&gt;"",T68&lt;&gt;""),IF(AND(I68=R68,K68=T68),Setup!$D$20,IF((I68-K68)=(R68-T68),Setup!$D$21,IF(AND((I68&gt;K68),(R68&gt;T68)),Setup!$D$22,IF(AND((K68&gt;I68),(T68&gt;R68)),Setup!$D$22,0)))),"")</f>
        <v/>
      </c>
      <c r="AE68" s="183"/>
      <c r="CM68" s="168"/>
      <c r="CN68" s="168"/>
      <c r="CO68" s="187"/>
      <c r="CP68" s="168"/>
    </row>
    <row r="69" spans="2:94" s="166" customFormat="1" ht="15" customHeight="1">
      <c r="B69" s="182"/>
      <c r="C69" s="181">
        <v>51</v>
      </c>
      <c r="D69" s="181" t="str">
        <f t="shared" si="4"/>
        <v>R16</v>
      </c>
      <c r="E69" s="188">
        <f>Tournament!F87</f>
        <v>41819.541666666664</v>
      </c>
      <c r="F69" s="189">
        <f>Tournament!G93</f>
        <v>41820.541666666664</v>
      </c>
      <c r="G69" s="190" t="str">
        <f>Tournament!H87</f>
        <v>Group B Winner</v>
      </c>
      <c r="H69" s="180"/>
      <c r="I69" s="9"/>
      <c r="J69" s="191" t="s">
        <v>3088</v>
      </c>
      <c r="K69" s="9"/>
      <c r="L69" s="180"/>
      <c r="M69" s="198" t="str">
        <f>Tournament!N87</f>
        <v>Group A Runner Up</v>
      </c>
      <c r="N69" s="183"/>
      <c r="P69" s="192" t="str">
        <f t="shared" si="2"/>
        <v>Group B Winner</v>
      </c>
      <c r="Q69" s="193"/>
      <c r="R69" s="194" t="str">
        <f>IF($Z$67=0,IF($Z$66=0,IF(Tournament!J88&lt;&gt;"",Tournament!J88,""),IF(Tournament!J88&lt;&gt;"",Tournament!J88+Tournament!J89,"")),IF(Tournament!J87&lt;&gt;"",Tournament!J87,""))</f>
        <v/>
      </c>
      <c r="S69" s="194" t="s">
        <v>3088</v>
      </c>
      <c r="T69" s="194" t="str">
        <f>IF($Z$67=0,IF($Z$66=0,IF(Tournament!L88&lt;&gt;"",Tournament!L88,""),IF(Tournament!L88&lt;&gt;"",Tournament!L88+Tournament!L89,"")),IF(Tournament!L87&lt;&gt;"",Tournament!L87,""))</f>
        <v/>
      </c>
      <c r="U69" s="193"/>
      <c r="V69" s="193" t="str">
        <f t="shared" si="3"/>
        <v>Group A Runner Up</v>
      </c>
      <c r="W69" s="191" t="str">
        <f>IF(Tournament!J89&lt;&gt;"",Tournament!J89,"")</f>
        <v/>
      </c>
      <c r="X69" s="199" t="s">
        <v>3088</v>
      </c>
      <c r="Y69" s="191" t="str">
        <f>IF(Tournament!L89&lt;&gt;"",Tournament!L89,"")</f>
        <v/>
      </c>
      <c r="Z69" s="191"/>
      <c r="AA69" s="191" t="str">
        <f>IF(Tournament!J90&lt;&gt;"",Tournament!J90,"")</f>
        <v/>
      </c>
      <c r="AB69" s="194" t="s">
        <v>3088</v>
      </c>
      <c r="AC69" s="191" t="str">
        <f>IF(Tournament!L90&lt;&gt;"",Tournament!L90,"")</f>
        <v/>
      </c>
      <c r="AD69" s="195" t="str">
        <f>IF(AND(I69&lt;&gt;"",K69&lt;&gt;"",R69&lt;&gt;"",T69&lt;&gt;""),IF(AND(I69=R69,K69=T69),Setup!$D$20,IF((I69-K69)=(R69-T69),Setup!$D$21,IF(AND((I69&gt;K69),(R69&gt;T69)),Setup!$D$22,IF(AND((K69&gt;I69),(T69&gt;R69)),Setup!$D$22,0)))),"")</f>
        <v/>
      </c>
      <c r="AE69" s="183"/>
      <c r="CM69" s="168"/>
      <c r="CN69" s="168"/>
      <c r="CO69" s="187"/>
      <c r="CP69" s="168"/>
    </row>
    <row r="70" spans="2:94" s="166" customFormat="1" ht="15" customHeight="1">
      <c r="B70" s="182"/>
      <c r="C70" s="181">
        <v>53</v>
      </c>
      <c r="D70" s="181" t="str">
        <f t="shared" si="4"/>
        <v>R16</v>
      </c>
      <c r="E70" s="188">
        <f>Tournament!F93</f>
        <v>41820.541666666664</v>
      </c>
      <c r="F70" s="189">
        <f>Tournament!G93</f>
        <v>41820.541666666664</v>
      </c>
      <c r="G70" s="190" t="str">
        <f>Tournament!H93</f>
        <v>Group E Winner</v>
      </c>
      <c r="H70" s="180"/>
      <c r="I70" s="9"/>
      <c r="J70" s="191" t="s">
        <v>3088</v>
      </c>
      <c r="K70" s="9"/>
      <c r="L70" s="180"/>
      <c r="M70" s="198" t="str">
        <f>Tournament!N93</f>
        <v>Group F Runner Up</v>
      </c>
      <c r="N70" s="183"/>
      <c r="P70" s="192" t="str">
        <f t="shared" si="2"/>
        <v>Group E Winner</v>
      </c>
      <c r="Q70" s="193"/>
      <c r="R70" s="194" t="str">
        <f>IF($Z$67=0,IF($Z$66=0,IF(Tournament!J94&lt;&gt;"",Tournament!J94,""),IF(Tournament!J94&lt;&gt;"",Tournament!J94+Tournament!J95,"")),IF(Tournament!J93&lt;&gt;"",Tournament!J93,""))</f>
        <v/>
      </c>
      <c r="S70" s="194" t="s">
        <v>3088</v>
      </c>
      <c r="T70" s="194" t="str">
        <f>IF($Z$67=0,IF($Z$66=0,IF(Tournament!L94&lt;&gt;"",Tournament!L94,""),IF(Tournament!L94&lt;&gt;"",Tournament!L94+Tournament!L95,"")),IF(Tournament!L93&lt;&gt;"",Tournament!L93,""))</f>
        <v/>
      </c>
      <c r="U70" s="193"/>
      <c r="V70" s="193" t="str">
        <f t="shared" si="3"/>
        <v>Group F Runner Up</v>
      </c>
      <c r="W70" s="191" t="str">
        <f>IF(Tournament!J95&lt;&gt;"",Tournament!J95,"")</f>
        <v/>
      </c>
      <c r="X70" s="199" t="s">
        <v>3088</v>
      </c>
      <c r="Y70" s="191" t="str">
        <f>IF(Tournament!L95&lt;&gt;"",Tournament!L95,"")</f>
        <v/>
      </c>
      <c r="Z70" s="191"/>
      <c r="AA70" s="191" t="str">
        <f>IF(Tournament!J96&lt;&gt;"",Tournament!J96,"")</f>
        <v/>
      </c>
      <c r="AB70" s="194" t="s">
        <v>3088</v>
      </c>
      <c r="AC70" s="191" t="str">
        <f>IF(Tournament!L96&lt;&gt;"",Tournament!L96,"")</f>
        <v/>
      </c>
      <c r="AD70" s="195" t="str">
        <f>IF(AND(I70&lt;&gt;"",K70&lt;&gt;"",R70&lt;&gt;"",T70&lt;&gt;""),IF(AND(I70=R70,K70=T70),Setup!$D$20,IF((I70-K70)=(R70-T70),Setup!$D$21,IF(AND((I70&gt;K70),(R70&gt;T70)),Setup!$D$22,IF(AND((K70&gt;I70),(T70&gt;R70)),Setup!$D$22,0)))),"")</f>
        <v/>
      </c>
      <c r="AE70" s="183"/>
      <c r="CM70" s="168"/>
      <c r="CN70" s="168"/>
      <c r="CO70" s="187"/>
      <c r="CP70" s="168"/>
    </row>
    <row r="71" spans="2:94" s="166" customFormat="1" ht="15" customHeight="1">
      <c r="B71" s="182"/>
      <c r="C71" s="181">
        <v>54</v>
      </c>
      <c r="D71" s="181" t="str">
        <f t="shared" si="4"/>
        <v>R16</v>
      </c>
      <c r="E71" s="188">
        <f>Tournament!F99</f>
        <v>41820.708333333336</v>
      </c>
      <c r="F71" s="189">
        <f>Tournament!G99</f>
        <v>41820.708333333336</v>
      </c>
      <c r="G71" s="190" t="str">
        <f>Tournament!H99</f>
        <v>Group G Winner</v>
      </c>
      <c r="H71" s="180"/>
      <c r="I71" s="9"/>
      <c r="J71" s="191" t="s">
        <v>3088</v>
      </c>
      <c r="K71" s="9"/>
      <c r="L71" s="180"/>
      <c r="M71" s="198" t="str">
        <f>Tournament!N99</f>
        <v>Group H Runner Up</v>
      </c>
      <c r="N71" s="183"/>
      <c r="P71" s="192" t="str">
        <f t="shared" si="2"/>
        <v>Group G Winner</v>
      </c>
      <c r="Q71" s="193"/>
      <c r="R71" s="194" t="str">
        <f>IF($Z$67=0,IF($Z$66=0,IF(Tournament!J100&lt;&gt;"",Tournament!J100,""),IF(Tournament!J100&lt;&gt;"",Tournament!J100+Tournament!J101,"")),IF(Tournament!J99&lt;&gt;"",Tournament!J99,""))</f>
        <v/>
      </c>
      <c r="S71" s="194" t="s">
        <v>3088</v>
      </c>
      <c r="T71" s="194" t="str">
        <f>IF($Z$67=0,IF($Z$66=0,IF(Tournament!L100&lt;&gt;"",Tournament!L100,""),IF(Tournament!L100&lt;&gt;"",Tournament!L100+Tournament!L101,"")),IF(Tournament!L99&lt;&gt;"",Tournament!L99,""))</f>
        <v/>
      </c>
      <c r="U71" s="193"/>
      <c r="V71" s="193" t="str">
        <f t="shared" si="3"/>
        <v>Group H Runner Up</v>
      </c>
      <c r="W71" s="191" t="str">
        <f>IF(Tournament!J101&lt;&gt;"",Tournament!J101,"")</f>
        <v/>
      </c>
      <c r="X71" s="199" t="s">
        <v>3088</v>
      </c>
      <c r="Y71" s="191" t="str">
        <f>IF(Tournament!L101&lt;&gt;"",Tournament!L101,"")</f>
        <v/>
      </c>
      <c r="Z71" s="191"/>
      <c r="AA71" s="191" t="str">
        <f>IF(Tournament!J102&lt;&gt;"",Tournament!J102,"")</f>
        <v/>
      </c>
      <c r="AB71" s="194" t="s">
        <v>3088</v>
      </c>
      <c r="AC71" s="191" t="str">
        <f>IF(Tournament!L102&lt;&gt;"",Tournament!L102,"")</f>
        <v/>
      </c>
      <c r="AD71" s="195" t="str">
        <f>IF(AND(I71&lt;&gt;"",K71&lt;&gt;"",R71&lt;&gt;"",T71&lt;&gt;""),IF(AND(I71=R71,K71=T71),Setup!$D$20,IF((I71-K71)=(R71-T71),Setup!$D$21,IF(AND((I71&gt;K71),(R71&gt;T71)),Setup!$D$22,IF(AND((K71&gt;I71),(T71&gt;R71)),Setup!$D$22,0)))),"")</f>
        <v/>
      </c>
      <c r="AE71" s="183"/>
      <c r="CM71" s="168"/>
      <c r="CN71" s="168"/>
      <c r="CO71" s="187"/>
      <c r="CP71" s="168"/>
    </row>
    <row r="72" spans="2:94" s="166" customFormat="1" ht="15" customHeight="1">
      <c r="B72" s="182"/>
      <c r="C72" s="181">
        <v>55</v>
      </c>
      <c r="D72" s="181" t="str">
        <f t="shared" si="4"/>
        <v>R16</v>
      </c>
      <c r="E72" s="188">
        <f>Tournament!F105</f>
        <v>41821.541666666664</v>
      </c>
      <c r="F72" s="189">
        <f>Tournament!G105</f>
        <v>41821.541666666664</v>
      </c>
      <c r="G72" s="190" t="str">
        <f>Tournament!H105</f>
        <v>Group F Winner</v>
      </c>
      <c r="H72" s="180"/>
      <c r="I72" s="9"/>
      <c r="J72" s="191" t="s">
        <v>3088</v>
      </c>
      <c r="K72" s="9"/>
      <c r="L72" s="180"/>
      <c r="M72" s="198" t="str">
        <f>Tournament!N105</f>
        <v>Group E Runner Up</v>
      </c>
      <c r="N72" s="183"/>
      <c r="P72" s="192" t="str">
        <f t="shared" si="2"/>
        <v>Group F Winner</v>
      </c>
      <c r="Q72" s="193"/>
      <c r="R72" s="194" t="str">
        <f>IF($Z$67=0,IF($Z$66=0,IF(Tournament!J106&lt;&gt;"",Tournament!J106,""),IF(Tournament!J106&lt;&gt;"",Tournament!J106+Tournament!J107,"")),IF(Tournament!J105&lt;&gt;"",Tournament!J105,""))</f>
        <v/>
      </c>
      <c r="S72" s="194" t="s">
        <v>3088</v>
      </c>
      <c r="T72" s="194" t="str">
        <f>IF($Z$67=0,IF($Z$66=0,IF(Tournament!L106&lt;&gt;"",Tournament!L106,""),IF(Tournament!L106&lt;&gt;"",Tournament!L106+Tournament!L107,"")),IF(Tournament!L105&lt;&gt;"",Tournament!L105,""))</f>
        <v/>
      </c>
      <c r="U72" s="193"/>
      <c r="V72" s="193" t="str">
        <f t="shared" si="3"/>
        <v>Group E Runner Up</v>
      </c>
      <c r="W72" s="191" t="str">
        <f>IF(Tournament!J107&lt;&gt;"",Tournament!J107,"")</f>
        <v/>
      </c>
      <c r="X72" s="199" t="s">
        <v>3088</v>
      </c>
      <c r="Y72" s="191" t="str">
        <f>IF(Tournament!L107&lt;&gt;"",Tournament!L107,"")</f>
        <v/>
      </c>
      <c r="Z72" s="191"/>
      <c r="AA72" s="191" t="str">
        <f>IF(Tournament!J108&lt;&gt;"",Tournament!J108,"")</f>
        <v/>
      </c>
      <c r="AB72" s="194" t="s">
        <v>3088</v>
      </c>
      <c r="AC72" s="191" t="str">
        <f>IF(Tournament!L108&lt;&gt;"",Tournament!L108,"")</f>
        <v/>
      </c>
      <c r="AD72" s="195" t="str">
        <f>IF(AND(I72&lt;&gt;"",K72&lt;&gt;"",R72&lt;&gt;"",T72&lt;&gt;""),IF(AND(I72=R72,K72=T72),Setup!$D$20,IF((I72-K72)=(R72-T72),Setup!$D$21,IF(AND((I72&gt;K72),(R72&gt;T72)),Setup!$D$22,IF(AND((K72&gt;I72),(T72&gt;R72)),Setup!$D$22,0)))),"")</f>
        <v/>
      </c>
      <c r="AE72" s="183"/>
      <c r="CM72" s="168"/>
      <c r="CN72" s="168"/>
      <c r="CO72" s="187"/>
      <c r="CP72" s="168"/>
    </row>
    <row r="73" spans="2:94" s="166" customFormat="1" ht="15" customHeight="1">
      <c r="B73" s="182"/>
      <c r="C73" s="181">
        <v>56</v>
      </c>
      <c r="D73" s="181" t="str">
        <f t="shared" si="4"/>
        <v>R16</v>
      </c>
      <c r="E73" s="188">
        <f>Tournament!F111</f>
        <v>41821.708333333336</v>
      </c>
      <c r="F73" s="189">
        <f>Tournament!G111</f>
        <v>41821.708333333336</v>
      </c>
      <c r="G73" s="190" t="str">
        <f>Tournament!H111</f>
        <v>Group H Winner</v>
      </c>
      <c r="H73" s="180"/>
      <c r="I73" s="9"/>
      <c r="J73" s="191" t="s">
        <v>3088</v>
      </c>
      <c r="K73" s="9"/>
      <c r="L73" s="180"/>
      <c r="M73" s="198" t="str">
        <f>Tournament!N111</f>
        <v>Group G Runner Up</v>
      </c>
      <c r="N73" s="183"/>
      <c r="P73" s="192" t="str">
        <f t="shared" si="2"/>
        <v>Group H Winner</v>
      </c>
      <c r="Q73" s="193"/>
      <c r="R73" s="194" t="str">
        <f>IF($Z$67=0,IF($Z$66=0,IF(Tournament!J112&lt;&gt;"",Tournament!J112,""),IF(Tournament!J112&lt;&gt;"",Tournament!J112+Tournament!J113,"")),IF(Tournament!J111&lt;&gt;"",Tournament!J111,""))</f>
        <v/>
      </c>
      <c r="S73" s="194" t="s">
        <v>3088</v>
      </c>
      <c r="T73" s="194" t="str">
        <f>IF($Z$67=0,IF($Z$66=0,IF(Tournament!L112&lt;&gt;"",Tournament!L112,""),IF(Tournament!L112&lt;&gt;"",Tournament!L112+Tournament!L113,"")),IF(Tournament!L111&lt;&gt;"",Tournament!L111,""))</f>
        <v/>
      </c>
      <c r="U73" s="193"/>
      <c r="V73" s="193" t="str">
        <f t="shared" si="3"/>
        <v>Group G Runner Up</v>
      </c>
      <c r="W73" s="191" t="str">
        <f>IF(Tournament!J113&lt;&gt;"",Tournament!J113,"")</f>
        <v/>
      </c>
      <c r="X73" s="199" t="s">
        <v>3088</v>
      </c>
      <c r="Y73" s="191" t="str">
        <f>IF(Tournament!L113&lt;&gt;"",Tournament!L113,"")</f>
        <v/>
      </c>
      <c r="Z73" s="191"/>
      <c r="AA73" s="191" t="str">
        <f>IF(Tournament!J114&lt;&gt;"",Tournament!J114,"")</f>
        <v/>
      </c>
      <c r="AB73" s="194" t="s">
        <v>3088</v>
      </c>
      <c r="AC73" s="191" t="str">
        <f>IF(Tournament!L114&lt;&gt;"",Tournament!L114,"")</f>
        <v/>
      </c>
      <c r="AD73" s="195" t="str">
        <f>IF(AND(I73&lt;&gt;"",K73&lt;&gt;"",R73&lt;&gt;"",T73&lt;&gt;""),IF(AND(I73=R73,K73=T73),Setup!$D$20,IF((I73-K73)=(R73-T73),Setup!$D$21,IF(AND((I73&gt;K73),(R73&gt;T73)),Setup!$D$22,IF(AND((K73&gt;I73),(T73&gt;R73)),Setup!$D$22,0)))),"")</f>
        <v/>
      </c>
      <c r="AE73" s="183"/>
      <c r="CM73" s="168"/>
      <c r="CN73" s="168"/>
      <c r="CO73" s="187"/>
      <c r="CP73" s="168"/>
    </row>
    <row r="74" spans="2:94" s="166" customFormat="1" ht="15" customHeight="1">
      <c r="B74" s="182"/>
      <c r="C74" s="181">
        <v>58</v>
      </c>
      <c r="D74" s="181" t="s">
        <v>3549</v>
      </c>
      <c r="E74" s="188">
        <f>Tournament!T69</f>
        <v>41824.541666666664</v>
      </c>
      <c r="F74" s="189">
        <f>Tournament!U69</f>
        <v>41824.541666666664</v>
      </c>
      <c r="G74" s="190" t="str">
        <f>Tournament!Y69</f>
        <v>Match 53 Winner</v>
      </c>
      <c r="H74" s="180"/>
      <c r="I74" s="9"/>
      <c r="J74" s="191" t="s">
        <v>3088</v>
      </c>
      <c r="K74" s="9"/>
      <c r="L74" s="180"/>
      <c r="M74" s="198" t="str">
        <f>Tournament!AE69</f>
        <v>Match 54 Winner</v>
      </c>
      <c r="N74" s="183"/>
      <c r="P74" s="192" t="str">
        <f t="shared" si="2"/>
        <v>Match 53 Winner</v>
      </c>
      <c r="Q74" s="193"/>
      <c r="R74" s="194" t="str">
        <f>IF($Z$67=0,IF($Z$66=0,IF(Tournament!AA70&lt;&gt;"",Tournament!AA70,""),IF(Tournament!AA70&lt;&gt;"",Tournament!AA70+Tournament!AA71,"")),IF(Tournament!AA69&lt;&gt;"",Tournament!AA69,""))</f>
        <v/>
      </c>
      <c r="S74" s="194" t="s">
        <v>3088</v>
      </c>
      <c r="T74" s="194" t="str">
        <f>IF($Z$67=0,IF($Z$66=0,IF(Tournament!AC70&lt;&gt;"",Tournament!AC70,""),IF(Tournament!AC70&lt;&gt;"",Tournament!AC70+Tournament!AC71,"")),IF(Tournament!AC69&lt;&gt;"",Tournament!AC69,""))</f>
        <v/>
      </c>
      <c r="U74" s="193"/>
      <c r="V74" s="193" t="str">
        <f t="shared" si="3"/>
        <v>Match 54 Winner</v>
      </c>
      <c r="W74" s="191" t="str">
        <f>IF(Tournament!AA71&lt;&gt;"",Tournament!AA71,"")</f>
        <v/>
      </c>
      <c r="X74" s="199" t="s">
        <v>3088</v>
      </c>
      <c r="Y74" s="191" t="str">
        <f>IF(Tournament!AC71&lt;&gt;"",Tournament!AC71,"")</f>
        <v/>
      </c>
      <c r="Z74" s="191"/>
      <c r="AA74" s="191" t="str">
        <f>IF(Tournament!AA72&lt;&gt;"",Tournament!AA72,"")</f>
        <v/>
      </c>
      <c r="AB74" s="194" t="s">
        <v>3088</v>
      </c>
      <c r="AC74" s="191" t="str">
        <f>IF(Tournament!AC72&lt;&gt;"",Tournament!AC72,"")</f>
        <v/>
      </c>
      <c r="AD74" s="195" t="str">
        <f>IF(AND(I74&lt;&gt;"",K74&lt;&gt;"",R74&lt;&gt;"",T74&lt;&gt;""),IF(AND(I74=R74,K74=T74),Setup!$E$20,IF((I74-K74)=(R74-T74),Setup!$E$21,IF(AND((I74&gt;K74),(R74&gt;T74)),Setup!$E$22,IF(AND((K74&gt;I74),(T74&gt;R74)),Setup!$E$22,0)))),"")</f>
        <v/>
      </c>
      <c r="AE74" s="183"/>
      <c r="CM74" s="168"/>
      <c r="CN74" s="168"/>
      <c r="CO74" s="187"/>
      <c r="CP74" s="168"/>
    </row>
    <row r="75" spans="2:94" s="166" customFormat="1" ht="15" customHeight="1">
      <c r="B75" s="182"/>
      <c r="C75" s="181">
        <v>57</v>
      </c>
      <c r="D75" s="181" t="str">
        <f>D74</f>
        <v>QF</v>
      </c>
      <c r="E75" s="188">
        <f>Tournament!T74</f>
        <v>41824.708333333336</v>
      </c>
      <c r="F75" s="189">
        <f>Tournament!U74</f>
        <v>41824.708333333336</v>
      </c>
      <c r="G75" s="190" t="str">
        <f>Tournament!Y74</f>
        <v>Match 49 Winner</v>
      </c>
      <c r="H75" s="180"/>
      <c r="I75" s="9"/>
      <c r="J75" s="191" t="s">
        <v>3088</v>
      </c>
      <c r="K75" s="9"/>
      <c r="L75" s="180"/>
      <c r="M75" s="198" t="str">
        <f>Tournament!AE74</f>
        <v>Match 50 Winner</v>
      </c>
      <c r="N75" s="183"/>
      <c r="P75" s="192" t="str">
        <f t="shared" si="2"/>
        <v>Match 49 Winner</v>
      </c>
      <c r="Q75" s="193"/>
      <c r="R75" s="194" t="str">
        <f>IF($Z$67=0,IF($Z$66=0,IF(Tournament!AA75&lt;&gt;"",Tournament!AA75,""),IF(Tournament!AA75&lt;&gt;"",Tournament!AA75+Tournament!AA76,"")),IF(Tournament!AA74&lt;&gt;"",Tournament!AA74,""))</f>
        <v/>
      </c>
      <c r="S75" s="194" t="s">
        <v>3088</v>
      </c>
      <c r="T75" s="194" t="str">
        <f>IF($Z$67=0,IF($Z$66=0,IF(Tournament!AC75&lt;&gt;"",Tournament!AC75,""),IF(Tournament!AC75&lt;&gt;"",Tournament!AC75+Tournament!AC76,"")),IF(Tournament!AC74&lt;&gt;"",Tournament!AC74,""))</f>
        <v/>
      </c>
      <c r="U75" s="193"/>
      <c r="V75" s="193" t="str">
        <f t="shared" si="3"/>
        <v>Match 50 Winner</v>
      </c>
      <c r="W75" s="191" t="str">
        <f>IF(Tournament!AA76&lt;&gt;"",Tournament!AA76,"")</f>
        <v/>
      </c>
      <c r="X75" s="199" t="s">
        <v>3088</v>
      </c>
      <c r="Y75" s="191" t="str">
        <f>IF(Tournament!AC76&lt;&gt;"",Tournament!AC76,"")</f>
        <v/>
      </c>
      <c r="Z75" s="191"/>
      <c r="AA75" s="191" t="str">
        <f>IF(Tournament!AA77&lt;&gt;"",Tournament!AA77,"")</f>
        <v/>
      </c>
      <c r="AB75" s="194" t="s">
        <v>3088</v>
      </c>
      <c r="AC75" s="191" t="str">
        <f>IF(Tournament!AC77&lt;&gt;"",Tournament!AC77,"")</f>
        <v/>
      </c>
      <c r="AD75" s="195" t="str">
        <f>IF(AND(I75&lt;&gt;"",K75&lt;&gt;"",R75&lt;&gt;"",T75&lt;&gt;""),IF(AND(I75=R75,K75=T75),Setup!$E$20,IF((I75-K75)=(R75-T75),Setup!$E$21,IF(AND((I75&gt;K75),(R75&gt;T75)),Setup!$E$22,IF(AND((K75&gt;I75),(T75&gt;R75)),Setup!$E$22,0)))),"")</f>
        <v/>
      </c>
      <c r="AE75" s="183"/>
      <c r="CM75" s="168"/>
      <c r="CN75" s="168"/>
      <c r="CO75" s="187"/>
      <c r="CP75" s="168"/>
    </row>
    <row r="76" spans="2:94" s="166" customFormat="1" ht="15" customHeight="1">
      <c r="B76" s="182"/>
      <c r="C76" s="181">
        <v>59</v>
      </c>
      <c r="D76" s="181" t="str">
        <f>D75</f>
        <v>QF</v>
      </c>
      <c r="E76" s="188">
        <f>Tournament!T79</f>
        <v>41825.708333333336</v>
      </c>
      <c r="F76" s="189">
        <f>Tournament!U79</f>
        <v>41825.708333333336</v>
      </c>
      <c r="G76" s="190" t="str">
        <f>Tournament!Y79</f>
        <v>Match 51 Winner</v>
      </c>
      <c r="H76" s="180"/>
      <c r="I76" s="9"/>
      <c r="J76" s="191" t="s">
        <v>3088</v>
      </c>
      <c r="K76" s="9"/>
      <c r="L76" s="180"/>
      <c r="M76" s="198" t="str">
        <f>Tournament!AE79</f>
        <v>Match 52 Winner</v>
      </c>
      <c r="N76" s="183"/>
      <c r="P76" s="192" t="str">
        <f t="shared" si="2"/>
        <v>Match 51 Winner</v>
      </c>
      <c r="Q76" s="193"/>
      <c r="R76" s="194" t="str">
        <f>IF($Z$67=0,IF($Z$66=0,IF(Tournament!AA80&lt;&gt;"",Tournament!AA80,""),IF(Tournament!AA80&lt;&gt;"",Tournament!AA80+Tournament!AA81,"")),IF(Tournament!AA79&lt;&gt;"",Tournament!AA79,""))</f>
        <v/>
      </c>
      <c r="S76" s="194" t="s">
        <v>3088</v>
      </c>
      <c r="T76" s="194" t="str">
        <f>IF($Z$67=0,IF($Z$66=0,IF(Tournament!AC80&lt;&gt;"",Tournament!AC80,""),IF(Tournament!AC80&lt;&gt;"",Tournament!AC80+Tournament!AC81,"")),IF(Tournament!AC79&lt;&gt;"",Tournament!AC79,""))</f>
        <v/>
      </c>
      <c r="U76" s="193"/>
      <c r="V76" s="193" t="str">
        <f t="shared" si="3"/>
        <v>Match 52 Winner</v>
      </c>
      <c r="W76" s="191" t="str">
        <f>IF(Tournament!AA81&lt;&gt;"",Tournament!AA81,"")</f>
        <v/>
      </c>
      <c r="X76" s="199" t="s">
        <v>3088</v>
      </c>
      <c r="Y76" s="191" t="str">
        <f>IF(Tournament!AC81&lt;&gt;"",Tournament!AC81,"")</f>
        <v/>
      </c>
      <c r="Z76" s="191"/>
      <c r="AA76" s="191" t="str">
        <f>IF(Tournament!AA82&lt;&gt;"",Tournament!AA82,"")</f>
        <v/>
      </c>
      <c r="AB76" s="194" t="s">
        <v>3088</v>
      </c>
      <c r="AC76" s="191" t="str">
        <f>IF(Tournament!AC82&lt;&gt;"",Tournament!AC82,"")</f>
        <v/>
      </c>
      <c r="AD76" s="195" t="str">
        <f>IF(AND(I76&lt;&gt;"",K76&lt;&gt;"",R76&lt;&gt;"",T76&lt;&gt;""),IF(AND(I76=R76,K76=T76),Setup!$E$20,IF((I76-K76)=(R76-T76),Setup!$E$21,IF(AND((I76&gt;K76),(R76&gt;T76)),Setup!$E$22,IF(AND((K76&gt;I76),(T76&gt;R76)),Setup!$E$22,0)))),"")</f>
        <v/>
      </c>
      <c r="AE76" s="183"/>
      <c r="CM76" s="168"/>
      <c r="CN76" s="168"/>
      <c r="CO76" s="187"/>
      <c r="CP76" s="168"/>
    </row>
    <row r="77" spans="2:94" s="166" customFormat="1" ht="15" customHeight="1">
      <c r="B77" s="182"/>
      <c r="C77" s="181">
        <v>60</v>
      </c>
      <c r="D77" s="181" t="str">
        <f>D76</f>
        <v>QF</v>
      </c>
      <c r="E77" s="188">
        <f>Tournament!T84</f>
        <v>41825.541666666664</v>
      </c>
      <c r="F77" s="189">
        <f>Tournament!U84</f>
        <v>41825.541666666664</v>
      </c>
      <c r="G77" s="190" t="str">
        <f>Tournament!Y84</f>
        <v>Match 55 Winner</v>
      </c>
      <c r="H77" s="180"/>
      <c r="I77" s="9"/>
      <c r="J77" s="191" t="s">
        <v>3088</v>
      </c>
      <c r="K77" s="9"/>
      <c r="L77" s="180"/>
      <c r="M77" s="198" t="str">
        <f>Tournament!AE84</f>
        <v>Match 56 Winner</v>
      </c>
      <c r="N77" s="183"/>
      <c r="P77" s="192" t="str">
        <f t="shared" si="2"/>
        <v>Match 55 Winner</v>
      </c>
      <c r="Q77" s="193"/>
      <c r="R77" s="194" t="str">
        <f>IF($Z$67=0,IF($Z$66=0,IF(Tournament!AA85&lt;&gt;"",Tournament!AA85,""),IF(Tournament!AA85&lt;&gt;"",Tournament!AA85+Tournament!AA86,"")),IF(Tournament!AA84&lt;&gt;"",Tournament!AA84,""))</f>
        <v/>
      </c>
      <c r="S77" s="194" t="s">
        <v>3088</v>
      </c>
      <c r="T77" s="194" t="str">
        <f>IF($Z$67=0,IF($Z$66=0,IF(Tournament!AC85&lt;&gt;"",Tournament!AC85,""),IF(Tournament!AC85&lt;&gt;"",Tournament!AC85+Tournament!AC86,"")),IF(Tournament!AC84&lt;&gt;"",Tournament!AC84,""))</f>
        <v/>
      </c>
      <c r="U77" s="193"/>
      <c r="V77" s="193" t="str">
        <f t="shared" si="3"/>
        <v>Match 56 Winner</v>
      </c>
      <c r="W77" s="191" t="str">
        <f>IF(Tournament!AA86&lt;&gt;"",Tournament!AA86,"")</f>
        <v/>
      </c>
      <c r="X77" s="199" t="s">
        <v>3088</v>
      </c>
      <c r="Y77" s="191" t="str">
        <f>IF(Tournament!AC86&lt;&gt;"",Tournament!AC86,"")</f>
        <v/>
      </c>
      <c r="Z77" s="191"/>
      <c r="AA77" s="191" t="str">
        <f>IF(Tournament!AA87&lt;&gt;"",Tournament!AA87,"")</f>
        <v/>
      </c>
      <c r="AB77" s="194" t="s">
        <v>3088</v>
      </c>
      <c r="AC77" s="191" t="str">
        <f>IF(Tournament!AC87&lt;&gt;"",Tournament!AC87,"")</f>
        <v/>
      </c>
      <c r="AD77" s="195" t="str">
        <f>IF(AND(I77&lt;&gt;"",K77&lt;&gt;"",R77&lt;&gt;"",T77&lt;&gt;""),IF(AND(I77=R77,K77=T77),Setup!$E$20,IF((I77-K77)=(R77-T77),Setup!$E$21,IF(AND((I77&gt;K77),(R77&gt;T77)),Setup!$E$22,IF(AND((K77&gt;I77),(T77&gt;R77)),Setup!$E$22,0)))),"")</f>
        <v/>
      </c>
      <c r="AE77" s="183"/>
      <c r="CM77" s="168"/>
      <c r="CN77" s="168"/>
      <c r="CO77" s="187"/>
      <c r="CP77" s="168"/>
    </row>
    <row r="78" spans="2:94" s="166" customFormat="1" ht="15" customHeight="1">
      <c r="B78" s="182"/>
      <c r="C78" s="181">
        <v>61</v>
      </c>
      <c r="D78" s="181" t="s">
        <v>3550</v>
      </c>
      <c r="E78" s="188">
        <f>Tournament!T92</f>
        <v>41828.708333333336</v>
      </c>
      <c r="F78" s="189">
        <f>Tournament!U92</f>
        <v>41828.708333333336</v>
      </c>
      <c r="G78" s="190" t="str">
        <f>Tournament!Y92</f>
        <v>Match 57 Winner</v>
      </c>
      <c r="H78" s="180"/>
      <c r="I78" s="9"/>
      <c r="J78" s="191" t="s">
        <v>3088</v>
      </c>
      <c r="K78" s="9"/>
      <c r="L78" s="180"/>
      <c r="M78" s="198" t="str">
        <f>Tournament!AE92</f>
        <v>Match 58 Winner</v>
      </c>
      <c r="N78" s="183"/>
      <c r="P78" s="192" t="str">
        <f t="shared" si="2"/>
        <v>Match 57 Winner</v>
      </c>
      <c r="Q78" s="193"/>
      <c r="R78" s="194" t="str">
        <f>IF($Z$67=0,IF($Z$66=0,IF(Tournament!AA93&lt;&gt;"",Tournament!AA93,""),IF(Tournament!AA93&lt;&gt;"",Tournament!AA93+Tournament!AA94,"")),IF(Tournament!AA92&lt;&gt;"",Tournament!AA92,""))</f>
        <v/>
      </c>
      <c r="S78" s="194" t="s">
        <v>3088</v>
      </c>
      <c r="T78" s="194" t="str">
        <f>IF($Z$67=0,IF($Z$66=0,IF(Tournament!AC93&lt;&gt;"",Tournament!AC93,""),IF(Tournament!AC93&lt;&gt;"",Tournament!AC93+Tournament!AC94,"")),IF(Tournament!AC92&lt;&gt;"",Tournament!AC92,""))</f>
        <v/>
      </c>
      <c r="U78" s="193"/>
      <c r="V78" s="193" t="str">
        <f t="shared" si="3"/>
        <v>Match 58 Winner</v>
      </c>
      <c r="W78" s="191" t="str">
        <f>IF(Tournament!AA94&lt;&gt;"",Tournament!AA94,"")</f>
        <v/>
      </c>
      <c r="X78" s="199" t="s">
        <v>3088</v>
      </c>
      <c r="Y78" s="191" t="str">
        <f>IF(Tournament!AC94&lt;&gt;"",Tournament!AC94,"")</f>
        <v/>
      </c>
      <c r="Z78" s="191"/>
      <c r="AA78" s="191" t="str">
        <f>IF(Tournament!AA95&lt;&gt;"",Tournament!AA95,"")</f>
        <v/>
      </c>
      <c r="AB78" s="194" t="s">
        <v>3088</v>
      </c>
      <c r="AC78" s="191" t="str">
        <f>IF(Tournament!AC95&lt;&gt;"",Tournament!AC95,"")</f>
        <v/>
      </c>
      <c r="AD78" s="195" t="str">
        <f>IF(AND(I78&lt;&gt;"",K78&lt;&gt;"",R78&lt;&gt;"",T78&lt;&gt;""),IF(AND(I78=R78,K78=T78),Setup!$F$20,IF((I78-K78)=(R78-T78),Setup!$F$21,IF(AND((I78&gt;K78),(R78&gt;T78)),Setup!$F$22,IF(AND((K78&gt;I78),(T78&gt;R78)),Setup!$F$22,0)))),"")</f>
        <v/>
      </c>
      <c r="AE78" s="183"/>
      <c r="CM78" s="168"/>
      <c r="CN78" s="168"/>
      <c r="CO78" s="187"/>
      <c r="CP78" s="168"/>
    </row>
    <row r="79" spans="2:94" s="166" customFormat="1" ht="15" customHeight="1">
      <c r="B79" s="182"/>
      <c r="C79" s="181">
        <v>62</v>
      </c>
      <c r="D79" s="181" t="str">
        <f>D78</f>
        <v>SF</v>
      </c>
      <c r="E79" s="188">
        <f>Tournament!T97</f>
        <v>41829.708333333336</v>
      </c>
      <c r="F79" s="189">
        <f>Tournament!U97</f>
        <v>41829.708333333336</v>
      </c>
      <c r="G79" s="190" t="str">
        <f>Tournament!Y97</f>
        <v>Match 59 Winner</v>
      </c>
      <c r="H79" s="180"/>
      <c r="I79" s="9"/>
      <c r="J79" s="191" t="s">
        <v>3088</v>
      </c>
      <c r="K79" s="9"/>
      <c r="L79" s="180"/>
      <c r="M79" s="198" t="str">
        <f>Tournament!AE97</f>
        <v>Match 60 Winner</v>
      </c>
      <c r="N79" s="183"/>
      <c r="P79" s="192" t="str">
        <f t="shared" si="2"/>
        <v>Match 59 Winner</v>
      </c>
      <c r="Q79" s="193"/>
      <c r="R79" s="194" t="str">
        <f>IF($Z$67=0,IF($Z$66=0,IF(Tournament!AA98&lt;&gt;"",Tournament!AA98,""),IF(Tournament!AA98&lt;&gt;"",Tournament!AA98+Tournament!AA99,"")),IF(Tournament!AA97&lt;&gt;"",Tournament!AA97,""))</f>
        <v/>
      </c>
      <c r="S79" s="194" t="s">
        <v>3088</v>
      </c>
      <c r="T79" s="194" t="str">
        <f>IF($Z$67=0,IF($Z$66=0,IF(Tournament!AC98&lt;&gt;"",Tournament!AC98,""),IF(Tournament!AC98&lt;&gt;"",Tournament!AC98+Tournament!AC99,"")),IF(Tournament!AC97&lt;&gt;"",Tournament!AC97,""))</f>
        <v/>
      </c>
      <c r="U79" s="193"/>
      <c r="V79" s="193" t="str">
        <f t="shared" si="3"/>
        <v>Match 60 Winner</v>
      </c>
      <c r="W79" s="191" t="str">
        <f>IF(Tournament!AA99&lt;&gt;"",Tournament!AA99,"")</f>
        <v/>
      </c>
      <c r="X79" s="199" t="s">
        <v>3088</v>
      </c>
      <c r="Y79" s="191" t="str">
        <f>IF(Tournament!AC99&lt;&gt;"",Tournament!AC99,"")</f>
        <v/>
      </c>
      <c r="Z79" s="191"/>
      <c r="AA79" s="191" t="str">
        <f>IF(Tournament!AA100&lt;&gt;"",Tournament!AA100,"")</f>
        <v/>
      </c>
      <c r="AB79" s="194" t="s">
        <v>3088</v>
      </c>
      <c r="AC79" s="191" t="str">
        <f>IF(Tournament!AC100&lt;&gt;"",Tournament!AC100,"")</f>
        <v/>
      </c>
      <c r="AD79" s="195" t="str">
        <f>IF(AND(I79&lt;&gt;"",K79&lt;&gt;"",R79&lt;&gt;"",T79&lt;&gt;""),IF(AND(I79=R79,K79=T79),Setup!$F$20,IF((I79-K79)=(R79-T79),Setup!$F$21,IF(AND((I79&gt;K79),(R79&gt;T79)),Setup!$F$22,IF(AND((K79&gt;I79),(T79&gt;R79)),Setup!$F$22,0)))),"")</f>
        <v/>
      </c>
      <c r="AE79" s="183"/>
      <c r="CM79" s="168"/>
      <c r="CN79" s="168"/>
      <c r="CO79" s="187"/>
      <c r="CP79" s="168"/>
    </row>
    <row r="80" spans="2:94" s="166" customFormat="1" ht="15" customHeight="1">
      <c r="B80" s="182"/>
      <c r="C80" s="181">
        <v>63</v>
      </c>
      <c r="D80" s="181" t="s">
        <v>3551</v>
      </c>
      <c r="E80" s="188">
        <f>Tournament!T105</f>
        <v>41832.708333333336</v>
      </c>
      <c r="F80" s="189">
        <f>Tournament!U105</f>
        <v>41832.708333333336</v>
      </c>
      <c r="G80" s="190" t="str">
        <f>Tournament!Y105</f>
        <v>Match 61 Loser</v>
      </c>
      <c r="H80" s="180"/>
      <c r="I80" s="9"/>
      <c r="J80" s="191" t="s">
        <v>3088</v>
      </c>
      <c r="K80" s="9"/>
      <c r="L80" s="180"/>
      <c r="M80" s="198" t="str">
        <f>Tournament!AE105</f>
        <v>Match 62 Loser</v>
      </c>
      <c r="N80" s="183"/>
      <c r="P80" s="192" t="str">
        <f t="shared" si="2"/>
        <v>Match 61 Loser</v>
      </c>
      <c r="Q80" s="193"/>
      <c r="R80" s="194" t="str">
        <f>IF($Z$67=0,IF($Z$66=0,IF(Tournament!AA106&lt;&gt;"",Tournament!AA106,""),IF(Tournament!AA106&lt;&gt;"",Tournament!AA106+Tournament!AA107,"")),IF(Tournament!AA105&lt;&gt;"",Tournament!AA105,""))</f>
        <v/>
      </c>
      <c r="S80" s="194" t="s">
        <v>3088</v>
      </c>
      <c r="T80" s="194" t="str">
        <f>IF($Z$67=0,IF($Z$66=0,IF(Tournament!AC106&lt;&gt;"",Tournament!AC106,""),IF(Tournament!AC106&lt;&gt;"",Tournament!AC106+Tournament!AC107,"")),IF(Tournament!AC105&lt;&gt;"",Tournament!AC105,""))</f>
        <v/>
      </c>
      <c r="U80" s="193"/>
      <c r="V80" s="193" t="str">
        <f t="shared" si="3"/>
        <v>Match 62 Loser</v>
      </c>
      <c r="W80" s="191" t="str">
        <f>IF(Tournament!AA107&lt;&gt;"",Tournament!AA107,"")</f>
        <v/>
      </c>
      <c r="X80" s="199" t="s">
        <v>3088</v>
      </c>
      <c r="Y80" s="191" t="str">
        <f>IF(Tournament!AC107&lt;&gt;"",Tournament!AC107,"")</f>
        <v/>
      </c>
      <c r="Z80" s="191"/>
      <c r="AA80" s="191" t="str">
        <f>IF(Tournament!AA108&lt;&gt;"",Tournament!AA108,"")</f>
        <v/>
      </c>
      <c r="AB80" s="194" t="s">
        <v>3088</v>
      </c>
      <c r="AC80" s="191" t="str">
        <f>IF(Tournament!AC108&lt;&gt;"",Tournament!AC108,"")</f>
        <v/>
      </c>
      <c r="AD80" s="195" t="str">
        <f>IF(AND(I80&lt;&gt;"",K80&lt;&gt;"",R80&lt;&gt;"",T80&lt;&gt;""),IF(AND(I80=R80,K80=T80),Setup!$G$20,IF((I80-K80)=(R80-T80),Setup!$G$21,IF(AND((I80&gt;K80),(R80&gt;T80)),Setup!$G$22,IF(AND((K80&gt;I80),(T80&gt;R80)),Setup!$G$22,0)))),"")</f>
        <v/>
      </c>
      <c r="AE80" s="183"/>
      <c r="CM80" s="168"/>
      <c r="CN80" s="168"/>
      <c r="CO80" s="187"/>
      <c r="CP80" s="168"/>
    </row>
    <row r="81" spans="2:94" s="166" customFormat="1" ht="15" customHeight="1">
      <c r="B81" s="182"/>
      <c r="C81" s="181">
        <v>64</v>
      </c>
      <c r="D81" s="181" t="s">
        <v>3105</v>
      </c>
      <c r="E81" s="188">
        <f>Tournament!T113</f>
        <v>41833.666666666664</v>
      </c>
      <c r="F81" s="189">
        <f>Tournament!U113</f>
        <v>41833.666666666664</v>
      </c>
      <c r="G81" s="190" t="str">
        <f>Tournament!Y113</f>
        <v>Match 61 Winner</v>
      </c>
      <c r="H81" s="180"/>
      <c r="I81" s="9"/>
      <c r="J81" s="191" t="s">
        <v>3088</v>
      </c>
      <c r="K81" s="9"/>
      <c r="L81" s="180"/>
      <c r="M81" s="198" t="str">
        <f>Tournament!AE113</f>
        <v>Match 62 Winner</v>
      </c>
      <c r="N81" s="183"/>
      <c r="P81" s="192" t="str">
        <f t="shared" si="2"/>
        <v>Match 61 Winner</v>
      </c>
      <c r="Q81" s="193"/>
      <c r="R81" s="194" t="str">
        <f>IF($Z$67=0,IF($Z$66=0,IF(Tournament!AA114&lt;&gt;"",Tournament!AA114,""),IF(Tournament!AA114&lt;&gt;"",Tournament!AA114+Tournament!AA115,"")),IF(Tournament!AA113&lt;&gt;"",Tournament!AA113,""))</f>
        <v/>
      </c>
      <c r="S81" s="194" t="s">
        <v>3088</v>
      </c>
      <c r="T81" s="194" t="str">
        <f>IF($Z$67=0,IF($Z$66=0,IF(Tournament!AC114&lt;&gt;"",Tournament!AC114,""),IF(Tournament!AC114&lt;&gt;"",Tournament!AC114+Tournament!AC115,"")),IF(Tournament!AC113&lt;&gt;"",Tournament!AC113,""))</f>
        <v/>
      </c>
      <c r="U81" s="193"/>
      <c r="V81" s="193" t="str">
        <f t="shared" si="3"/>
        <v>Match 62 Winner</v>
      </c>
      <c r="W81" s="191" t="str">
        <f>IF(Tournament!AA115&lt;&gt;"",Tournament!AA115,"")</f>
        <v/>
      </c>
      <c r="X81" s="199" t="s">
        <v>3088</v>
      </c>
      <c r="Y81" s="191" t="str">
        <f>IF(Tournament!AC115&lt;&gt;"",Tournament!AC115,"")</f>
        <v/>
      </c>
      <c r="Z81" s="191"/>
      <c r="AA81" s="191" t="str">
        <f>IF(Tournament!AA116&lt;&gt;"",Tournament!AA116,"")</f>
        <v/>
      </c>
      <c r="AB81" s="194" t="s">
        <v>3088</v>
      </c>
      <c r="AC81" s="191" t="str">
        <f>IF(Tournament!AC116&lt;&gt;"",Tournament!AC116,"")</f>
        <v/>
      </c>
      <c r="AD81" s="195" t="str">
        <f>IF(AND(I81&lt;&gt;"",K81&lt;&gt;"",R81&lt;&gt;"",T81&lt;&gt;""),IF(AND(I81=R81,K81=T81),Setup!$H$20,IF((I81-K81)=(R81-T81),Setup!$H$21,IF(AND((I81&gt;K81),(R81&gt;T81)),Setup!$H$22,IF(AND((K81&gt;I81),(T81&gt;R81)),Setup!$H$22,0)))),"")</f>
        <v/>
      </c>
      <c r="AE81" s="183"/>
      <c r="CM81" s="168"/>
      <c r="CN81" s="168"/>
      <c r="CO81" s="187"/>
      <c r="CP81" s="168"/>
    </row>
    <row r="82" spans="2:94" s="166" customFormat="1" ht="15" customHeight="1">
      <c r="B82" s="200"/>
      <c r="C82" s="201"/>
      <c r="D82" s="201"/>
      <c r="E82" s="201"/>
      <c r="F82" s="201"/>
      <c r="G82" s="201"/>
      <c r="H82" s="201"/>
      <c r="I82" s="201"/>
      <c r="J82" s="202"/>
      <c r="K82" s="201"/>
      <c r="L82" s="201"/>
      <c r="M82" s="201"/>
      <c r="N82" s="203"/>
      <c r="P82" s="200"/>
      <c r="Q82" s="201"/>
      <c r="R82" s="201"/>
      <c r="S82" s="202"/>
      <c r="T82" s="201"/>
      <c r="U82" s="201"/>
      <c r="V82" s="201"/>
      <c r="W82" s="201"/>
      <c r="X82" s="202"/>
      <c r="Y82" s="201"/>
      <c r="Z82" s="201"/>
      <c r="AA82" s="201"/>
      <c r="AB82" s="202"/>
      <c r="AC82" s="201"/>
      <c r="AD82" s="202"/>
      <c r="AE82" s="203"/>
      <c r="CM82" s="168"/>
      <c r="CN82" s="168"/>
      <c r="CO82" s="187"/>
      <c r="CP82" s="168"/>
    </row>
    <row r="83" spans="2:94" s="166" customFormat="1" ht="15" customHeight="1">
      <c r="B83" s="166" t="s">
        <v>3905</v>
      </c>
      <c r="N83" s="180"/>
      <c r="AD83" s="167"/>
      <c r="CM83" s="168"/>
      <c r="CN83" s="168"/>
      <c r="CO83" s="187"/>
      <c r="CP83" s="168"/>
    </row>
    <row r="84" spans="2:94" s="166" customFormat="1" ht="15" hidden="1" customHeight="1">
      <c r="N84" s="180"/>
      <c r="AD84" s="167"/>
      <c r="CM84" s="168"/>
      <c r="CN84" s="168"/>
      <c r="CO84" s="187"/>
      <c r="CP84" s="168"/>
    </row>
    <row r="85" spans="2:94" s="166" customFormat="1" ht="15" hidden="1" customHeight="1">
      <c r="N85" s="180"/>
      <c r="AD85" s="167"/>
      <c r="CM85" s="168"/>
      <c r="CN85" s="168"/>
      <c r="CO85" s="187"/>
      <c r="CP85" s="168"/>
    </row>
    <row r="86" spans="2:94" s="166" customFormat="1" ht="15" hidden="1" customHeight="1">
      <c r="N86" s="180"/>
      <c r="AD86" s="167"/>
      <c r="CM86" s="168"/>
      <c r="CN86" s="168"/>
      <c r="CO86" s="187"/>
      <c r="CP86" s="168"/>
    </row>
    <row r="87" spans="2:94" s="166" customFormat="1" ht="15" hidden="1" customHeight="1">
      <c r="N87" s="180"/>
      <c r="AD87" s="167"/>
      <c r="CM87" s="168"/>
      <c r="CN87" s="168"/>
      <c r="CO87" s="187"/>
      <c r="CP87" s="168"/>
    </row>
    <row r="88" spans="2:94" s="166" customFormat="1" ht="15" hidden="1" customHeight="1">
      <c r="N88" s="180"/>
      <c r="AD88" s="167"/>
      <c r="CM88" s="168"/>
      <c r="CN88" s="168"/>
      <c r="CO88" s="187"/>
      <c r="CP88" s="168"/>
    </row>
    <row r="89" spans="2:94" s="166" customFormat="1" ht="15" hidden="1" customHeight="1">
      <c r="N89" s="180"/>
      <c r="AD89" s="167"/>
      <c r="CM89" s="168"/>
      <c r="CN89" s="168"/>
      <c r="CO89" s="187"/>
      <c r="CP89" s="168"/>
    </row>
    <row r="90" spans="2:94" s="166" customFormat="1" ht="15" hidden="1" customHeight="1">
      <c r="N90" s="180"/>
      <c r="AD90" s="167"/>
      <c r="CM90" s="168"/>
      <c r="CN90" s="168"/>
      <c r="CO90" s="187"/>
      <c r="CP90" s="168"/>
    </row>
    <row r="91" spans="2:94" s="166" customFormat="1" ht="15" hidden="1" customHeight="1">
      <c r="N91" s="180"/>
      <c r="AD91" s="167"/>
      <c r="CM91" s="168"/>
      <c r="CN91" s="168"/>
      <c r="CO91" s="187"/>
      <c r="CP91" s="168"/>
    </row>
    <row r="92" spans="2:94" s="166" customFormat="1" ht="15" hidden="1" customHeight="1">
      <c r="N92" s="180"/>
      <c r="AD92" s="167"/>
      <c r="CM92" s="168"/>
      <c r="CN92" s="168"/>
      <c r="CO92" s="187"/>
      <c r="CP92" s="168"/>
    </row>
    <row r="93" spans="2:94" s="166" customFormat="1" ht="15" hidden="1" customHeight="1">
      <c r="N93" s="180"/>
      <c r="AD93" s="167"/>
      <c r="CM93" s="168"/>
      <c r="CN93" s="168"/>
      <c r="CO93" s="187"/>
      <c r="CP93" s="168"/>
    </row>
    <row r="94" spans="2:94" s="166" customFormat="1" ht="15" hidden="1" customHeight="1">
      <c r="N94" s="180"/>
      <c r="AD94" s="167"/>
      <c r="CM94" s="168"/>
      <c r="CN94" s="168"/>
      <c r="CO94" s="187"/>
      <c r="CP94" s="168"/>
    </row>
    <row r="95" spans="2:94" s="166" customFormat="1" ht="15" hidden="1" customHeight="1">
      <c r="N95" s="180"/>
      <c r="AD95" s="167"/>
      <c r="CM95" s="168"/>
      <c r="CN95" s="168"/>
      <c r="CO95" s="187"/>
      <c r="CP95" s="168"/>
    </row>
    <row r="96" spans="2:94" s="166" customFormat="1" ht="15" hidden="1" customHeight="1">
      <c r="N96" s="180"/>
      <c r="AD96" s="167"/>
      <c r="CM96" s="168"/>
      <c r="CN96" s="168"/>
      <c r="CO96" s="187"/>
      <c r="CP96" s="168"/>
    </row>
    <row r="97" spans="14:94" s="166" customFormat="1" ht="15" hidden="1" customHeight="1">
      <c r="N97" s="180"/>
      <c r="AD97" s="167"/>
      <c r="CM97" s="168"/>
      <c r="CN97" s="168"/>
      <c r="CO97" s="187"/>
      <c r="CP97" s="168"/>
    </row>
    <row r="98" spans="14:94" s="166" customFormat="1" ht="15" hidden="1" customHeight="1">
      <c r="N98" s="180"/>
      <c r="AD98" s="167"/>
      <c r="CM98" s="168"/>
      <c r="CN98" s="168"/>
      <c r="CO98" s="187"/>
      <c r="CP98" s="168"/>
    </row>
    <row r="99" spans="14:94" s="166" customFormat="1" ht="15" hidden="1" customHeight="1">
      <c r="N99" s="180"/>
      <c r="AD99" s="167"/>
      <c r="CM99" s="168"/>
      <c r="CN99" s="168"/>
      <c r="CO99" s="187"/>
      <c r="CP99" s="168"/>
    </row>
    <row r="100" spans="14:94" s="166" customFormat="1" ht="15" hidden="1" customHeight="1">
      <c r="N100" s="180"/>
      <c r="AD100" s="167"/>
      <c r="CM100" s="168"/>
      <c r="CN100" s="168"/>
      <c r="CO100" s="187"/>
      <c r="CP100" s="168"/>
    </row>
    <row r="101" spans="14:94" s="166" customFormat="1" ht="15" hidden="1" customHeight="1">
      <c r="N101" s="180"/>
      <c r="AD101" s="167"/>
      <c r="CM101" s="168"/>
      <c r="CN101" s="168"/>
      <c r="CO101" s="187"/>
      <c r="CP101" s="168"/>
    </row>
    <row r="102" spans="14:94" s="166" customFormat="1" ht="15" hidden="1" customHeight="1">
      <c r="N102" s="180"/>
      <c r="AD102" s="167"/>
      <c r="CM102" s="168"/>
      <c r="CN102" s="168"/>
      <c r="CO102" s="187"/>
      <c r="CP102" s="168"/>
    </row>
    <row r="103" spans="14:94" s="166" customFormat="1" ht="15" hidden="1" customHeight="1">
      <c r="N103" s="180"/>
      <c r="AD103" s="167"/>
      <c r="CM103" s="168"/>
      <c r="CN103" s="168"/>
      <c r="CO103" s="187"/>
      <c r="CP103" s="168"/>
    </row>
    <row r="104" spans="14:94" s="166" customFormat="1" ht="15" hidden="1" customHeight="1">
      <c r="N104" s="180"/>
      <c r="AD104" s="167"/>
      <c r="CM104" s="168"/>
      <c r="CN104" s="168"/>
      <c r="CO104" s="187"/>
      <c r="CP104" s="168"/>
    </row>
    <row r="105" spans="14:94" s="166" customFormat="1" ht="15" hidden="1" customHeight="1">
      <c r="N105" s="180"/>
      <c r="AD105" s="167"/>
      <c r="CM105" s="168"/>
      <c r="CN105" s="168"/>
      <c r="CO105" s="187"/>
      <c r="CP105" s="168"/>
    </row>
    <row r="106" spans="14:94" s="166" customFormat="1" ht="15" hidden="1" customHeight="1">
      <c r="N106" s="180"/>
      <c r="AD106" s="167"/>
      <c r="CM106" s="168"/>
      <c r="CN106" s="168"/>
      <c r="CO106" s="187"/>
      <c r="CP106" s="168"/>
    </row>
    <row r="107" spans="14:94" s="166" customFormat="1" ht="15" hidden="1" customHeight="1">
      <c r="N107" s="180"/>
      <c r="AD107" s="167"/>
      <c r="CM107" s="168"/>
      <c r="CN107" s="168"/>
      <c r="CO107" s="187"/>
      <c r="CP107" s="168"/>
    </row>
    <row r="108" spans="14:94" s="166" customFormat="1" ht="15" hidden="1" customHeight="1">
      <c r="N108" s="180"/>
      <c r="AD108" s="167"/>
      <c r="CM108" s="168"/>
      <c r="CN108" s="168"/>
      <c r="CO108" s="187"/>
      <c r="CP108" s="168"/>
    </row>
    <row r="109" spans="14:94" s="166" customFormat="1" ht="15" hidden="1" customHeight="1">
      <c r="N109" s="180"/>
      <c r="AD109" s="167"/>
      <c r="CM109" s="168"/>
      <c r="CN109" s="168"/>
      <c r="CO109" s="187"/>
      <c r="CP109" s="168"/>
    </row>
    <row r="110" spans="14:94" s="166" customFormat="1" ht="15" hidden="1" customHeight="1">
      <c r="N110" s="180"/>
      <c r="AD110" s="167"/>
      <c r="CM110" s="168"/>
      <c r="CN110" s="168"/>
      <c r="CO110" s="187"/>
      <c r="CP110" s="168"/>
    </row>
    <row r="111" spans="14:94" s="166" customFormat="1" ht="15" hidden="1" customHeight="1">
      <c r="N111" s="180"/>
      <c r="AD111" s="167"/>
      <c r="CM111" s="168"/>
      <c r="CN111" s="168"/>
      <c r="CO111" s="187"/>
      <c r="CP111" s="168"/>
    </row>
    <row r="112" spans="14:94" s="166" customFormat="1" ht="15" hidden="1" customHeight="1">
      <c r="N112" s="180"/>
      <c r="AD112" s="167"/>
      <c r="CM112" s="168"/>
      <c r="CN112" s="168"/>
      <c r="CO112" s="187"/>
      <c r="CP112" s="168"/>
    </row>
    <row r="113" spans="2:94" s="166" customFormat="1" ht="15" hidden="1" customHeight="1">
      <c r="N113" s="180"/>
      <c r="AD113" s="167"/>
      <c r="CM113" s="168"/>
      <c r="CN113" s="168"/>
      <c r="CO113" s="187"/>
      <c r="CP113" s="168"/>
    </row>
    <row r="114" spans="2:94" s="166" customFormat="1" ht="15" hidden="1" customHeight="1">
      <c r="N114" s="180"/>
      <c r="AD114" s="167"/>
      <c r="CM114" s="168"/>
      <c r="CN114" s="168"/>
      <c r="CO114" s="187"/>
      <c r="CP114" s="168"/>
    </row>
    <row r="115" spans="2:94" s="166" customFormat="1" ht="15" hidden="1" customHeight="1">
      <c r="N115" s="180"/>
      <c r="AD115" s="167"/>
      <c r="CM115" s="168"/>
      <c r="CN115" s="168"/>
      <c r="CO115" s="187"/>
      <c r="CP115" s="168"/>
    </row>
    <row r="116" spans="2:94" s="166" customFormat="1" ht="15" hidden="1" customHeight="1">
      <c r="N116" s="180"/>
      <c r="AD116" s="167"/>
      <c r="CM116" s="168"/>
      <c r="CN116" s="168"/>
      <c r="CO116" s="187"/>
      <c r="CP116" s="168"/>
    </row>
    <row r="117" spans="2:94" s="166" customFormat="1" ht="15" hidden="1" customHeight="1">
      <c r="N117" s="180"/>
      <c r="AD117" s="167"/>
      <c r="CM117" s="168"/>
      <c r="CN117" s="168"/>
      <c r="CO117" s="187"/>
      <c r="CP117" s="168"/>
    </row>
    <row r="118" spans="2:94" s="166" customFormat="1" ht="15" hidden="1" customHeight="1">
      <c r="N118" s="180"/>
      <c r="AD118" s="167"/>
      <c r="CM118" s="168"/>
      <c r="CN118" s="168"/>
      <c r="CO118" s="187"/>
      <c r="CP118" s="168"/>
    </row>
    <row r="119" spans="2:94" s="166" customFormat="1" ht="15" hidden="1" customHeight="1">
      <c r="N119" s="180"/>
      <c r="AD119" s="167"/>
      <c r="CM119" s="168"/>
      <c r="CN119" s="168"/>
      <c r="CO119" s="187"/>
      <c r="CP119" s="168"/>
    </row>
    <row r="120" spans="2:94" s="166" customFormat="1" ht="15" hidden="1" customHeight="1">
      <c r="N120" s="180"/>
      <c r="AD120" s="167"/>
      <c r="CM120" s="168"/>
      <c r="CN120" s="168"/>
      <c r="CO120" s="187" t="s">
        <v>1404</v>
      </c>
      <c r="CP120" s="168"/>
    </row>
    <row r="121" spans="2:94" s="166" customFormat="1" ht="15" hidden="1" customHeight="1">
      <c r="N121" s="180"/>
      <c r="AD121" s="167"/>
      <c r="CM121" s="168"/>
      <c r="CN121" s="168"/>
      <c r="CO121" s="187" t="s">
        <v>1405</v>
      </c>
      <c r="CP121" s="168"/>
    </row>
    <row r="122" spans="2:94" s="166" customFormat="1" ht="15" hidden="1" customHeight="1">
      <c r="N122" s="180"/>
      <c r="AD122" s="167"/>
      <c r="CM122" s="168"/>
      <c r="CN122" s="168"/>
      <c r="CO122" s="187" t="s">
        <v>1406</v>
      </c>
      <c r="CP122" s="168"/>
    </row>
    <row r="123" spans="2:94" s="166" customFormat="1" ht="15" hidden="1" customHeight="1">
      <c r="N123" s="180"/>
      <c r="AD123" s="167"/>
      <c r="CM123" s="168"/>
      <c r="CN123" s="168"/>
      <c r="CO123" s="187" t="s">
        <v>1407</v>
      </c>
      <c r="CP123" s="168"/>
    </row>
    <row r="124" spans="2:94" s="166" customFormat="1" ht="15" hidden="1" customHeight="1">
      <c r="N124" s="180"/>
      <c r="AD124" s="167"/>
      <c r="CM124" s="168"/>
      <c r="CN124" s="168"/>
      <c r="CO124" s="187" t="s">
        <v>1408</v>
      </c>
      <c r="CP124" s="168"/>
    </row>
    <row r="125" spans="2:94" s="166" customFormat="1" ht="15" hidden="1" customHeight="1">
      <c r="B125" s="180"/>
      <c r="C125" s="180"/>
      <c r="D125" s="180"/>
      <c r="E125" s="180"/>
      <c r="F125" s="180"/>
      <c r="G125" s="180"/>
      <c r="H125" s="180"/>
      <c r="I125" s="180"/>
      <c r="J125" s="181"/>
      <c r="K125" s="180"/>
      <c r="L125" s="180"/>
      <c r="M125" s="180"/>
      <c r="N125" s="180"/>
      <c r="P125" s="180"/>
      <c r="Q125" s="180"/>
      <c r="R125" s="180"/>
      <c r="S125" s="181"/>
      <c r="T125" s="180"/>
      <c r="U125" s="180"/>
      <c r="V125" s="180"/>
      <c r="W125" s="180"/>
      <c r="X125" s="181"/>
      <c r="Y125" s="180"/>
      <c r="Z125" s="180"/>
      <c r="AA125" s="180"/>
      <c r="AB125" s="181"/>
      <c r="AC125" s="180"/>
      <c r="AD125" s="167"/>
      <c r="CM125" s="168"/>
      <c r="CN125" s="168"/>
      <c r="CO125" s="187" t="s">
        <v>1409</v>
      </c>
      <c r="CP125" s="168"/>
    </row>
    <row r="126" spans="2:94" s="166" customFormat="1" ht="15" hidden="1" customHeight="1">
      <c r="B126" s="180"/>
      <c r="C126" s="180"/>
      <c r="D126" s="180"/>
      <c r="E126" s="180"/>
      <c r="F126" s="180"/>
      <c r="G126" s="180"/>
      <c r="H126" s="180"/>
      <c r="I126" s="180"/>
      <c r="J126" s="181"/>
      <c r="K126" s="180"/>
      <c r="L126" s="180"/>
      <c r="M126" s="180"/>
      <c r="N126" s="180"/>
      <c r="P126" s="180"/>
      <c r="Q126" s="180"/>
      <c r="R126" s="180"/>
      <c r="S126" s="181"/>
      <c r="T126" s="180"/>
      <c r="U126" s="180"/>
      <c r="V126" s="180"/>
      <c r="W126" s="180"/>
      <c r="X126" s="181"/>
      <c r="Y126" s="180"/>
      <c r="Z126" s="180"/>
      <c r="AA126" s="180"/>
      <c r="AB126" s="181"/>
      <c r="AC126" s="180"/>
      <c r="AD126" s="167"/>
      <c r="CM126" s="168"/>
      <c r="CN126" s="168"/>
      <c r="CO126" s="187" t="s">
        <v>1410</v>
      </c>
      <c r="CP126" s="168"/>
    </row>
  </sheetData>
  <sheetProtection password="CE4F" sheet="1" objects="1" scenarios="1" formatCells="0" formatColumns="0" formatRows="0" insertColumns="0" insertRows="0" insertHyperlinks="0" sort="0" autoFilter="0" pivotTables="0"/>
  <mergeCells count="23">
    <mergeCell ref="B4:C4"/>
    <mergeCell ref="D4:M4"/>
    <mergeCell ref="H5:L5"/>
    <mergeCell ref="AC5:AE5"/>
    <mergeCell ref="B6:C7"/>
    <mergeCell ref="D6:F6"/>
    <mergeCell ref="H6:L6"/>
    <mergeCell ref="D7:F7"/>
    <mergeCell ref="H7:L7"/>
    <mergeCell ref="AC7:AE7"/>
    <mergeCell ref="B9:N9"/>
    <mergeCell ref="P9:AE9"/>
    <mergeCell ref="B11:N11"/>
    <mergeCell ref="P11:AE11"/>
    <mergeCell ref="I13:K13"/>
    <mergeCell ref="R13:T13"/>
    <mergeCell ref="W13:Y13"/>
    <mergeCell ref="AA13:AC13"/>
    <mergeCell ref="B64:N64"/>
    <mergeCell ref="P64:AE64"/>
    <mergeCell ref="R65:T65"/>
    <mergeCell ref="W65:Y65"/>
    <mergeCell ref="AA65:AC65"/>
  </mergeCells>
  <conditionalFormatting sqref="G15:G62 G66:G81">
    <cfRule type="expression" dxfId="395" priority="21" stopIfTrue="1">
      <formula>I15&gt;K15</formula>
    </cfRule>
    <cfRule type="expression" dxfId="394" priority="22" stopIfTrue="1">
      <formula>I15&lt;K15</formula>
    </cfRule>
  </conditionalFormatting>
  <conditionalFormatting sqref="M15:M62">
    <cfRule type="expression" dxfId="393" priority="23" stopIfTrue="1">
      <formula>K15&gt;I15</formula>
    </cfRule>
    <cfRule type="expression" dxfId="392" priority="24" stopIfTrue="1">
      <formula>K15&lt;I15</formula>
    </cfRule>
  </conditionalFormatting>
  <conditionalFormatting sqref="S15:S62 S66:S81">
    <cfRule type="expression" dxfId="391" priority="25" stopIfTrue="1">
      <formula>AND($R15&lt;&gt;"",$T15&lt;&gt;"")</formula>
    </cfRule>
  </conditionalFormatting>
  <conditionalFormatting sqref="P15:R62 P66:R81 T66:T81">
    <cfRule type="expression" dxfId="390" priority="26" stopIfTrue="1">
      <formula>AND($R15&gt;$T15,$R15&lt;&gt;"",$T15&lt;&gt;"")</formula>
    </cfRule>
    <cfRule type="expression" dxfId="389" priority="27" stopIfTrue="1">
      <formula>AND($R15&lt;$T15,$R15&lt;&gt;"",$T15&lt;&gt;"")</formula>
    </cfRule>
    <cfRule type="expression" dxfId="388" priority="28" stopIfTrue="1">
      <formula>AND($R15&lt;&gt;"",$T15&lt;&gt;"")</formula>
    </cfRule>
  </conditionalFormatting>
  <conditionalFormatting sqref="U66:V81 T15:V62">
    <cfRule type="expression" dxfId="387" priority="29" stopIfTrue="1">
      <formula>AND($T15&gt;$R15,$R15&lt;&gt;"",$T15&lt;&gt;"")</formula>
    </cfRule>
    <cfRule type="expression" dxfId="386" priority="30" stopIfTrue="1">
      <formula>AND($T15&lt;$R15,$R15&lt;&gt;"",$T15&lt;&gt;"")</formula>
    </cfRule>
    <cfRule type="expression" dxfId="385" priority="31" stopIfTrue="1">
      <formula>AND($R15&lt;&gt;"",$T15&lt;&gt;"")</formula>
    </cfRule>
  </conditionalFormatting>
  <conditionalFormatting sqref="O15">
    <cfRule type="expression" dxfId="384" priority="32" stopIfTrue="1">
      <formula>#REF!&gt;#REF!</formula>
    </cfRule>
    <cfRule type="expression" dxfId="383" priority="33" stopIfTrue="1">
      <formula>#REF!&lt;#REF!</formula>
    </cfRule>
  </conditionalFormatting>
  <conditionalFormatting sqref="I15:I62 K15:K62 K66:K81 I66:I81">
    <cfRule type="expression" dxfId="382" priority="34" stopIfTrue="1">
      <formula>ISBLANK(I15)</formula>
    </cfRule>
  </conditionalFormatting>
  <conditionalFormatting sqref="X15:X61">
    <cfRule type="expression" dxfId="381" priority="14" stopIfTrue="1">
      <formula>AND($R15&lt;&gt;"",$T15&lt;&gt;"")</formula>
    </cfRule>
  </conditionalFormatting>
  <conditionalFormatting sqref="W15:W61">
    <cfRule type="expression" dxfId="380" priority="15" stopIfTrue="1">
      <formula>AND($R15&gt;$T15,$R15&lt;&gt;"",$T15&lt;&gt;"")</formula>
    </cfRule>
    <cfRule type="expression" dxfId="379" priority="16" stopIfTrue="1">
      <formula>AND($R15&lt;$T15,$R15&lt;&gt;"",$T15&lt;&gt;"")</formula>
    </cfRule>
    <cfRule type="expression" dxfId="378" priority="17" stopIfTrue="1">
      <formula>AND($R15&lt;&gt;"",$T15&lt;&gt;"")</formula>
    </cfRule>
  </conditionalFormatting>
  <conditionalFormatting sqref="Y15:Z61">
    <cfRule type="expression" dxfId="377" priority="18" stopIfTrue="1">
      <formula>AND($T15&gt;$R15,$R15&lt;&gt;"",$T15&lt;&gt;"")</formula>
    </cfRule>
    <cfRule type="expression" dxfId="376" priority="19" stopIfTrue="1">
      <formula>AND($T15&lt;$R15,$R15&lt;&gt;"",$T15&lt;&gt;"")</formula>
    </cfRule>
    <cfRule type="expression" dxfId="375" priority="20" stopIfTrue="1">
      <formula>AND($R15&lt;&gt;"",$T15&lt;&gt;"")</formula>
    </cfRule>
  </conditionalFormatting>
  <conditionalFormatting sqref="AB15:AB61">
    <cfRule type="expression" dxfId="374" priority="7" stopIfTrue="1">
      <formula>AND($R15&lt;&gt;"",$T15&lt;&gt;"")</formula>
    </cfRule>
  </conditionalFormatting>
  <conditionalFormatting sqref="AA15:AA61">
    <cfRule type="expression" dxfId="373" priority="8" stopIfTrue="1">
      <formula>AND($R15&gt;$T15,$R15&lt;&gt;"",$T15&lt;&gt;"")</formula>
    </cfRule>
    <cfRule type="expression" dxfId="372" priority="9" stopIfTrue="1">
      <formula>AND($R15&lt;$T15,$R15&lt;&gt;"",$T15&lt;&gt;"")</formula>
    </cfRule>
    <cfRule type="expression" dxfId="371" priority="10" stopIfTrue="1">
      <formula>AND($R15&lt;&gt;"",$T15&lt;&gt;"")</formula>
    </cfRule>
  </conditionalFormatting>
  <conditionalFormatting sqref="AC15:AC61">
    <cfRule type="expression" dxfId="370" priority="11" stopIfTrue="1">
      <formula>AND($T15&gt;$R15,$R15&lt;&gt;"",$T15&lt;&gt;"")</formula>
    </cfRule>
    <cfRule type="expression" dxfId="369" priority="12" stopIfTrue="1">
      <formula>AND($T15&lt;$R15,$R15&lt;&gt;"",$T15&lt;&gt;"")</formula>
    </cfRule>
    <cfRule type="expression" dxfId="368" priority="13" stopIfTrue="1">
      <formula>AND($R15&lt;&gt;"",$T15&lt;&gt;"")</formula>
    </cfRule>
  </conditionalFormatting>
  <conditionalFormatting sqref="M66:M81">
    <cfRule type="expression" dxfId="367" priority="35">
      <formula>K66&gt;I66</formula>
    </cfRule>
    <cfRule type="expression" dxfId="366" priority="36">
      <formula>$K66&lt;$I66</formula>
    </cfRule>
  </conditionalFormatting>
  <conditionalFormatting sqref="X66:X81">
    <cfRule type="expression" dxfId="365" priority="6">
      <formula>AND($W66&lt;&gt;"",$Y66&lt;&gt;"")</formula>
    </cfRule>
  </conditionalFormatting>
  <conditionalFormatting sqref="AB66:AB81">
    <cfRule type="expression" dxfId="364" priority="5">
      <formula>AND($AA66&lt;&gt;"",$AC66&lt;&gt;"")</formula>
    </cfRule>
  </conditionalFormatting>
  <conditionalFormatting sqref="AA65:AC65">
    <cfRule type="expression" dxfId="363" priority="4">
      <formula>$Z$67=1</formula>
    </cfRule>
  </conditionalFormatting>
  <conditionalFormatting sqref="W65:Y65">
    <cfRule type="expression" dxfId="362" priority="3">
      <formula>OR($Z$66=1,$Z$67=1)</formula>
    </cfRule>
  </conditionalFormatting>
  <conditionalFormatting sqref="W66:Y81">
    <cfRule type="expression" dxfId="361" priority="2">
      <formula>OR($Z$66=1,$Z$67=1)</formula>
    </cfRule>
  </conditionalFormatting>
  <conditionalFormatting sqref="AA66:AC81">
    <cfRule type="expression" dxfId="360" priority="1">
      <formula>$Z$67=1</formula>
    </cfRule>
  </conditionalFormatting>
  <printOptions horizontalCentered="1" verticalCentered="1"/>
  <pageMargins left="0.39" right="0.32" top="0.28999999999999998" bottom="0.39" header="0.21" footer="0.26"/>
  <pageSetup scale="59" orientation="portrait" horizontalDpi="300" verticalDpi="300" r:id="rId1"/>
  <headerFooter alignWithMargins="0">
    <oddFooter xml:space="preserve">&amp;C
</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S126"/>
  <sheetViews>
    <sheetView showGridLines="0" zoomScaleNormal="100" workbookViewId="0">
      <selection activeCell="C82" sqref="C82"/>
    </sheetView>
  </sheetViews>
  <sheetFormatPr defaultColWidth="0" defaultRowHeight="14.4" customHeight="1" zeroHeight="1"/>
  <cols>
    <col min="1" max="1" width="2.44140625" style="204" customWidth="1"/>
    <col min="2" max="2" width="3.6640625" style="204" customWidth="1"/>
    <col min="3" max="3" width="4.109375" style="204" customWidth="1"/>
    <col min="4" max="4" width="6.33203125" style="204" customWidth="1"/>
    <col min="5" max="5" width="8.21875" style="204" customWidth="1"/>
    <col min="6" max="6" width="6.88671875" style="205" customWidth="1"/>
    <col min="7" max="7" width="20.6640625" style="204" customWidth="1"/>
    <col min="8" max="8" width="1.77734375" style="204" customWidth="1"/>
    <col min="9" max="9" width="3.44140625" style="204" customWidth="1"/>
    <col min="10" max="10" width="1.77734375" style="206" customWidth="1"/>
    <col min="11" max="11" width="3.44140625" style="204" customWidth="1"/>
    <col min="12" max="12" width="1.6640625" style="204" customWidth="1"/>
    <col min="13" max="13" width="20.6640625" style="204" customWidth="1"/>
    <col min="14" max="14" width="2.44140625" style="204" customWidth="1"/>
    <col min="15" max="15" width="1.77734375" style="204" customWidth="1"/>
    <col min="16" max="16" width="20.6640625" style="204" customWidth="1"/>
    <col min="17" max="17" width="1.6640625" style="204" customWidth="1"/>
    <col min="18" max="18" width="3.44140625" style="204" customWidth="1"/>
    <col min="19" max="19" width="1.77734375" style="206" customWidth="1"/>
    <col min="20" max="20" width="3.44140625" style="204" customWidth="1"/>
    <col min="21" max="21" width="1.6640625" style="204" customWidth="1"/>
    <col min="22" max="22" width="17.5546875" style="204" customWidth="1"/>
    <col min="23" max="23" width="3.44140625" style="204" customWidth="1"/>
    <col min="24" max="24" width="1.77734375" style="206" customWidth="1"/>
    <col min="25" max="25" width="3.44140625" style="204" customWidth="1"/>
    <col min="26" max="26" width="1.77734375" style="204" customWidth="1"/>
    <col min="27" max="27" width="3.44140625" style="204" customWidth="1"/>
    <col min="28" max="28" width="1.77734375" style="206" customWidth="1"/>
    <col min="29" max="29" width="3.44140625" style="204" customWidth="1"/>
    <col min="30" max="30" width="5.77734375" style="206" customWidth="1"/>
    <col min="31" max="31" width="9.109375" style="204" customWidth="1"/>
    <col min="32" max="32" width="2.6640625" style="204" customWidth="1"/>
    <col min="33" max="33" width="9.109375" style="204" hidden="1" customWidth="1"/>
    <col min="34" max="90" width="0" style="204" hidden="1" customWidth="1"/>
    <col min="91" max="94" width="0" style="207" hidden="1" customWidth="1"/>
    <col min="95" max="97" width="0" style="204" hidden="1" customWidth="1"/>
    <col min="98" max="16384" width="9.109375" style="204" hidden="1"/>
  </cols>
  <sheetData>
    <row r="1" spans="2:97" s="166" customFormat="1" ht="15" customHeight="1">
      <c r="J1" s="167"/>
      <c r="S1" s="167"/>
      <c r="X1" s="167"/>
      <c r="AB1" s="167"/>
      <c r="AD1" s="167"/>
      <c r="CM1" s="168"/>
      <c r="CN1" s="168"/>
      <c r="CO1" s="168"/>
      <c r="CP1" s="168"/>
    </row>
    <row r="2" spans="2:97" s="166" customFormat="1" ht="15" customHeight="1">
      <c r="J2" s="167"/>
      <c r="S2" s="167"/>
      <c r="X2" s="167"/>
      <c r="AB2" s="167"/>
      <c r="AD2" s="167"/>
      <c r="CM2" s="168"/>
      <c r="CN2" s="168"/>
      <c r="CO2" s="168"/>
      <c r="CP2" s="168"/>
    </row>
    <row r="3" spans="2:97" s="166" customFormat="1" ht="15" customHeight="1">
      <c r="J3" s="167"/>
      <c r="S3" s="167"/>
      <c r="X3" s="167"/>
      <c r="AB3" s="167"/>
      <c r="AD3" s="167"/>
      <c r="CM3" s="168"/>
      <c r="CN3" s="168"/>
      <c r="CO3" s="168"/>
      <c r="CP3" s="168"/>
    </row>
    <row r="4" spans="2:97" s="166" customFormat="1" ht="25.05" customHeight="1">
      <c r="B4" s="297" t="s">
        <v>3871</v>
      </c>
      <c r="C4" s="298"/>
      <c r="D4" s="307" t="str">
        <f ca="1">IF(INDIRECT("'Player Name'!"&amp;"$c"&amp;B8)&lt;&gt;"",INDIRECT("'Player Name'!"&amp;"$c"&amp;B8),"")</f>
        <v>John 6</v>
      </c>
      <c r="E4" s="308"/>
      <c r="F4" s="308"/>
      <c r="G4" s="308"/>
      <c r="H4" s="308"/>
      <c r="I4" s="308"/>
      <c r="J4" s="308"/>
      <c r="K4" s="308"/>
      <c r="L4" s="308"/>
      <c r="M4" s="309"/>
      <c r="S4" s="167"/>
      <c r="X4" s="167"/>
      <c r="AB4" s="167"/>
      <c r="CM4" s="168"/>
      <c r="CN4" s="168"/>
      <c r="CO4" s="168"/>
      <c r="CP4" s="168"/>
    </row>
    <row r="5" spans="2:97" s="173" customFormat="1" ht="15" customHeight="1">
      <c r="B5" s="169"/>
      <c r="C5" s="169"/>
      <c r="D5" s="170"/>
      <c r="E5" s="170"/>
      <c r="F5" s="170"/>
      <c r="G5" s="171" t="s">
        <v>848</v>
      </c>
      <c r="H5" s="294" t="s">
        <v>3872</v>
      </c>
      <c r="I5" s="294"/>
      <c r="J5" s="294"/>
      <c r="K5" s="294"/>
      <c r="L5" s="295"/>
      <c r="M5" s="171" t="s">
        <v>3870</v>
      </c>
      <c r="N5" s="166"/>
      <c r="O5" s="166"/>
      <c r="P5" s="172"/>
      <c r="Q5" s="166"/>
      <c r="R5" s="166"/>
      <c r="S5" s="167"/>
      <c r="T5" s="166"/>
      <c r="U5" s="166"/>
      <c r="V5" s="166"/>
      <c r="W5" s="166"/>
      <c r="X5" s="167"/>
      <c r="Y5" s="166"/>
      <c r="Z5" s="166"/>
      <c r="AA5" s="166"/>
      <c r="AB5" s="167"/>
      <c r="AC5" s="296"/>
      <c r="AD5" s="296"/>
      <c r="AE5" s="296"/>
      <c r="CM5" s="174"/>
      <c r="CN5" s="174"/>
      <c r="CO5" s="174"/>
      <c r="CP5" s="174"/>
    </row>
    <row r="6" spans="2:97" s="166" customFormat="1" ht="15" customHeight="1">
      <c r="B6" s="318">
        <f>B8-5</f>
        <v>6</v>
      </c>
      <c r="C6" s="318"/>
      <c r="D6" s="315" t="s">
        <v>3868</v>
      </c>
      <c r="E6" s="315"/>
      <c r="F6" s="315"/>
      <c r="G6" s="175">
        <f>SUM(AD15:AD62)</f>
        <v>0</v>
      </c>
      <c r="H6" s="310">
        <f>SUM(AD66:AD81)</f>
        <v>0</v>
      </c>
      <c r="I6" s="311"/>
      <c r="J6" s="311"/>
      <c r="K6" s="311"/>
      <c r="L6" s="311"/>
      <c r="M6" s="176">
        <f>H6+G6</f>
        <v>0</v>
      </c>
      <c r="X6" s="167"/>
      <c r="AB6" s="167"/>
      <c r="CM6" s="168"/>
      <c r="CN6" s="168"/>
      <c r="CO6" s="168"/>
      <c r="CP6" s="168"/>
    </row>
    <row r="7" spans="2:97" s="166" customFormat="1" ht="15" customHeight="1">
      <c r="B7" s="318"/>
      <c r="C7" s="319"/>
      <c r="D7" s="316" t="s">
        <v>3869</v>
      </c>
      <c r="E7" s="317"/>
      <c r="F7" s="317"/>
      <c r="G7" s="177"/>
      <c r="H7" s="312"/>
      <c r="I7" s="312"/>
      <c r="J7" s="312"/>
      <c r="K7" s="312"/>
      <c r="L7" s="313"/>
      <c r="M7" s="178">
        <f ca="1">INDEX('Player Leaderboard'!$A$9:$A$23,MATCH($D4,'Player Leaderboard'!$B$9:$B$23,0),0)</f>
        <v>6</v>
      </c>
      <c r="P7" s="210" t="str">
        <f>HYPERLINK("["&amp;Setup!$C$5&amp;"]'Player ("&amp;B8-6&amp;")'!B6","&lt;&lt; Previous Player ("&amp;B8-6&amp;")")</f>
        <v>&lt;&lt; Previous Player (5)</v>
      </c>
      <c r="S7" s="167"/>
      <c r="X7" s="167"/>
      <c r="AB7" s="167"/>
      <c r="AC7" s="320" t="str">
        <f>HYPERLINK("["&amp;Setup!$C$5&amp;"]'Player ("&amp;B8-4&amp;")'!B6","Next Player ("&amp;B8-4&amp;") &gt;&gt;")</f>
        <v>Next Player (7) &gt;&gt;</v>
      </c>
      <c r="AD7" s="320"/>
      <c r="AE7" s="320"/>
      <c r="CM7" s="168"/>
      <c r="CN7" s="168"/>
      <c r="CO7" s="168"/>
      <c r="CP7" s="168"/>
    </row>
    <row r="8" spans="2:97" s="166" customFormat="1" ht="15" customHeight="1">
      <c r="B8" s="208">
        <v>11</v>
      </c>
      <c r="J8" s="167"/>
      <c r="S8" s="167"/>
      <c r="X8" s="167"/>
      <c r="AB8" s="167"/>
      <c r="AD8" s="167"/>
      <c r="CM8" s="168"/>
      <c r="CN8" s="168"/>
      <c r="CO8" s="168"/>
      <c r="CP8" s="168"/>
    </row>
    <row r="9" spans="2:97" s="166" customFormat="1" ht="15" customHeight="1">
      <c r="B9" s="314" t="s">
        <v>491</v>
      </c>
      <c r="C9" s="314"/>
      <c r="D9" s="314"/>
      <c r="E9" s="314"/>
      <c r="F9" s="314"/>
      <c r="G9" s="314"/>
      <c r="H9" s="314"/>
      <c r="I9" s="314"/>
      <c r="J9" s="314"/>
      <c r="K9" s="314"/>
      <c r="L9" s="314"/>
      <c r="M9" s="314"/>
      <c r="N9" s="314"/>
      <c r="P9" s="303" t="s">
        <v>492</v>
      </c>
      <c r="Q9" s="304"/>
      <c r="R9" s="304"/>
      <c r="S9" s="304"/>
      <c r="T9" s="304"/>
      <c r="U9" s="304"/>
      <c r="V9" s="304"/>
      <c r="W9" s="304"/>
      <c r="X9" s="304"/>
      <c r="Y9" s="304"/>
      <c r="Z9" s="304"/>
      <c r="AA9" s="304"/>
      <c r="AB9" s="304"/>
      <c r="AC9" s="304"/>
      <c r="AD9" s="304"/>
      <c r="AE9" s="305"/>
      <c r="CM9" s="168"/>
      <c r="CN9" s="168"/>
      <c r="CO9" s="168"/>
      <c r="CP9" s="168"/>
    </row>
    <row r="10" spans="2:97" s="166" customFormat="1" ht="15" customHeight="1">
      <c r="B10" s="180"/>
      <c r="C10" s="180"/>
      <c r="D10" s="180"/>
      <c r="E10" s="180"/>
      <c r="F10" s="180"/>
      <c r="G10" s="180"/>
      <c r="H10" s="180"/>
      <c r="I10" s="180"/>
      <c r="J10" s="181"/>
      <c r="K10" s="180"/>
      <c r="L10" s="180"/>
      <c r="M10" s="180"/>
      <c r="N10" s="180"/>
      <c r="O10" s="180"/>
      <c r="P10" s="180"/>
      <c r="Q10" s="180"/>
      <c r="R10" s="180"/>
      <c r="S10" s="180"/>
      <c r="T10" s="180"/>
      <c r="U10" s="180"/>
      <c r="V10" s="180"/>
      <c r="W10" s="180"/>
      <c r="X10" s="180"/>
      <c r="Y10" s="180"/>
      <c r="Z10" s="180"/>
      <c r="AA10" s="180"/>
      <c r="AB10" s="180"/>
      <c r="AC10" s="180"/>
      <c r="AD10" s="180"/>
      <c r="AE10" s="180"/>
      <c r="AF10" s="180"/>
      <c r="AG10" s="180"/>
      <c r="CM10" s="168"/>
      <c r="CN10" s="168"/>
      <c r="CO10" s="168"/>
      <c r="CP10" s="168"/>
    </row>
    <row r="11" spans="2:97" s="166" customFormat="1" ht="15" customHeight="1">
      <c r="B11" s="300" t="str">
        <f>Tournament!B10</f>
        <v>Group Stages</v>
      </c>
      <c r="C11" s="301"/>
      <c r="D11" s="301"/>
      <c r="E11" s="301"/>
      <c r="F11" s="301"/>
      <c r="G11" s="301"/>
      <c r="H11" s="301"/>
      <c r="I11" s="301"/>
      <c r="J11" s="301"/>
      <c r="K11" s="301"/>
      <c r="L11" s="301"/>
      <c r="M11" s="301"/>
      <c r="N11" s="302"/>
      <c r="P11" s="303" t="str">
        <f>B11</f>
        <v>Group Stages</v>
      </c>
      <c r="Q11" s="304"/>
      <c r="R11" s="304"/>
      <c r="S11" s="304"/>
      <c r="T11" s="304"/>
      <c r="U11" s="304"/>
      <c r="V11" s="304"/>
      <c r="W11" s="304"/>
      <c r="X11" s="304"/>
      <c r="Y11" s="304"/>
      <c r="Z11" s="304"/>
      <c r="AA11" s="304"/>
      <c r="AB11" s="304"/>
      <c r="AC11" s="304"/>
      <c r="AD11" s="304"/>
      <c r="AE11" s="305"/>
      <c r="CM11" s="168"/>
      <c r="CN11" s="168"/>
      <c r="CO11" s="168"/>
      <c r="CP11" s="168"/>
    </row>
    <row r="12" spans="2:97" s="166" customFormat="1" ht="15" customHeight="1">
      <c r="B12" s="182"/>
      <c r="C12" s="180"/>
      <c r="D12" s="180"/>
      <c r="E12" s="180"/>
      <c r="F12" s="180"/>
      <c r="G12" s="180"/>
      <c r="H12" s="180"/>
      <c r="I12" s="180"/>
      <c r="J12" s="181"/>
      <c r="K12" s="180"/>
      <c r="L12" s="180"/>
      <c r="M12" s="180"/>
      <c r="N12" s="183"/>
      <c r="P12" s="182"/>
      <c r="Q12" s="180"/>
      <c r="R12" s="180"/>
      <c r="S12" s="180"/>
      <c r="T12" s="180"/>
      <c r="U12" s="180"/>
      <c r="V12" s="180"/>
      <c r="W12" s="180"/>
      <c r="X12" s="180"/>
      <c r="Y12" s="180"/>
      <c r="Z12" s="180"/>
      <c r="AA12" s="180"/>
      <c r="AB12" s="180"/>
      <c r="AC12" s="180"/>
      <c r="AD12" s="180"/>
      <c r="AE12" s="183"/>
      <c r="CM12" s="168"/>
      <c r="CN12" s="168"/>
      <c r="CO12" s="168"/>
      <c r="CP12" s="168"/>
    </row>
    <row r="13" spans="2:97" s="166" customFormat="1" ht="15" customHeight="1">
      <c r="B13" s="182"/>
      <c r="C13" s="184" t="str">
        <f>Tournament!D14</f>
        <v>Match #</v>
      </c>
      <c r="D13" s="184" t="str">
        <f>Tournament!E14</f>
        <v>Group</v>
      </c>
      <c r="E13" s="184" t="str">
        <f>Tournament!F14</f>
        <v>Date</v>
      </c>
      <c r="F13" s="184" t="str">
        <f>Tournament!G14</f>
        <v>Time</v>
      </c>
      <c r="G13" s="184" t="str">
        <f>Tournament!H14</f>
        <v>Country</v>
      </c>
      <c r="H13" s="184"/>
      <c r="I13" s="306" t="str">
        <f>Tournament!J14</f>
        <v>Score</v>
      </c>
      <c r="J13" s="306"/>
      <c r="K13" s="306"/>
      <c r="L13" s="184"/>
      <c r="M13" s="184" t="str">
        <f>Tournament!N14</f>
        <v>Country</v>
      </c>
      <c r="N13" s="183"/>
      <c r="P13" s="185" t="str">
        <f>G13</f>
        <v>Country</v>
      </c>
      <c r="Q13" s="184"/>
      <c r="R13" s="306" t="str">
        <f>I13</f>
        <v>Score</v>
      </c>
      <c r="S13" s="306"/>
      <c r="T13" s="306"/>
      <c r="U13" s="184"/>
      <c r="V13" s="184" t="str">
        <f>M13</f>
        <v>Country</v>
      </c>
      <c r="W13" s="306"/>
      <c r="X13" s="306"/>
      <c r="Y13" s="306"/>
      <c r="Z13" s="184"/>
      <c r="AA13" s="306"/>
      <c r="AB13" s="306"/>
      <c r="AC13" s="306"/>
      <c r="AD13" s="184" t="s">
        <v>3277</v>
      </c>
      <c r="AE13" s="183"/>
      <c r="CP13" s="168"/>
      <c r="CQ13" s="186"/>
      <c r="CR13" s="187"/>
      <c r="CS13" s="168"/>
    </row>
    <row r="14" spans="2:97" s="166" customFormat="1" ht="15" customHeight="1">
      <c r="B14" s="182"/>
      <c r="C14" s="180"/>
      <c r="D14" s="180"/>
      <c r="E14" s="180"/>
      <c r="F14" s="180"/>
      <c r="G14" s="180"/>
      <c r="H14" s="180"/>
      <c r="I14" s="180"/>
      <c r="J14" s="180"/>
      <c r="K14" s="180"/>
      <c r="L14" s="180"/>
      <c r="M14" s="180"/>
      <c r="N14" s="183"/>
      <c r="P14" s="182"/>
      <c r="Q14" s="180"/>
      <c r="R14" s="180"/>
      <c r="S14" s="180"/>
      <c r="T14" s="180"/>
      <c r="U14" s="180"/>
      <c r="V14" s="180"/>
      <c r="W14" s="180"/>
      <c r="X14" s="180"/>
      <c r="Y14" s="180"/>
      <c r="Z14" s="180"/>
      <c r="AA14" s="180"/>
      <c r="AB14" s="180"/>
      <c r="AC14" s="180"/>
      <c r="AD14" s="181"/>
      <c r="AE14" s="183"/>
      <c r="CP14" s="168"/>
      <c r="CQ14" s="186"/>
      <c r="CR14" s="187"/>
      <c r="CS14" s="168"/>
    </row>
    <row r="15" spans="2:97" s="166" customFormat="1" ht="15" customHeight="1">
      <c r="B15" s="182"/>
      <c r="C15" s="181">
        <f>Tournament!D16</f>
        <v>1</v>
      </c>
      <c r="D15" s="181" t="str">
        <f>Tournament!E16</f>
        <v>A</v>
      </c>
      <c r="E15" s="188">
        <f>Tournament!F16</f>
        <v>41802.708333333336</v>
      </c>
      <c r="F15" s="189">
        <f>Tournament!G16</f>
        <v>41802.708333333336</v>
      </c>
      <c r="G15" s="190" t="str">
        <f>Tournament!H16</f>
        <v>Brazil</v>
      </c>
      <c r="H15" s="180"/>
      <c r="I15" s="9"/>
      <c r="J15" s="191" t="s">
        <v>3088</v>
      </c>
      <c r="K15" s="9"/>
      <c r="L15" s="180"/>
      <c r="M15" s="180" t="str">
        <f>Tournament!N16</f>
        <v>Croatia</v>
      </c>
      <c r="N15" s="183"/>
      <c r="O15" s="180"/>
      <c r="P15" s="192" t="str">
        <f>G15</f>
        <v>Brazil</v>
      </c>
      <c r="Q15" s="193"/>
      <c r="R15" s="194">
        <f>IF(Tournament!J16&lt;&gt;"",Tournament!J16,"")</f>
        <v>3</v>
      </c>
      <c r="S15" s="194" t="s">
        <v>3088</v>
      </c>
      <c r="T15" s="194">
        <f>IF(Tournament!L16&lt;&gt;"",Tournament!L16,"")</f>
        <v>1</v>
      </c>
      <c r="U15" s="193"/>
      <c r="V15" s="193" t="str">
        <f>M15</f>
        <v>Croatia</v>
      </c>
      <c r="W15" s="194"/>
      <c r="X15" s="194"/>
      <c r="Y15" s="194"/>
      <c r="Z15" s="194"/>
      <c r="AA15" s="194"/>
      <c r="AB15" s="194"/>
      <c r="AC15" s="194"/>
      <c r="AD15" s="195" t="str">
        <f>IF(AND(I15&lt;&gt;"",K15&lt;&gt;"",R15&lt;&gt;"",T15&lt;&gt;""),IF(AND(I15=R15,K15=T15),Setup!$D$10,IF((I15-K15)=(R15-T15),Setup!$D$11,IF(AND((I15&gt;K15),(R15&gt;T15)),Setup!$D$12,IF(AND((K15&gt;I15),(T15&gt;R15)),Setup!$D$12,0)))),"")</f>
        <v/>
      </c>
      <c r="AE15" s="183"/>
      <c r="CP15" s="168"/>
      <c r="CQ15" s="186"/>
      <c r="CR15" s="187"/>
      <c r="CS15" s="168"/>
    </row>
    <row r="16" spans="2:97" s="166" customFormat="1" ht="15" customHeight="1">
      <c r="B16" s="182"/>
      <c r="C16" s="181">
        <f>Tournament!D17</f>
        <v>2</v>
      </c>
      <c r="D16" s="181" t="str">
        <f>Tournament!E17</f>
        <v>A</v>
      </c>
      <c r="E16" s="188">
        <f>Tournament!F17</f>
        <v>41803.541666666664</v>
      </c>
      <c r="F16" s="189">
        <f>Tournament!G17</f>
        <v>41803.541666666664</v>
      </c>
      <c r="G16" s="190" t="str">
        <f>Tournament!H17</f>
        <v>Mexico</v>
      </c>
      <c r="H16" s="180"/>
      <c r="I16" s="9"/>
      <c r="J16" s="191" t="s">
        <v>3088</v>
      </c>
      <c r="K16" s="9"/>
      <c r="L16" s="180"/>
      <c r="M16" s="180" t="str">
        <f>Tournament!N17</f>
        <v>Cameroon</v>
      </c>
      <c r="N16" s="183"/>
      <c r="P16" s="192" t="str">
        <f t="shared" ref="P16:P62" si="0">G16</f>
        <v>Mexico</v>
      </c>
      <c r="Q16" s="193"/>
      <c r="R16" s="194">
        <f>IF(Tournament!J17&lt;&gt;"",Tournament!J17,"")</f>
        <v>1</v>
      </c>
      <c r="S16" s="194" t="s">
        <v>3088</v>
      </c>
      <c r="T16" s="194">
        <f>IF(Tournament!L17&lt;&gt;"",Tournament!L17,"")</f>
        <v>0</v>
      </c>
      <c r="U16" s="193"/>
      <c r="V16" s="193" t="str">
        <f t="shared" ref="V16:V62" si="1">M16</f>
        <v>Cameroon</v>
      </c>
      <c r="W16" s="194"/>
      <c r="X16" s="194"/>
      <c r="Y16" s="194"/>
      <c r="Z16" s="194"/>
      <c r="AA16" s="194"/>
      <c r="AB16" s="194"/>
      <c r="AC16" s="194"/>
      <c r="AD16" s="195" t="str">
        <f>IF(AND(I16&lt;&gt;"",K16&lt;&gt;"",R16&lt;&gt;"",T16&lt;&gt;""),IF(AND(I16=R16,K16=T16),Setup!$D$10,IF((I16-K16)=(R16-T16),Setup!$D$11,IF(AND((I16&gt;K16),(R16&gt;T16)),Setup!$D$12,IF(AND((K16&gt;I16),(T16&gt;R16)),Setup!$D$12,0)))),"")</f>
        <v/>
      </c>
      <c r="AE16" s="183"/>
      <c r="AI16" s="179" t="s">
        <v>3904</v>
      </c>
      <c r="CP16" s="168"/>
      <c r="CQ16" s="186"/>
      <c r="CR16" s="187"/>
      <c r="CS16" s="168"/>
    </row>
    <row r="17" spans="2:97" s="166" customFormat="1" ht="15" customHeight="1">
      <c r="B17" s="182"/>
      <c r="C17" s="181">
        <f>Tournament!D18</f>
        <v>3</v>
      </c>
      <c r="D17" s="181" t="str">
        <f>Tournament!E18</f>
        <v>B</v>
      </c>
      <c r="E17" s="188">
        <f>Tournament!F18</f>
        <v>41803.666666666664</v>
      </c>
      <c r="F17" s="189">
        <f>Tournament!G18</f>
        <v>41803.666666666664</v>
      </c>
      <c r="G17" s="190" t="str">
        <f>Tournament!H18</f>
        <v>Spain</v>
      </c>
      <c r="H17" s="180"/>
      <c r="I17" s="9"/>
      <c r="J17" s="191" t="s">
        <v>3088</v>
      </c>
      <c r="K17" s="9"/>
      <c r="L17" s="180"/>
      <c r="M17" s="180" t="str">
        <f>Tournament!N18</f>
        <v>Netherlands</v>
      </c>
      <c r="N17" s="183"/>
      <c r="P17" s="192" t="str">
        <f t="shared" si="0"/>
        <v>Spain</v>
      </c>
      <c r="Q17" s="193"/>
      <c r="R17" s="194">
        <f>IF(Tournament!J18&lt;&gt;"",Tournament!J18,"")</f>
        <v>1</v>
      </c>
      <c r="S17" s="194" t="s">
        <v>3088</v>
      </c>
      <c r="T17" s="194">
        <f>IF(Tournament!L18&lt;&gt;"",Tournament!L18,"")</f>
        <v>5</v>
      </c>
      <c r="U17" s="193"/>
      <c r="V17" s="193" t="str">
        <f t="shared" si="1"/>
        <v>Netherlands</v>
      </c>
      <c r="W17" s="194"/>
      <c r="X17" s="194"/>
      <c r="Y17" s="194"/>
      <c r="Z17" s="194"/>
      <c r="AA17" s="194"/>
      <c r="AB17" s="194"/>
      <c r="AC17" s="194"/>
      <c r="AD17" s="195" t="str">
        <f>IF(AND(I17&lt;&gt;"",K17&lt;&gt;"",R17&lt;&gt;"",T17&lt;&gt;""),IF(AND(I17=R17,K17=T17),Setup!$D$10,IF((I17-K17)=(R17-T17),Setup!$D$11,IF(AND((I17&gt;K17),(R17&gt;T17)),Setup!$D$12,IF(AND((K17&gt;I17),(T17&gt;R17)),Setup!$D$12,0)))),"")</f>
        <v/>
      </c>
      <c r="AE17" s="183"/>
      <c r="CP17" s="168"/>
      <c r="CQ17" s="186"/>
      <c r="CR17" s="187"/>
      <c r="CS17" s="168"/>
    </row>
    <row r="18" spans="2:97" s="166" customFormat="1" ht="15" customHeight="1">
      <c r="B18" s="182"/>
      <c r="C18" s="181">
        <f>Tournament!D19</f>
        <v>4</v>
      </c>
      <c r="D18" s="181" t="str">
        <f>Tournament!E19</f>
        <v>B</v>
      </c>
      <c r="E18" s="188">
        <f>Tournament!F19</f>
        <v>41803.791666666664</v>
      </c>
      <c r="F18" s="189">
        <f>Tournament!G19</f>
        <v>41803.791666666664</v>
      </c>
      <c r="G18" s="190" t="str">
        <f>Tournament!H19</f>
        <v>Chile</v>
      </c>
      <c r="H18" s="180"/>
      <c r="I18" s="9"/>
      <c r="J18" s="191" t="s">
        <v>3088</v>
      </c>
      <c r="K18" s="9"/>
      <c r="L18" s="180"/>
      <c r="M18" s="180" t="str">
        <f>Tournament!N19</f>
        <v>Australia</v>
      </c>
      <c r="N18" s="183"/>
      <c r="P18" s="192" t="str">
        <f t="shared" si="0"/>
        <v>Chile</v>
      </c>
      <c r="Q18" s="193"/>
      <c r="R18" s="194">
        <f>IF(Tournament!J19&lt;&gt;"",Tournament!J19,"")</f>
        <v>3</v>
      </c>
      <c r="S18" s="194" t="s">
        <v>3088</v>
      </c>
      <c r="T18" s="194">
        <f>IF(Tournament!L19&lt;&gt;"",Tournament!L19,"")</f>
        <v>1</v>
      </c>
      <c r="U18" s="193"/>
      <c r="V18" s="193" t="str">
        <f t="shared" si="1"/>
        <v>Australia</v>
      </c>
      <c r="W18" s="194"/>
      <c r="X18" s="194"/>
      <c r="Y18" s="194"/>
      <c r="Z18" s="194"/>
      <c r="AA18" s="194"/>
      <c r="AB18" s="194"/>
      <c r="AC18" s="194"/>
      <c r="AD18" s="195" t="str">
        <f>IF(AND(I18&lt;&gt;"",K18&lt;&gt;"",R18&lt;&gt;"",T18&lt;&gt;""),IF(AND(I18=R18,K18=T18),Setup!$D$10,IF((I18-K18)=(R18-T18),Setup!$D$11,IF(AND((I18&gt;K18),(R18&gt;T18)),Setup!$D$12,IF(AND((K18&gt;I18),(T18&gt;R18)),Setup!$D$12,0)))),"")</f>
        <v/>
      </c>
      <c r="AE18" s="183"/>
      <c r="CP18" s="168"/>
      <c r="CQ18" s="186"/>
      <c r="CR18" s="187"/>
      <c r="CS18" s="168"/>
    </row>
    <row r="19" spans="2:97" s="166" customFormat="1" ht="15" customHeight="1">
      <c r="B19" s="182"/>
      <c r="C19" s="181">
        <f>Tournament!D20</f>
        <v>5</v>
      </c>
      <c r="D19" s="181" t="str">
        <f>Tournament!E20</f>
        <v>C</v>
      </c>
      <c r="E19" s="188">
        <f>Tournament!F20</f>
        <v>41804.541666666664</v>
      </c>
      <c r="F19" s="189">
        <f>Tournament!G20</f>
        <v>41804.541666666664</v>
      </c>
      <c r="G19" s="190" t="str">
        <f>Tournament!H20</f>
        <v>Colombia</v>
      </c>
      <c r="H19" s="180"/>
      <c r="I19" s="9"/>
      <c r="J19" s="191" t="s">
        <v>3088</v>
      </c>
      <c r="K19" s="9"/>
      <c r="L19" s="180"/>
      <c r="M19" s="180" t="str">
        <f>Tournament!N20</f>
        <v>Greece</v>
      </c>
      <c r="N19" s="183"/>
      <c r="P19" s="192" t="str">
        <f t="shared" si="0"/>
        <v>Colombia</v>
      </c>
      <c r="Q19" s="193"/>
      <c r="R19" s="194" t="str">
        <f>IF(Tournament!J20&lt;&gt;"",Tournament!J20,"")</f>
        <v/>
      </c>
      <c r="S19" s="194" t="s">
        <v>3088</v>
      </c>
      <c r="T19" s="194" t="str">
        <f>IF(Tournament!L20&lt;&gt;"",Tournament!L20,"")</f>
        <v/>
      </c>
      <c r="U19" s="193"/>
      <c r="V19" s="193" t="str">
        <f t="shared" si="1"/>
        <v>Greece</v>
      </c>
      <c r="W19" s="194"/>
      <c r="X19" s="194"/>
      <c r="Y19" s="194"/>
      <c r="Z19" s="194"/>
      <c r="AA19" s="194"/>
      <c r="AB19" s="194"/>
      <c r="AC19" s="194"/>
      <c r="AD19" s="195" t="str">
        <f>IF(AND(I19&lt;&gt;"",K19&lt;&gt;"",R19&lt;&gt;"",T19&lt;&gt;""),IF(AND(I19=R19,K19=T19),Setup!$D$10,IF((I19-K19)=(R19-T19),Setup!$D$11,IF(AND((I19&gt;K19),(R19&gt;T19)),Setup!$D$12,IF(AND((K19&gt;I19),(T19&gt;R19)),Setup!$D$12,0)))),"")</f>
        <v/>
      </c>
      <c r="AE19" s="183"/>
      <c r="CP19" s="168"/>
      <c r="CQ19" s="186"/>
      <c r="CR19" s="187"/>
      <c r="CS19" s="168"/>
    </row>
    <row r="20" spans="2:97" s="166" customFormat="1" ht="15" customHeight="1">
      <c r="B20" s="182"/>
      <c r="C20" s="181">
        <f>Tournament!D21</f>
        <v>6</v>
      </c>
      <c r="D20" s="181" t="str">
        <f>Tournament!E21</f>
        <v>C</v>
      </c>
      <c r="E20" s="188">
        <f>Tournament!F21</f>
        <v>41804.916666666664</v>
      </c>
      <c r="F20" s="189">
        <f>Tournament!G21</f>
        <v>41804.916666666664</v>
      </c>
      <c r="G20" s="190" t="str">
        <f>Tournament!H21</f>
        <v>Ivory Coast</v>
      </c>
      <c r="H20" s="180"/>
      <c r="I20" s="9"/>
      <c r="J20" s="191" t="s">
        <v>3088</v>
      </c>
      <c r="K20" s="9"/>
      <c r="L20" s="180"/>
      <c r="M20" s="180" t="str">
        <f>Tournament!N21</f>
        <v>Japan</v>
      </c>
      <c r="N20" s="183"/>
      <c r="P20" s="192" t="str">
        <f t="shared" si="0"/>
        <v>Ivory Coast</v>
      </c>
      <c r="Q20" s="193"/>
      <c r="R20" s="194" t="str">
        <f>IF(Tournament!J21&lt;&gt;"",Tournament!J21,"")</f>
        <v/>
      </c>
      <c r="S20" s="194" t="s">
        <v>3088</v>
      </c>
      <c r="T20" s="194" t="str">
        <f>IF(Tournament!L21&lt;&gt;"",Tournament!L21,"")</f>
        <v/>
      </c>
      <c r="U20" s="193"/>
      <c r="V20" s="193" t="str">
        <f t="shared" si="1"/>
        <v>Japan</v>
      </c>
      <c r="W20" s="194"/>
      <c r="X20" s="194"/>
      <c r="Y20" s="194"/>
      <c r="Z20" s="194"/>
      <c r="AA20" s="194"/>
      <c r="AB20" s="194"/>
      <c r="AC20" s="194"/>
      <c r="AD20" s="195" t="str">
        <f>IF(AND(I20&lt;&gt;"",K20&lt;&gt;"",R20&lt;&gt;"",T20&lt;&gt;""),IF(AND(I20=R20,K20=T20),Setup!$D$10,IF((I20-K20)=(R20-T20),Setup!$D$11,IF(AND((I20&gt;K20),(R20&gt;T20)),Setup!$D$12,IF(AND((K20&gt;I20),(T20&gt;R20)),Setup!$D$12,0)))),"")</f>
        <v/>
      </c>
      <c r="AE20" s="183"/>
      <c r="CP20" s="168"/>
      <c r="CQ20" s="186"/>
      <c r="CR20" s="187"/>
      <c r="CS20" s="168"/>
    </row>
    <row r="21" spans="2:97" s="166" customFormat="1" ht="15" customHeight="1">
      <c r="B21" s="182"/>
      <c r="C21" s="181">
        <f>Tournament!D22</f>
        <v>7</v>
      </c>
      <c r="D21" s="181" t="str">
        <f>Tournament!E22</f>
        <v>D</v>
      </c>
      <c r="E21" s="188">
        <f>Tournament!F22</f>
        <v>41804.666666666664</v>
      </c>
      <c r="F21" s="189">
        <f>Tournament!G22</f>
        <v>41804.666666666664</v>
      </c>
      <c r="G21" s="190" t="str">
        <f>Tournament!H22</f>
        <v>Uruguay</v>
      </c>
      <c r="H21" s="180"/>
      <c r="I21" s="9"/>
      <c r="J21" s="191" t="s">
        <v>3088</v>
      </c>
      <c r="K21" s="9"/>
      <c r="L21" s="180"/>
      <c r="M21" s="180" t="str">
        <f>Tournament!N22</f>
        <v>Costa Rica</v>
      </c>
      <c r="N21" s="183"/>
      <c r="P21" s="192" t="str">
        <f t="shared" si="0"/>
        <v>Uruguay</v>
      </c>
      <c r="Q21" s="193"/>
      <c r="R21" s="194" t="str">
        <f>IF(Tournament!J22&lt;&gt;"",Tournament!J22,"")</f>
        <v/>
      </c>
      <c r="S21" s="194" t="s">
        <v>3088</v>
      </c>
      <c r="T21" s="194" t="str">
        <f>IF(Tournament!L22&lt;&gt;"",Tournament!L22,"")</f>
        <v/>
      </c>
      <c r="U21" s="193"/>
      <c r="V21" s="193" t="str">
        <f t="shared" si="1"/>
        <v>Costa Rica</v>
      </c>
      <c r="W21" s="194"/>
      <c r="X21" s="194"/>
      <c r="Y21" s="194"/>
      <c r="Z21" s="194"/>
      <c r="AA21" s="194"/>
      <c r="AB21" s="194"/>
      <c r="AC21" s="194"/>
      <c r="AD21" s="195" t="str">
        <f>IF(AND(I21&lt;&gt;"",K21&lt;&gt;"",R21&lt;&gt;"",T21&lt;&gt;""),IF(AND(I21=R21,K21=T21),Setup!$D$10,IF((I21-K21)=(R21-T21),Setup!$D$11,IF(AND((I21&gt;K21),(R21&gt;T21)),Setup!$D$12,IF(AND((K21&gt;I21),(T21&gt;R21)),Setup!$D$12,0)))),"")</f>
        <v/>
      </c>
      <c r="AE21" s="183"/>
      <c r="CP21" s="168"/>
      <c r="CQ21" s="196"/>
      <c r="CR21" s="187"/>
      <c r="CS21" s="168"/>
    </row>
    <row r="22" spans="2:97" s="166" customFormat="1" ht="15" customHeight="1">
      <c r="B22" s="182"/>
      <c r="C22" s="181">
        <f>Tournament!D23</f>
        <v>8</v>
      </c>
      <c r="D22" s="181" t="str">
        <f>Tournament!E23</f>
        <v>D</v>
      </c>
      <c r="E22" s="188">
        <f>Tournament!F23</f>
        <v>41804.791666666664</v>
      </c>
      <c r="F22" s="189">
        <f>Tournament!G23</f>
        <v>41804.791666666664</v>
      </c>
      <c r="G22" s="190" t="str">
        <f>Tournament!H23</f>
        <v>England</v>
      </c>
      <c r="H22" s="180"/>
      <c r="I22" s="9"/>
      <c r="J22" s="191" t="s">
        <v>3088</v>
      </c>
      <c r="K22" s="9"/>
      <c r="L22" s="180"/>
      <c r="M22" s="180" t="str">
        <f>Tournament!N23</f>
        <v>Italy</v>
      </c>
      <c r="N22" s="183"/>
      <c r="P22" s="192" t="str">
        <f t="shared" si="0"/>
        <v>England</v>
      </c>
      <c r="Q22" s="193"/>
      <c r="R22" s="194" t="str">
        <f>IF(Tournament!J23&lt;&gt;"",Tournament!J23,"")</f>
        <v/>
      </c>
      <c r="S22" s="194" t="s">
        <v>3088</v>
      </c>
      <c r="T22" s="194" t="str">
        <f>IF(Tournament!L23&lt;&gt;"",Tournament!L23,"")</f>
        <v/>
      </c>
      <c r="U22" s="193"/>
      <c r="V22" s="193" t="str">
        <f t="shared" si="1"/>
        <v>Italy</v>
      </c>
      <c r="W22" s="194"/>
      <c r="X22" s="194"/>
      <c r="Y22" s="194"/>
      <c r="Z22" s="194"/>
      <c r="AA22" s="194"/>
      <c r="AB22" s="194"/>
      <c r="AC22" s="194"/>
      <c r="AD22" s="195" t="str">
        <f>IF(AND(I22&lt;&gt;"",K22&lt;&gt;"",R22&lt;&gt;"",T22&lt;&gt;""),IF(AND(I22=R22,K22=T22),Setup!$D$10,IF((I22-K22)=(R22-T22),Setup!$D$11,IF(AND((I22&gt;K22),(R22&gt;T22)),Setup!$D$12,IF(AND((K22&gt;I22),(T22&gt;R22)),Setup!$D$12,0)))),"")</f>
        <v/>
      </c>
      <c r="AE22" s="183"/>
      <c r="CP22" s="168"/>
      <c r="CQ22" s="186"/>
      <c r="CR22" s="187"/>
      <c r="CS22" s="168"/>
    </row>
    <row r="23" spans="2:97" s="166" customFormat="1" ht="15" customHeight="1">
      <c r="B23" s="182"/>
      <c r="C23" s="181">
        <f>Tournament!D24</f>
        <v>9</v>
      </c>
      <c r="D23" s="181" t="str">
        <f>Tournament!E24</f>
        <v>E</v>
      </c>
      <c r="E23" s="188">
        <f>Tournament!F24</f>
        <v>41805.541666666664</v>
      </c>
      <c r="F23" s="189">
        <f>Tournament!G24</f>
        <v>41805.541666666664</v>
      </c>
      <c r="G23" s="190" t="str">
        <f>Tournament!H24</f>
        <v>Switzerland</v>
      </c>
      <c r="H23" s="180"/>
      <c r="I23" s="9"/>
      <c r="J23" s="191" t="s">
        <v>3088</v>
      </c>
      <c r="K23" s="9"/>
      <c r="L23" s="180"/>
      <c r="M23" s="180" t="str">
        <f>Tournament!N24</f>
        <v>Ecuador</v>
      </c>
      <c r="N23" s="183"/>
      <c r="P23" s="192" t="str">
        <f t="shared" si="0"/>
        <v>Switzerland</v>
      </c>
      <c r="Q23" s="193"/>
      <c r="R23" s="194" t="str">
        <f>IF(Tournament!J24&lt;&gt;"",Tournament!J24,"")</f>
        <v/>
      </c>
      <c r="S23" s="194" t="s">
        <v>3088</v>
      </c>
      <c r="T23" s="194" t="str">
        <f>IF(Tournament!L24&lt;&gt;"",Tournament!L24,"")</f>
        <v/>
      </c>
      <c r="U23" s="193"/>
      <c r="V23" s="193" t="str">
        <f t="shared" si="1"/>
        <v>Ecuador</v>
      </c>
      <c r="W23" s="194"/>
      <c r="X23" s="194"/>
      <c r="Y23" s="194"/>
      <c r="Z23" s="194"/>
      <c r="AA23" s="194"/>
      <c r="AB23" s="194"/>
      <c r="AC23" s="194"/>
      <c r="AD23" s="195" t="str">
        <f>IF(AND(I23&lt;&gt;"",K23&lt;&gt;"",R23&lt;&gt;"",T23&lt;&gt;""),IF(AND(I23=R23,K23=T23),Setup!$D$10,IF((I23-K23)=(R23-T23),Setup!$D$11,IF(AND((I23&gt;K23),(R23&gt;T23)),Setup!$D$12,IF(AND((K23&gt;I23),(T23&gt;R23)),Setup!$D$12,0)))),"")</f>
        <v/>
      </c>
      <c r="AE23" s="183"/>
      <c r="CP23" s="168"/>
      <c r="CQ23" s="186"/>
      <c r="CR23" s="187"/>
      <c r="CS23" s="168"/>
    </row>
    <row r="24" spans="2:97" s="166" customFormat="1" ht="15" customHeight="1">
      <c r="B24" s="182"/>
      <c r="C24" s="181">
        <f>Tournament!D25</f>
        <v>10</v>
      </c>
      <c r="D24" s="181" t="str">
        <f>Tournament!E25</f>
        <v>E</v>
      </c>
      <c r="E24" s="188">
        <f>Tournament!F25</f>
        <v>41805.666666666664</v>
      </c>
      <c r="F24" s="189">
        <f>Tournament!G25</f>
        <v>41805.666666666664</v>
      </c>
      <c r="G24" s="190" t="str">
        <f>Tournament!H25</f>
        <v>France</v>
      </c>
      <c r="H24" s="180"/>
      <c r="I24" s="9"/>
      <c r="J24" s="191" t="s">
        <v>3088</v>
      </c>
      <c r="K24" s="9"/>
      <c r="L24" s="180"/>
      <c r="M24" s="180" t="str">
        <f>Tournament!N25</f>
        <v>Honduras</v>
      </c>
      <c r="N24" s="183"/>
      <c r="P24" s="192" t="str">
        <f t="shared" si="0"/>
        <v>France</v>
      </c>
      <c r="Q24" s="193"/>
      <c r="R24" s="194" t="str">
        <f>IF(Tournament!J25&lt;&gt;"",Tournament!J25,"")</f>
        <v/>
      </c>
      <c r="S24" s="194" t="s">
        <v>3088</v>
      </c>
      <c r="T24" s="194" t="str">
        <f>IF(Tournament!L25&lt;&gt;"",Tournament!L25,"")</f>
        <v/>
      </c>
      <c r="U24" s="193"/>
      <c r="V24" s="193" t="str">
        <f t="shared" si="1"/>
        <v>Honduras</v>
      </c>
      <c r="W24" s="194"/>
      <c r="X24" s="194"/>
      <c r="Y24" s="194"/>
      <c r="Z24" s="194"/>
      <c r="AA24" s="194"/>
      <c r="AB24" s="194"/>
      <c r="AC24" s="194"/>
      <c r="AD24" s="195" t="str">
        <f>IF(AND(I24&lt;&gt;"",K24&lt;&gt;"",R24&lt;&gt;"",T24&lt;&gt;""),IF(AND(I24=R24,K24=T24),Setup!$D$10,IF((I24-K24)=(R24-T24),Setup!$D$11,IF(AND((I24&gt;K24),(R24&gt;T24)),Setup!$D$12,IF(AND((K24&gt;I24),(T24&gt;R24)),Setup!$D$12,0)))),"")</f>
        <v/>
      </c>
      <c r="AE24" s="183"/>
      <c r="CP24" s="168"/>
      <c r="CQ24" s="186"/>
      <c r="CR24" s="187"/>
      <c r="CS24" s="168"/>
    </row>
    <row r="25" spans="2:97" s="166" customFormat="1" ht="15" customHeight="1">
      <c r="B25" s="182"/>
      <c r="C25" s="181">
        <f>Tournament!D26</f>
        <v>11</v>
      </c>
      <c r="D25" s="181" t="str">
        <f>Tournament!E26</f>
        <v>F</v>
      </c>
      <c r="E25" s="188">
        <f>Tournament!F26</f>
        <v>41805.791666666664</v>
      </c>
      <c r="F25" s="189">
        <f>Tournament!G26</f>
        <v>41805.791666666664</v>
      </c>
      <c r="G25" s="190" t="str">
        <f>Tournament!H26</f>
        <v>Argentina</v>
      </c>
      <c r="H25" s="180"/>
      <c r="I25" s="9"/>
      <c r="J25" s="191" t="s">
        <v>3088</v>
      </c>
      <c r="K25" s="9"/>
      <c r="L25" s="180"/>
      <c r="M25" s="180" t="str">
        <f>Tournament!N26</f>
        <v>Bosnia-Herzegovina</v>
      </c>
      <c r="N25" s="183"/>
      <c r="P25" s="192" t="str">
        <f t="shared" si="0"/>
        <v>Argentina</v>
      </c>
      <c r="Q25" s="193"/>
      <c r="R25" s="194" t="str">
        <f>IF(Tournament!J26&lt;&gt;"",Tournament!J26,"")</f>
        <v/>
      </c>
      <c r="S25" s="194" t="s">
        <v>3088</v>
      </c>
      <c r="T25" s="194" t="str">
        <f>IF(Tournament!L26&lt;&gt;"",Tournament!L26,"")</f>
        <v/>
      </c>
      <c r="U25" s="193"/>
      <c r="V25" s="193" t="str">
        <f t="shared" si="1"/>
        <v>Bosnia-Herzegovina</v>
      </c>
      <c r="W25" s="194"/>
      <c r="X25" s="194"/>
      <c r="Y25" s="194"/>
      <c r="Z25" s="194"/>
      <c r="AA25" s="194"/>
      <c r="AB25" s="194"/>
      <c r="AC25" s="194"/>
      <c r="AD25" s="195" t="str">
        <f>IF(AND(I25&lt;&gt;"",K25&lt;&gt;"",R25&lt;&gt;"",T25&lt;&gt;""),IF(AND(I25=R25,K25=T25),Setup!$D$10,IF((I25-K25)=(R25-T25),Setup!$D$11,IF(AND((I25&gt;K25),(R25&gt;T25)),Setup!$D$12,IF(AND((K25&gt;I25),(T25&gt;R25)),Setup!$D$12,0)))),"")</f>
        <v/>
      </c>
      <c r="AE25" s="183"/>
      <c r="CP25" s="168"/>
      <c r="CQ25" s="186"/>
      <c r="CR25" s="187"/>
      <c r="CS25" s="168"/>
    </row>
    <row r="26" spans="2:97" s="166" customFormat="1" ht="15" customHeight="1">
      <c r="B26" s="182"/>
      <c r="C26" s="181">
        <f>Tournament!D27</f>
        <v>12</v>
      </c>
      <c r="D26" s="181" t="str">
        <f>Tournament!E27</f>
        <v>F</v>
      </c>
      <c r="E26" s="188">
        <f>Tournament!F27</f>
        <v>41806.666666666664</v>
      </c>
      <c r="F26" s="189">
        <f>Tournament!G27</f>
        <v>41806.666666666664</v>
      </c>
      <c r="G26" s="190" t="str">
        <f>Tournament!H27</f>
        <v>Iran</v>
      </c>
      <c r="H26" s="180"/>
      <c r="I26" s="9"/>
      <c r="J26" s="191" t="s">
        <v>3088</v>
      </c>
      <c r="K26" s="9"/>
      <c r="L26" s="180"/>
      <c r="M26" s="180" t="str">
        <f>Tournament!N27</f>
        <v>Nigeria</v>
      </c>
      <c r="N26" s="183"/>
      <c r="P26" s="192" t="str">
        <f t="shared" si="0"/>
        <v>Iran</v>
      </c>
      <c r="Q26" s="193"/>
      <c r="R26" s="194" t="str">
        <f>IF(Tournament!J27&lt;&gt;"",Tournament!J27,"")</f>
        <v/>
      </c>
      <c r="S26" s="194" t="s">
        <v>3088</v>
      </c>
      <c r="T26" s="194" t="str">
        <f>IF(Tournament!L27&lt;&gt;"",Tournament!L27,"")</f>
        <v/>
      </c>
      <c r="U26" s="193"/>
      <c r="V26" s="193" t="str">
        <f t="shared" si="1"/>
        <v>Nigeria</v>
      </c>
      <c r="W26" s="194"/>
      <c r="X26" s="194"/>
      <c r="Y26" s="194"/>
      <c r="Z26" s="194"/>
      <c r="AA26" s="194"/>
      <c r="AB26" s="194"/>
      <c r="AC26" s="194"/>
      <c r="AD26" s="195" t="str">
        <f>IF(AND(I26&lt;&gt;"",K26&lt;&gt;"",R26&lt;&gt;"",T26&lt;&gt;""),IF(AND(I26=R26,K26=T26),Setup!$D$10,IF((I26-K26)=(R26-T26),Setup!$D$11,IF(AND((I26&gt;K26),(R26&gt;T26)),Setup!$D$12,IF(AND((K26&gt;I26),(T26&gt;R26)),Setup!$D$12,0)))),"")</f>
        <v/>
      </c>
      <c r="AE26" s="183"/>
      <c r="CP26" s="168"/>
      <c r="CQ26" s="186"/>
      <c r="CR26" s="187"/>
      <c r="CS26" s="168"/>
    </row>
    <row r="27" spans="2:97" s="166" customFormat="1" ht="15" customHeight="1">
      <c r="B27" s="182"/>
      <c r="C27" s="181">
        <f>Tournament!D28</f>
        <v>13</v>
      </c>
      <c r="D27" s="181" t="str">
        <f>Tournament!E28</f>
        <v>G</v>
      </c>
      <c r="E27" s="188">
        <f>Tournament!F28</f>
        <v>41806.541666666664</v>
      </c>
      <c r="F27" s="189">
        <f>Tournament!G28</f>
        <v>41806.541666666664</v>
      </c>
      <c r="G27" s="190" t="str">
        <f>Tournament!H28</f>
        <v>Germany</v>
      </c>
      <c r="H27" s="180"/>
      <c r="I27" s="9"/>
      <c r="J27" s="191" t="s">
        <v>3088</v>
      </c>
      <c r="K27" s="9"/>
      <c r="L27" s="180"/>
      <c r="M27" s="180" t="str">
        <f>Tournament!N28</f>
        <v>Portugal</v>
      </c>
      <c r="N27" s="183"/>
      <c r="P27" s="192" t="str">
        <f t="shared" si="0"/>
        <v>Germany</v>
      </c>
      <c r="Q27" s="193"/>
      <c r="R27" s="194" t="str">
        <f>IF(Tournament!J28&lt;&gt;"",Tournament!J28,"")</f>
        <v/>
      </c>
      <c r="S27" s="194" t="s">
        <v>3088</v>
      </c>
      <c r="T27" s="194" t="str">
        <f>IF(Tournament!L28&lt;&gt;"",Tournament!L28,"")</f>
        <v/>
      </c>
      <c r="U27" s="193"/>
      <c r="V27" s="193" t="str">
        <f t="shared" si="1"/>
        <v>Portugal</v>
      </c>
      <c r="W27" s="194"/>
      <c r="X27" s="194"/>
      <c r="Y27" s="194"/>
      <c r="Z27" s="194"/>
      <c r="AA27" s="194"/>
      <c r="AB27" s="194"/>
      <c r="AC27" s="194"/>
      <c r="AD27" s="195" t="str">
        <f>IF(AND(I27&lt;&gt;"",K27&lt;&gt;"",R27&lt;&gt;"",T27&lt;&gt;""),IF(AND(I27=R27,K27=T27),Setup!$D$10,IF((I27-K27)=(R27-T27),Setup!$D$11,IF(AND((I27&gt;K27),(R27&gt;T27)),Setup!$D$12,IF(AND((K27&gt;I27),(T27&gt;R27)),Setup!$D$12,0)))),"")</f>
        <v/>
      </c>
      <c r="AE27" s="183"/>
      <c r="CP27" s="168"/>
      <c r="CQ27" s="186"/>
      <c r="CR27" s="187"/>
      <c r="CS27" s="168"/>
    </row>
    <row r="28" spans="2:97" s="166" customFormat="1" ht="15" customHeight="1">
      <c r="B28" s="182"/>
      <c r="C28" s="181">
        <f>Tournament!D29</f>
        <v>14</v>
      </c>
      <c r="D28" s="181" t="str">
        <f>Tournament!E29</f>
        <v>G</v>
      </c>
      <c r="E28" s="188">
        <f>Tournament!F29</f>
        <v>41806.791666666664</v>
      </c>
      <c r="F28" s="189">
        <f>Tournament!G29</f>
        <v>41806.791666666664</v>
      </c>
      <c r="G28" s="190" t="str">
        <f>Tournament!H29</f>
        <v>Ghana</v>
      </c>
      <c r="H28" s="180"/>
      <c r="I28" s="9"/>
      <c r="J28" s="191" t="s">
        <v>3088</v>
      </c>
      <c r="K28" s="9"/>
      <c r="L28" s="180"/>
      <c r="M28" s="180" t="str">
        <f>Tournament!N29</f>
        <v>USA</v>
      </c>
      <c r="N28" s="183"/>
      <c r="P28" s="192" t="str">
        <f t="shared" si="0"/>
        <v>Ghana</v>
      </c>
      <c r="Q28" s="193"/>
      <c r="R28" s="194" t="str">
        <f>IF(Tournament!J29&lt;&gt;"",Tournament!J29,"")</f>
        <v/>
      </c>
      <c r="S28" s="194" t="s">
        <v>3088</v>
      </c>
      <c r="T28" s="194" t="str">
        <f>IF(Tournament!L29&lt;&gt;"",Tournament!L29,"")</f>
        <v/>
      </c>
      <c r="U28" s="193"/>
      <c r="V28" s="193" t="str">
        <f t="shared" si="1"/>
        <v>USA</v>
      </c>
      <c r="W28" s="194"/>
      <c r="X28" s="194"/>
      <c r="Y28" s="194"/>
      <c r="Z28" s="194"/>
      <c r="AA28" s="194"/>
      <c r="AB28" s="194"/>
      <c r="AC28" s="194"/>
      <c r="AD28" s="195" t="str">
        <f>IF(AND(I28&lt;&gt;"",K28&lt;&gt;"",R28&lt;&gt;"",T28&lt;&gt;""),IF(AND(I28=R28,K28=T28),Setup!$D$10,IF((I28-K28)=(R28-T28),Setup!$D$11,IF(AND((I28&gt;K28),(R28&gt;T28)),Setup!$D$12,IF(AND((K28&gt;I28),(T28&gt;R28)),Setup!$D$12,0)))),"")</f>
        <v/>
      </c>
      <c r="AE28" s="183"/>
      <c r="CP28" s="168"/>
      <c r="CQ28" s="186"/>
      <c r="CR28" s="187"/>
      <c r="CS28" s="168"/>
    </row>
    <row r="29" spans="2:97" s="166" customFormat="1" ht="15" customHeight="1">
      <c r="B29" s="182"/>
      <c r="C29" s="181">
        <f>Tournament!D30</f>
        <v>15</v>
      </c>
      <c r="D29" s="181" t="str">
        <f>Tournament!E30</f>
        <v>H</v>
      </c>
      <c r="E29" s="188">
        <f>Tournament!F30</f>
        <v>41807.541666666664</v>
      </c>
      <c r="F29" s="189">
        <f>Tournament!G30</f>
        <v>41807.541666666664</v>
      </c>
      <c r="G29" s="190" t="str">
        <f>Tournament!H30</f>
        <v>Belgium</v>
      </c>
      <c r="H29" s="180"/>
      <c r="I29" s="9"/>
      <c r="J29" s="191" t="s">
        <v>3088</v>
      </c>
      <c r="K29" s="9"/>
      <c r="L29" s="180"/>
      <c r="M29" s="180" t="str">
        <f>Tournament!N30</f>
        <v>Algeria</v>
      </c>
      <c r="N29" s="183"/>
      <c r="P29" s="192" t="str">
        <f t="shared" si="0"/>
        <v>Belgium</v>
      </c>
      <c r="Q29" s="193"/>
      <c r="R29" s="194" t="str">
        <f>IF(Tournament!J30&lt;&gt;"",Tournament!J30,"")</f>
        <v/>
      </c>
      <c r="S29" s="194" t="s">
        <v>3088</v>
      </c>
      <c r="T29" s="194" t="str">
        <f>IF(Tournament!L30&lt;&gt;"",Tournament!L30,"")</f>
        <v/>
      </c>
      <c r="U29" s="193"/>
      <c r="V29" s="193" t="str">
        <f t="shared" si="1"/>
        <v>Algeria</v>
      </c>
      <c r="W29" s="194"/>
      <c r="X29" s="194"/>
      <c r="Y29" s="194"/>
      <c r="Z29" s="194"/>
      <c r="AA29" s="194"/>
      <c r="AB29" s="194"/>
      <c r="AC29" s="194"/>
      <c r="AD29" s="195" t="str">
        <f>IF(AND(I29&lt;&gt;"",K29&lt;&gt;"",R29&lt;&gt;"",T29&lt;&gt;""),IF(AND(I29=R29,K29=T29),Setup!$D$10,IF((I29-K29)=(R29-T29),Setup!$D$11,IF(AND((I29&gt;K29),(R29&gt;T29)),Setup!$D$12,IF(AND((K29&gt;I29),(T29&gt;R29)),Setup!$D$12,0)))),"")</f>
        <v/>
      </c>
      <c r="AE29" s="183"/>
      <c r="CP29" s="168"/>
      <c r="CQ29" s="186"/>
      <c r="CR29" s="187"/>
      <c r="CS29" s="168"/>
    </row>
    <row r="30" spans="2:97" s="166" customFormat="1" ht="15" customHeight="1">
      <c r="B30" s="182"/>
      <c r="C30" s="181">
        <f>Tournament!D31</f>
        <v>16</v>
      </c>
      <c r="D30" s="181" t="str">
        <f>Tournament!E31</f>
        <v>H</v>
      </c>
      <c r="E30" s="188">
        <f>Tournament!F31</f>
        <v>41807.791666666664</v>
      </c>
      <c r="F30" s="189">
        <f>Tournament!G31</f>
        <v>41807.791666666664</v>
      </c>
      <c r="G30" s="190" t="str">
        <f>Tournament!H31</f>
        <v>Russia</v>
      </c>
      <c r="H30" s="180"/>
      <c r="I30" s="9"/>
      <c r="J30" s="191" t="s">
        <v>3088</v>
      </c>
      <c r="K30" s="9"/>
      <c r="L30" s="180"/>
      <c r="M30" s="180" t="str">
        <f>Tournament!N31</f>
        <v>South Korea</v>
      </c>
      <c r="N30" s="183"/>
      <c r="P30" s="192" t="str">
        <f t="shared" si="0"/>
        <v>Russia</v>
      </c>
      <c r="Q30" s="193"/>
      <c r="R30" s="194" t="str">
        <f>IF(Tournament!J31&lt;&gt;"",Tournament!J31,"")</f>
        <v/>
      </c>
      <c r="S30" s="194" t="s">
        <v>3088</v>
      </c>
      <c r="T30" s="194" t="str">
        <f>IF(Tournament!L31&lt;&gt;"",Tournament!L31,"")</f>
        <v/>
      </c>
      <c r="U30" s="193"/>
      <c r="V30" s="193" t="str">
        <f t="shared" si="1"/>
        <v>South Korea</v>
      </c>
      <c r="W30" s="194"/>
      <c r="X30" s="194"/>
      <c r="Y30" s="194"/>
      <c r="Z30" s="194"/>
      <c r="AA30" s="194"/>
      <c r="AB30" s="194"/>
      <c r="AC30" s="194"/>
      <c r="AD30" s="195" t="str">
        <f>IF(AND(I30&lt;&gt;"",K30&lt;&gt;"",R30&lt;&gt;"",T30&lt;&gt;""),IF(AND(I30=R30,K30=T30),Setup!$D$10,IF((I30-K30)=(R30-T30),Setup!$D$11,IF(AND((I30&gt;K30),(R30&gt;T30)),Setup!$D$12,IF(AND((K30&gt;I30),(T30&gt;R30)),Setup!$D$12,0)))),"")</f>
        <v/>
      </c>
      <c r="AE30" s="183"/>
      <c r="CP30" s="168"/>
      <c r="CQ30" s="186"/>
      <c r="CR30" s="187"/>
      <c r="CS30" s="168"/>
    </row>
    <row r="31" spans="2:97" s="166" customFormat="1" ht="15" customHeight="1">
      <c r="B31" s="182"/>
      <c r="C31" s="181">
        <f>Tournament!D32</f>
        <v>17</v>
      </c>
      <c r="D31" s="181" t="str">
        <f>Tournament!E32</f>
        <v>A</v>
      </c>
      <c r="E31" s="188">
        <f>Tournament!F32</f>
        <v>41807.666666666664</v>
      </c>
      <c r="F31" s="189">
        <f>Tournament!G32</f>
        <v>41807.666666666664</v>
      </c>
      <c r="G31" s="190" t="str">
        <f>Tournament!H32</f>
        <v>Brazil</v>
      </c>
      <c r="H31" s="180"/>
      <c r="I31" s="9"/>
      <c r="J31" s="191" t="s">
        <v>3088</v>
      </c>
      <c r="K31" s="9"/>
      <c r="L31" s="180"/>
      <c r="M31" s="180" t="str">
        <f>Tournament!N32</f>
        <v>Mexico</v>
      </c>
      <c r="N31" s="183"/>
      <c r="P31" s="192" t="str">
        <f t="shared" si="0"/>
        <v>Brazil</v>
      </c>
      <c r="Q31" s="193"/>
      <c r="R31" s="194" t="str">
        <f>IF(Tournament!J32&lt;&gt;"",Tournament!J32,"")</f>
        <v/>
      </c>
      <c r="S31" s="194" t="s">
        <v>3088</v>
      </c>
      <c r="T31" s="194" t="str">
        <f>IF(Tournament!L32&lt;&gt;"",Tournament!L32,"")</f>
        <v/>
      </c>
      <c r="U31" s="193"/>
      <c r="V31" s="193" t="str">
        <f t="shared" si="1"/>
        <v>Mexico</v>
      </c>
      <c r="W31" s="194"/>
      <c r="X31" s="194"/>
      <c r="Y31" s="194"/>
      <c r="Z31" s="194"/>
      <c r="AA31" s="194"/>
      <c r="AB31" s="194"/>
      <c r="AC31" s="194"/>
      <c r="AD31" s="195" t="str">
        <f>IF(AND(I31&lt;&gt;"",K31&lt;&gt;"",R31&lt;&gt;"",T31&lt;&gt;""),IF(AND(I31=R31,K31=T31),Setup!$D$10,IF((I31-K31)=(R31-T31),Setup!$D$11,IF(AND((I31&gt;K31),(R31&gt;T31)),Setup!$D$12,IF(AND((K31&gt;I31),(T31&gt;R31)),Setup!$D$12,0)))),"")</f>
        <v/>
      </c>
      <c r="AE31" s="183"/>
      <c r="CP31" s="168"/>
      <c r="CQ31" s="186"/>
      <c r="CR31" s="187"/>
      <c r="CS31" s="168"/>
    </row>
    <row r="32" spans="2:97" s="166" customFormat="1" ht="15" customHeight="1">
      <c r="B32" s="182"/>
      <c r="C32" s="181">
        <f>Tournament!D33</f>
        <v>18</v>
      </c>
      <c r="D32" s="181" t="str">
        <f>Tournament!E33</f>
        <v>A</v>
      </c>
      <c r="E32" s="188">
        <f>Tournament!F33</f>
        <v>41808.791666666664</v>
      </c>
      <c r="F32" s="189">
        <f>Tournament!G33</f>
        <v>41808.791666666664</v>
      </c>
      <c r="G32" s="190" t="str">
        <f>Tournament!H33</f>
        <v>Cameroon</v>
      </c>
      <c r="H32" s="180"/>
      <c r="I32" s="9"/>
      <c r="J32" s="191" t="s">
        <v>3088</v>
      </c>
      <c r="K32" s="9"/>
      <c r="L32" s="180"/>
      <c r="M32" s="180" t="str">
        <f>Tournament!N33</f>
        <v>Croatia</v>
      </c>
      <c r="N32" s="183"/>
      <c r="P32" s="192" t="str">
        <f t="shared" si="0"/>
        <v>Cameroon</v>
      </c>
      <c r="Q32" s="193"/>
      <c r="R32" s="194" t="str">
        <f>IF(Tournament!J33&lt;&gt;"",Tournament!J33,"")</f>
        <v/>
      </c>
      <c r="S32" s="194" t="s">
        <v>3088</v>
      </c>
      <c r="T32" s="194" t="str">
        <f>IF(Tournament!L33&lt;&gt;"",Tournament!L33,"")</f>
        <v/>
      </c>
      <c r="U32" s="193"/>
      <c r="V32" s="193" t="str">
        <f t="shared" si="1"/>
        <v>Croatia</v>
      </c>
      <c r="W32" s="194"/>
      <c r="X32" s="194"/>
      <c r="Y32" s="194"/>
      <c r="Z32" s="194"/>
      <c r="AA32" s="194"/>
      <c r="AB32" s="194"/>
      <c r="AC32" s="194"/>
      <c r="AD32" s="195" t="str">
        <f>IF(AND(I32&lt;&gt;"",K32&lt;&gt;"",R32&lt;&gt;"",T32&lt;&gt;""),IF(AND(I32=R32,K32=T32),Setup!$D$10,IF((I32-K32)=(R32-T32),Setup!$D$11,IF(AND((I32&gt;K32),(R32&gt;T32)),Setup!$D$12,IF(AND((K32&gt;I32),(T32&gt;R32)),Setup!$D$12,0)))),"")</f>
        <v/>
      </c>
      <c r="AE32" s="183"/>
      <c r="CP32" s="168"/>
      <c r="CQ32" s="186"/>
      <c r="CR32" s="187"/>
      <c r="CS32" s="168"/>
    </row>
    <row r="33" spans="2:97" s="166" customFormat="1" ht="15" customHeight="1">
      <c r="B33" s="182"/>
      <c r="C33" s="181">
        <f>Tournament!D34</f>
        <v>19</v>
      </c>
      <c r="D33" s="181" t="str">
        <f>Tournament!E34</f>
        <v>B</v>
      </c>
      <c r="E33" s="188">
        <f>Tournament!F34</f>
        <v>41808.666666666664</v>
      </c>
      <c r="F33" s="189">
        <f>Tournament!G34</f>
        <v>41808.666666666664</v>
      </c>
      <c r="G33" s="190" t="str">
        <f>Tournament!H34</f>
        <v>Spain</v>
      </c>
      <c r="H33" s="180"/>
      <c r="I33" s="9"/>
      <c r="J33" s="191" t="s">
        <v>3088</v>
      </c>
      <c r="K33" s="9"/>
      <c r="L33" s="180"/>
      <c r="M33" s="180" t="str">
        <f>Tournament!N34</f>
        <v>Chile</v>
      </c>
      <c r="N33" s="183"/>
      <c r="P33" s="192" t="str">
        <f t="shared" si="0"/>
        <v>Spain</v>
      </c>
      <c r="Q33" s="193"/>
      <c r="R33" s="194" t="str">
        <f>IF(Tournament!J34&lt;&gt;"",Tournament!J34,"")</f>
        <v/>
      </c>
      <c r="S33" s="194" t="s">
        <v>3088</v>
      </c>
      <c r="T33" s="194" t="str">
        <f>IF(Tournament!L34&lt;&gt;"",Tournament!L34,"")</f>
        <v/>
      </c>
      <c r="U33" s="193"/>
      <c r="V33" s="193" t="str">
        <f t="shared" si="1"/>
        <v>Chile</v>
      </c>
      <c r="W33" s="194"/>
      <c r="X33" s="194"/>
      <c r="Y33" s="194"/>
      <c r="Z33" s="194"/>
      <c r="AA33" s="194"/>
      <c r="AB33" s="194"/>
      <c r="AC33" s="194"/>
      <c r="AD33" s="195" t="str">
        <f>IF(AND(I33&lt;&gt;"",K33&lt;&gt;"",R33&lt;&gt;"",T33&lt;&gt;""),IF(AND(I33=R33,K33=T33),Setup!$D$10,IF((I33-K33)=(R33-T33),Setup!$D$11,IF(AND((I33&gt;K33),(R33&gt;T33)),Setup!$D$12,IF(AND((K33&gt;I33),(T33&gt;R33)),Setup!$D$12,0)))),"")</f>
        <v/>
      </c>
      <c r="AE33" s="183"/>
      <c r="CP33" s="168"/>
      <c r="CQ33" s="186"/>
      <c r="CR33" s="187"/>
      <c r="CS33" s="168"/>
    </row>
    <row r="34" spans="2:97" s="166" customFormat="1" ht="15" customHeight="1">
      <c r="B34" s="182"/>
      <c r="C34" s="181">
        <f>Tournament!D35</f>
        <v>20</v>
      </c>
      <c r="D34" s="181" t="str">
        <f>Tournament!E35</f>
        <v>B</v>
      </c>
      <c r="E34" s="188">
        <f>Tournament!F35</f>
        <v>41808.541666666664</v>
      </c>
      <c r="F34" s="189">
        <f>Tournament!G35</f>
        <v>41808.541666666664</v>
      </c>
      <c r="G34" s="190" t="str">
        <f>Tournament!H35</f>
        <v>Australia</v>
      </c>
      <c r="H34" s="180"/>
      <c r="I34" s="9"/>
      <c r="J34" s="191" t="s">
        <v>3088</v>
      </c>
      <c r="K34" s="9"/>
      <c r="L34" s="180"/>
      <c r="M34" s="180" t="str">
        <f>Tournament!N35</f>
        <v>Netherlands</v>
      </c>
      <c r="N34" s="183"/>
      <c r="P34" s="192" t="str">
        <f t="shared" si="0"/>
        <v>Australia</v>
      </c>
      <c r="Q34" s="193"/>
      <c r="R34" s="194" t="str">
        <f>IF(Tournament!J35&lt;&gt;"",Tournament!J35,"")</f>
        <v/>
      </c>
      <c r="S34" s="194" t="s">
        <v>3088</v>
      </c>
      <c r="T34" s="194" t="str">
        <f>IF(Tournament!L35&lt;&gt;"",Tournament!L35,"")</f>
        <v/>
      </c>
      <c r="U34" s="193"/>
      <c r="V34" s="193" t="str">
        <f t="shared" si="1"/>
        <v>Netherlands</v>
      </c>
      <c r="W34" s="194"/>
      <c r="X34" s="194"/>
      <c r="Y34" s="194"/>
      <c r="Z34" s="194"/>
      <c r="AA34" s="194"/>
      <c r="AB34" s="194"/>
      <c r="AC34" s="194"/>
      <c r="AD34" s="195" t="str">
        <f>IF(AND(I34&lt;&gt;"",K34&lt;&gt;"",R34&lt;&gt;"",T34&lt;&gt;""),IF(AND(I34=R34,K34=T34),Setup!$D$10,IF((I34-K34)=(R34-T34),Setup!$D$11,IF(AND((I34&gt;K34),(R34&gt;T34)),Setup!$D$12,IF(AND((K34&gt;I34),(T34&gt;R34)),Setup!$D$12,0)))),"")</f>
        <v/>
      </c>
      <c r="AE34" s="183"/>
      <c r="CP34" s="168"/>
      <c r="CQ34" s="186"/>
      <c r="CR34" s="187"/>
      <c r="CS34" s="168"/>
    </row>
    <row r="35" spans="2:97" s="166" customFormat="1" ht="15" customHeight="1">
      <c r="B35" s="182"/>
      <c r="C35" s="181">
        <f>Tournament!D36</f>
        <v>21</v>
      </c>
      <c r="D35" s="181" t="str">
        <f>Tournament!E36</f>
        <v>C</v>
      </c>
      <c r="E35" s="188">
        <f>Tournament!F36</f>
        <v>41809.541666666664</v>
      </c>
      <c r="F35" s="189">
        <f>Tournament!G36</f>
        <v>41809.541666666664</v>
      </c>
      <c r="G35" s="190" t="str">
        <f>Tournament!H36</f>
        <v>Colombia</v>
      </c>
      <c r="H35" s="180"/>
      <c r="I35" s="9"/>
      <c r="J35" s="191" t="s">
        <v>3088</v>
      </c>
      <c r="K35" s="9"/>
      <c r="L35" s="180"/>
      <c r="M35" s="180" t="str">
        <f>Tournament!N36</f>
        <v>Ivory Coast</v>
      </c>
      <c r="N35" s="183"/>
      <c r="P35" s="192" t="str">
        <f t="shared" si="0"/>
        <v>Colombia</v>
      </c>
      <c r="Q35" s="193"/>
      <c r="R35" s="194" t="str">
        <f>IF(Tournament!J36&lt;&gt;"",Tournament!J36,"")</f>
        <v/>
      </c>
      <c r="S35" s="194" t="s">
        <v>3088</v>
      </c>
      <c r="T35" s="194" t="str">
        <f>IF(Tournament!L36&lt;&gt;"",Tournament!L36,"")</f>
        <v/>
      </c>
      <c r="U35" s="193"/>
      <c r="V35" s="193" t="str">
        <f t="shared" si="1"/>
        <v>Ivory Coast</v>
      </c>
      <c r="W35" s="194"/>
      <c r="X35" s="194"/>
      <c r="Y35" s="194"/>
      <c r="Z35" s="194"/>
      <c r="AA35" s="194"/>
      <c r="AB35" s="194"/>
      <c r="AC35" s="194"/>
      <c r="AD35" s="195" t="str">
        <f>IF(AND(I35&lt;&gt;"",K35&lt;&gt;"",R35&lt;&gt;"",T35&lt;&gt;""),IF(AND(I35=R35,K35=T35),Setup!$D$10,IF((I35-K35)=(R35-T35),Setup!$D$11,IF(AND((I35&gt;K35),(R35&gt;T35)),Setup!$D$12,IF(AND((K35&gt;I35),(T35&gt;R35)),Setup!$D$12,0)))),"")</f>
        <v/>
      </c>
      <c r="AE35" s="183"/>
      <c r="CP35" s="168"/>
      <c r="CQ35" s="186"/>
      <c r="CR35" s="187"/>
      <c r="CS35" s="168"/>
    </row>
    <row r="36" spans="2:97" s="166" customFormat="1" ht="15" customHeight="1">
      <c r="B36" s="182"/>
      <c r="C36" s="181">
        <f>Tournament!D37</f>
        <v>22</v>
      </c>
      <c r="D36" s="181" t="str">
        <f>Tournament!E37</f>
        <v>C</v>
      </c>
      <c r="E36" s="188">
        <f>Tournament!F37</f>
        <v>41809.791666666664</v>
      </c>
      <c r="F36" s="189">
        <f>Tournament!G37</f>
        <v>41809.791666666664</v>
      </c>
      <c r="G36" s="190" t="str">
        <f>Tournament!H37</f>
        <v>Japan</v>
      </c>
      <c r="H36" s="180"/>
      <c r="I36" s="9"/>
      <c r="J36" s="191" t="s">
        <v>3088</v>
      </c>
      <c r="K36" s="9"/>
      <c r="L36" s="180"/>
      <c r="M36" s="180" t="str">
        <f>Tournament!N37</f>
        <v>Greece</v>
      </c>
      <c r="N36" s="183"/>
      <c r="P36" s="192" t="str">
        <f t="shared" si="0"/>
        <v>Japan</v>
      </c>
      <c r="Q36" s="193"/>
      <c r="R36" s="194" t="str">
        <f>IF(Tournament!J37&lt;&gt;"",Tournament!J37,"")</f>
        <v/>
      </c>
      <c r="S36" s="194" t="s">
        <v>3088</v>
      </c>
      <c r="T36" s="194" t="str">
        <f>IF(Tournament!L37&lt;&gt;"",Tournament!L37,"")</f>
        <v/>
      </c>
      <c r="U36" s="193"/>
      <c r="V36" s="193" t="str">
        <f t="shared" si="1"/>
        <v>Greece</v>
      </c>
      <c r="W36" s="194"/>
      <c r="X36" s="194"/>
      <c r="Y36" s="194"/>
      <c r="Z36" s="194"/>
      <c r="AA36" s="194"/>
      <c r="AB36" s="194"/>
      <c r="AC36" s="194"/>
      <c r="AD36" s="195" t="str">
        <f>IF(AND(I36&lt;&gt;"",K36&lt;&gt;"",R36&lt;&gt;"",T36&lt;&gt;""),IF(AND(I36=R36,K36=T36),Setup!$D$10,IF((I36-K36)=(R36-T36),Setup!$D$11,IF(AND((I36&gt;K36),(R36&gt;T36)),Setup!$D$12,IF(AND((K36&gt;I36),(T36&gt;R36)),Setup!$D$12,0)))),"")</f>
        <v/>
      </c>
      <c r="AE36" s="183"/>
      <c r="CP36" s="168"/>
      <c r="CQ36" s="186"/>
      <c r="CR36" s="187"/>
      <c r="CS36" s="168"/>
    </row>
    <row r="37" spans="2:97" s="166" customFormat="1" ht="15" customHeight="1">
      <c r="B37" s="182"/>
      <c r="C37" s="181">
        <f>Tournament!D38</f>
        <v>23</v>
      </c>
      <c r="D37" s="181" t="str">
        <f>Tournament!E38</f>
        <v>D</v>
      </c>
      <c r="E37" s="188">
        <f>Tournament!F38</f>
        <v>41809.666666666664</v>
      </c>
      <c r="F37" s="189">
        <f>Tournament!G38</f>
        <v>41809.666666666664</v>
      </c>
      <c r="G37" s="190" t="str">
        <f>Tournament!H38</f>
        <v>Uruguay</v>
      </c>
      <c r="H37" s="180"/>
      <c r="I37" s="9"/>
      <c r="J37" s="191" t="s">
        <v>3088</v>
      </c>
      <c r="K37" s="9"/>
      <c r="L37" s="180"/>
      <c r="M37" s="180" t="str">
        <f>Tournament!N38</f>
        <v>England</v>
      </c>
      <c r="N37" s="183"/>
      <c r="P37" s="192" t="str">
        <f t="shared" si="0"/>
        <v>Uruguay</v>
      </c>
      <c r="Q37" s="193"/>
      <c r="R37" s="194" t="str">
        <f>IF(Tournament!J38&lt;&gt;"",Tournament!J38,"")</f>
        <v/>
      </c>
      <c r="S37" s="194" t="s">
        <v>3088</v>
      </c>
      <c r="T37" s="194" t="str">
        <f>IF(Tournament!L38&lt;&gt;"",Tournament!L38,"")</f>
        <v/>
      </c>
      <c r="U37" s="193"/>
      <c r="V37" s="193" t="str">
        <f t="shared" si="1"/>
        <v>England</v>
      </c>
      <c r="W37" s="194"/>
      <c r="X37" s="194"/>
      <c r="Y37" s="194"/>
      <c r="Z37" s="194"/>
      <c r="AA37" s="194"/>
      <c r="AB37" s="194"/>
      <c r="AC37" s="194"/>
      <c r="AD37" s="195" t="str">
        <f>IF(AND(I37&lt;&gt;"",K37&lt;&gt;"",R37&lt;&gt;"",T37&lt;&gt;""),IF(AND(I37=R37,K37=T37),Setup!$D$10,IF((I37-K37)=(R37-T37),Setup!$D$11,IF(AND((I37&gt;K37),(R37&gt;T37)),Setup!$D$12,IF(AND((K37&gt;I37),(T37&gt;R37)),Setup!$D$12,0)))),"")</f>
        <v/>
      </c>
      <c r="AE37" s="183"/>
      <c r="CP37" s="168"/>
      <c r="CQ37" s="186"/>
      <c r="CR37" s="187"/>
      <c r="CS37" s="168"/>
    </row>
    <row r="38" spans="2:97" s="166" customFormat="1" ht="15" customHeight="1">
      <c r="B38" s="182"/>
      <c r="C38" s="181">
        <f>Tournament!D39</f>
        <v>24</v>
      </c>
      <c r="D38" s="181" t="str">
        <f>Tournament!E39</f>
        <v>D</v>
      </c>
      <c r="E38" s="188">
        <f>Tournament!F39</f>
        <v>41810.541666666664</v>
      </c>
      <c r="F38" s="189">
        <f>Tournament!G39</f>
        <v>41810.541666666664</v>
      </c>
      <c r="G38" s="190" t="str">
        <f>Tournament!H39</f>
        <v>Italy</v>
      </c>
      <c r="H38" s="180"/>
      <c r="I38" s="9"/>
      <c r="J38" s="191" t="s">
        <v>3088</v>
      </c>
      <c r="K38" s="9"/>
      <c r="L38" s="180"/>
      <c r="M38" s="180" t="str">
        <f>Tournament!N39</f>
        <v>Costa Rica</v>
      </c>
      <c r="N38" s="183"/>
      <c r="P38" s="192" t="str">
        <f t="shared" si="0"/>
        <v>Italy</v>
      </c>
      <c r="Q38" s="193"/>
      <c r="R38" s="194" t="str">
        <f>IF(Tournament!J39&lt;&gt;"",Tournament!J39,"")</f>
        <v/>
      </c>
      <c r="S38" s="194" t="s">
        <v>3088</v>
      </c>
      <c r="T38" s="194" t="str">
        <f>IF(Tournament!L39&lt;&gt;"",Tournament!L39,"")</f>
        <v/>
      </c>
      <c r="U38" s="193"/>
      <c r="V38" s="193" t="str">
        <f t="shared" si="1"/>
        <v>Costa Rica</v>
      </c>
      <c r="W38" s="194"/>
      <c r="X38" s="194"/>
      <c r="Y38" s="194"/>
      <c r="Z38" s="194"/>
      <c r="AA38" s="194"/>
      <c r="AB38" s="194"/>
      <c r="AC38" s="194"/>
      <c r="AD38" s="195" t="str">
        <f>IF(AND(I38&lt;&gt;"",K38&lt;&gt;"",R38&lt;&gt;"",T38&lt;&gt;""),IF(AND(I38=R38,K38=T38),Setup!$D$10,IF((I38-K38)=(R38-T38),Setup!$D$11,IF(AND((I38&gt;K38),(R38&gt;T38)),Setup!$D$12,IF(AND((K38&gt;I38),(T38&gt;R38)),Setup!$D$12,0)))),"")</f>
        <v/>
      </c>
      <c r="AE38" s="183"/>
      <c r="CP38" s="168"/>
      <c r="CQ38" s="186"/>
      <c r="CR38" s="187"/>
      <c r="CS38" s="168"/>
    </row>
    <row r="39" spans="2:97" s="166" customFormat="1" ht="15" customHeight="1">
      <c r="B39" s="182"/>
      <c r="C39" s="181">
        <f>Tournament!D40</f>
        <v>25</v>
      </c>
      <c r="D39" s="181" t="str">
        <f>Tournament!E40</f>
        <v>E</v>
      </c>
      <c r="E39" s="188">
        <f>Tournament!F40</f>
        <v>41810.666666666664</v>
      </c>
      <c r="F39" s="189">
        <f>Tournament!G40</f>
        <v>41810.666666666664</v>
      </c>
      <c r="G39" s="190" t="str">
        <f>Tournament!H40</f>
        <v>Switzerland</v>
      </c>
      <c r="H39" s="180"/>
      <c r="I39" s="9"/>
      <c r="J39" s="191" t="s">
        <v>3088</v>
      </c>
      <c r="K39" s="9"/>
      <c r="L39" s="180"/>
      <c r="M39" s="180" t="str">
        <f>Tournament!N40</f>
        <v>France</v>
      </c>
      <c r="N39" s="183"/>
      <c r="P39" s="192" t="str">
        <f t="shared" si="0"/>
        <v>Switzerland</v>
      </c>
      <c r="Q39" s="193"/>
      <c r="R39" s="194" t="str">
        <f>IF(Tournament!J40&lt;&gt;"",Tournament!J40,"")</f>
        <v/>
      </c>
      <c r="S39" s="194" t="s">
        <v>3088</v>
      </c>
      <c r="T39" s="194" t="str">
        <f>IF(Tournament!L40&lt;&gt;"",Tournament!L40,"")</f>
        <v/>
      </c>
      <c r="U39" s="193"/>
      <c r="V39" s="193" t="str">
        <f t="shared" si="1"/>
        <v>France</v>
      </c>
      <c r="W39" s="194"/>
      <c r="X39" s="194"/>
      <c r="Y39" s="194"/>
      <c r="Z39" s="194"/>
      <c r="AA39" s="194"/>
      <c r="AB39" s="194"/>
      <c r="AC39" s="194"/>
      <c r="AD39" s="195" t="str">
        <f>IF(AND(I39&lt;&gt;"",K39&lt;&gt;"",R39&lt;&gt;"",T39&lt;&gt;""),IF(AND(I39=R39,K39=T39),Setup!$D$10,IF((I39-K39)=(R39-T39),Setup!$D$11,IF(AND((I39&gt;K39),(R39&gt;T39)),Setup!$D$12,IF(AND((K39&gt;I39),(T39&gt;R39)),Setup!$D$12,0)))),"")</f>
        <v/>
      </c>
      <c r="AE39" s="183"/>
      <c r="CP39" s="168"/>
      <c r="CQ39" s="186"/>
      <c r="CR39" s="187"/>
      <c r="CS39" s="168"/>
    </row>
    <row r="40" spans="2:97" s="166" customFormat="1" ht="15" customHeight="1">
      <c r="B40" s="182"/>
      <c r="C40" s="181">
        <f>Tournament!D41</f>
        <v>26</v>
      </c>
      <c r="D40" s="181" t="str">
        <f>Tournament!E41</f>
        <v>E</v>
      </c>
      <c r="E40" s="188">
        <f>Tournament!F41</f>
        <v>41810.791666666664</v>
      </c>
      <c r="F40" s="189">
        <f>Tournament!G41</f>
        <v>41810.791666666664</v>
      </c>
      <c r="G40" s="190" t="str">
        <f>Tournament!H41</f>
        <v>Honduras</v>
      </c>
      <c r="H40" s="180"/>
      <c r="I40" s="9"/>
      <c r="J40" s="191" t="s">
        <v>3088</v>
      </c>
      <c r="K40" s="9"/>
      <c r="L40" s="180"/>
      <c r="M40" s="180" t="str">
        <f>Tournament!N41</f>
        <v>Ecuador</v>
      </c>
      <c r="N40" s="183"/>
      <c r="P40" s="192" t="str">
        <f t="shared" si="0"/>
        <v>Honduras</v>
      </c>
      <c r="Q40" s="193"/>
      <c r="R40" s="194" t="str">
        <f>IF(Tournament!J41&lt;&gt;"",Tournament!J41,"")</f>
        <v/>
      </c>
      <c r="S40" s="194" t="s">
        <v>3088</v>
      </c>
      <c r="T40" s="194" t="str">
        <f>IF(Tournament!L41&lt;&gt;"",Tournament!L41,"")</f>
        <v/>
      </c>
      <c r="U40" s="193"/>
      <c r="V40" s="193" t="str">
        <f t="shared" si="1"/>
        <v>Ecuador</v>
      </c>
      <c r="W40" s="194"/>
      <c r="X40" s="194"/>
      <c r="Y40" s="194"/>
      <c r="Z40" s="194"/>
      <c r="AA40" s="194"/>
      <c r="AB40" s="194"/>
      <c r="AC40" s="194"/>
      <c r="AD40" s="195" t="str">
        <f>IF(AND(I40&lt;&gt;"",K40&lt;&gt;"",R40&lt;&gt;"",T40&lt;&gt;""),IF(AND(I40=R40,K40=T40),Setup!$D$10,IF((I40-K40)=(R40-T40),Setup!$D$11,IF(AND((I40&gt;K40),(R40&gt;T40)),Setup!$D$12,IF(AND((K40&gt;I40),(T40&gt;R40)),Setup!$D$12,0)))),"")</f>
        <v/>
      </c>
      <c r="AE40" s="183"/>
      <c r="CP40" s="168"/>
      <c r="CQ40" s="196"/>
      <c r="CR40" s="187"/>
      <c r="CS40" s="168"/>
    </row>
    <row r="41" spans="2:97" s="166" customFormat="1" ht="15" customHeight="1">
      <c r="B41" s="182"/>
      <c r="C41" s="181">
        <f>Tournament!D42</f>
        <v>27</v>
      </c>
      <c r="D41" s="181" t="str">
        <f>Tournament!E42</f>
        <v>F</v>
      </c>
      <c r="E41" s="188">
        <f>Tournament!F42</f>
        <v>41811.541666666664</v>
      </c>
      <c r="F41" s="189">
        <f>Tournament!G42</f>
        <v>41811.541666666664</v>
      </c>
      <c r="G41" s="190" t="str">
        <f>Tournament!H42</f>
        <v>Argentina</v>
      </c>
      <c r="H41" s="180"/>
      <c r="I41" s="9"/>
      <c r="J41" s="191" t="s">
        <v>3088</v>
      </c>
      <c r="K41" s="9"/>
      <c r="L41" s="180"/>
      <c r="M41" s="180" t="str">
        <f>Tournament!N42</f>
        <v>Iran</v>
      </c>
      <c r="N41" s="183"/>
      <c r="P41" s="192" t="str">
        <f t="shared" si="0"/>
        <v>Argentina</v>
      </c>
      <c r="Q41" s="193"/>
      <c r="R41" s="194" t="str">
        <f>IF(Tournament!J42&lt;&gt;"",Tournament!J42,"")</f>
        <v/>
      </c>
      <c r="S41" s="194" t="s">
        <v>3088</v>
      </c>
      <c r="T41" s="194" t="str">
        <f>IF(Tournament!L42&lt;&gt;"",Tournament!L42,"")</f>
        <v/>
      </c>
      <c r="U41" s="193"/>
      <c r="V41" s="193" t="str">
        <f t="shared" si="1"/>
        <v>Iran</v>
      </c>
      <c r="W41" s="194"/>
      <c r="X41" s="194"/>
      <c r="Y41" s="194"/>
      <c r="Z41" s="194"/>
      <c r="AA41" s="194"/>
      <c r="AB41" s="194"/>
      <c r="AC41" s="194"/>
      <c r="AD41" s="195" t="str">
        <f>IF(AND(I41&lt;&gt;"",K41&lt;&gt;"",R41&lt;&gt;"",T41&lt;&gt;""),IF(AND(I41=R41,K41=T41),Setup!$D$10,IF((I41-K41)=(R41-T41),Setup!$D$11,IF(AND((I41&gt;K41),(R41&gt;T41)),Setup!$D$12,IF(AND((K41&gt;I41),(T41&gt;R41)),Setup!$D$12,0)))),"")</f>
        <v/>
      </c>
      <c r="AE41" s="183"/>
      <c r="CP41" s="168"/>
      <c r="CQ41" s="196"/>
      <c r="CR41" s="187"/>
      <c r="CS41" s="168"/>
    </row>
    <row r="42" spans="2:97" s="166" customFormat="1" ht="15" customHeight="1">
      <c r="B42" s="182"/>
      <c r="C42" s="181">
        <f>Tournament!D43</f>
        <v>28</v>
      </c>
      <c r="D42" s="181" t="str">
        <f>Tournament!E43</f>
        <v>F</v>
      </c>
      <c r="E42" s="188">
        <f>Tournament!F43</f>
        <v>41811.791666666664</v>
      </c>
      <c r="F42" s="189">
        <f>Tournament!G43</f>
        <v>41811.791666666664</v>
      </c>
      <c r="G42" s="190" t="str">
        <f>Tournament!H43</f>
        <v>Nigeria</v>
      </c>
      <c r="H42" s="180"/>
      <c r="I42" s="9"/>
      <c r="J42" s="191" t="s">
        <v>3088</v>
      </c>
      <c r="K42" s="9"/>
      <c r="L42" s="180"/>
      <c r="M42" s="180" t="str">
        <f>Tournament!N43</f>
        <v>Bosnia-Herzegovina</v>
      </c>
      <c r="N42" s="183"/>
      <c r="P42" s="192" t="str">
        <f t="shared" si="0"/>
        <v>Nigeria</v>
      </c>
      <c r="Q42" s="193"/>
      <c r="R42" s="194" t="str">
        <f>IF(Tournament!J43&lt;&gt;"",Tournament!J43,"")</f>
        <v/>
      </c>
      <c r="S42" s="194" t="s">
        <v>3088</v>
      </c>
      <c r="T42" s="194" t="str">
        <f>IF(Tournament!L43&lt;&gt;"",Tournament!L43,"")</f>
        <v/>
      </c>
      <c r="U42" s="193"/>
      <c r="V42" s="193" t="str">
        <f t="shared" si="1"/>
        <v>Bosnia-Herzegovina</v>
      </c>
      <c r="W42" s="194"/>
      <c r="X42" s="194"/>
      <c r="Y42" s="194"/>
      <c r="Z42" s="194"/>
      <c r="AA42" s="194"/>
      <c r="AB42" s="194"/>
      <c r="AC42" s="194"/>
      <c r="AD42" s="195" t="str">
        <f>IF(AND(I42&lt;&gt;"",K42&lt;&gt;"",R42&lt;&gt;"",T42&lt;&gt;""),IF(AND(I42=R42,K42=T42),Setup!$D$10,IF((I42-K42)=(R42-T42),Setup!$D$11,IF(AND((I42&gt;K42),(R42&gt;T42)),Setup!$D$12,IF(AND((K42&gt;I42),(T42&gt;R42)),Setup!$D$12,0)))),"")</f>
        <v/>
      </c>
      <c r="AE42" s="183"/>
      <c r="CP42" s="168"/>
      <c r="CQ42" s="168"/>
      <c r="CR42" s="187"/>
      <c r="CS42" s="168"/>
    </row>
    <row r="43" spans="2:97" s="166" customFormat="1" ht="15" customHeight="1">
      <c r="B43" s="182"/>
      <c r="C43" s="181">
        <f>Tournament!D44</f>
        <v>29</v>
      </c>
      <c r="D43" s="181" t="str">
        <f>Tournament!E44</f>
        <v>G</v>
      </c>
      <c r="E43" s="188">
        <f>Tournament!F44</f>
        <v>41811.666666666664</v>
      </c>
      <c r="F43" s="189">
        <f>Tournament!G44</f>
        <v>41811.666666666664</v>
      </c>
      <c r="G43" s="190" t="str">
        <f>Tournament!H44</f>
        <v>Germany</v>
      </c>
      <c r="H43" s="180"/>
      <c r="I43" s="9"/>
      <c r="J43" s="191" t="s">
        <v>3088</v>
      </c>
      <c r="K43" s="9"/>
      <c r="L43" s="180"/>
      <c r="M43" s="180" t="str">
        <f>Tournament!N44</f>
        <v>Ghana</v>
      </c>
      <c r="N43" s="183"/>
      <c r="P43" s="192" t="str">
        <f t="shared" si="0"/>
        <v>Germany</v>
      </c>
      <c r="Q43" s="193"/>
      <c r="R43" s="194" t="str">
        <f>IF(Tournament!J44&lt;&gt;"",Tournament!J44,"")</f>
        <v/>
      </c>
      <c r="S43" s="194" t="s">
        <v>3088</v>
      </c>
      <c r="T43" s="194" t="str">
        <f>IF(Tournament!L44&lt;&gt;"",Tournament!L44,"")</f>
        <v/>
      </c>
      <c r="U43" s="193"/>
      <c r="V43" s="193" t="str">
        <f t="shared" si="1"/>
        <v>Ghana</v>
      </c>
      <c r="W43" s="194"/>
      <c r="X43" s="194"/>
      <c r="Y43" s="194"/>
      <c r="Z43" s="194"/>
      <c r="AA43" s="194"/>
      <c r="AB43" s="194"/>
      <c r="AC43" s="194"/>
      <c r="AD43" s="195" t="str">
        <f>IF(AND(I43&lt;&gt;"",K43&lt;&gt;"",R43&lt;&gt;"",T43&lt;&gt;""),IF(AND(I43=R43,K43=T43),Setup!$D$10,IF((I43-K43)=(R43-T43),Setup!$D$11,IF(AND((I43&gt;K43),(R43&gt;T43)),Setup!$D$12,IF(AND((K43&gt;I43),(T43&gt;R43)),Setup!$D$12,0)))),"")</f>
        <v/>
      </c>
      <c r="AE43" s="183"/>
      <c r="CP43" s="168"/>
      <c r="CQ43" s="168"/>
      <c r="CR43" s="187"/>
      <c r="CS43" s="168"/>
    </row>
    <row r="44" spans="2:97" s="166" customFormat="1" ht="15" customHeight="1">
      <c r="B44" s="182"/>
      <c r="C44" s="181">
        <f>Tournament!D45</f>
        <v>30</v>
      </c>
      <c r="D44" s="181" t="str">
        <f>Tournament!E45</f>
        <v>G</v>
      </c>
      <c r="E44" s="188">
        <f>Tournament!F45</f>
        <v>41812.791666666664</v>
      </c>
      <c r="F44" s="189">
        <f>Tournament!G45</f>
        <v>41812.791666666664</v>
      </c>
      <c r="G44" s="190" t="str">
        <f>Tournament!H45</f>
        <v>USA</v>
      </c>
      <c r="H44" s="180"/>
      <c r="I44" s="9"/>
      <c r="J44" s="191" t="s">
        <v>3088</v>
      </c>
      <c r="K44" s="9"/>
      <c r="L44" s="180"/>
      <c r="M44" s="180" t="str">
        <f>Tournament!N45</f>
        <v>Portugal</v>
      </c>
      <c r="N44" s="183"/>
      <c r="P44" s="192" t="str">
        <f t="shared" si="0"/>
        <v>USA</v>
      </c>
      <c r="Q44" s="193"/>
      <c r="R44" s="194" t="str">
        <f>IF(Tournament!J45&lt;&gt;"",Tournament!J45,"")</f>
        <v/>
      </c>
      <c r="S44" s="194" t="s">
        <v>3088</v>
      </c>
      <c r="T44" s="194" t="str">
        <f>IF(Tournament!L45&lt;&gt;"",Tournament!L45,"")</f>
        <v/>
      </c>
      <c r="U44" s="193"/>
      <c r="V44" s="193" t="str">
        <f t="shared" si="1"/>
        <v>Portugal</v>
      </c>
      <c r="W44" s="194"/>
      <c r="X44" s="194"/>
      <c r="Y44" s="194"/>
      <c r="Z44" s="194"/>
      <c r="AA44" s="194"/>
      <c r="AB44" s="194"/>
      <c r="AC44" s="194"/>
      <c r="AD44" s="195" t="str">
        <f>IF(AND(I44&lt;&gt;"",K44&lt;&gt;"",R44&lt;&gt;"",T44&lt;&gt;""),IF(AND(I44=R44,K44=T44),Setup!$D$10,IF((I44-K44)=(R44-T44),Setup!$D$11,IF(AND((I44&gt;K44),(R44&gt;T44)),Setup!$D$12,IF(AND((K44&gt;I44),(T44&gt;R44)),Setup!$D$12,0)))),"")</f>
        <v/>
      </c>
      <c r="AE44" s="183"/>
      <c r="CP44" s="168"/>
      <c r="CQ44" s="168"/>
      <c r="CR44" s="187"/>
      <c r="CS44" s="168"/>
    </row>
    <row r="45" spans="2:97" s="166" customFormat="1" ht="15" customHeight="1">
      <c r="B45" s="182"/>
      <c r="C45" s="181">
        <f>Tournament!D46</f>
        <v>31</v>
      </c>
      <c r="D45" s="181" t="str">
        <f>Tournament!E46</f>
        <v>H</v>
      </c>
      <c r="E45" s="188">
        <f>Tournament!F46</f>
        <v>41812.541666666664</v>
      </c>
      <c r="F45" s="189">
        <f>Tournament!G46</f>
        <v>41812.541666666664</v>
      </c>
      <c r="G45" s="190" t="str">
        <f>Tournament!H46</f>
        <v>Belgium</v>
      </c>
      <c r="H45" s="180"/>
      <c r="I45" s="9"/>
      <c r="J45" s="191" t="s">
        <v>3088</v>
      </c>
      <c r="K45" s="9"/>
      <c r="L45" s="180"/>
      <c r="M45" s="180" t="str">
        <f>Tournament!N46</f>
        <v>Russia</v>
      </c>
      <c r="N45" s="183"/>
      <c r="P45" s="192" t="str">
        <f t="shared" si="0"/>
        <v>Belgium</v>
      </c>
      <c r="Q45" s="193"/>
      <c r="R45" s="194" t="str">
        <f>IF(Tournament!J46&lt;&gt;"",Tournament!J46,"")</f>
        <v/>
      </c>
      <c r="S45" s="194" t="s">
        <v>3088</v>
      </c>
      <c r="T45" s="194" t="str">
        <f>IF(Tournament!L46&lt;&gt;"",Tournament!L46,"")</f>
        <v/>
      </c>
      <c r="U45" s="193"/>
      <c r="V45" s="193" t="str">
        <f t="shared" si="1"/>
        <v>Russia</v>
      </c>
      <c r="W45" s="194"/>
      <c r="X45" s="194"/>
      <c r="Y45" s="194"/>
      <c r="Z45" s="194"/>
      <c r="AA45" s="194"/>
      <c r="AB45" s="194"/>
      <c r="AC45" s="194"/>
      <c r="AD45" s="195" t="str">
        <f>IF(AND(I45&lt;&gt;"",K45&lt;&gt;"",R45&lt;&gt;"",T45&lt;&gt;""),IF(AND(I45=R45,K45=T45),Setup!$D$10,IF((I45-K45)=(R45-T45),Setup!$D$11,IF(AND((I45&gt;K45),(R45&gt;T45)),Setup!$D$12,IF(AND((K45&gt;I45),(T45&gt;R45)),Setup!$D$12,0)))),"")</f>
        <v/>
      </c>
      <c r="AE45" s="183"/>
      <c r="CP45" s="168"/>
      <c r="CQ45" s="168"/>
      <c r="CR45" s="187"/>
      <c r="CS45" s="168"/>
    </row>
    <row r="46" spans="2:97" s="166" customFormat="1" ht="15" customHeight="1">
      <c r="B46" s="182"/>
      <c r="C46" s="181">
        <f>Tournament!D47</f>
        <v>32</v>
      </c>
      <c r="D46" s="181" t="str">
        <f>Tournament!E47</f>
        <v>H</v>
      </c>
      <c r="E46" s="188">
        <f>Tournament!F47</f>
        <v>41812.666666666664</v>
      </c>
      <c r="F46" s="189">
        <f>Tournament!G47</f>
        <v>41812.666666666664</v>
      </c>
      <c r="G46" s="190" t="str">
        <f>Tournament!H47</f>
        <v>South Korea</v>
      </c>
      <c r="H46" s="180"/>
      <c r="I46" s="9"/>
      <c r="J46" s="191" t="s">
        <v>3088</v>
      </c>
      <c r="K46" s="9"/>
      <c r="L46" s="180"/>
      <c r="M46" s="180" t="str">
        <f>Tournament!N47</f>
        <v>Algeria</v>
      </c>
      <c r="N46" s="183"/>
      <c r="P46" s="192" t="str">
        <f t="shared" si="0"/>
        <v>South Korea</v>
      </c>
      <c r="Q46" s="193"/>
      <c r="R46" s="194" t="str">
        <f>IF(Tournament!J47&lt;&gt;"",Tournament!J47,"")</f>
        <v/>
      </c>
      <c r="S46" s="194" t="s">
        <v>3088</v>
      </c>
      <c r="T46" s="194" t="str">
        <f>IF(Tournament!L47&lt;&gt;"",Tournament!L47,"")</f>
        <v/>
      </c>
      <c r="U46" s="193"/>
      <c r="V46" s="193" t="str">
        <f t="shared" si="1"/>
        <v>Algeria</v>
      </c>
      <c r="W46" s="194"/>
      <c r="X46" s="194"/>
      <c r="Y46" s="194"/>
      <c r="Z46" s="194"/>
      <c r="AA46" s="194"/>
      <c r="AB46" s="194"/>
      <c r="AC46" s="194"/>
      <c r="AD46" s="195" t="str">
        <f>IF(AND(I46&lt;&gt;"",K46&lt;&gt;"",R46&lt;&gt;"",T46&lt;&gt;""),IF(AND(I46=R46,K46=T46),Setup!$D$10,IF((I46-K46)=(R46-T46),Setup!$D$11,IF(AND((I46&gt;K46),(R46&gt;T46)),Setup!$D$12,IF(AND((K46&gt;I46),(T46&gt;R46)),Setup!$D$12,0)))),"")</f>
        <v/>
      </c>
      <c r="AE46" s="183"/>
      <c r="CP46" s="168"/>
      <c r="CQ46" s="168"/>
      <c r="CR46" s="187"/>
      <c r="CS46" s="168"/>
    </row>
    <row r="47" spans="2:97" s="166" customFormat="1" ht="15" customHeight="1">
      <c r="B47" s="182"/>
      <c r="C47" s="181">
        <f>Tournament!D48</f>
        <v>33</v>
      </c>
      <c r="D47" s="181" t="str">
        <f>Tournament!E48</f>
        <v>A</v>
      </c>
      <c r="E47" s="188">
        <f>Tournament!F48</f>
        <v>41813.708333333336</v>
      </c>
      <c r="F47" s="189">
        <f>Tournament!G48</f>
        <v>41813.708333333336</v>
      </c>
      <c r="G47" s="190" t="str">
        <f>Tournament!H48</f>
        <v>Cameroon</v>
      </c>
      <c r="H47" s="180"/>
      <c r="I47" s="9"/>
      <c r="J47" s="191" t="s">
        <v>3088</v>
      </c>
      <c r="K47" s="9"/>
      <c r="L47" s="180"/>
      <c r="M47" s="180" t="str">
        <f>Tournament!N48</f>
        <v>Brazil</v>
      </c>
      <c r="N47" s="183"/>
      <c r="P47" s="192" t="str">
        <f t="shared" si="0"/>
        <v>Cameroon</v>
      </c>
      <c r="Q47" s="193"/>
      <c r="R47" s="194" t="str">
        <f>IF(Tournament!J48&lt;&gt;"",Tournament!J48,"")</f>
        <v/>
      </c>
      <c r="S47" s="194" t="s">
        <v>3088</v>
      </c>
      <c r="T47" s="194" t="str">
        <f>IF(Tournament!L48&lt;&gt;"",Tournament!L48,"")</f>
        <v/>
      </c>
      <c r="U47" s="193"/>
      <c r="V47" s="193" t="str">
        <f t="shared" si="1"/>
        <v>Brazil</v>
      </c>
      <c r="W47" s="194"/>
      <c r="X47" s="194"/>
      <c r="Y47" s="194"/>
      <c r="Z47" s="194"/>
      <c r="AA47" s="194"/>
      <c r="AB47" s="194"/>
      <c r="AC47" s="194"/>
      <c r="AD47" s="195" t="str">
        <f>IF(AND(I47&lt;&gt;"",K47&lt;&gt;"",R47&lt;&gt;"",T47&lt;&gt;""),IF(AND(I47=R47,K47=T47),Setup!$D$10,IF((I47-K47)=(R47-T47),Setup!$D$11,IF(AND((I47&gt;K47),(R47&gt;T47)),Setup!$D$12,IF(AND((K47&gt;I47),(T47&gt;R47)),Setup!$D$12,0)))),"")</f>
        <v/>
      </c>
      <c r="AE47" s="183"/>
      <c r="CP47" s="168"/>
      <c r="CQ47" s="168"/>
      <c r="CR47" s="187"/>
      <c r="CS47" s="168"/>
    </row>
    <row r="48" spans="2:97" s="166" customFormat="1" ht="15" customHeight="1">
      <c r="B48" s="182"/>
      <c r="C48" s="181">
        <f>Tournament!D49</f>
        <v>34</v>
      </c>
      <c r="D48" s="181" t="str">
        <f>Tournament!E49</f>
        <v>A</v>
      </c>
      <c r="E48" s="188">
        <f>Tournament!F49</f>
        <v>41813.708333333336</v>
      </c>
      <c r="F48" s="189">
        <f>Tournament!G49</f>
        <v>41813.708333333336</v>
      </c>
      <c r="G48" s="190" t="str">
        <f>Tournament!H49</f>
        <v>Croatia</v>
      </c>
      <c r="H48" s="180"/>
      <c r="I48" s="9"/>
      <c r="J48" s="191" t="s">
        <v>3088</v>
      </c>
      <c r="K48" s="9"/>
      <c r="L48" s="180"/>
      <c r="M48" s="180" t="str">
        <f>Tournament!N49</f>
        <v>Mexico</v>
      </c>
      <c r="N48" s="183"/>
      <c r="P48" s="192" t="str">
        <f t="shared" si="0"/>
        <v>Croatia</v>
      </c>
      <c r="Q48" s="193"/>
      <c r="R48" s="194" t="str">
        <f>IF(Tournament!J49&lt;&gt;"",Tournament!J49,"")</f>
        <v/>
      </c>
      <c r="S48" s="194" t="s">
        <v>3088</v>
      </c>
      <c r="T48" s="194" t="str">
        <f>IF(Tournament!L49&lt;&gt;"",Tournament!L49,"")</f>
        <v/>
      </c>
      <c r="U48" s="193"/>
      <c r="V48" s="193" t="str">
        <f t="shared" si="1"/>
        <v>Mexico</v>
      </c>
      <c r="W48" s="194"/>
      <c r="X48" s="194"/>
      <c r="Y48" s="194"/>
      <c r="Z48" s="194"/>
      <c r="AA48" s="194"/>
      <c r="AB48" s="194"/>
      <c r="AC48" s="194"/>
      <c r="AD48" s="195" t="str">
        <f>IF(AND(I48&lt;&gt;"",K48&lt;&gt;"",R48&lt;&gt;"",T48&lt;&gt;""),IF(AND(I48=R48,K48=T48),Setup!$D$10,IF((I48-K48)=(R48-T48),Setup!$D$11,IF(AND((I48&gt;K48),(R48&gt;T48)),Setup!$D$12,IF(AND((K48&gt;I48),(T48&gt;R48)),Setup!$D$12,0)))),"")</f>
        <v/>
      </c>
      <c r="AE48" s="183"/>
      <c r="CP48" s="168"/>
      <c r="CQ48" s="168"/>
      <c r="CR48" s="187"/>
      <c r="CS48" s="168"/>
    </row>
    <row r="49" spans="2:97" s="166" customFormat="1" ht="15" customHeight="1">
      <c r="B49" s="182"/>
      <c r="C49" s="181">
        <f>Tournament!D50</f>
        <v>35</v>
      </c>
      <c r="D49" s="181" t="str">
        <f>Tournament!E50</f>
        <v>B</v>
      </c>
      <c r="E49" s="188">
        <f>Tournament!F50</f>
        <v>41813.541666666664</v>
      </c>
      <c r="F49" s="189">
        <f>Tournament!G50</f>
        <v>41813.541666666664</v>
      </c>
      <c r="G49" s="190" t="str">
        <f>Tournament!H50</f>
        <v>Australia</v>
      </c>
      <c r="H49" s="180"/>
      <c r="I49" s="9"/>
      <c r="J49" s="191" t="s">
        <v>3088</v>
      </c>
      <c r="K49" s="9"/>
      <c r="L49" s="180"/>
      <c r="M49" s="180" t="str">
        <f>Tournament!N50</f>
        <v>Spain</v>
      </c>
      <c r="N49" s="183"/>
      <c r="P49" s="192" t="str">
        <f t="shared" si="0"/>
        <v>Australia</v>
      </c>
      <c r="Q49" s="193"/>
      <c r="R49" s="194" t="str">
        <f>IF(Tournament!J50&lt;&gt;"",Tournament!J50,"")</f>
        <v/>
      </c>
      <c r="S49" s="194" t="s">
        <v>3088</v>
      </c>
      <c r="T49" s="194" t="str">
        <f>IF(Tournament!L50&lt;&gt;"",Tournament!L50,"")</f>
        <v/>
      </c>
      <c r="U49" s="193"/>
      <c r="V49" s="193" t="str">
        <f t="shared" si="1"/>
        <v>Spain</v>
      </c>
      <c r="W49" s="194"/>
      <c r="X49" s="194"/>
      <c r="Y49" s="194"/>
      <c r="Z49" s="194"/>
      <c r="AA49" s="194"/>
      <c r="AB49" s="194"/>
      <c r="AC49" s="194"/>
      <c r="AD49" s="195" t="str">
        <f>IF(AND(I49&lt;&gt;"",K49&lt;&gt;"",R49&lt;&gt;"",T49&lt;&gt;""),IF(AND(I49=R49,K49=T49),Setup!$D$10,IF((I49-K49)=(R49-T49),Setup!$D$11,IF(AND((I49&gt;K49),(R49&gt;T49)),Setup!$D$12,IF(AND((K49&gt;I49),(T49&gt;R49)),Setup!$D$12,0)))),"")</f>
        <v/>
      </c>
      <c r="AE49" s="183"/>
      <c r="CP49" s="168"/>
      <c r="CQ49" s="168"/>
      <c r="CR49" s="187"/>
      <c r="CS49" s="168"/>
    </row>
    <row r="50" spans="2:97" s="166" customFormat="1" ht="15" customHeight="1">
      <c r="B50" s="182"/>
      <c r="C50" s="181">
        <f>Tournament!D51</f>
        <v>36</v>
      </c>
      <c r="D50" s="181" t="str">
        <f>Tournament!E51</f>
        <v>B</v>
      </c>
      <c r="E50" s="188">
        <f>Tournament!F51</f>
        <v>41813.541666666664</v>
      </c>
      <c r="F50" s="189">
        <f>Tournament!G51</f>
        <v>41813.541666666664</v>
      </c>
      <c r="G50" s="190" t="str">
        <f>Tournament!H51</f>
        <v>Netherlands</v>
      </c>
      <c r="H50" s="180"/>
      <c r="I50" s="9"/>
      <c r="J50" s="191" t="s">
        <v>3088</v>
      </c>
      <c r="K50" s="9"/>
      <c r="L50" s="180"/>
      <c r="M50" s="180" t="str">
        <f>Tournament!N51</f>
        <v>Chile</v>
      </c>
      <c r="N50" s="183"/>
      <c r="P50" s="192" t="str">
        <f t="shared" si="0"/>
        <v>Netherlands</v>
      </c>
      <c r="Q50" s="193"/>
      <c r="R50" s="194" t="str">
        <f>IF(Tournament!J51&lt;&gt;"",Tournament!J51,"")</f>
        <v/>
      </c>
      <c r="S50" s="194" t="s">
        <v>3088</v>
      </c>
      <c r="T50" s="194" t="str">
        <f>IF(Tournament!L51&lt;&gt;"",Tournament!L51,"")</f>
        <v/>
      </c>
      <c r="U50" s="193"/>
      <c r="V50" s="193" t="str">
        <f t="shared" si="1"/>
        <v>Chile</v>
      </c>
      <c r="W50" s="194"/>
      <c r="X50" s="194"/>
      <c r="Y50" s="194"/>
      <c r="Z50" s="194"/>
      <c r="AA50" s="194"/>
      <c r="AB50" s="194"/>
      <c r="AC50" s="194"/>
      <c r="AD50" s="195" t="str">
        <f>IF(AND(I50&lt;&gt;"",K50&lt;&gt;"",R50&lt;&gt;"",T50&lt;&gt;""),IF(AND(I50=R50,K50=T50),Setup!$D$10,IF((I50-K50)=(R50-T50),Setup!$D$11,IF(AND((I50&gt;K50),(R50&gt;T50)),Setup!$D$12,IF(AND((K50&gt;I50),(T50&gt;R50)),Setup!$D$12,0)))),"")</f>
        <v/>
      </c>
      <c r="AE50" s="183"/>
      <c r="CP50" s="168"/>
      <c r="CQ50" s="168"/>
      <c r="CR50" s="187"/>
      <c r="CS50" s="168"/>
    </row>
    <row r="51" spans="2:97" s="166" customFormat="1" ht="15" customHeight="1">
      <c r="B51" s="182"/>
      <c r="C51" s="181">
        <f>Tournament!D52</f>
        <v>37</v>
      </c>
      <c r="D51" s="181" t="str">
        <f>Tournament!E52</f>
        <v>C</v>
      </c>
      <c r="E51" s="188">
        <f>Tournament!F52</f>
        <v>41814.708333333336</v>
      </c>
      <c r="F51" s="189">
        <f>Tournament!G52</f>
        <v>41814.708333333336</v>
      </c>
      <c r="G51" s="190" t="str">
        <f>Tournament!H52</f>
        <v>Japan</v>
      </c>
      <c r="H51" s="180"/>
      <c r="I51" s="9"/>
      <c r="J51" s="191" t="s">
        <v>3088</v>
      </c>
      <c r="K51" s="9"/>
      <c r="L51" s="180"/>
      <c r="M51" s="180" t="str">
        <f>Tournament!N52</f>
        <v>Colombia</v>
      </c>
      <c r="N51" s="183"/>
      <c r="P51" s="192" t="str">
        <f t="shared" si="0"/>
        <v>Japan</v>
      </c>
      <c r="Q51" s="193"/>
      <c r="R51" s="194" t="str">
        <f>IF(Tournament!J52&lt;&gt;"",Tournament!J52,"")</f>
        <v/>
      </c>
      <c r="S51" s="194" t="s">
        <v>3088</v>
      </c>
      <c r="T51" s="194" t="str">
        <f>IF(Tournament!L52&lt;&gt;"",Tournament!L52,"")</f>
        <v/>
      </c>
      <c r="U51" s="193"/>
      <c r="V51" s="193" t="str">
        <f t="shared" si="1"/>
        <v>Colombia</v>
      </c>
      <c r="W51" s="194"/>
      <c r="X51" s="194"/>
      <c r="Y51" s="194"/>
      <c r="Z51" s="194"/>
      <c r="AA51" s="194"/>
      <c r="AB51" s="194"/>
      <c r="AC51" s="194"/>
      <c r="AD51" s="195" t="str">
        <f>IF(AND(I51&lt;&gt;"",K51&lt;&gt;"",R51&lt;&gt;"",T51&lt;&gt;""),IF(AND(I51=R51,K51=T51),Setup!$D$10,IF((I51-K51)=(R51-T51),Setup!$D$11,IF(AND((I51&gt;K51),(R51&gt;T51)),Setup!$D$12,IF(AND((K51&gt;I51),(T51&gt;R51)),Setup!$D$12,0)))),"")</f>
        <v/>
      </c>
      <c r="AE51" s="183"/>
      <c r="CP51" s="168"/>
      <c r="CQ51" s="168"/>
      <c r="CR51" s="187"/>
      <c r="CS51" s="168"/>
    </row>
    <row r="52" spans="2:97" s="166" customFormat="1" ht="15" customHeight="1">
      <c r="B52" s="182"/>
      <c r="C52" s="181">
        <f>Tournament!D53</f>
        <v>38</v>
      </c>
      <c r="D52" s="181" t="str">
        <f>Tournament!E53</f>
        <v>C</v>
      </c>
      <c r="E52" s="188">
        <f>Tournament!F53</f>
        <v>41814.708333333336</v>
      </c>
      <c r="F52" s="189">
        <f>Tournament!G53</f>
        <v>41814.708333333336</v>
      </c>
      <c r="G52" s="190" t="str">
        <f>Tournament!H53</f>
        <v>Greece</v>
      </c>
      <c r="H52" s="180"/>
      <c r="I52" s="9"/>
      <c r="J52" s="191" t="s">
        <v>3088</v>
      </c>
      <c r="K52" s="9"/>
      <c r="L52" s="180"/>
      <c r="M52" s="180" t="str">
        <f>Tournament!N53</f>
        <v>Ivory Coast</v>
      </c>
      <c r="N52" s="183"/>
      <c r="P52" s="192" t="str">
        <f t="shared" si="0"/>
        <v>Greece</v>
      </c>
      <c r="Q52" s="193"/>
      <c r="R52" s="194" t="str">
        <f>IF(Tournament!J53&lt;&gt;"",Tournament!J53,"")</f>
        <v/>
      </c>
      <c r="S52" s="194" t="s">
        <v>3088</v>
      </c>
      <c r="T52" s="194" t="str">
        <f>IF(Tournament!L53&lt;&gt;"",Tournament!L53,"")</f>
        <v/>
      </c>
      <c r="U52" s="193"/>
      <c r="V52" s="193" t="str">
        <f t="shared" si="1"/>
        <v>Ivory Coast</v>
      </c>
      <c r="W52" s="194"/>
      <c r="X52" s="194"/>
      <c r="Y52" s="194"/>
      <c r="Z52" s="194"/>
      <c r="AA52" s="194"/>
      <c r="AB52" s="194"/>
      <c r="AC52" s="194"/>
      <c r="AD52" s="195" t="str">
        <f>IF(AND(I52&lt;&gt;"",K52&lt;&gt;"",R52&lt;&gt;"",T52&lt;&gt;""),IF(AND(I52=R52,K52=T52),Setup!$D$10,IF((I52-K52)=(R52-T52),Setup!$D$11,IF(AND((I52&gt;K52),(R52&gt;T52)),Setup!$D$12,IF(AND((K52&gt;I52),(T52&gt;R52)),Setup!$D$12,0)))),"")</f>
        <v/>
      </c>
      <c r="AE52" s="183"/>
      <c r="CP52" s="168"/>
      <c r="CQ52" s="168"/>
      <c r="CR52" s="187"/>
      <c r="CS52" s="168"/>
    </row>
    <row r="53" spans="2:97" s="166" customFormat="1" ht="15" customHeight="1">
      <c r="B53" s="182"/>
      <c r="C53" s="181">
        <f>Tournament!D54</f>
        <v>39</v>
      </c>
      <c r="D53" s="181" t="str">
        <f>Tournament!E54</f>
        <v>D</v>
      </c>
      <c r="E53" s="188">
        <f>Tournament!F54</f>
        <v>41814.541666666664</v>
      </c>
      <c r="F53" s="189">
        <f>Tournament!G54</f>
        <v>41814.541666666664</v>
      </c>
      <c r="G53" s="190" t="str">
        <f>Tournament!H54</f>
        <v>Italy</v>
      </c>
      <c r="H53" s="180"/>
      <c r="I53" s="9"/>
      <c r="J53" s="191" t="s">
        <v>3088</v>
      </c>
      <c r="K53" s="9"/>
      <c r="L53" s="180"/>
      <c r="M53" s="180" t="str">
        <f>Tournament!N54</f>
        <v>Uruguay</v>
      </c>
      <c r="N53" s="183"/>
      <c r="P53" s="192" t="str">
        <f t="shared" si="0"/>
        <v>Italy</v>
      </c>
      <c r="Q53" s="193"/>
      <c r="R53" s="194" t="str">
        <f>IF(Tournament!J54&lt;&gt;"",Tournament!J54,"")</f>
        <v/>
      </c>
      <c r="S53" s="194" t="s">
        <v>3088</v>
      </c>
      <c r="T53" s="194" t="str">
        <f>IF(Tournament!L54&lt;&gt;"",Tournament!L54,"")</f>
        <v/>
      </c>
      <c r="U53" s="193"/>
      <c r="V53" s="193" t="str">
        <f t="shared" si="1"/>
        <v>Uruguay</v>
      </c>
      <c r="W53" s="194"/>
      <c r="X53" s="194"/>
      <c r="Y53" s="194"/>
      <c r="Z53" s="194"/>
      <c r="AA53" s="194"/>
      <c r="AB53" s="194"/>
      <c r="AC53" s="194"/>
      <c r="AD53" s="195" t="str">
        <f>IF(AND(I53&lt;&gt;"",K53&lt;&gt;"",R53&lt;&gt;"",T53&lt;&gt;""),IF(AND(I53=R53,K53=T53),Setup!$D$10,IF((I53-K53)=(R53-T53),Setup!$D$11,IF(AND((I53&gt;K53),(R53&gt;T53)),Setup!$D$12,IF(AND((K53&gt;I53),(T53&gt;R53)),Setup!$D$12,0)))),"")</f>
        <v/>
      </c>
      <c r="AE53" s="183"/>
      <c r="CP53" s="168"/>
      <c r="CQ53" s="168"/>
      <c r="CR53" s="187"/>
      <c r="CS53" s="168"/>
    </row>
    <row r="54" spans="2:97" s="166" customFormat="1" ht="15" customHeight="1">
      <c r="B54" s="182"/>
      <c r="C54" s="181">
        <f>Tournament!D55</f>
        <v>40</v>
      </c>
      <c r="D54" s="181" t="str">
        <f>Tournament!E55</f>
        <v>D</v>
      </c>
      <c r="E54" s="188">
        <f>Tournament!F55</f>
        <v>41814.541666666664</v>
      </c>
      <c r="F54" s="189">
        <f>Tournament!G55</f>
        <v>41814.541666666664</v>
      </c>
      <c r="G54" s="190" t="str">
        <f>Tournament!H55</f>
        <v>Costa Rica</v>
      </c>
      <c r="H54" s="180"/>
      <c r="I54" s="9"/>
      <c r="J54" s="191" t="s">
        <v>3088</v>
      </c>
      <c r="K54" s="9"/>
      <c r="L54" s="180"/>
      <c r="M54" s="180" t="str">
        <f>Tournament!N55</f>
        <v>England</v>
      </c>
      <c r="N54" s="183"/>
      <c r="P54" s="192" t="str">
        <f t="shared" si="0"/>
        <v>Costa Rica</v>
      </c>
      <c r="Q54" s="193"/>
      <c r="R54" s="194" t="str">
        <f>IF(Tournament!J55&lt;&gt;"",Tournament!J55,"")</f>
        <v/>
      </c>
      <c r="S54" s="194" t="s">
        <v>3088</v>
      </c>
      <c r="T54" s="194" t="str">
        <f>IF(Tournament!L55&lt;&gt;"",Tournament!L55,"")</f>
        <v/>
      </c>
      <c r="U54" s="193"/>
      <c r="V54" s="193" t="str">
        <f t="shared" si="1"/>
        <v>England</v>
      </c>
      <c r="W54" s="194"/>
      <c r="X54" s="194"/>
      <c r="Y54" s="194"/>
      <c r="Z54" s="194"/>
      <c r="AA54" s="194"/>
      <c r="AB54" s="194"/>
      <c r="AC54" s="194"/>
      <c r="AD54" s="195" t="str">
        <f>IF(AND(I54&lt;&gt;"",K54&lt;&gt;"",R54&lt;&gt;"",T54&lt;&gt;""),IF(AND(I54=R54,K54=T54),Setup!$D$10,IF((I54-K54)=(R54-T54),Setup!$D$11,IF(AND((I54&gt;K54),(R54&gt;T54)),Setup!$D$12,IF(AND((K54&gt;I54),(T54&gt;R54)),Setup!$D$12,0)))),"")</f>
        <v/>
      </c>
      <c r="AE54" s="183"/>
      <c r="CP54" s="168"/>
      <c r="CQ54" s="168"/>
      <c r="CR54" s="187"/>
      <c r="CS54" s="168"/>
    </row>
    <row r="55" spans="2:97" s="166" customFormat="1" ht="15" customHeight="1">
      <c r="B55" s="182"/>
      <c r="C55" s="181">
        <f>Tournament!D56</f>
        <v>41</v>
      </c>
      <c r="D55" s="181" t="str">
        <f>Tournament!E56</f>
        <v>E</v>
      </c>
      <c r="E55" s="188">
        <f>Tournament!F56</f>
        <v>41815.708333333336</v>
      </c>
      <c r="F55" s="189">
        <f>Tournament!G56</f>
        <v>41815.708333333336</v>
      </c>
      <c r="G55" s="190" t="str">
        <f>Tournament!H56</f>
        <v>Honduras</v>
      </c>
      <c r="H55" s="180"/>
      <c r="I55" s="9"/>
      <c r="J55" s="191" t="s">
        <v>3088</v>
      </c>
      <c r="K55" s="9"/>
      <c r="L55" s="180"/>
      <c r="M55" s="180" t="str">
        <f>Tournament!N56</f>
        <v>Switzerland</v>
      </c>
      <c r="N55" s="183"/>
      <c r="P55" s="192" t="str">
        <f t="shared" si="0"/>
        <v>Honduras</v>
      </c>
      <c r="Q55" s="193"/>
      <c r="R55" s="194" t="str">
        <f>IF(Tournament!J56&lt;&gt;"",Tournament!J56,"")</f>
        <v/>
      </c>
      <c r="S55" s="194" t="s">
        <v>3088</v>
      </c>
      <c r="T55" s="194" t="str">
        <f>IF(Tournament!L56&lt;&gt;"",Tournament!L56,"")</f>
        <v/>
      </c>
      <c r="U55" s="193"/>
      <c r="V55" s="193" t="str">
        <f t="shared" si="1"/>
        <v>Switzerland</v>
      </c>
      <c r="W55" s="194"/>
      <c r="X55" s="194"/>
      <c r="Y55" s="194"/>
      <c r="Z55" s="194"/>
      <c r="AA55" s="194"/>
      <c r="AB55" s="194"/>
      <c r="AC55" s="194"/>
      <c r="AD55" s="195" t="str">
        <f>IF(AND(I55&lt;&gt;"",K55&lt;&gt;"",R55&lt;&gt;"",T55&lt;&gt;""),IF(AND(I55=R55,K55=T55),Setup!$D$10,IF((I55-K55)=(R55-T55),Setup!$D$11,IF(AND((I55&gt;K55),(R55&gt;T55)),Setup!$D$12,IF(AND((K55&gt;I55),(T55&gt;R55)),Setup!$D$12,0)))),"")</f>
        <v/>
      </c>
      <c r="AE55" s="183"/>
      <c r="CP55" s="168"/>
      <c r="CQ55" s="168"/>
      <c r="CR55" s="187"/>
      <c r="CS55" s="168"/>
    </row>
    <row r="56" spans="2:97" s="166" customFormat="1" ht="15" customHeight="1">
      <c r="B56" s="182"/>
      <c r="C56" s="181">
        <f>Tournament!D57</f>
        <v>42</v>
      </c>
      <c r="D56" s="181" t="str">
        <f>Tournament!E57</f>
        <v>E</v>
      </c>
      <c r="E56" s="188">
        <f>Tournament!F57</f>
        <v>41815.708333333336</v>
      </c>
      <c r="F56" s="189">
        <f>Tournament!G57</f>
        <v>41815.708333333336</v>
      </c>
      <c r="G56" s="190" t="str">
        <f>Tournament!H57</f>
        <v>Ecuador</v>
      </c>
      <c r="H56" s="180"/>
      <c r="I56" s="9"/>
      <c r="J56" s="191" t="s">
        <v>3088</v>
      </c>
      <c r="K56" s="9"/>
      <c r="L56" s="180"/>
      <c r="M56" s="180" t="str">
        <f>Tournament!N57</f>
        <v>France</v>
      </c>
      <c r="N56" s="183"/>
      <c r="P56" s="192" t="str">
        <f t="shared" si="0"/>
        <v>Ecuador</v>
      </c>
      <c r="Q56" s="193"/>
      <c r="R56" s="194" t="str">
        <f>IF(Tournament!J57&lt;&gt;"",Tournament!J57,"")</f>
        <v/>
      </c>
      <c r="S56" s="194" t="s">
        <v>3088</v>
      </c>
      <c r="T56" s="194" t="str">
        <f>IF(Tournament!L57&lt;&gt;"",Tournament!L57,"")</f>
        <v/>
      </c>
      <c r="U56" s="193"/>
      <c r="V56" s="193" t="str">
        <f t="shared" si="1"/>
        <v>France</v>
      </c>
      <c r="W56" s="194"/>
      <c r="X56" s="194"/>
      <c r="Y56" s="194"/>
      <c r="Z56" s="194"/>
      <c r="AA56" s="194"/>
      <c r="AB56" s="194"/>
      <c r="AC56" s="194"/>
      <c r="AD56" s="195" t="str">
        <f>IF(AND(I56&lt;&gt;"",K56&lt;&gt;"",R56&lt;&gt;"",T56&lt;&gt;""),IF(AND(I56=R56,K56=T56),Setup!$D$10,IF((I56-K56)=(R56-T56),Setup!$D$11,IF(AND((I56&gt;K56),(R56&gt;T56)),Setup!$D$12,IF(AND((K56&gt;I56),(T56&gt;R56)),Setup!$D$12,0)))),"")</f>
        <v/>
      </c>
      <c r="AE56" s="183"/>
      <c r="CP56" s="168"/>
      <c r="CQ56" s="168"/>
      <c r="CR56" s="187"/>
      <c r="CS56" s="168"/>
    </row>
    <row r="57" spans="2:97" s="166" customFormat="1" ht="15" customHeight="1">
      <c r="B57" s="182"/>
      <c r="C57" s="181">
        <f>Tournament!D58</f>
        <v>43</v>
      </c>
      <c r="D57" s="181" t="str">
        <f>Tournament!E58</f>
        <v>F</v>
      </c>
      <c r="E57" s="188">
        <f>Tournament!F58</f>
        <v>41815.541666666664</v>
      </c>
      <c r="F57" s="189">
        <f>Tournament!G58</f>
        <v>41815.541666666664</v>
      </c>
      <c r="G57" s="190" t="str">
        <f>Tournament!H58</f>
        <v>Nigeria</v>
      </c>
      <c r="H57" s="180"/>
      <c r="I57" s="9"/>
      <c r="J57" s="191" t="s">
        <v>3088</v>
      </c>
      <c r="K57" s="9"/>
      <c r="L57" s="180"/>
      <c r="M57" s="180" t="str">
        <f>Tournament!N58</f>
        <v>Argentina</v>
      </c>
      <c r="N57" s="183"/>
      <c r="P57" s="192" t="str">
        <f t="shared" si="0"/>
        <v>Nigeria</v>
      </c>
      <c r="Q57" s="193"/>
      <c r="R57" s="194" t="str">
        <f>IF(Tournament!J58&lt;&gt;"",Tournament!J58,"")</f>
        <v/>
      </c>
      <c r="S57" s="194" t="s">
        <v>3088</v>
      </c>
      <c r="T57" s="194" t="str">
        <f>IF(Tournament!L58&lt;&gt;"",Tournament!L58,"")</f>
        <v/>
      </c>
      <c r="U57" s="193"/>
      <c r="V57" s="193" t="str">
        <f t="shared" si="1"/>
        <v>Argentina</v>
      </c>
      <c r="W57" s="194"/>
      <c r="X57" s="194"/>
      <c r="Y57" s="194"/>
      <c r="Z57" s="194"/>
      <c r="AA57" s="194"/>
      <c r="AB57" s="194"/>
      <c r="AC57" s="194"/>
      <c r="AD57" s="195" t="str">
        <f>IF(AND(I57&lt;&gt;"",K57&lt;&gt;"",R57&lt;&gt;"",T57&lt;&gt;""),IF(AND(I57=R57,K57=T57),Setup!$D$10,IF((I57-K57)=(R57-T57),Setup!$D$11,IF(AND((I57&gt;K57),(R57&gt;T57)),Setup!$D$12,IF(AND((K57&gt;I57),(T57&gt;R57)),Setup!$D$12,0)))),"")</f>
        <v/>
      </c>
      <c r="AE57" s="183"/>
      <c r="CP57" s="168"/>
      <c r="CQ57" s="168"/>
      <c r="CR57" s="187"/>
      <c r="CS57" s="168"/>
    </row>
    <row r="58" spans="2:97" s="166" customFormat="1" ht="15" customHeight="1">
      <c r="B58" s="182"/>
      <c r="C58" s="181">
        <f>Tournament!D59</f>
        <v>44</v>
      </c>
      <c r="D58" s="181" t="str">
        <f>Tournament!E59</f>
        <v>F</v>
      </c>
      <c r="E58" s="188">
        <f>Tournament!F59</f>
        <v>41815.541666666664</v>
      </c>
      <c r="F58" s="189">
        <f>Tournament!G59</f>
        <v>41815.541666666664</v>
      </c>
      <c r="G58" s="190" t="str">
        <f>Tournament!H59</f>
        <v>Bosnia-Herzegovina</v>
      </c>
      <c r="H58" s="180"/>
      <c r="I58" s="9"/>
      <c r="J58" s="191" t="s">
        <v>3088</v>
      </c>
      <c r="K58" s="9"/>
      <c r="L58" s="180"/>
      <c r="M58" s="180" t="str">
        <f>Tournament!N59</f>
        <v>Iran</v>
      </c>
      <c r="N58" s="183"/>
      <c r="P58" s="192" t="str">
        <f t="shared" si="0"/>
        <v>Bosnia-Herzegovina</v>
      </c>
      <c r="Q58" s="193"/>
      <c r="R58" s="194" t="str">
        <f>IF(Tournament!J59&lt;&gt;"",Tournament!J59,"")</f>
        <v/>
      </c>
      <c r="S58" s="194" t="s">
        <v>3088</v>
      </c>
      <c r="T58" s="194" t="str">
        <f>IF(Tournament!L59&lt;&gt;"",Tournament!L59,"")</f>
        <v/>
      </c>
      <c r="U58" s="193"/>
      <c r="V58" s="193" t="str">
        <f t="shared" si="1"/>
        <v>Iran</v>
      </c>
      <c r="W58" s="194"/>
      <c r="X58" s="194"/>
      <c r="Y58" s="194"/>
      <c r="Z58" s="194"/>
      <c r="AA58" s="194"/>
      <c r="AB58" s="194"/>
      <c r="AC58" s="194"/>
      <c r="AD58" s="195" t="str">
        <f>IF(AND(I58&lt;&gt;"",K58&lt;&gt;"",R58&lt;&gt;"",T58&lt;&gt;""),IF(AND(I58=R58,K58=T58),Setup!$D$10,IF((I58-K58)=(R58-T58),Setup!$D$11,IF(AND((I58&gt;K58),(R58&gt;T58)),Setup!$D$12,IF(AND((K58&gt;I58),(T58&gt;R58)),Setup!$D$12,0)))),"")</f>
        <v/>
      </c>
      <c r="AE58" s="183"/>
      <c r="CP58" s="168"/>
      <c r="CQ58" s="168"/>
      <c r="CR58" s="187"/>
      <c r="CS58" s="168"/>
    </row>
    <row r="59" spans="2:97" s="166" customFormat="1" ht="15" customHeight="1">
      <c r="B59" s="182"/>
      <c r="C59" s="181">
        <f>Tournament!D60</f>
        <v>45</v>
      </c>
      <c r="D59" s="181" t="str">
        <f>Tournament!E60</f>
        <v>G</v>
      </c>
      <c r="E59" s="188">
        <f>Tournament!F60</f>
        <v>41816.541666666664</v>
      </c>
      <c r="F59" s="189">
        <f>Tournament!G60</f>
        <v>41816.541666666664</v>
      </c>
      <c r="G59" s="190" t="str">
        <f>Tournament!H60</f>
        <v>USA</v>
      </c>
      <c r="H59" s="180"/>
      <c r="I59" s="9"/>
      <c r="J59" s="191" t="s">
        <v>3088</v>
      </c>
      <c r="K59" s="9"/>
      <c r="L59" s="180"/>
      <c r="M59" s="180" t="str">
        <f>Tournament!N60</f>
        <v>Germany</v>
      </c>
      <c r="N59" s="183"/>
      <c r="P59" s="192" t="str">
        <f t="shared" si="0"/>
        <v>USA</v>
      </c>
      <c r="Q59" s="193"/>
      <c r="R59" s="194" t="str">
        <f>IF(Tournament!J60&lt;&gt;"",Tournament!J60,"")</f>
        <v/>
      </c>
      <c r="S59" s="194" t="s">
        <v>3088</v>
      </c>
      <c r="T59" s="194" t="str">
        <f>IF(Tournament!L60&lt;&gt;"",Tournament!L60,"")</f>
        <v/>
      </c>
      <c r="U59" s="193"/>
      <c r="V59" s="193" t="str">
        <f t="shared" si="1"/>
        <v>Germany</v>
      </c>
      <c r="W59" s="194"/>
      <c r="X59" s="194"/>
      <c r="Y59" s="194"/>
      <c r="Z59" s="194"/>
      <c r="AA59" s="194"/>
      <c r="AB59" s="194"/>
      <c r="AC59" s="194"/>
      <c r="AD59" s="195" t="str">
        <f>IF(AND(I59&lt;&gt;"",K59&lt;&gt;"",R59&lt;&gt;"",T59&lt;&gt;""),IF(AND(I59=R59,K59=T59),Setup!$D$10,IF((I59-K59)=(R59-T59),Setup!$D$11,IF(AND((I59&gt;K59),(R59&gt;T59)),Setup!$D$12,IF(AND((K59&gt;I59),(T59&gt;R59)),Setup!$D$12,0)))),"")</f>
        <v/>
      </c>
      <c r="AE59" s="183"/>
      <c r="CP59" s="168"/>
      <c r="CQ59" s="168"/>
      <c r="CR59" s="187"/>
      <c r="CS59" s="168"/>
    </row>
    <row r="60" spans="2:97" s="166" customFormat="1" ht="15" customHeight="1">
      <c r="B60" s="182"/>
      <c r="C60" s="181">
        <f>Tournament!D61</f>
        <v>46</v>
      </c>
      <c r="D60" s="181" t="str">
        <f>Tournament!E61</f>
        <v>G</v>
      </c>
      <c r="E60" s="188">
        <f>Tournament!F61</f>
        <v>41816.541666666664</v>
      </c>
      <c r="F60" s="189">
        <f>Tournament!G61</f>
        <v>41816.541666666664</v>
      </c>
      <c r="G60" s="190" t="str">
        <f>Tournament!H61</f>
        <v>Portugal</v>
      </c>
      <c r="H60" s="180"/>
      <c r="I60" s="9"/>
      <c r="J60" s="191" t="s">
        <v>3088</v>
      </c>
      <c r="K60" s="9"/>
      <c r="L60" s="180"/>
      <c r="M60" s="180" t="str">
        <f>Tournament!N61</f>
        <v>Ghana</v>
      </c>
      <c r="N60" s="183"/>
      <c r="P60" s="192" t="str">
        <f t="shared" si="0"/>
        <v>Portugal</v>
      </c>
      <c r="Q60" s="193"/>
      <c r="R60" s="194" t="str">
        <f>IF(Tournament!J61&lt;&gt;"",Tournament!J61,"")</f>
        <v/>
      </c>
      <c r="S60" s="194" t="s">
        <v>3088</v>
      </c>
      <c r="T60" s="194" t="str">
        <f>IF(Tournament!L61&lt;&gt;"",Tournament!L61,"")</f>
        <v/>
      </c>
      <c r="U60" s="193"/>
      <c r="V60" s="193" t="str">
        <f t="shared" si="1"/>
        <v>Ghana</v>
      </c>
      <c r="W60" s="194"/>
      <c r="X60" s="194"/>
      <c r="Y60" s="194"/>
      <c r="Z60" s="194"/>
      <c r="AA60" s="194"/>
      <c r="AB60" s="194"/>
      <c r="AC60" s="194"/>
      <c r="AD60" s="195" t="str">
        <f>IF(AND(I60&lt;&gt;"",K60&lt;&gt;"",R60&lt;&gt;"",T60&lt;&gt;""),IF(AND(I60=R60,K60=T60),Setup!$D$10,IF((I60-K60)=(R60-T60),Setup!$D$11,IF(AND((I60&gt;K60),(R60&gt;T60)),Setup!$D$12,IF(AND((K60&gt;I60),(T60&gt;R60)),Setup!$D$12,0)))),"")</f>
        <v/>
      </c>
      <c r="AE60" s="183"/>
      <c r="CN60" s="168"/>
      <c r="CO60" s="168"/>
      <c r="CP60" s="187"/>
      <c r="CQ60" s="168"/>
    </row>
    <row r="61" spans="2:97" s="166" customFormat="1" ht="15" customHeight="1">
      <c r="B61" s="182"/>
      <c r="C61" s="181">
        <f>Tournament!D62</f>
        <v>47</v>
      </c>
      <c r="D61" s="181" t="str">
        <f>Tournament!E62</f>
        <v>H</v>
      </c>
      <c r="E61" s="188">
        <f>Tournament!F62</f>
        <v>41816.708333333336</v>
      </c>
      <c r="F61" s="189">
        <f>Tournament!G62</f>
        <v>41816.708333333336</v>
      </c>
      <c r="G61" s="190" t="str">
        <f>Tournament!H62</f>
        <v>South Korea</v>
      </c>
      <c r="H61" s="180"/>
      <c r="I61" s="9"/>
      <c r="J61" s="191" t="s">
        <v>3088</v>
      </c>
      <c r="K61" s="9"/>
      <c r="L61" s="180"/>
      <c r="M61" s="180" t="str">
        <f>Tournament!N62</f>
        <v>Belgium</v>
      </c>
      <c r="N61" s="183"/>
      <c r="P61" s="192" t="str">
        <f t="shared" si="0"/>
        <v>South Korea</v>
      </c>
      <c r="Q61" s="193"/>
      <c r="R61" s="194" t="str">
        <f>IF(Tournament!J62&lt;&gt;"",Tournament!J62,"")</f>
        <v/>
      </c>
      <c r="S61" s="194" t="s">
        <v>3088</v>
      </c>
      <c r="T61" s="194" t="str">
        <f>IF(Tournament!L62&lt;&gt;"",Tournament!L62,"")</f>
        <v/>
      </c>
      <c r="U61" s="193"/>
      <c r="V61" s="193" t="str">
        <f t="shared" si="1"/>
        <v>Belgium</v>
      </c>
      <c r="W61" s="194"/>
      <c r="X61" s="194"/>
      <c r="Y61" s="194"/>
      <c r="Z61" s="194"/>
      <c r="AA61" s="194"/>
      <c r="AB61" s="194"/>
      <c r="AC61" s="194"/>
      <c r="AD61" s="195" t="str">
        <f>IF(AND(I61&lt;&gt;"",K61&lt;&gt;"",R61&lt;&gt;"",T61&lt;&gt;""),IF(AND(I61=R61,K61=T61),Setup!$D$10,IF((I61-K61)=(R61-T61),Setup!$D$11,IF(AND((I61&gt;K61),(R61&gt;T61)),Setup!$D$12,IF(AND((K61&gt;I61),(T61&gt;R61)),Setup!$D$12,0)))),"")</f>
        <v/>
      </c>
      <c r="AE61" s="183"/>
      <c r="CM61" s="168"/>
      <c r="CN61" s="168"/>
      <c r="CO61" s="187"/>
      <c r="CP61" s="168"/>
    </row>
    <row r="62" spans="2:97" s="166" customFormat="1" ht="15" customHeight="1">
      <c r="B62" s="182"/>
      <c r="C62" s="181">
        <f>Tournament!D63</f>
        <v>48</v>
      </c>
      <c r="D62" s="181" t="str">
        <f>Tournament!E63</f>
        <v>H</v>
      </c>
      <c r="E62" s="188">
        <f>Tournament!F63</f>
        <v>41816.708333333336</v>
      </c>
      <c r="F62" s="189">
        <f>Tournament!G63</f>
        <v>41816.708333333336</v>
      </c>
      <c r="G62" s="190" t="str">
        <f>Tournament!H63</f>
        <v>Algeria</v>
      </c>
      <c r="H62" s="180"/>
      <c r="I62" s="9"/>
      <c r="J62" s="191" t="s">
        <v>3088</v>
      </c>
      <c r="K62" s="9"/>
      <c r="L62" s="180"/>
      <c r="M62" s="180" t="str">
        <f>Tournament!N63</f>
        <v>Russia</v>
      </c>
      <c r="N62" s="183"/>
      <c r="P62" s="192" t="str">
        <f t="shared" si="0"/>
        <v>Algeria</v>
      </c>
      <c r="Q62" s="193"/>
      <c r="R62" s="194" t="str">
        <f>IF(Tournament!J63&lt;&gt;"",Tournament!J63,"")</f>
        <v/>
      </c>
      <c r="S62" s="194" t="s">
        <v>3088</v>
      </c>
      <c r="T62" s="194" t="str">
        <f>IF(Tournament!L63&lt;&gt;"",Tournament!L63,"")</f>
        <v/>
      </c>
      <c r="U62" s="193"/>
      <c r="V62" s="193" t="str">
        <f t="shared" si="1"/>
        <v>Russia</v>
      </c>
      <c r="AD62" s="195" t="str">
        <f>IF(AND(I62&lt;&gt;"",K62&lt;&gt;"",R62&lt;&gt;"",T62&lt;&gt;""),IF(AND(I62=R62,K62=T62),Setup!$D$10,IF((I62-K62)=(R62-T62),Setup!$D$11,IF(AND((I62&gt;K62),(R62&gt;T62)),Setup!$D$12,IF(AND((K62&gt;I62),(T62&gt;R62)),Setup!$D$12,0)))),"")</f>
        <v/>
      </c>
      <c r="AE62" s="183"/>
      <c r="CM62" s="168"/>
      <c r="CN62" s="168"/>
      <c r="CO62" s="187"/>
      <c r="CP62" s="168"/>
    </row>
    <row r="63" spans="2:97" s="166" customFormat="1" ht="15" customHeight="1">
      <c r="B63" s="182"/>
      <c r="C63" s="181"/>
      <c r="D63" s="181"/>
      <c r="E63" s="188"/>
      <c r="F63" s="189"/>
      <c r="G63" s="190"/>
      <c r="H63" s="180"/>
      <c r="I63" s="191"/>
      <c r="J63" s="191"/>
      <c r="K63" s="191"/>
      <c r="L63" s="180"/>
      <c r="M63" s="180"/>
      <c r="N63" s="183"/>
      <c r="P63" s="192"/>
      <c r="Q63" s="193"/>
      <c r="R63" s="194"/>
      <c r="S63" s="194"/>
      <c r="T63" s="194"/>
      <c r="U63" s="193"/>
      <c r="V63" s="193"/>
      <c r="AD63" s="181"/>
      <c r="AE63" s="183"/>
      <c r="CM63" s="168"/>
      <c r="CN63" s="168"/>
      <c r="CO63" s="187"/>
      <c r="CP63" s="168"/>
    </row>
    <row r="64" spans="2:97" s="166" customFormat="1" ht="15" customHeight="1">
      <c r="B64" s="300" t="s">
        <v>3544</v>
      </c>
      <c r="C64" s="301"/>
      <c r="D64" s="301"/>
      <c r="E64" s="301"/>
      <c r="F64" s="301"/>
      <c r="G64" s="301"/>
      <c r="H64" s="301"/>
      <c r="I64" s="301"/>
      <c r="J64" s="301"/>
      <c r="K64" s="301"/>
      <c r="L64" s="301"/>
      <c r="M64" s="301"/>
      <c r="N64" s="302"/>
      <c r="P64" s="303" t="str">
        <f>B64</f>
        <v>Knock Out Stages</v>
      </c>
      <c r="Q64" s="304"/>
      <c r="R64" s="304"/>
      <c r="S64" s="304"/>
      <c r="T64" s="304"/>
      <c r="U64" s="304"/>
      <c r="V64" s="304"/>
      <c r="W64" s="304"/>
      <c r="X64" s="304"/>
      <c r="Y64" s="304"/>
      <c r="Z64" s="304"/>
      <c r="AA64" s="304"/>
      <c r="AB64" s="304"/>
      <c r="AC64" s="304"/>
      <c r="AD64" s="304"/>
      <c r="AE64" s="305"/>
      <c r="CM64" s="168"/>
      <c r="CN64" s="168"/>
      <c r="CO64" s="187"/>
      <c r="CP64" s="168"/>
    </row>
    <row r="65" spans="2:94" s="166" customFormat="1" ht="15" customHeight="1">
      <c r="B65" s="182"/>
      <c r="C65" s="181"/>
      <c r="D65" s="181"/>
      <c r="E65" s="188"/>
      <c r="F65" s="189"/>
      <c r="G65" s="190"/>
      <c r="H65" s="180"/>
      <c r="I65" s="191"/>
      <c r="J65" s="191"/>
      <c r="K65" s="191"/>
      <c r="L65" s="180"/>
      <c r="M65" s="180"/>
      <c r="N65" s="183"/>
      <c r="P65" s="192"/>
      <c r="Q65" s="193"/>
      <c r="R65" s="299" t="s">
        <v>3554</v>
      </c>
      <c r="S65" s="299"/>
      <c r="T65" s="299"/>
      <c r="U65" s="193"/>
      <c r="V65" s="193"/>
      <c r="W65" s="299" t="s">
        <v>3546</v>
      </c>
      <c r="X65" s="299"/>
      <c r="Y65" s="299"/>
      <c r="Z65" s="197"/>
      <c r="AA65" s="299" t="s">
        <v>3547</v>
      </c>
      <c r="AB65" s="299"/>
      <c r="AC65" s="299"/>
      <c r="AD65" s="181"/>
      <c r="AE65" s="183"/>
      <c r="CM65" s="168"/>
      <c r="CN65" s="168"/>
      <c r="CO65" s="187"/>
      <c r="CP65" s="168"/>
    </row>
    <row r="66" spans="2:94" s="166" customFormat="1" ht="15" customHeight="1">
      <c r="B66" s="182"/>
      <c r="C66" s="181">
        <v>49</v>
      </c>
      <c r="D66" s="181" t="s">
        <v>3548</v>
      </c>
      <c r="E66" s="188">
        <f>Tournament!F69</f>
        <v>41818.541666666664</v>
      </c>
      <c r="F66" s="189">
        <f>Tournament!G69</f>
        <v>41818.541666666664</v>
      </c>
      <c r="G66" s="190" t="str">
        <f>Tournament!H69</f>
        <v>Group A Winner</v>
      </c>
      <c r="H66" s="180"/>
      <c r="I66" s="9"/>
      <c r="J66" s="191" t="s">
        <v>3088</v>
      </c>
      <c r="K66" s="9"/>
      <c r="L66" s="180"/>
      <c r="M66" s="198" t="str">
        <f>Tournament!N69</f>
        <v>Group B Runner Up</v>
      </c>
      <c r="N66" s="183"/>
      <c r="P66" s="192" t="str">
        <f t="shared" ref="P66:P81" si="2">G66</f>
        <v>Group A Winner</v>
      </c>
      <c r="Q66" s="193"/>
      <c r="R66" s="194" t="str">
        <f>IF($Z$67=0,IF($Z$66=0,IF(Tournament!J70&lt;&gt;"",Tournament!J70,""),IF(Tournament!J70&lt;&gt;"",Tournament!J70+Tournament!J71,"")),IF(Tournament!J69&lt;&gt;"",Tournament!J69,""))</f>
        <v/>
      </c>
      <c r="S66" s="194" t="s">
        <v>3088</v>
      </c>
      <c r="T66" s="194" t="str">
        <f>IF($Z$67=0,IF($Z$66=0,IF(Tournament!L70&lt;&gt;"",Tournament!L70,""),IF(Tournament!L70&lt;&gt;"",Tournament!L70+Tournament!L71,"")),IF(Tournament!L69&lt;&gt;"",Tournament!L69,""))</f>
        <v/>
      </c>
      <c r="U66" s="193"/>
      <c r="V66" s="193" t="str">
        <f t="shared" ref="V66:V81" si="3">M66</f>
        <v>Group B Runner Up</v>
      </c>
      <c r="W66" s="191" t="str">
        <f>IF(Tournament!J71&lt;&gt;"",Tournament!J71,"")</f>
        <v/>
      </c>
      <c r="X66" s="199" t="s">
        <v>3088</v>
      </c>
      <c r="Y66" s="191" t="str">
        <f>IF(Tournament!L71&lt;&gt;"",Tournament!L71,"")</f>
        <v/>
      </c>
      <c r="Z66" s="199">
        <f>Setup!E16</f>
        <v>1</v>
      </c>
      <c r="AA66" s="191" t="str">
        <f>IF(Tournament!J72&lt;&gt;"",Tournament!J72,"")</f>
        <v/>
      </c>
      <c r="AB66" s="194" t="s">
        <v>3088</v>
      </c>
      <c r="AC66" s="191" t="str">
        <f>IF(Tournament!L72&lt;&gt;"",Tournament!L72,"")</f>
        <v/>
      </c>
      <c r="AD66" s="195" t="str">
        <f>IF(AND(I66&lt;&gt;"",K66&lt;&gt;"",R66&lt;&gt;"",T66&lt;&gt;""),IF(AND(I66=R66,K66=T66),Setup!$D$20,IF((I66-K66)=(R66-T66),Setup!$D$21,IF(AND((I66&gt;K66),(R66&gt;T66)),Setup!$D$22,IF(AND((K66&gt;I66),(T66&gt;R66)),Setup!$D$22,0)))),"")</f>
        <v/>
      </c>
      <c r="AE66" s="183"/>
      <c r="CM66" s="168"/>
      <c r="CN66" s="168"/>
      <c r="CO66" s="187"/>
      <c r="CP66" s="168"/>
    </row>
    <row r="67" spans="2:94" s="166" customFormat="1" ht="15" customHeight="1">
      <c r="B67" s="182"/>
      <c r="C67" s="181">
        <v>50</v>
      </c>
      <c r="D67" s="181" t="str">
        <f>D66</f>
        <v>R16</v>
      </c>
      <c r="E67" s="188">
        <f>Tournament!F75</f>
        <v>41818.708333333336</v>
      </c>
      <c r="F67" s="189">
        <f>Tournament!G75</f>
        <v>41818.708333333336</v>
      </c>
      <c r="G67" s="190" t="str">
        <f>Tournament!H75</f>
        <v>Group C Winner</v>
      </c>
      <c r="H67" s="180"/>
      <c r="I67" s="9"/>
      <c r="J67" s="191" t="s">
        <v>3088</v>
      </c>
      <c r="K67" s="9"/>
      <c r="L67" s="180"/>
      <c r="M67" s="198" t="str">
        <f>Tournament!N75</f>
        <v>Group D Runner Up</v>
      </c>
      <c r="N67" s="183"/>
      <c r="P67" s="192" t="str">
        <f t="shared" si="2"/>
        <v>Group C Winner</v>
      </c>
      <c r="Q67" s="193"/>
      <c r="R67" s="194" t="str">
        <f>IF($Z$67=0,IF($Z$66=0,IF(Tournament!J76&lt;&gt;"",Tournament!J76,""),IF(Tournament!J76&lt;&gt;"",Tournament!J76+Tournament!J77,"")),IF(Tournament!J75&lt;&gt;"",Tournament!J75,""))</f>
        <v/>
      </c>
      <c r="S67" s="194" t="s">
        <v>3088</v>
      </c>
      <c r="T67" s="194" t="str">
        <f>IF($Z$67=0,IF($Z$66=0,IF(Tournament!L76&lt;&gt;"",Tournament!L76,""),IF(Tournament!L76&lt;&gt;"",Tournament!L76+Tournament!L77,"")),IF(Tournament!L75&lt;&gt;"",Tournament!L75,""))</f>
        <v/>
      </c>
      <c r="U67" s="193"/>
      <c r="V67" s="193" t="str">
        <f t="shared" si="3"/>
        <v>Group D Runner Up</v>
      </c>
      <c r="W67" s="191" t="str">
        <f>IF(Tournament!J77&lt;&gt;"",Tournament!J77,"")</f>
        <v/>
      </c>
      <c r="X67" s="199" t="s">
        <v>3088</v>
      </c>
      <c r="Y67" s="191" t="str">
        <f>IF(Tournament!L77&lt;&gt;"",Tournament!L77,"")</f>
        <v/>
      </c>
      <c r="Z67" s="199">
        <f>Setup!E17</f>
        <v>0</v>
      </c>
      <c r="AA67" s="191" t="str">
        <f>IF(Tournament!J78&lt;&gt;"",Tournament!J78,"")</f>
        <v/>
      </c>
      <c r="AB67" s="194" t="s">
        <v>3088</v>
      </c>
      <c r="AC67" s="191" t="str">
        <f>IF(Tournament!L78&lt;&gt;"",Tournament!L78,"")</f>
        <v/>
      </c>
      <c r="AD67" s="195" t="str">
        <f>IF(AND(I67&lt;&gt;"",K67&lt;&gt;"",R67&lt;&gt;"",T67&lt;&gt;""),IF(AND(I67=R67,K67=T67),Setup!$D$20,IF((I67-K67)=(R67-T67),Setup!$D$21,IF(AND((I67&gt;K67),(R67&gt;T67)),Setup!$D$22,IF(AND((K67&gt;I67),(T67&gt;R67)),Setup!$D$22,0)))),"")</f>
        <v/>
      </c>
      <c r="AE67" s="183"/>
      <c r="CM67" s="168"/>
      <c r="CN67" s="168"/>
      <c r="CO67" s="187"/>
      <c r="CP67" s="168"/>
    </row>
    <row r="68" spans="2:94" s="166" customFormat="1" ht="15" customHeight="1">
      <c r="B68" s="182"/>
      <c r="C68" s="181">
        <v>52</v>
      </c>
      <c r="D68" s="181" t="str">
        <f t="shared" ref="D68:D73" si="4">D67</f>
        <v>R16</v>
      </c>
      <c r="E68" s="188">
        <f>Tournament!F81</f>
        <v>41819.708333333336</v>
      </c>
      <c r="F68" s="189">
        <f>Tournament!G81</f>
        <v>41819.708333333336</v>
      </c>
      <c r="G68" s="190" t="str">
        <f>Tournament!H81</f>
        <v>Group D Winner</v>
      </c>
      <c r="H68" s="180"/>
      <c r="I68" s="9"/>
      <c r="J68" s="191" t="s">
        <v>3088</v>
      </c>
      <c r="K68" s="9"/>
      <c r="L68" s="180"/>
      <c r="M68" s="198" t="str">
        <f>Tournament!N81</f>
        <v>Group C Runner Up</v>
      </c>
      <c r="N68" s="183"/>
      <c r="P68" s="192" t="str">
        <f t="shared" si="2"/>
        <v>Group D Winner</v>
      </c>
      <c r="Q68" s="193"/>
      <c r="R68" s="194" t="str">
        <f>IF($Z$67=0,IF($Z$66=0,IF(Tournament!J82&lt;&gt;"",Tournament!J82,""),IF(Tournament!J82&lt;&gt;"",Tournament!J82+Tournament!J83,"")),IF(Tournament!J81&lt;&gt;"",Tournament!J81,""))</f>
        <v/>
      </c>
      <c r="S68" s="194" t="s">
        <v>3088</v>
      </c>
      <c r="T68" s="194" t="str">
        <f>IF($Z$67=0,IF($Z$66=0,IF(Tournament!L82&lt;&gt;"",Tournament!L82,""),IF(Tournament!L82&lt;&gt;"",Tournament!L82+Tournament!L83,"")),IF(Tournament!L81&lt;&gt;"",Tournament!L81,""))</f>
        <v/>
      </c>
      <c r="U68" s="193"/>
      <c r="V68" s="193" t="str">
        <f t="shared" si="3"/>
        <v>Group C Runner Up</v>
      </c>
      <c r="W68" s="191" t="str">
        <f>IF(Tournament!J83&lt;&gt;"",Tournament!J83,"")</f>
        <v/>
      </c>
      <c r="X68" s="199" t="s">
        <v>3088</v>
      </c>
      <c r="Y68" s="191" t="str">
        <f>IF(Tournament!L83&lt;&gt;"",Tournament!L83,"")</f>
        <v/>
      </c>
      <c r="Z68" s="191"/>
      <c r="AA68" s="191" t="str">
        <f>IF(Tournament!J84&lt;&gt;"",Tournament!J84,"")</f>
        <v/>
      </c>
      <c r="AB68" s="194" t="s">
        <v>3088</v>
      </c>
      <c r="AC68" s="191" t="str">
        <f>IF(Tournament!L84&lt;&gt;"",Tournament!L84,"")</f>
        <v/>
      </c>
      <c r="AD68" s="195" t="str">
        <f>IF(AND(I68&lt;&gt;"",K68&lt;&gt;"",R68&lt;&gt;"",T68&lt;&gt;""),IF(AND(I68=R68,K68=T68),Setup!$D$20,IF((I68-K68)=(R68-T68),Setup!$D$21,IF(AND((I68&gt;K68),(R68&gt;T68)),Setup!$D$22,IF(AND((K68&gt;I68),(T68&gt;R68)),Setup!$D$22,0)))),"")</f>
        <v/>
      </c>
      <c r="AE68" s="183"/>
      <c r="CM68" s="168"/>
      <c r="CN68" s="168"/>
      <c r="CO68" s="187"/>
      <c r="CP68" s="168"/>
    </row>
    <row r="69" spans="2:94" s="166" customFormat="1" ht="15" customHeight="1">
      <c r="B69" s="182"/>
      <c r="C69" s="181">
        <v>51</v>
      </c>
      <c r="D69" s="181" t="str">
        <f t="shared" si="4"/>
        <v>R16</v>
      </c>
      <c r="E69" s="188">
        <f>Tournament!F87</f>
        <v>41819.541666666664</v>
      </c>
      <c r="F69" s="189">
        <f>Tournament!G93</f>
        <v>41820.541666666664</v>
      </c>
      <c r="G69" s="190" t="str">
        <f>Tournament!H87</f>
        <v>Group B Winner</v>
      </c>
      <c r="H69" s="180"/>
      <c r="I69" s="9"/>
      <c r="J69" s="191" t="s">
        <v>3088</v>
      </c>
      <c r="K69" s="9"/>
      <c r="L69" s="180"/>
      <c r="M69" s="198" t="str">
        <f>Tournament!N87</f>
        <v>Group A Runner Up</v>
      </c>
      <c r="N69" s="183"/>
      <c r="P69" s="192" t="str">
        <f t="shared" si="2"/>
        <v>Group B Winner</v>
      </c>
      <c r="Q69" s="193"/>
      <c r="R69" s="194" t="str">
        <f>IF($Z$67=0,IF($Z$66=0,IF(Tournament!J88&lt;&gt;"",Tournament!J88,""),IF(Tournament!J88&lt;&gt;"",Tournament!J88+Tournament!J89,"")),IF(Tournament!J87&lt;&gt;"",Tournament!J87,""))</f>
        <v/>
      </c>
      <c r="S69" s="194" t="s">
        <v>3088</v>
      </c>
      <c r="T69" s="194" t="str">
        <f>IF($Z$67=0,IF($Z$66=0,IF(Tournament!L88&lt;&gt;"",Tournament!L88,""),IF(Tournament!L88&lt;&gt;"",Tournament!L88+Tournament!L89,"")),IF(Tournament!L87&lt;&gt;"",Tournament!L87,""))</f>
        <v/>
      </c>
      <c r="U69" s="193"/>
      <c r="V69" s="193" t="str">
        <f t="shared" si="3"/>
        <v>Group A Runner Up</v>
      </c>
      <c r="W69" s="191" t="str">
        <f>IF(Tournament!J89&lt;&gt;"",Tournament!J89,"")</f>
        <v/>
      </c>
      <c r="X69" s="199" t="s">
        <v>3088</v>
      </c>
      <c r="Y69" s="191" t="str">
        <f>IF(Tournament!L89&lt;&gt;"",Tournament!L89,"")</f>
        <v/>
      </c>
      <c r="Z69" s="191"/>
      <c r="AA69" s="191" t="str">
        <f>IF(Tournament!J90&lt;&gt;"",Tournament!J90,"")</f>
        <v/>
      </c>
      <c r="AB69" s="194" t="s">
        <v>3088</v>
      </c>
      <c r="AC69" s="191" t="str">
        <f>IF(Tournament!L90&lt;&gt;"",Tournament!L90,"")</f>
        <v/>
      </c>
      <c r="AD69" s="195" t="str">
        <f>IF(AND(I69&lt;&gt;"",K69&lt;&gt;"",R69&lt;&gt;"",T69&lt;&gt;""),IF(AND(I69=R69,K69=T69),Setup!$D$20,IF((I69-K69)=(R69-T69),Setup!$D$21,IF(AND((I69&gt;K69),(R69&gt;T69)),Setup!$D$22,IF(AND((K69&gt;I69),(T69&gt;R69)),Setup!$D$22,0)))),"")</f>
        <v/>
      </c>
      <c r="AE69" s="183"/>
      <c r="CM69" s="168"/>
      <c r="CN69" s="168"/>
      <c r="CO69" s="187"/>
      <c r="CP69" s="168"/>
    </row>
    <row r="70" spans="2:94" s="166" customFormat="1" ht="15" customHeight="1">
      <c r="B70" s="182"/>
      <c r="C70" s="181">
        <v>53</v>
      </c>
      <c r="D70" s="181" t="str">
        <f t="shared" si="4"/>
        <v>R16</v>
      </c>
      <c r="E70" s="188">
        <f>Tournament!F93</f>
        <v>41820.541666666664</v>
      </c>
      <c r="F70" s="189">
        <f>Tournament!G93</f>
        <v>41820.541666666664</v>
      </c>
      <c r="G70" s="190" t="str">
        <f>Tournament!H93</f>
        <v>Group E Winner</v>
      </c>
      <c r="H70" s="180"/>
      <c r="I70" s="9"/>
      <c r="J70" s="191" t="s">
        <v>3088</v>
      </c>
      <c r="K70" s="9"/>
      <c r="L70" s="180"/>
      <c r="M70" s="198" t="str">
        <f>Tournament!N93</f>
        <v>Group F Runner Up</v>
      </c>
      <c r="N70" s="183"/>
      <c r="P70" s="192" t="str">
        <f t="shared" si="2"/>
        <v>Group E Winner</v>
      </c>
      <c r="Q70" s="193"/>
      <c r="R70" s="194" t="str">
        <f>IF($Z$67=0,IF($Z$66=0,IF(Tournament!J94&lt;&gt;"",Tournament!J94,""),IF(Tournament!J94&lt;&gt;"",Tournament!J94+Tournament!J95,"")),IF(Tournament!J93&lt;&gt;"",Tournament!J93,""))</f>
        <v/>
      </c>
      <c r="S70" s="194" t="s">
        <v>3088</v>
      </c>
      <c r="T70" s="194" t="str">
        <f>IF($Z$67=0,IF($Z$66=0,IF(Tournament!L94&lt;&gt;"",Tournament!L94,""),IF(Tournament!L94&lt;&gt;"",Tournament!L94+Tournament!L95,"")),IF(Tournament!L93&lt;&gt;"",Tournament!L93,""))</f>
        <v/>
      </c>
      <c r="U70" s="193"/>
      <c r="V70" s="193" t="str">
        <f t="shared" si="3"/>
        <v>Group F Runner Up</v>
      </c>
      <c r="W70" s="191" t="str">
        <f>IF(Tournament!J95&lt;&gt;"",Tournament!J95,"")</f>
        <v/>
      </c>
      <c r="X70" s="199" t="s">
        <v>3088</v>
      </c>
      <c r="Y70" s="191" t="str">
        <f>IF(Tournament!L95&lt;&gt;"",Tournament!L95,"")</f>
        <v/>
      </c>
      <c r="Z70" s="191"/>
      <c r="AA70" s="191" t="str">
        <f>IF(Tournament!J96&lt;&gt;"",Tournament!J96,"")</f>
        <v/>
      </c>
      <c r="AB70" s="194" t="s">
        <v>3088</v>
      </c>
      <c r="AC70" s="191" t="str">
        <f>IF(Tournament!L96&lt;&gt;"",Tournament!L96,"")</f>
        <v/>
      </c>
      <c r="AD70" s="195" t="str">
        <f>IF(AND(I70&lt;&gt;"",K70&lt;&gt;"",R70&lt;&gt;"",T70&lt;&gt;""),IF(AND(I70=R70,K70=T70),Setup!$D$20,IF((I70-K70)=(R70-T70),Setup!$D$21,IF(AND((I70&gt;K70),(R70&gt;T70)),Setup!$D$22,IF(AND((K70&gt;I70),(T70&gt;R70)),Setup!$D$22,0)))),"")</f>
        <v/>
      </c>
      <c r="AE70" s="183"/>
      <c r="CM70" s="168"/>
      <c r="CN70" s="168"/>
      <c r="CO70" s="187"/>
      <c r="CP70" s="168"/>
    </row>
    <row r="71" spans="2:94" s="166" customFormat="1" ht="15" customHeight="1">
      <c r="B71" s="182"/>
      <c r="C71" s="181">
        <v>54</v>
      </c>
      <c r="D71" s="181" t="str">
        <f t="shared" si="4"/>
        <v>R16</v>
      </c>
      <c r="E71" s="188">
        <f>Tournament!F99</f>
        <v>41820.708333333336</v>
      </c>
      <c r="F71" s="189">
        <f>Tournament!G99</f>
        <v>41820.708333333336</v>
      </c>
      <c r="G71" s="190" t="str">
        <f>Tournament!H99</f>
        <v>Group G Winner</v>
      </c>
      <c r="H71" s="180"/>
      <c r="I71" s="9"/>
      <c r="J71" s="191" t="s">
        <v>3088</v>
      </c>
      <c r="K71" s="9"/>
      <c r="L71" s="180"/>
      <c r="M71" s="198" t="str">
        <f>Tournament!N99</f>
        <v>Group H Runner Up</v>
      </c>
      <c r="N71" s="183"/>
      <c r="P71" s="192" t="str">
        <f t="shared" si="2"/>
        <v>Group G Winner</v>
      </c>
      <c r="Q71" s="193"/>
      <c r="R71" s="194" t="str">
        <f>IF($Z$67=0,IF($Z$66=0,IF(Tournament!J100&lt;&gt;"",Tournament!J100,""),IF(Tournament!J100&lt;&gt;"",Tournament!J100+Tournament!J101,"")),IF(Tournament!J99&lt;&gt;"",Tournament!J99,""))</f>
        <v/>
      </c>
      <c r="S71" s="194" t="s">
        <v>3088</v>
      </c>
      <c r="T71" s="194" t="str">
        <f>IF($Z$67=0,IF($Z$66=0,IF(Tournament!L100&lt;&gt;"",Tournament!L100,""),IF(Tournament!L100&lt;&gt;"",Tournament!L100+Tournament!L101,"")),IF(Tournament!L99&lt;&gt;"",Tournament!L99,""))</f>
        <v/>
      </c>
      <c r="U71" s="193"/>
      <c r="V71" s="193" t="str">
        <f t="shared" si="3"/>
        <v>Group H Runner Up</v>
      </c>
      <c r="W71" s="191" t="str">
        <f>IF(Tournament!J101&lt;&gt;"",Tournament!J101,"")</f>
        <v/>
      </c>
      <c r="X71" s="199" t="s">
        <v>3088</v>
      </c>
      <c r="Y71" s="191" t="str">
        <f>IF(Tournament!L101&lt;&gt;"",Tournament!L101,"")</f>
        <v/>
      </c>
      <c r="Z71" s="191"/>
      <c r="AA71" s="191" t="str">
        <f>IF(Tournament!J102&lt;&gt;"",Tournament!J102,"")</f>
        <v/>
      </c>
      <c r="AB71" s="194" t="s">
        <v>3088</v>
      </c>
      <c r="AC71" s="191" t="str">
        <f>IF(Tournament!L102&lt;&gt;"",Tournament!L102,"")</f>
        <v/>
      </c>
      <c r="AD71" s="195" t="str">
        <f>IF(AND(I71&lt;&gt;"",K71&lt;&gt;"",R71&lt;&gt;"",T71&lt;&gt;""),IF(AND(I71=R71,K71=T71),Setup!$D$20,IF((I71-K71)=(R71-T71),Setup!$D$21,IF(AND((I71&gt;K71),(R71&gt;T71)),Setup!$D$22,IF(AND((K71&gt;I71),(T71&gt;R71)),Setup!$D$22,0)))),"")</f>
        <v/>
      </c>
      <c r="AE71" s="183"/>
      <c r="CM71" s="168"/>
      <c r="CN71" s="168"/>
      <c r="CO71" s="187"/>
      <c r="CP71" s="168"/>
    </row>
    <row r="72" spans="2:94" s="166" customFormat="1" ht="15" customHeight="1">
      <c r="B72" s="182"/>
      <c r="C72" s="181">
        <v>55</v>
      </c>
      <c r="D72" s="181" t="str">
        <f t="shared" si="4"/>
        <v>R16</v>
      </c>
      <c r="E72" s="188">
        <f>Tournament!F105</f>
        <v>41821.541666666664</v>
      </c>
      <c r="F72" s="189">
        <f>Tournament!G105</f>
        <v>41821.541666666664</v>
      </c>
      <c r="G72" s="190" t="str">
        <f>Tournament!H105</f>
        <v>Group F Winner</v>
      </c>
      <c r="H72" s="180"/>
      <c r="I72" s="9"/>
      <c r="J72" s="191" t="s">
        <v>3088</v>
      </c>
      <c r="K72" s="9"/>
      <c r="L72" s="180"/>
      <c r="M72" s="198" t="str">
        <f>Tournament!N105</f>
        <v>Group E Runner Up</v>
      </c>
      <c r="N72" s="183"/>
      <c r="P72" s="192" t="str">
        <f t="shared" si="2"/>
        <v>Group F Winner</v>
      </c>
      <c r="Q72" s="193"/>
      <c r="R72" s="194" t="str">
        <f>IF($Z$67=0,IF($Z$66=0,IF(Tournament!J106&lt;&gt;"",Tournament!J106,""),IF(Tournament!J106&lt;&gt;"",Tournament!J106+Tournament!J107,"")),IF(Tournament!J105&lt;&gt;"",Tournament!J105,""))</f>
        <v/>
      </c>
      <c r="S72" s="194" t="s">
        <v>3088</v>
      </c>
      <c r="T72" s="194" t="str">
        <f>IF($Z$67=0,IF($Z$66=0,IF(Tournament!L106&lt;&gt;"",Tournament!L106,""),IF(Tournament!L106&lt;&gt;"",Tournament!L106+Tournament!L107,"")),IF(Tournament!L105&lt;&gt;"",Tournament!L105,""))</f>
        <v/>
      </c>
      <c r="U72" s="193"/>
      <c r="V72" s="193" t="str">
        <f t="shared" si="3"/>
        <v>Group E Runner Up</v>
      </c>
      <c r="W72" s="191" t="str">
        <f>IF(Tournament!J107&lt;&gt;"",Tournament!J107,"")</f>
        <v/>
      </c>
      <c r="X72" s="199" t="s">
        <v>3088</v>
      </c>
      <c r="Y72" s="191" t="str">
        <f>IF(Tournament!L107&lt;&gt;"",Tournament!L107,"")</f>
        <v/>
      </c>
      <c r="Z72" s="191"/>
      <c r="AA72" s="191" t="str">
        <f>IF(Tournament!J108&lt;&gt;"",Tournament!J108,"")</f>
        <v/>
      </c>
      <c r="AB72" s="194" t="s">
        <v>3088</v>
      </c>
      <c r="AC72" s="191" t="str">
        <f>IF(Tournament!L108&lt;&gt;"",Tournament!L108,"")</f>
        <v/>
      </c>
      <c r="AD72" s="195" t="str">
        <f>IF(AND(I72&lt;&gt;"",K72&lt;&gt;"",R72&lt;&gt;"",T72&lt;&gt;""),IF(AND(I72=R72,K72=T72),Setup!$D$20,IF((I72-K72)=(R72-T72),Setup!$D$21,IF(AND((I72&gt;K72),(R72&gt;T72)),Setup!$D$22,IF(AND((K72&gt;I72),(T72&gt;R72)),Setup!$D$22,0)))),"")</f>
        <v/>
      </c>
      <c r="AE72" s="183"/>
      <c r="CM72" s="168"/>
      <c r="CN72" s="168"/>
      <c r="CO72" s="187"/>
      <c r="CP72" s="168"/>
    </row>
    <row r="73" spans="2:94" s="166" customFormat="1" ht="15" customHeight="1">
      <c r="B73" s="182"/>
      <c r="C73" s="181">
        <v>56</v>
      </c>
      <c r="D73" s="181" t="str">
        <f t="shared" si="4"/>
        <v>R16</v>
      </c>
      <c r="E73" s="188">
        <f>Tournament!F111</f>
        <v>41821.708333333336</v>
      </c>
      <c r="F73" s="189">
        <f>Tournament!G111</f>
        <v>41821.708333333336</v>
      </c>
      <c r="G73" s="190" t="str">
        <f>Tournament!H111</f>
        <v>Group H Winner</v>
      </c>
      <c r="H73" s="180"/>
      <c r="I73" s="9"/>
      <c r="J73" s="191" t="s">
        <v>3088</v>
      </c>
      <c r="K73" s="9"/>
      <c r="L73" s="180"/>
      <c r="M73" s="198" t="str">
        <f>Tournament!N111</f>
        <v>Group G Runner Up</v>
      </c>
      <c r="N73" s="183"/>
      <c r="P73" s="192" t="str">
        <f t="shared" si="2"/>
        <v>Group H Winner</v>
      </c>
      <c r="Q73" s="193"/>
      <c r="R73" s="194" t="str">
        <f>IF($Z$67=0,IF($Z$66=0,IF(Tournament!J112&lt;&gt;"",Tournament!J112,""),IF(Tournament!J112&lt;&gt;"",Tournament!J112+Tournament!J113,"")),IF(Tournament!J111&lt;&gt;"",Tournament!J111,""))</f>
        <v/>
      </c>
      <c r="S73" s="194" t="s">
        <v>3088</v>
      </c>
      <c r="T73" s="194" t="str">
        <f>IF($Z$67=0,IF($Z$66=0,IF(Tournament!L112&lt;&gt;"",Tournament!L112,""),IF(Tournament!L112&lt;&gt;"",Tournament!L112+Tournament!L113,"")),IF(Tournament!L111&lt;&gt;"",Tournament!L111,""))</f>
        <v/>
      </c>
      <c r="U73" s="193"/>
      <c r="V73" s="193" t="str">
        <f t="shared" si="3"/>
        <v>Group G Runner Up</v>
      </c>
      <c r="W73" s="191" t="str">
        <f>IF(Tournament!J113&lt;&gt;"",Tournament!J113,"")</f>
        <v/>
      </c>
      <c r="X73" s="199" t="s">
        <v>3088</v>
      </c>
      <c r="Y73" s="191" t="str">
        <f>IF(Tournament!L113&lt;&gt;"",Tournament!L113,"")</f>
        <v/>
      </c>
      <c r="Z73" s="191"/>
      <c r="AA73" s="191" t="str">
        <f>IF(Tournament!J114&lt;&gt;"",Tournament!J114,"")</f>
        <v/>
      </c>
      <c r="AB73" s="194" t="s">
        <v>3088</v>
      </c>
      <c r="AC73" s="191" t="str">
        <f>IF(Tournament!L114&lt;&gt;"",Tournament!L114,"")</f>
        <v/>
      </c>
      <c r="AD73" s="195" t="str">
        <f>IF(AND(I73&lt;&gt;"",K73&lt;&gt;"",R73&lt;&gt;"",T73&lt;&gt;""),IF(AND(I73=R73,K73=T73),Setup!$D$20,IF((I73-K73)=(R73-T73),Setup!$D$21,IF(AND((I73&gt;K73),(R73&gt;T73)),Setup!$D$22,IF(AND((K73&gt;I73),(T73&gt;R73)),Setup!$D$22,0)))),"")</f>
        <v/>
      </c>
      <c r="AE73" s="183"/>
      <c r="CM73" s="168"/>
      <c r="CN73" s="168"/>
      <c r="CO73" s="187"/>
      <c r="CP73" s="168"/>
    </row>
    <row r="74" spans="2:94" s="166" customFormat="1" ht="15" customHeight="1">
      <c r="B74" s="182"/>
      <c r="C74" s="181">
        <v>58</v>
      </c>
      <c r="D74" s="181" t="s">
        <v>3549</v>
      </c>
      <c r="E74" s="188">
        <f>Tournament!T69</f>
        <v>41824.541666666664</v>
      </c>
      <c r="F74" s="189">
        <f>Tournament!U69</f>
        <v>41824.541666666664</v>
      </c>
      <c r="G74" s="190" t="str">
        <f>Tournament!Y69</f>
        <v>Match 53 Winner</v>
      </c>
      <c r="H74" s="180"/>
      <c r="I74" s="9"/>
      <c r="J74" s="191" t="s">
        <v>3088</v>
      </c>
      <c r="K74" s="9"/>
      <c r="L74" s="180"/>
      <c r="M74" s="198" t="str">
        <f>Tournament!AE69</f>
        <v>Match 54 Winner</v>
      </c>
      <c r="N74" s="183"/>
      <c r="P74" s="192" t="str">
        <f t="shared" si="2"/>
        <v>Match 53 Winner</v>
      </c>
      <c r="Q74" s="193"/>
      <c r="R74" s="194" t="str">
        <f>IF($Z$67=0,IF($Z$66=0,IF(Tournament!AA70&lt;&gt;"",Tournament!AA70,""),IF(Tournament!AA70&lt;&gt;"",Tournament!AA70+Tournament!AA71,"")),IF(Tournament!AA69&lt;&gt;"",Tournament!AA69,""))</f>
        <v/>
      </c>
      <c r="S74" s="194" t="s">
        <v>3088</v>
      </c>
      <c r="T74" s="194" t="str">
        <f>IF($Z$67=0,IF($Z$66=0,IF(Tournament!AC70&lt;&gt;"",Tournament!AC70,""),IF(Tournament!AC70&lt;&gt;"",Tournament!AC70+Tournament!AC71,"")),IF(Tournament!AC69&lt;&gt;"",Tournament!AC69,""))</f>
        <v/>
      </c>
      <c r="U74" s="193"/>
      <c r="V74" s="193" t="str">
        <f t="shared" si="3"/>
        <v>Match 54 Winner</v>
      </c>
      <c r="W74" s="191" t="str">
        <f>IF(Tournament!AA71&lt;&gt;"",Tournament!AA71,"")</f>
        <v/>
      </c>
      <c r="X74" s="199" t="s">
        <v>3088</v>
      </c>
      <c r="Y74" s="191" t="str">
        <f>IF(Tournament!AC71&lt;&gt;"",Tournament!AC71,"")</f>
        <v/>
      </c>
      <c r="Z74" s="191"/>
      <c r="AA74" s="191" t="str">
        <f>IF(Tournament!AA72&lt;&gt;"",Tournament!AA72,"")</f>
        <v/>
      </c>
      <c r="AB74" s="194" t="s">
        <v>3088</v>
      </c>
      <c r="AC74" s="191" t="str">
        <f>IF(Tournament!AC72&lt;&gt;"",Tournament!AC72,"")</f>
        <v/>
      </c>
      <c r="AD74" s="195" t="str">
        <f>IF(AND(I74&lt;&gt;"",K74&lt;&gt;"",R74&lt;&gt;"",T74&lt;&gt;""),IF(AND(I74=R74,K74=T74),Setup!$E$20,IF((I74-K74)=(R74-T74),Setup!$E$21,IF(AND((I74&gt;K74),(R74&gt;T74)),Setup!$E$22,IF(AND((K74&gt;I74),(T74&gt;R74)),Setup!$E$22,0)))),"")</f>
        <v/>
      </c>
      <c r="AE74" s="183"/>
      <c r="CM74" s="168"/>
      <c r="CN74" s="168"/>
      <c r="CO74" s="187"/>
      <c r="CP74" s="168"/>
    </row>
    <row r="75" spans="2:94" s="166" customFormat="1" ht="15" customHeight="1">
      <c r="B75" s="182"/>
      <c r="C75" s="181">
        <v>57</v>
      </c>
      <c r="D75" s="181" t="str">
        <f>D74</f>
        <v>QF</v>
      </c>
      <c r="E75" s="188">
        <f>Tournament!T74</f>
        <v>41824.708333333336</v>
      </c>
      <c r="F75" s="189">
        <f>Tournament!U74</f>
        <v>41824.708333333336</v>
      </c>
      <c r="G75" s="190" t="str">
        <f>Tournament!Y74</f>
        <v>Match 49 Winner</v>
      </c>
      <c r="H75" s="180"/>
      <c r="I75" s="9"/>
      <c r="J75" s="191" t="s">
        <v>3088</v>
      </c>
      <c r="K75" s="9"/>
      <c r="L75" s="180"/>
      <c r="M75" s="198" t="str">
        <f>Tournament!AE74</f>
        <v>Match 50 Winner</v>
      </c>
      <c r="N75" s="183"/>
      <c r="P75" s="192" t="str">
        <f t="shared" si="2"/>
        <v>Match 49 Winner</v>
      </c>
      <c r="Q75" s="193"/>
      <c r="R75" s="194" t="str">
        <f>IF($Z$67=0,IF($Z$66=0,IF(Tournament!AA75&lt;&gt;"",Tournament!AA75,""),IF(Tournament!AA75&lt;&gt;"",Tournament!AA75+Tournament!AA76,"")),IF(Tournament!AA74&lt;&gt;"",Tournament!AA74,""))</f>
        <v/>
      </c>
      <c r="S75" s="194" t="s">
        <v>3088</v>
      </c>
      <c r="T75" s="194" t="str">
        <f>IF($Z$67=0,IF($Z$66=0,IF(Tournament!AC75&lt;&gt;"",Tournament!AC75,""),IF(Tournament!AC75&lt;&gt;"",Tournament!AC75+Tournament!AC76,"")),IF(Tournament!AC74&lt;&gt;"",Tournament!AC74,""))</f>
        <v/>
      </c>
      <c r="U75" s="193"/>
      <c r="V75" s="193" t="str">
        <f t="shared" si="3"/>
        <v>Match 50 Winner</v>
      </c>
      <c r="W75" s="191" t="str">
        <f>IF(Tournament!AA76&lt;&gt;"",Tournament!AA76,"")</f>
        <v/>
      </c>
      <c r="X75" s="199" t="s">
        <v>3088</v>
      </c>
      <c r="Y75" s="191" t="str">
        <f>IF(Tournament!AC76&lt;&gt;"",Tournament!AC76,"")</f>
        <v/>
      </c>
      <c r="Z75" s="191"/>
      <c r="AA75" s="191" t="str">
        <f>IF(Tournament!AA77&lt;&gt;"",Tournament!AA77,"")</f>
        <v/>
      </c>
      <c r="AB75" s="194" t="s">
        <v>3088</v>
      </c>
      <c r="AC75" s="191" t="str">
        <f>IF(Tournament!AC77&lt;&gt;"",Tournament!AC77,"")</f>
        <v/>
      </c>
      <c r="AD75" s="195" t="str">
        <f>IF(AND(I75&lt;&gt;"",K75&lt;&gt;"",R75&lt;&gt;"",T75&lt;&gt;""),IF(AND(I75=R75,K75=T75),Setup!$E$20,IF((I75-K75)=(R75-T75),Setup!$E$21,IF(AND((I75&gt;K75),(R75&gt;T75)),Setup!$E$22,IF(AND((K75&gt;I75),(T75&gt;R75)),Setup!$E$22,0)))),"")</f>
        <v/>
      </c>
      <c r="AE75" s="183"/>
      <c r="CM75" s="168"/>
      <c r="CN75" s="168"/>
      <c r="CO75" s="187"/>
      <c r="CP75" s="168"/>
    </row>
    <row r="76" spans="2:94" s="166" customFormat="1" ht="15" customHeight="1">
      <c r="B76" s="182"/>
      <c r="C76" s="181">
        <v>59</v>
      </c>
      <c r="D76" s="181" t="str">
        <f>D75</f>
        <v>QF</v>
      </c>
      <c r="E76" s="188">
        <f>Tournament!T79</f>
        <v>41825.708333333336</v>
      </c>
      <c r="F76" s="189">
        <f>Tournament!U79</f>
        <v>41825.708333333336</v>
      </c>
      <c r="G76" s="190" t="str">
        <f>Tournament!Y79</f>
        <v>Match 51 Winner</v>
      </c>
      <c r="H76" s="180"/>
      <c r="I76" s="9"/>
      <c r="J76" s="191" t="s">
        <v>3088</v>
      </c>
      <c r="K76" s="9"/>
      <c r="L76" s="180"/>
      <c r="M76" s="198" t="str">
        <f>Tournament!AE79</f>
        <v>Match 52 Winner</v>
      </c>
      <c r="N76" s="183"/>
      <c r="P76" s="192" t="str">
        <f t="shared" si="2"/>
        <v>Match 51 Winner</v>
      </c>
      <c r="Q76" s="193"/>
      <c r="R76" s="194" t="str">
        <f>IF($Z$67=0,IF($Z$66=0,IF(Tournament!AA80&lt;&gt;"",Tournament!AA80,""),IF(Tournament!AA80&lt;&gt;"",Tournament!AA80+Tournament!AA81,"")),IF(Tournament!AA79&lt;&gt;"",Tournament!AA79,""))</f>
        <v/>
      </c>
      <c r="S76" s="194" t="s">
        <v>3088</v>
      </c>
      <c r="T76" s="194" t="str">
        <f>IF($Z$67=0,IF($Z$66=0,IF(Tournament!AC80&lt;&gt;"",Tournament!AC80,""),IF(Tournament!AC80&lt;&gt;"",Tournament!AC80+Tournament!AC81,"")),IF(Tournament!AC79&lt;&gt;"",Tournament!AC79,""))</f>
        <v/>
      </c>
      <c r="U76" s="193"/>
      <c r="V76" s="193" t="str">
        <f t="shared" si="3"/>
        <v>Match 52 Winner</v>
      </c>
      <c r="W76" s="191" t="str">
        <f>IF(Tournament!AA81&lt;&gt;"",Tournament!AA81,"")</f>
        <v/>
      </c>
      <c r="X76" s="199" t="s">
        <v>3088</v>
      </c>
      <c r="Y76" s="191" t="str">
        <f>IF(Tournament!AC81&lt;&gt;"",Tournament!AC81,"")</f>
        <v/>
      </c>
      <c r="Z76" s="191"/>
      <c r="AA76" s="191" t="str">
        <f>IF(Tournament!AA82&lt;&gt;"",Tournament!AA82,"")</f>
        <v/>
      </c>
      <c r="AB76" s="194" t="s">
        <v>3088</v>
      </c>
      <c r="AC76" s="191" t="str">
        <f>IF(Tournament!AC82&lt;&gt;"",Tournament!AC82,"")</f>
        <v/>
      </c>
      <c r="AD76" s="195" t="str">
        <f>IF(AND(I76&lt;&gt;"",K76&lt;&gt;"",R76&lt;&gt;"",T76&lt;&gt;""),IF(AND(I76=R76,K76=T76),Setup!$E$20,IF((I76-K76)=(R76-T76),Setup!$E$21,IF(AND((I76&gt;K76),(R76&gt;T76)),Setup!$E$22,IF(AND((K76&gt;I76),(T76&gt;R76)),Setup!$E$22,0)))),"")</f>
        <v/>
      </c>
      <c r="AE76" s="183"/>
      <c r="CM76" s="168"/>
      <c r="CN76" s="168"/>
      <c r="CO76" s="187"/>
      <c r="CP76" s="168"/>
    </row>
    <row r="77" spans="2:94" s="166" customFormat="1" ht="15" customHeight="1">
      <c r="B77" s="182"/>
      <c r="C77" s="181">
        <v>60</v>
      </c>
      <c r="D77" s="181" t="str">
        <f>D76</f>
        <v>QF</v>
      </c>
      <c r="E77" s="188">
        <f>Tournament!T84</f>
        <v>41825.541666666664</v>
      </c>
      <c r="F77" s="189">
        <f>Tournament!U84</f>
        <v>41825.541666666664</v>
      </c>
      <c r="G77" s="190" t="str">
        <f>Tournament!Y84</f>
        <v>Match 55 Winner</v>
      </c>
      <c r="H77" s="180"/>
      <c r="I77" s="9"/>
      <c r="J77" s="191" t="s">
        <v>3088</v>
      </c>
      <c r="K77" s="9"/>
      <c r="L77" s="180"/>
      <c r="M77" s="198" t="str">
        <f>Tournament!AE84</f>
        <v>Match 56 Winner</v>
      </c>
      <c r="N77" s="183"/>
      <c r="P77" s="192" t="str">
        <f t="shared" si="2"/>
        <v>Match 55 Winner</v>
      </c>
      <c r="Q77" s="193"/>
      <c r="R77" s="194" t="str">
        <f>IF($Z$67=0,IF($Z$66=0,IF(Tournament!AA85&lt;&gt;"",Tournament!AA85,""),IF(Tournament!AA85&lt;&gt;"",Tournament!AA85+Tournament!AA86,"")),IF(Tournament!AA84&lt;&gt;"",Tournament!AA84,""))</f>
        <v/>
      </c>
      <c r="S77" s="194" t="s">
        <v>3088</v>
      </c>
      <c r="T77" s="194" t="str">
        <f>IF($Z$67=0,IF($Z$66=0,IF(Tournament!AC85&lt;&gt;"",Tournament!AC85,""),IF(Tournament!AC85&lt;&gt;"",Tournament!AC85+Tournament!AC86,"")),IF(Tournament!AC84&lt;&gt;"",Tournament!AC84,""))</f>
        <v/>
      </c>
      <c r="U77" s="193"/>
      <c r="V77" s="193" t="str">
        <f t="shared" si="3"/>
        <v>Match 56 Winner</v>
      </c>
      <c r="W77" s="191" t="str">
        <f>IF(Tournament!AA86&lt;&gt;"",Tournament!AA86,"")</f>
        <v/>
      </c>
      <c r="X77" s="199" t="s">
        <v>3088</v>
      </c>
      <c r="Y77" s="191" t="str">
        <f>IF(Tournament!AC86&lt;&gt;"",Tournament!AC86,"")</f>
        <v/>
      </c>
      <c r="Z77" s="191"/>
      <c r="AA77" s="191" t="str">
        <f>IF(Tournament!AA87&lt;&gt;"",Tournament!AA87,"")</f>
        <v/>
      </c>
      <c r="AB77" s="194" t="s">
        <v>3088</v>
      </c>
      <c r="AC77" s="191" t="str">
        <f>IF(Tournament!AC87&lt;&gt;"",Tournament!AC87,"")</f>
        <v/>
      </c>
      <c r="AD77" s="195" t="str">
        <f>IF(AND(I77&lt;&gt;"",K77&lt;&gt;"",R77&lt;&gt;"",T77&lt;&gt;""),IF(AND(I77=R77,K77=T77),Setup!$E$20,IF((I77-K77)=(R77-T77),Setup!$E$21,IF(AND((I77&gt;K77),(R77&gt;T77)),Setup!$E$22,IF(AND((K77&gt;I77),(T77&gt;R77)),Setup!$E$22,0)))),"")</f>
        <v/>
      </c>
      <c r="AE77" s="183"/>
      <c r="CM77" s="168"/>
      <c r="CN77" s="168"/>
      <c r="CO77" s="187"/>
      <c r="CP77" s="168"/>
    </row>
    <row r="78" spans="2:94" s="166" customFormat="1" ht="15" customHeight="1">
      <c r="B78" s="182"/>
      <c r="C78" s="181">
        <v>61</v>
      </c>
      <c r="D78" s="181" t="s">
        <v>3550</v>
      </c>
      <c r="E78" s="188">
        <f>Tournament!T92</f>
        <v>41828.708333333336</v>
      </c>
      <c r="F78" s="189">
        <f>Tournament!U92</f>
        <v>41828.708333333336</v>
      </c>
      <c r="G78" s="190" t="str">
        <f>Tournament!Y92</f>
        <v>Match 57 Winner</v>
      </c>
      <c r="H78" s="180"/>
      <c r="I78" s="9"/>
      <c r="J78" s="191" t="s">
        <v>3088</v>
      </c>
      <c r="K78" s="9"/>
      <c r="L78" s="180"/>
      <c r="M78" s="198" t="str">
        <f>Tournament!AE92</f>
        <v>Match 58 Winner</v>
      </c>
      <c r="N78" s="183"/>
      <c r="P78" s="192" t="str">
        <f t="shared" si="2"/>
        <v>Match 57 Winner</v>
      </c>
      <c r="Q78" s="193"/>
      <c r="R78" s="194" t="str">
        <f>IF($Z$67=0,IF($Z$66=0,IF(Tournament!AA93&lt;&gt;"",Tournament!AA93,""),IF(Tournament!AA93&lt;&gt;"",Tournament!AA93+Tournament!AA94,"")),IF(Tournament!AA92&lt;&gt;"",Tournament!AA92,""))</f>
        <v/>
      </c>
      <c r="S78" s="194" t="s">
        <v>3088</v>
      </c>
      <c r="T78" s="194" t="str">
        <f>IF($Z$67=0,IF($Z$66=0,IF(Tournament!AC93&lt;&gt;"",Tournament!AC93,""),IF(Tournament!AC93&lt;&gt;"",Tournament!AC93+Tournament!AC94,"")),IF(Tournament!AC92&lt;&gt;"",Tournament!AC92,""))</f>
        <v/>
      </c>
      <c r="U78" s="193"/>
      <c r="V78" s="193" t="str">
        <f t="shared" si="3"/>
        <v>Match 58 Winner</v>
      </c>
      <c r="W78" s="191" t="str">
        <f>IF(Tournament!AA94&lt;&gt;"",Tournament!AA94,"")</f>
        <v/>
      </c>
      <c r="X78" s="199" t="s">
        <v>3088</v>
      </c>
      <c r="Y78" s="191" t="str">
        <f>IF(Tournament!AC94&lt;&gt;"",Tournament!AC94,"")</f>
        <v/>
      </c>
      <c r="Z78" s="191"/>
      <c r="AA78" s="191" t="str">
        <f>IF(Tournament!AA95&lt;&gt;"",Tournament!AA95,"")</f>
        <v/>
      </c>
      <c r="AB78" s="194" t="s">
        <v>3088</v>
      </c>
      <c r="AC78" s="191" t="str">
        <f>IF(Tournament!AC95&lt;&gt;"",Tournament!AC95,"")</f>
        <v/>
      </c>
      <c r="AD78" s="195" t="str">
        <f>IF(AND(I78&lt;&gt;"",K78&lt;&gt;"",R78&lt;&gt;"",T78&lt;&gt;""),IF(AND(I78=R78,K78=T78),Setup!$F$20,IF((I78-K78)=(R78-T78),Setup!$F$21,IF(AND((I78&gt;K78),(R78&gt;T78)),Setup!$F$22,IF(AND((K78&gt;I78),(T78&gt;R78)),Setup!$F$22,0)))),"")</f>
        <v/>
      </c>
      <c r="AE78" s="183"/>
      <c r="CM78" s="168"/>
      <c r="CN78" s="168"/>
      <c r="CO78" s="187"/>
      <c r="CP78" s="168"/>
    </row>
    <row r="79" spans="2:94" s="166" customFormat="1" ht="15" customHeight="1">
      <c r="B79" s="182"/>
      <c r="C79" s="181">
        <v>62</v>
      </c>
      <c r="D79" s="181" t="str">
        <f>D78</f>
        <v>SF</v>
      </c>
      <c r="E79" s="188">
        <f>Tournament!T97</f>
        <v>41829.708333333336</v>
      </c>
      <c r="F79" s="189">
        <f>Tournament!U97</f>
        <v>41829.708333333336</v>
      </c>
      <c r="G79" s="190" t="str">
        <f>Tournament!Y97</f>
        <v>Match 59 Winner</v>
      </c>
      <c r="H79" s="180"/>
      <c r="I79" s="9"/>
      <c r="J79" s="191" t="s">
        <v>3088</v>
      </c>
      <c r="K79" s="9"/>
      <c r="L79" s="180"/>
      <c r="M79" s="198" t="str">
        <f>Tournament!AE97</f>
        <v>Match 60 Winner</v>
      </c>
      <c r="N79" s="183"/>
      <c r="P79" s="192" t="str">
        <f t="shared" si="2"/>
        <v>Match 59 Winner</v>
      </c>
      <c r="Q79" s="193"/>
      <c r="R79" s="194" t="str">
        <f>IF($Z$67=0,IF($Z$66=0,IF(Tournament!AA98&lt;&gt;"",Tournament!AA98,""),IF(Tournament!AA98&lt;&gt;"",Tournament!AA98+Tournament!AA99,"")),IF(Tournament!AA97&lt;&gt;"",Tournament!AA97,""))</f>
        <v/>
      </c>
      <c r="S79" s="194" t="s">
        <v>3088</v>
      </c>
      <c r="T79" s="194" t="str">
        <f>IF($Z$67=0,IF($Z$66=0,IF(Tournament!AC98&lt;&gt;"",Tournament!AC98,""),IF(Tournament!AC98&lt;&gt;"",Tournament!AC98+Tournament!AC99,"")),IF(Tournament!AC97&lt;&gt;"",Tournament!AC97,""))</f>
        <v/>
      </c>
      <c r="U79" s="193"/>
      <c r="V79" s="193" t="str">
        <f t="shared" si="3"/>
        <v>Match 60 Winner</v>
      </c>
      <c r="W79" s="191" t="str">
        <f>IF(Tournament!AA99&lt;&gt;"",Tournament!AA99,"")</f>
        <v/>
      </c>
      <c r="X79" s="199" t="s">
        <v>3088</v>
      </c>
      <c r="Y79" s="191" t="str">
        <f>IF(Tournament!AC99&lt;&gt;"",Tournament!AC99,"")</f>
        <v/>
      </c>
      <c r="Z79" s="191"/>
      <c r="AA79" s="191" t="str">
        <f>IF(Tournament!AA100&lt;&gt;"",Tournament!AA100,"")</f>
        <v/>
      </c>
      <c r="AB79" s="194" t="s">
        <v>3088</v>
      </c>
      <c r="AC79" s="191" t="str">
        <f>IF(Tournament!AC100&lt;&gt;"",Tournament!AC100,"")</f>
        <v/>
      </c>
      <c r="AD79" s="195" t="str">
        <f>IF(AND(I79&lt;&gt;"",K79&lt;&gt;"",R79&lt;&gt;"",T79&lt;&gt;""),IF(AND(I79=R79,K79=T79),Setup!$F$20,IF((I79-K79)=(R79-T79),Setup!$F$21,IF(AND((I79&gt;K79),(R79&gt;T79)),Setup!$F$22,IF(AND((K79&gt;I79),(T79&gt;R79)),Setup!$F$22,0)))),"")</f>
        <v/>
      </c>
      <c r="AE79" s="183"/>
      <c r="CM79" s="168"/>
      <c r="CN79" s="168"/>
      <c r="CO79" s="187"/>
      <c r="CP79" s="168"/>
    </row>
    <row r="80" spans="2:94" s="166" customFormat="1" ht="15" customHeight="1">
      <c r="B80" s="182"/>
      <c r="C80" s="181">
        <v>63</v>
      </c>
      <c r="D80" s="181" t="s">
        <v>3551</v>
      </c>
      <c r="E80" s="188">
        <f>Tournament!T105</f>
        <v>41832.708333333336</v>
      </c>
      <c r="F80" s="189">
        <f>Tournament!U105</f>
        <v>41832.708333333336</v>
      </c>
      <c r="G80" s="190" t="str">
        <f>Tournament!Y105</f>
        <v>Match 61 Loser</v>
      </c>
      <c r="H80" s="180"/>
      <c r="I80" s="9"/>
      <c r="J80" s="191" t="s">
        <v>3088</v>
      </c>
      <c r="K80" s="9"/>
      <c r="L80" s="180"/>
      <c r="M80" s="198" t="str">
        <f>Tournament!AE105</f>
        <v>Match 62 Loser</v>
      </c>
      <c r="N80" s="183"/>
      <c r="P80" s="192" t="str">
        <f t="shared" si="2"/>
        <v>Match 61 Loser</v>
      </c>
      <c r="Q80" s="193"/>
      <c r="R80" s="194" t="str">
        <f>IF($Z$67=0,IF($Z$66=0,IF(Tournament!AA106&lt;&gt;"",Tournament!AA106,""),IF(Tournament!AA106&lt;&gt;"",Tournament!AA106+Tournament!AA107,"")),IF(Tournament!AA105&lt;&gt;"",Tournament!AA105,""))</f>
        <v/>
      </c>
      <c r="S80" s="194" t="s">
        <v>3088</v>
      </c>
      <c r="T80" s="194" t="str">
        <f>IF($Z$67=0,IF($Z$66=0,IF(Tournament!AC106&lt;&gt;"",Tournament!AC106,""),IF(Tournament!AC106&lt;&gt;"",Tournament!AC106+Tournament!AC107,"")),IF(Tournament!AC105&lt;&gt;"",Tournament!AC105,""))</f>
        <v/>
      </c>
      <c r="U80" s="193"/>
      <c r="V80" s="193" t="str">
        <f t="shared" si="3"/>
        <v>Match 62 Loser</v>
      </c>
      <c r="W80" s="191" t="str">
        <f>IF(Tournament!AA107&lt;&gt;"",Tournament!AA107,"")</f>
        <v/>
      </c>
      <c r="X80" s="199" t="s">
        <v>3088</v>
      </c>
      <c r="Y80" s="191" t="str">
        <f>IF(Tournament!AC107&lt;&gt;"",Tournament!AC107,"")</f>
        <v/>
      </c>
      <c r="Z80" s="191"/>
      <c r="AA80" s="191" t="str">
        <f>IF(Tournament!AA108&lt;&gt;"",Tournament!AA108,"")</f>
        <v/>
      </c>
      <c r="AB80" s="194" t="s">
        <v>3088</v>
      </c>
      <c r="AC80" s="191" t="str">
        <f>IF(Tournament!AC108&lt;&gt;"",Tournament!AC108,"")</f>
        <v/>
      </c>
      <c r="AD80" s="195" t="str">
        <f>IF(AND(I80&lt;&gt;"",K80&lt;&gt;"",R80&lt;&gt;"",T80&lt;&gt;""),IF(AND(I80=R80,K80=T80),Setup!$G$20,IF((I80-K80)=(R80-T80),Setup!$G$21,IF(AND((I80&gt;K80),(R80&gt;T80)),Setup!$G$22,IF(AND((K80&gt;I80),(T80&gt;R80)),Setup!$G$22,0)))),"")</f>
        <v/>
      </c>
      <c r="AE80" s="183"/>
      <c r="CM80" s="168"/>
      <c r="CN80" s="168"/>
      <c r="CO80" s="187"/>
      <c r="CP80" s="168"/>
    </row>
    <row r="81" spans="2:94" s="166" customFormat="1" ht="15" customHeight="1">
      <c r="B81" s="182"/>
      <c r="C81" s="181">
        <v>64</v>
      </c>
      <c r="D81" s="181" t="s">
        <v>3105</v>
      </c>
      <c r="E81" s="188">
        <f>Tournament!T113</f>
        <v>41833.666666666664</v>
      </c>
      <c r="F81" s="189">
        <f>Tournament!U113</f>
        <v>41833.666666666664</v>
      </c>
      <c r="G81" s="190" t="str">
        <f>Tournament!Y113</f>
        <v>Match 61 Winner</v>
      </c>
      <c r="H81" s="180"/>
      <c r="I81" s="9"/>
      <c r="J81" s="191" t="s">
        <v>3088</v>
      </c>
      <c r="K81" s="9"/>
      <c r="L81" s="180"/>
      <c r="M81" s="198" t="str">
        <f>Tournament!AE113</f>
        <v>Match 62 Winner</v>
      </c>
      <c r="N81" s="183"/>
      <c r="P81" s="192" t="str">
        <f t="shared" si="2"/>
        <v>Match 61 Winner</v>
      </c>
      <c r="Q81" s="193"/>
      <c r="R81" s="194" t="str">
        <f>IF($Z$67=0,IF($Z$66=0,IF(Tournament!AA114&lt;&gt;"",Tournament!AA114,""),IF(Tournament!AA114&lt;&gt;"",Tournament!AA114+Tournament!AA115,"")),IF(Tournament!AA113&lt;&gt;"",Tournament!AA113,""))</f>
        <v/>
      </c>
      <c r="S81" s="194" t="s">
        <v>3088</v>
      </c>
      <c r="T81" s="194" t="str">
        <f>IF($Z$67=0,IF($Z$66=0,IF(Tournament!AC114&lt;&gt;"",Tournament!AC114,""),IF(Tournament!AC114&lt;&gt;"",Tournament!AC114+Tournament!AC115,"")),IF(Tournament!AC113&lt;&gt;"",Tournament!AC113,""))</f>
        <v/>
      </c>
      <c r="U81" s="193"/>
      <c r="V81" s="193" t="str">
        <f t="shared" si="3"/>
        <v>Match 62 Winner</v>
      </c>
      <c r="W81" s="191" t="str">
        <f>IF(Tournament!AA115&lt;&gt;"",Tournament!AA115,"")</f>
        <v/>
      </c>
      <c r="X81" s="199" t="s">
        <v>3088</v>
      </c>
      <c r="Y81" s="191" t="str">
        <f>IF(Tournament!AC115&lt;&gt;"",Tournament!AC115,"")</f>
        <v/>
      </c>
      <c r="Z81" s="191"/>
      <c r="AA81" s="191" t="str">
        <f>IF(Tournament!AA116&lt;&gt;"",Tournament!AA116,"")</f>
        <v/>
      </c>
      <c r="AB81" s="194" t="s">
        <v>3088</v>
      </c>
      <c r="AC81" s="191" t="str">
        <f>IF(Tournament!AC116&lt;&gt;"",Tournament!AC116,"")</f>
        <v/>
      </c>
      <c r="AD81" s="195" t="str">
        <f>IF(AND(I81&lt;&gt;"",K81&lt;&gt;"",R81&lt;&gt;"",T81&lt;&gt;""),IF(AND(I81=R81,K81=T81),Setup!$H$20,IF((I81-K81)=(R81-T81),Setup!$H$21,IF(AND((I81&gt;K81),(R81&gt;T81)),Setup!$H$22,IF(AND((K81&gt;I81),(T81&gt;R81)),Setup!$H$22,0)))),"")</f>
        <v/>
      </c>
      <c r="AE81" s="183"/>
      <c r="CM81" s="168"/>
      <c r="CN81" s="168"/>
      <c r="CO81" s="187"/>
      <c r="CP81" s="168"/>
    </row>
    <row r="82" spans="2:94" s="166" customFormat="1" ht="15" customHeight="1">
      <c r="B82" s="200"/>
      <c r="C82" s="201"/>
      <c r="D82" s="201"/>
      <c r="E82" s="201"/>
      <c r="F82" s="201"/>
      <c r="G82" s="201"/>
      <c r="H82" s="201"/>
      <c r="I82" s="201"/>
      <c r="J82" s="202"/>
      <c r="K82" s="201"/>
      <c r="L82" s="201"/>
      <c r="M82" s="201"/>
      <c r="N82" s="203"/>
      <c r="P82" s="200"/>
      <c r="Q82" s="201"/>
      <c r="R82" s="201"/>
      <c r="S82" s="202"/>
      <c r="T82" s="201"/>
      <c r="U82" s="201"/>
      <c r="V82" s="201"/>
      <c r="W82" s="201"/>
      <c r="X82" s="202"/>
      <c r="Y82" s="201"/>
      <c r="Z82" s="201"/>
      <c r="AA82" s="201"/>
      <c r="AB82" s="202"/>
      <c r="AC82" s="201"/>
      <c r="AD82" s="202"/>
      <c r="AE82" s="203"/>
      <c r="CM82" s="168"/>
      <c r="CN82" s="168"/>
      <c r="CO82" s="187"/>
      <c r="CP82" s="168"/>
    </row>
    <row r="83" spans="2:94" s="166" customFormat="1" ht="15" customHeight="1">
      <c r="B83" s="166" t="s">
        <v>3905</v>
      </c>
      <c r="N83" s="180"/>
      <c r="AD83" s="167"/>
      <c r="CM83" s="168"/>
      <c r="CN83" s="168"/>
      <c r="CO83" s="187"/>
      <c r="CP83" s="168"/>
    </row>
    <row r="84" spans="2:94" s="166" customFormat="1" ht="15" hidden="1" customHeight="1">
      <c r="N84" s="180"/>
      <c r="AD84" s="167"/>
      <c r="CM84" s="168"/>
      <c r="CN84" s="168"/>
      <c r="CO84" s="187"/>
      <c r="CP84" s="168"/>
    </row>
    <row r="85" spans="2:94" s="166" customFormat="1" ht="15" hidden="1" customHeight="1">
      <c r="N85" s="180"/>
      <c r="AD85" s="167"/>
      <c r="CM85" s="168"/>
      <c r="CN85" s="168"/>
      <c r="CO85" s="187"/>
      <c r="CP85" s="168"/>
    </row>
    <row r="86" spans="2:94" s="166" customFormat="1" ht="15" hidden="1" customHeight="1">
      <c r="N86" s="180"/>
      <c r="AD86" s="167"/>
      <c r="CM86" s="168"/>
      <c r="CN86" s="168"/>
      <c r="CO86" s="187"/>
      <c r="CP86" s="168"/>
    </row>
    <row r="87" spans="2:94" s="166" customFormat="1" ht="15" hidden="1" customHeight="1">
      <c r="N87" s="180"/>
      <c r="AD87" s="167"/>
      <c r="CM87" s="168"/>
      <c r="CN87" s="168"/>
      <c r="CO87" s="187"/>
      <c r="CP87" s="168"/>
    </row>
    <row r="88" spans="2:94" s="166" customFormat="1" ht="15" hidden="1" customHeight="1">
      <c r="N88" s="180"/>
      <c r="AD88" s="167"/>
      <c r="CM88" s="168"/>
      <c r="CN88" s="168"/>
      <c r="CO88" s="187"/>
      <c r="CP88" s="168"/>
    </row>
    <row r="89" spans="2:94" s="166" customFormat="1" ht="15" hidden="1" customHeight="1">
      <c r="N89" s="180"/>
      <c r="AD89" s="167"/>
      <c r="CM89" s="168"/>
      <c r="CN89" s="168"/>
      <c r="CO89" s="187"/>
      <c r="CP89" s="168"/>
    </row>
    <row r="90" spans="2:94" s="166" customFormat="1" ht="15" hidden="1" customHeight="1">
      <c r="N90" s="180"/>
      <c r="AD90" s="167"/>
      <c r="CM90" s="168"/>
      <c r="CN90" s="168"/>
      <c r="CO90" s="187"/>
      <c r="CP90" s="168"/>
    </row>
    <row r="91" spans="2:94" s="166" customFormat="1" ht="15" hidden="1" customHeight="1">
      <c r="N91" s="180"/>
      <c r="AD91" s="167"/>
      <c r="CM91" s="168"/>
      <c r="CN91" s="168"/>
      <c r="CO91" s="187"/>
      <c r="CP91" s="168"/>
    </row>
    <row r="92" spans="2:94" s="166" customFormat="1" ht="15" hidden="1" customHeight="1">
      <c r="N92" s="180"/>
      <c r="AD92" s="167"/>
      <c r="CM92" s="168"/>
      <c r="CN92" s="168"/>
      <c r="CO92" s="187"/>
      <c r="CP92" s="168"/>
    </row>
    <row r="93" spans="2:94" s="166" customFormat="1" ht="15" hidden="1" customHeight="1">
      <c r="N93" s="180"/>
      <c r="AD93" s="167"/>
      <c r="CM93" s="168"/>
      <c r="CN93" s="168"/>
      <c r="CO93" s="187"/>
      <c r="CP93" s="168"/>
    </row>
    <row r="94" spans="2:94" s="166" customFormat="1" ht="15" hidden="1" customHeight="1">
      <c r="N94" s="180"/>
      <c r="AD94" s="167"/>
      <c r="CM94" s="168"/>
      <c r="CN94" s="168"/>
      <c r="CO94" s="187"/>
      <c r="CP94" s="168"/>
    </row>
    <row r="95" spans="2:94" s="166" customFormat="1" ht="15" hidden="1" customHeight="1">
      <c r="N95" s="180"/>
      <c r="AD95" s="167"/>
      <c r="CM95" s="168"/>
      <c r="CN95" s="168"/>
      <c r="CO95" s="187"/>
      <c r="CP95" s="168"/>
    </row>
    <row r="96" spans="2:94" s="166" customFormat="1" ht="15" hidden="1" customHeight="1">
      <c r="N96" s="180"/>
      <c r="AD96" s="167"/>
      <c r="CM96" s="168"/>
      <c r="CN96" s="168"/>
      <c r="CO96" s="187"/>
      <c r="CP96" s="168"/>
    </row>
    <row r="97" spans="14:94" s="166" customFormat="1" ht="15" hidden="1" customHeight="1">
      <c r="N97" s="180"/>
      <c r="AD97" s="167"/>
      <c r="CM97" s="168"/>
      <c r="CN97" s="168"/>
      <c r="CO97" s="187"/>
      <c r="CP97" s="168"/>
    </row>
    <row r="98" spans="14:94" s="166" customFormat="1" ht="15" hidden="1" customHeight="1">
      <c r="N98" s="180"/>
      <c r="AD98" s="167"/>
      <c r="CM98" s="168"/>
      <c r="CN98" s="168"/>
      <c r="CO98" s="187"/>
      <c r="CP98" s="168"/>
    </row>
    <row r="99" spans="14:94" s="166" customFormat="1" ht="15" hidden="1" customHeight="1">
      <c r="N99" s="180"/>
      <c r="AD99" s="167"/>
      <c r="CM99" s="168"/>
      <c r="CN99" s="168"/>
      <c r="CO99" s="187"/>
      <c r="CP99" s="168"/>
    </row>
    <row r="100" spans="14:94" s="166" customFormat="1" ht="15" hidden="1" customHeight="1">
      <c r="N100" s="180"/>
      <c r="AD100" s="167"/>
      <c r="CM100" s="168"/>
      <c r="CN100" s="168"/>
      <c r="CO100" s="187"/>
      <c r="CP100" s="168"/>
    </row>
    <row r="101" spans="14:94" s="166" customFormat="1" ht="15" hidden="1" customHeight="1">
      <c r="N101" s="180"/>
      <c r="AD101" s="167"/>
      <c r="CM101" s="168"/>
      <c r="CN101" s="168"/>
      <c r="CO101" s="187"/>
      <c r="CP101" s="168"/>
    </row>
    <row r="102" spans="14:94" s="166" customFormat="1" ht="15" hidden="1" customHeight="1">
      <c r="N102" s="180"/>
      <c r="AD102" s="167"/>
      <c r="CM102" s="168"/>
      <c r="CN102" s="168"/>
      <c r="CO102" s="187"/>
      <c r="CP102" s="168"/>
    </row>
    <row r="103" spans="14:94" s="166" customFormat="1" ht="15" hidden="1" customHeight="1">
      <c r="N103" s="180"/>
      <c r="AD103" s="167"/>
      <c r="CM103" s="168"/>
      <c r="CN103" s="168"/>
      <c r="CO103" s="187"/>
      <c r="CP103" s="168"/>
    </row>
    <row r="104" spans="14:94" s="166" customFormat="1" ht="15" hidden="1" customHeight="1">
      <c r="N104" s="180"/>
      <c r="AD104" s="167"/>
      <c r="CM104" s="168"/>
      <c r="CN104" s="168"/>
      <c r="CO104" s="187"/>
      <c r="CP104" s="168"/>
    </row>
    <row r="105" spans="14:94" s="166" customFormat="1" ht="15" hidden="1" customHeight="1">
      <c r="N105" s="180"/>
      <c r="AD105" s="167"/>
      <c r="CM105" s="168"/>
      <c r="CN105" s="168"/>
      <c r="CO105" s="187"/>
      <c r="CP105" s="168"/>
    </row>
    <row r="106" spans="14:94" s="166" customFormat="1" ht="15" hidden="1" customHeight="1">
      <c r="N106" s="180"/>
      <c r="AD106" s="167"/>
      <c r="CM106" s="168"/>
      <c r="CN106" s="168"/>
      <c r="CO106" s="187"/>
      <c r="CP106" s="168"/>
    </row>
    <row r="107" spans="14:94" s="166" customFormat="1" ht="15" hidden="1" customHeight="1">
      <c r="N107" s="180"/>
      <c r="AD107" s="167"/>
      <c r="CM107" s="168"/>
      <c r="CN107" s="168"/>
      <c r="CO107" s="187"/>
      <c r="CP107" s="168"/>
    </row>
    <row r="108" spans="14:94" s="166" customFormat="1" ht="15" hidden="1" customHeight="1">
      <c r="N108" s="180"/>
      <c r="AD108" s="167"/>
      <c r="CM108" s="168"/>
      <c r="CN108" s="168"/>
      <c r="CO108" s="187"/>
      <c r="CP108" s="168"/>
    </row>
    <row r="109" spans="14:94" s="166" customFormat="1" ht="15" hidden="1" customHeight="1">
      <c r="N109" s="180"/>
      <c r="AD109" s="167"/>
      <c r="CM109" s="168"/>
      <c r="CN109" s="168"/>
      <c r="CO109" s="187"/>
      <c r="CP109" s="168"/>
    </row>
    <row r="110" spans="14:94" s="166" customFormat="1" ht="15" hidden="1" customHeight="1">
      <c r="N110" s="180"/>
      <c r="AD110" s="167"/>
      <c r="CM110" s="168"/>
      <c r="CN110" s="168"/>
      <c r="CO110" s="187"/>
      <c r="CP110" s="168"/>
    </row>
    <row r="111" spans="14:94" s="166" customFormat="1" ht="15" hidden="1" customHeight="1">
      <c r="N111" s="180"/>
      <c r="AD111" s="167"/>
      <c r="CM111" s="168"/>
      <c r="CN111" s="168"/>
      <c r="CO111" s="187"/>
      <c r="CP111" s="168"/>
    </row>
    <row r="112" spans="14:94" s="166" customFormat="1" ht="15" hidden="1" customHeight="1">
      <c r="N112" s="180"/>
      <c r="AD112" s="167"/>
      <c r="CM112" s="168"/>
      <c r="CN112" s="168"/>
      <c r="CO112" s="187"/>
      <c r="CP112" s="168"/>
    </row>
    <row r="113" spans="2:94" s="166" customFormat="1" ht="15" hidden="1" customHeight="1">
      <c r="N113" s="180"/>
      <c r="AD113" s="167"/>
      <c r="CM113" s="168"/>
      <c r="CN113" s="168"/>
      <c r="CO113" s="187"/>
      <c r="CP113" s="168"/>
    </row>
    <row r="114" spans="2:94" s="166" customFormat="1" ht="15" hidden="1" customHeight="1">
      <c r="N114" s="180"/>
      <c r="AD114" s="167"/>
      <c r="CM114" s="168"/>
      <c r="CN114" s="168"/>
      <c r="CO114" s="187"/>
      <c r="CP114" s="168"/>
    </row>
    <row r="115" spans="2:94" s="166" customFormat="1" ht="15" hidden="1" customHeight="1">
      <c r="N115" s="180"/>
      <c r="AD115" s="167"/>
      <c r="CM115" s="168"/>
      <c r="CN115" s="168"/>
      <c r="CO115" s="187"/>
      <c r="CP115" s="168"/>
    </row>
    <row r="116" spans="2:94" s="166" customFormat="1" ht="15" hidden="1" customHeight="1">
      <c r="N116" s="180"/>
      <c r="AD116" s="167"/>
      <c r="CM116" s="168"/>
      <c r="CN116" s="168"/>
      <c r="CO116" s="187"/>
      <c r="CP116" s="168"/>
    </row>
    <row r="117" spans="2:94" s="166" customFormat="1" ht="15" hidden="1" customHeight="1">
      <c r="N117" s="180"/>
      <c r="AD117" s="167"/>
      <c r="CM117" s="168"/>
      <c r="CN117" s="168"/>
      <c r="CO117" s="187"/>
      <c r="CP117" s="168"/>
    </row>
    <row r="118" spans="2:94" s="166" customFormat="1" ht="15" hidden="1" customHeight="1">
      <c r="N118" s="180"/>
      <c r="AD118" s="167"/>
      <c r="CM118" s="168"/>
      <c r="CN118" s="168"/>
      <c r="CO118" s="187"/>
      <c r="CP118" s="168"/>
    </row>
    <row r="119" spans="2:94" s="166" customFormat="1" ht="15" hidden="1" customHeight="1">
      <c r="N119" s="180"/>
      <c r="AD119" s="167"/>
      <c r="CM119" s="168"/>
      <c r="CN119" s="168"/>
      <c r="CO119" s="187"/>
      <c r="CP119" s="168"/>
    </row>
    <row r="120" spans="2:94" s="166" customFormat="1" ht="15" hidden="1" customHeight="1">
      <c r="N120" s="180"/>
      <c r="AD120" s="167"/>
      <c r="CM120" s="168"/>
      <c r="CN120" s="168"/>
      <c r="CO120" s="187" t="s">
        <v>1404</v>
      </c>
      <c r="CP120" s="168"/>
    </row>
    <row r="121" spans="2:94" s="166" customFormat="1" ht="15" hidden="1" customHeight="1">
      <c r="N121" s="180"/>
      <c r="AD121" s="167"/>
      <c r="CM121" s="168"/>
      <c r="CN121" s="168"/>
      <c r="CO121" s="187" t="s">
        <v>1405</v>
      </c>
      <c r="CP121" s="168"/>
    </row>
    <row r="122" spans="2:94" s="166" customFormat="1" ht="15" hidden="1" customHeight="1">
      <c r="N122" s="180"/>
      <c r="AD122" s="167"/>
      <c r="CM122" s="168"/>
      <c r="CN122" s="168"/>
      <c r="CO122" s="187" t="s">
        <v>1406</v>
      </c>
      <c r="CP122" s="168"/>
    </row>
    <row r="123" spans="2:94" s="166" customFormat="1" ht="15" hidden="1" customHeight="1">
      <c r="N123" s="180"/>
      <c r="AD123" s="167"/>
      <c r="CM123" s="168"/>
      <c r="CN123" s="168"/>
      <c r="CO123" s="187" t="s">
        <v>1407</v>
      </c>
      <c r="CP123" s="168"/>
    </row>
    <row r="124" spans="2:94" s="166" customFormat="1" ht="15" hidden="1" customHeight="1">
      <c r="N124" s="180"/>
      <c r="AD124" s="167"/>
      <c r="CM124" s="168"/>
      <c r="CN124" s="168"/>
      <c r="CO124" s="187" t="s">
        <v>1408</v>
      </c>
      <c r="CP124" s="168"/>
    </row>
    <row r="125" spans="2:94" s="166" customFormat="1" ht="15" hidden="1" customHeight="1">
      <c r="B125" s="180"/>
      <c r="C125" s="180"/>
      <c r="D125" s="180"/>
      <c r="E125" s="180"/>
      <c r="F125" s="180"/>
      <c r="G125" s="180"/>
      <c r="H125" s="180"/>
      <c r="I125" s="180"/>
      <c r="J125" s="181"/>
      <c r="K125" s="180"/>
      <c r="L125" s="180"/>
      <c r="M125" s="180"/>
      <c r="N125" s="180"/>
      <c r="P125" s="180"/>
      <c r="Q125" s="180"/>
      <c r="R125" s="180"/>
      <c r="S125" s="181"/>
      <c r="T125" s="180"/>
      <c r="U125" s="180"/>
      <c r="V125" s="180"/>
      <c r="W125" s="180"/>
      <c r="X125" s="181"/>
      <c r="Y125" s="180"/>
      <c r="Z125" s="180"/>
      <c r="AA125" s="180"/>
      <c r="AB125" s="181"/>
      <c r="AC125" s="180"/>
      <c r="AD125" s="167"/>
      <c r="CM125" s="168"/>
      <c r="CN125" s="168"/>
      <c r="CO125" s="187" t="s">
        <v>1409</v>
      </c>
      <c r="CP125" s="168"/>
    </row>
    <row r="126" spans="2:94" s="166" customFormat="1" ht="15" hidden="1" customHeight="1">
      <c r="B126" s="180"/>
      <c r="C126" s="180"/>
      <c r="D126" s="180"/>
      <c r="E126" s="180"/>
      <c r="F126" s="180"/>
      <c r="G126" s="180"/>
      <c r="H126" s="180"/>
      <c r="I126" s="180"/>
      <c r="J126" s="181"/>
      <c r="K126" s="180"/>
      <c r="L126" s="180"/>
      <c r="M126" s="180"/>
      <c r="N126" s="180"/>
      <c r="P126" s="180"/>
      <c r="Q126" s="180"/>
      <c r="R126" s="180"/>
      <c r="S126" s="181"/>
      <c r="T126" s="180"/>
      <c r="U126" s="180"/>
      <c r="V126" s="180"/>
      <c r="W126" s="180"/>
      <c r="X126" s="181"/>
      <c r="Y126" s="180"/>
      <c r="Z126" s="180"/>
      <c r="AA126" s="180"/>
      <c r="AB126" s="181"/>
      <c r="AC126" s="180"/>
      <c r="AD126" s="167"/>
      <c r="CM126" s="168"/>
      <c r="CN126" s="168"/>
      <c r="CO126" s="187" t="s">
        <v>1410</v>
      </c>
      <c r="CP126" s="168"/>
    </row>
  </sheetData>
  <sheetProtection password="CE4F" sheet="1" objects="1" scenarios="1" formatCells="0" formatColumns="0" formatRows="0" insertColumns="0" insertRows="0" insertHyperlinks="0" sort="0" autoFilter="0" pivotTables="0"/>
  <mergeCells count="23">
    <mergeCell ref="B4:C4"/>
    <mergeCell ref="D4:M4"/>
    <mergeCell ref="H5:L5"/>
    <mergeCell ref="AC5:AE5"/>
    <mergeCell ref="B6:C7"/>
    <mergeCell ref="D6:F6"/>
    <mergeCell ref="H6:L6"/>
    <mergeCell ref="D7:F7"/>
    <mergeCell ref="H7:L7"/>
    <mergeCell ref="AC7:AE7"/>
    <mergeCell ref="B9:N9"/>
    <mergeCell ref="P9:AE9"/>
    <mergeCell ref="B11:N11"/>
    <mergeCell ref="P11:AE11"/>
    <mergeCell ref="I13:K13"/>
    <mergeCell ref="R13:T13"/>
    <mergeCell ref="W13:Y13"/>
    <mergeCell ref="AA13:AC13"/>
    <mergeCell ref="B64:N64"/>
    <mergeCell ref="P64:AE64"/>
    <mergeCell ref="R65:T65"/>
    <mergeCell ref="W65:Y65"/>
    <mergeCell ref="AA65:AC65"/>
  </mergeCells>
  <conditionalFormatting sqref="G15:G62 G66:G81">
    <cfRule type="expression" dxfId="359" priority="21" stopIfTrue="1">
      <formula>I15&gt;K15</formula>
    </cfRule>
    <cfRule type="expression" dxfId="358" priority="22" stopIfTrue="1">
      <formula>I15&lt;K15</formula>
    </cfRule>
  </conditionalFormatting>
  <conditionalFormatting sqref="M15:M62">
    <cfRule type="expression" dxfId="357" priority="23" stopIfTrue="1">
      <formula>K15&gt;I15</formula>
    </cfRule>
    <cfRule type="expression" dxfId="356" priority="24" stopIfTrue="1">
      <formula>K15&lt;I15</formula>
    </cfRule>
  </conditionalFormatting>
  <conditionalFormatting sqref="S15:S62 S66:S81">
    <cfRule type="expression" dxfId="355" priority="25" stopIfTrue="1">
      <formula>AND($R15&lt;&gt;"",$T15&lt;&gt;"")</formula>
    </cfRule>
  </conditionalFormatting>
  <conditionalFormatting sqref="P15:R62 P66:R81 T66:T81">
    <cfRule type="expression" dxfId="354" priority="26" stopIfTrue="1">
      <formula>AND($R15&gt;$T15,$R15&lt;&gt;"",$T15&lt;&gt;"")</formula>
    </cfRule>
    <cfRule type="expression" dxfId="353" priority="27" stopIfTrue="1">
      <formula>AND($R15&lt;$T15,$R15&lt;&gt;"",$T15&lt;&gt;"")</formula>
    </cfRule>
    <cfRule type="expression" dxfId="352" priority="28" stopIfTrue="1">
      <formula>AND($R15&lt;&gt;"",$T15&lt;&gt;"")</formula>
    </cfRule>
  </conditionalFormatting>
  <conditionalFormatting sqref="U66:V81 T15:V62">
    <cfRule type="expression" dxfId="351" priority="29" stopIfTrue="1">
      <formula>AND($T15&gt;$R15,$R15&lt;&gt;"",$T15&lt;&gt;"")</formula>
    </cfRule>
    <cfRule type="expression" dxfId="350" priority="30" stopIfTrue="1">
      <formula>AND($T15&lt;$R15,$R15&lt;&gt;"",$T15&lt;&gt;"")</formula>
    </cfRule>
    <cfRule type="expression" dxfId="349" priority="31" stopIfTrue="1">
      <formula>AND($R15&lt;&gt;"",$T15&lt;&gt;"")</formula>
    </cfRule>
  </conditionalFormatting>
  <conditionalFormatting sqref="O15">
    <cfRule type="expression" dxfId="348" priority="32" stopIfTrue="1">
      <formula>#REF!&gt;#REF!</formula>
    </cfRule>
    <cfRule type="expression" dxfId="347" priority="33" stopIfTrue="1">
      <formula>#REF!&lt;#REF!</formula>
    </cfRule>
  </conditionalFormatting>
  <conditionalFormatting sqref="I15:I62 K15:K62 K66:K81 I66:I81">
    <cfRule type="expression" dxfId="346" priority="34" stopIfTrue="1">
      <formula>ISBLANK(I15)</formula>
    </cfRule>
  </conditionalFormatting>
  <conditionalFormatting sqref="X15:X61">
    <cfRule type="expression" dxfId="345" priority="14" stopIfTrue="1">
      <formula>AND($R15&lt;&gt;"",$T15&lt;&gt;"")</formula>
    </cfRule>
  </conditionalFormatting>
  <conditionalFormatting sqref="W15:W61">
    <cfRule type="expression" dxfId="344" priority="15" stopIfTrue="1">
      <formula>AND($R15&gt;$T15,$R15&lt;&gt;"",$T15&lt;&gt;"")</formula>
    </cfRule>
    <cfRule type="expression" dxfId="343" priority="16" stopIfTrue="1">
      <formula>AND($R15&lt;$T15,$R15&lt;&gt;"",$T15&lt;&gt;"")</formula>
    </cfRule>
    <cfRule type="expression" dxfId="342" priority="17" stopIfTrue="1">
      <formula>AND($R15&lt;&gt;"",$T15&lt;&gt;"")</formula>
    </cfRule>
  </conditionalFormatting>
  <conditionalFormatting sqref="Y15:Z61">
    <cfRule type="expression" dxfId="341" priority="18" stopIfTrue="1">
      <formula>AND($T15&gt;$R15,$R15&lt;&gt;"",$T15&lt;&gt;"")</formula>
    </cfRule>
    <cfRule type="expression" dxfId="340" priority="19" stopIfTrue="1">
      <formula>AND($T15&lt;$R15,$R15&lt;&gt;"",$T15&lt;&gt;"")</formula>
    </cfRule>
    <cfRule type="expression" dxfId="339" priority="20" stopIfTrue="1">
      <formula>AND($R15&lt;&gt;"",$T15&lt;&gt;"")</formula>
    </cfRule>
  </conditionalFormatting>
  <conditionalFormatting sqref="AB15:AB61">
    <cfRule type="expression" dxfId="338" priority="7" stopIfTrue="1">
      <formula>AND($R15&lt;&gt;"",$T15&lt;&gt;"")</formula>
    </cfRule>
  </conditionalFormatting>
  <conditionalFormatting sqref="AA15:AA61">
    <cfRule type="expression" dxfId="337" priority="8" stopIfTrue="1">
      <formula>AND($R15&gt;$T15,$R15&lt;&gt;"",$T15&lt;&gt;"")</formula>
    </cfRule>
    <cfRule type="expression" dxfId="336" priority="9" stopIfTrue="1">
      <formula>AND($R15&lt;$T15,$R15&lt;&gt;"",$T15&lt;&gt;"")</formula>
    </cfRule>
    <cfRule type="expression" dxfId="335" priority="10" stopIfTrue="1">
      <formula>AND($R15&lt;&gt;"",$T15&lt;&gt;"")</formula>
    </cfRule>
  </conditionalFormatting>
  <conditionalFormatting sqref="AC15:AC61">
    <cfRule type="expression" dxfId="334" priority="11" stopIfTrue="1">
      <formula>AND($T15&gt;$R15,$R15&lt;&gt;"",$T15&lt;&gt;"")</formula>
    </cfRule>
    <cfRule type="expression" dxfId="333" priority="12" stopIfTrue="1">
      <formula>AND($T15&lt;$R15,$R15&lt;&gt;"",$T15&lt;&gt;"")</formula>
    </cfRule>
    <cfRule type="expression" dxfId="332" priority="13" stopIfTrue="1">
      <formula>AND($R15&lt;&gt;"",$T15&lt;&gt;"")</formula>
    </cfRule>
  </conditionalFormatting>
  <conditionalFormatting sqref="M66:M81">
    <cfRule type="expression" dxfId="331" priority="35">
      <formula>K66&gt;I66</formula>
    </cfRule>
    <cfRule type="expression" dxfId="330" priority="36">
      <formula>$K66&lt;$I66</formula>
    </cfRule>
  </conditionalFormatting>
  <conditionalFormatting sqref="X66:X81">
    <cfRule type="expression" dxfId="329" priority="6">
      <formula>AND($W66&lt;&gt;"",$Y66&lt;&gt;"")</formula>
    </cfRule>
  </conditionalFormatting>
  <conditionalFormatting sqref="AB66:AB81">
    <cfRule type="expression" dxfId="328" priority="5">
      <formula>AND($AA66&lt;&gt;"",$AC66&lt;&gt;"")</formula>
    </cfRule>
  </conditionalFormatting>
  <conditionalFormatting sqref="AA65:AC65">
    <cfRule type="expression" dxfId="327" priority="4">
      <formula>$Z$67=1</formula>
    </cfRule>
  </conditionalFormatting>
  <conditionalFormatting sqref="W65:Y65">
    <cfRule type="expression" dxfId="326" priority="3">
      <formula>OR($Z$66=1,$Z$67=1)</formula>
    </cfRule>
  </conditionalFormatting>
  <conditionalFormatting sqref="W66:Y81">
    <cfRule type="expression" dxfId="325" priority="2">
      <formula>OR($Z$66=1,$Z$67=1)</formula>
    </cfRule>
  </conditionalFormatting>
  <conditionalFormatting sqref="AA66:AC81">
    <cfRule type="expression" dxfId="324" priority="1">
      <formula>$Z$67=1</formula>
    </cfRule>
  </conditionalFormatting>
  <printOptions horizontalCentered="1" verticalCentered="1"/>
  <pageMargins left="0.39" right="0.32" top="0.28999999999999998" bottom="0.39" header="0.21" footer="0.26"/>
  <pageSetup scale="59" orientation="portrait" horizontalDpi="300" verticalDpi="300" r:id="rId1"/>
  <headerFooter alignWithMargins="0">
    <oddFooter xml:space="preserve">&amp;C
</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S126"/>
  <sheetViews>
    <sheetView showGridLines="0" zoomScaleNormal="100" workbookViewId="0">
      <selection activeCell="C82" sqref="C82"/>
    </sheetView>
  </sheetViews>
  <sheetFormatPr defaultColWidth="0" defaultRowHeight="14.4" customHeight="1" zeroHeight="1"/>
  <cols>
    <col min="1" max="1" width="2.44140625" style="204" customWidth="1"/>
    <col min="2" max="2" width="3.6640625" style="204" customWidth="1"/>
    <col min="3" max="3" width="4.109375" style="204" customWidth="1"/>
    <col min="4" max="4" width="6.33203125" style="204" customWidth="1"/>
    <col min="5" max="5" width="8.21875" style="204" customWidth="1"/>
    <col min="6" max="6" width="6.88671875" style="205" customWidth="1"/>
    <col min="7" max="7" width="20.6640625" style="204" customWidth="1"/>
    <col min="8" max="8" width="1.77734375" style="204" customWidth="1"/>
    <col min="9" max="9" width="3.44140625" style="204" customWidth="1"/>
    <col min="10" max="10" width="1.77734375" style="206" customWidth="1"/>
    <col min="11" max="11" width="3.44140625" style="204" customWidth="1"/>
    <col min="12" max="12" width="1.6640625" style="204" customWidth="1"/>
    <col min="13" max="13" width="20.6640625" style="204" customWidth="1"/>
    <col min="14" max="14" width="2.44140625" style="204" customWidth="1"/>
    <col min="15" max="15" width="1.77734375" style="204" customWidth="1"/>
    <col min="16" max="16" width="20.6640625" style="204" customWidth="1"/>
    <col min="17" max="17" width="1.6640625" style="204" customWidth="1"/>
    <col min="18" max="18" width="3.44140625" style="204" customWidth="1"/>
    <col min="19" max="19" width="1.77734375" style="206" customWidth="1"/>
    <col min="20" max="20" width="3.44140625" style="204" customWidth="1"/>
    <col min="21" max="21" width="1.6640625" style="204" customWidth="1"/>
    <col min="22" max="22" width="17.5546875" style="204" customWidth="1"/>
    <col min="23" max="23" width="3.44140625" style="204" customWidth="1"/>
    <col min="24" max="24" width="1.77734375" style="206" customWidth="1"/>
    <col min="25" max="25" width="3.44140625" style="204" customWidth="1"/>
    <col min="26" max="26" width="1.77734375" style="204" customWidth="1"/>
    <col min="27" max="27" width="3.44140625" style="204" customWidth="1"/>
    <col min="28" max="28" width="1.77734375" style="206" customWidth="1"/>
    <col min="29" max="29" width="3.44140625" style="204" customWidth="1"/>
    <col min="30" max="30" width="5.77734375" style="206" customWidth="1"/>
    <col min="31" max="31" width="9.109375" style="204" customWidth="1"/>
    <col min="32" max="32" width="2.6640625" style="204" customWidth="1"/>
    <col min="33" max="33" width="9.109375" style="204" hidden="1" customWidth="1"/>
    <col min="34" max="90" width="0" style="204" hidden="1" customWidth="1"/>
    <col min="91" max="94" width="0" style="207" hidden="1" customWidth="1"/>
    <col min="95" max="97" width="0" style="204" hidden="1" customWidth="1"/>
    <col min="98" max="16384" width="9.109375" style="204" hidden="1"/>
  </cols>
  <sheetData>
    <row r="1" spans="2:97" s="166" customFormat="1" ht="15" customHeight="1">
      <c r="J1" s="167"/>
      <c r="S1" s="167"/>
      <c r="X1" s="167"/>
      <c r="AB1" s="167"/>
      <c r="AD1" s="167"/>
      <c r="CM1" s="168"/>
      <c r="CN1" s="168"/>
      <c r="CO1" s="168"/>
      <c r="CP1" s="168"/>
    </row>
    <row r="2" spans="2:97" s="166" customFormat="1" ht="15" customHeight="1">
      <c r="J2" s="167"/>
      <c r="S2" s="167"/>
      <c r="X2" s="167"/>
      <c r="AB2" s="167"/>
      <c r="AD2" s="167"/>
      <c r="CM2" s="168"/>
      <c r="CN2" s="168"/>
      <c r="CO2" s="168"/>
      <c r="CP2" s="168"/>
    </row>
    <row r="3" spans="2:97" s="166" customFormat="1" ht="15" customHeight="1">
      <c r="J3" s="167"/>
      <c r="S3" s="167"/>
      <c r="X3" s="167"/>
      <c r="AB3" s="167"/>
      <c r="AD3" s="167"/>
      <c r="CM3" s="168"/>
      <c r="CN3" s="168"/>
      <c r="CO3" s="168"/>
      <c r="CP3" s="168"/>
    </row>
    <row r="4" spans="2:97" s="166" customFormat="1" ht="25.05" customHeight="1">
      <c r="B4" s="297" t="s">
        <v>3871</v>
      </c>
      <c r="C4" s="298"/>
      <c r="D4" s="307" t="str">
        <f ca="1">IF(INDIRECT("'Player Name'!"&amp;"$c"&amp;B8)&lt;&gt;"",INDIRECT("'Player Name'!"&amp;"$c"&amp;B8),"")</f>
        <v>John 7</v>
      </c>
      <c r="E4" s="308"/>
      <c r="F4" s="308"/>
      <c r="G4" s="308"/>
      <c r="H4" s="308"/>
      <c r="I4" s="308"/>
      <c r="J4" s="308"/>
      <c r="K4" s="308"/>
      <c r="L4" s="308"/>
      <c r="M4" s="309"/>
      <c r="S4" s="167"/>
      <c r="X4" s="167"/>
      <c r="AB4" s="167"/>
      <c r="CM4" s="168"/>
      <c r="CN4" s="168"/>
      <c r="CO4" s="168"/>
      <c r="CP4" s="168"/>
    </row>
    <row r="5" spans="2:97" s="173" customFormat="1" ht="15" customHeight="1">
      <c r="B5" s="169"/>
      <c r="C5" s="169"/>
      <c r="D5" s="170"/>
      <c r="E5" s="170"/>
      <c r="F5" s="170"/>
      <c r="G5" s="171" t="s">
        <v>848</v>
      </c>
      <c r="H5" s="294" t="s">
        <v>3872</v>
      </c>
      <c r="I5" s="294"/>
      <c r="J5" s="294"/>
      <c r="K5" s="294"/>
      <c r="L5" s="295"/>
      <c r="M5" s="171" t="s">
        <v>3870</v>
      </c>
      <c r="N5" s="166"/>
      <c r="O5" s="166"/>
      <c r="P5" s="172"/>
      <c r="Q5" s="166"/>
      <c r="R5" s="166"/>
      <c r="S5" s="167"/>
      <c r="T5" s="166"/>
      <c r="U5" s="166"/>
      <c r="V5" s="166"/>
      <c r="W5" s="166"/>
      <c r="X5" s="167"/>
      <c r="Y5" s="166"/>
      <c r="Z5" s="166"/>
      <c r="AA5" s="166"/>
      <c r="AB5" s="167"/>
      <c r="AC5" s="296"/>
      <c r="AD5" s="296"/>
      <c r="AE5" s="296"/>
      <c r="CM5" s="174"/>
      <c r="CN5" s="174"/>
      <c r="CO5" s="174"/>
      <c r="CP5" s="174"/>
    </row>
    <row r="6" spans="2:97" s="166" customFormat="1" ht="15" customHeight="1">
      <c r="B6" s="318">
        <f>B8-5</f>
        <v>7</v>
      </c>
      <c r="C6" s="318"/>
      <c r="D6" s="315" t="s">
        <v>3868</v>
      </c>
      <c r="E6" s="315"/>
      <c r="F6" s="315"/>
      <c r="G6" s="175">
        <f>SUM(AD15:AD62)</f>
        <v>0</v>
      </c>
      <c r="H6" s="310">
        <f>SUM(AD66:AD81)</f>
        <v>0</v>
      </c>
      <c r="I6" s="311"/>
      <c r="J6" s="311"/>
      <c r="K6" s="311"/>
      <c r="L6" s="311"/>
      <c r="M6" s="176">
        <f>H6+G6</f>
        <v>0</v>
      </c>
      <c r="X6" s="167"/>
      <c r="AB6" s="167"/>
      <c r="CM6" s="168"/>
      <c r="CN6" s="168"/>
      <c r="CO6" s="168"/>
      <c r="CP6" s="168"/>
    </row>
    <row r="7" spans="2:97" s="166" customFormat="1" ht="15" customHeight="1">
      <c r="B7" s="318"/>
      <c r="C7" s="319"/>
      <c r="D7" s="316" t="s">
        <v>3869</v>
      </c>
      <c r="E7" s="317"/>
      <c r="F7" s="317"/>
      <c r="G7" s="177"/>
      <c r="H7" s="312"/>
      <c r="I7" s="312"/>
      <c r="J7" s="312"/>
      <c r="K7" s="312"/>
      <c r="L7" s="313"/>
      <c r="M7" s="178">
        <f ca="1">INDEX('Player Leaderboard'!$A$9:$A$23,MATCH($D4,'Player Leaderboard'!$B$9:$B$23,0),0)</f>
        <v>7</v>
      </c>
      <c r="P7" s="210" t="str">
        <f>HYPERLINK("["&amp;Setup!$C$5&amp;"]'Player ("&amp;B8-6&amp;")'!B6","&lt;&lt; Previous Player ("&amp;B8-6&amp;")")</f>
        <v>&lt;&lt; Previous Player (6)</v>
      </c>
      <c r="S7" s="167"/>
      <c r="X7" s="167"/>
      <c r="AB7" s="167"/>
      <c r="AC7" s="320" t="str">
        <f>HYPERLINK("["&amp;Setup!$C$5&amp;"]'Player ("&amp;B8-4&amp;")'!B6","Next Player ("&amp;B8-4&amp;") &gt;&gt;")</f>
        <v>Next Player (8) &gt;&gt;</v>
      </c>
      <c r="AD7" s="320"/>
      <c r="AE7" s="320"/>
      <c r="CM7" s="168"/>
      <c r="CN7" s="168"/>
      <c r="CO7" s="168"/>
      <c r="CP7" s="168"/>
    </row>
    <row r="8" spans="2:97" s="166" customFormat="1" ht="15" customHeight="1">
      <c r="B8" s="208">
        <v>12</v>
      </c>
      <c r="J8" s="167"/>
      <c r="S8" s="167"/>
      <c r="X8" s="167"/>
      <c r="AB8" s="167"/>
      <c r="AD8" s="167"/>
      <c r="CM8" s="168"/>
      <c r="CN8" s="168"/>
      <c r="CO8" s="168"/>
      <c r="CP8" s="168"/>
    </row>
    <row r="9" spans="2:97" s="166" customFormat="1" ht="15" customHeight="1">
      <c r="B9" s="314" t="s">
        <v>491</v>
      </c>
      <c r="C9" s="314"/>
      <c r="D9" s="314"/>
      <c r="E9" s="314"/>
      <c r="F9" s="314"/>
      <c r="G9" s="314"/>
      <c r="H9" s="314"/>
      <c r="I9" s="314"/>
      <c r="J9" s="314"/>
      <c r="K9" s="314"/>
      <c r="L9" s="314"/>
      <c r="M9" s="314"/>
      <c r="N9" s="314"/>
      <c r="P9" s="303" t="s">
        <v>492</v>
      </c>
      <c r="Q9" s="304"/>
      <c r="R9" s="304"/>
      <c r="S9" s="304"/>
      <c r="T9" s="304"/>
      <c r="U9" s="304"/>
      <c r="V9" s="304"/>
      <c r="W9" s="304"/>
      <c r="X9" s="304"/>
      <c r="Y9" s="304"/>
      <c r="Z9" s="304"/>
      <c r="AA9" s="304"/>
      <c r="AB9" s="304"/>
      <c r="AC9" s="304"/>
      <c r="AD9" s="304"/>
      <c r="AE9" s="305"/>
      <c r="CM9" s="168"/>
      <c r="CN9" s="168"/>
      <c r="CO9" s="168"/>
      <c r="CP9" s="168"/>
    </row>
    <row r="10" spans="2:97" s="166" customFormat="1" ht="15" customHeight="1">
      <c r="B10" s="180"/>
      <c r="C10" s="180"/>
      <c r="D10" s="180"/>
      <c r="E10" s="180"/>
      <c r="F10" s="180"/>
      <c r="G10" s="180"/>
      <c r="H10" s="180"/>
      <c r="I10" s="180"/>
      <c r="J10" s="181"/>
      <c r="K10" s="180"/>
      <c r="L10" s="180"/>
      <c r="M10" s="180"/>
      <c r="N10" s="180"/>
      <c r="O10" s="180"/>
      <c r="P10" s="180"/>
      <c r="Q10" s="180"/>
      <c r="R10" s="180"/>
      <c r="S10" s="180"/>
      <c r="T10" s="180"/>
      <c r="U10" s="180"/>
      <c r="V10" s="180"/>
      <c r="W10" s="180"/>
      <c r="X10" s="180"/>
      <c r="Y10" s="180"/>
      <c r="Z10" s="180"/>
      <c r="AA10" s="180"/>
      <c r="AB10" s="180"/>
      <c r="AC10" s="180"/>
      <c r="AD10" s="180"/>
      <c r="AE10" s="180"/>
      <c r="AF10" s="180"/>
      <c r="AG10" s="180"/>
      <c r="CM10" s="168"/>
      <c r="CN10" s="168"/>
      <c r="CO10" s="168"/>
      <c r="CP10" s="168"/>
    </row>
    <row r="11" spans="2:97" s="166" customFormat="1" ht="15" customHeight="1">
      <c r="B11" s="300" t="str">
        <f>Tournament!B10</f>
        <v>Group Stages</v>
      </c>
      <c r="C11" s="301"/>
      <c r="D11" s="301"/>
      <c r="E11" s="301"/>
      <c r="F11" s="301"/>
      <c r="G11" s="301"/>
      <c r="H11" s="301"/>
      <c r="I11" s="301"/>
      <c r="J11" s="301"/>
      <c r="K11" s="301"/>
      <c r="L11" s="301"/>
      <c r="M11" s="301"/>
      <c r="N11" s="302"/>
      <c r="P11" s="303" t="str">
        <f>B11</f>
        <v>Group Stages</v>
      </c>
      <c r="Q11" s="304"/>
      <c r="R11" s="304"/>
      <c r="S11" s="304"/>
      <c r="T11" s="304"/>
      <c r="U11" s="304"/>
      <c r="V11" s="304"/>
      <c r="W11" s="304"/>
      <c r="X11" s="304"/>
      <c r="Y11" s="304"/>
      <c r="Z11" s="304"/>
      <c r="AA11" s="304"/>
      <c r="AB11" s="304"/>
      <c r="AC11" s="304"/>
      <c r="AD11" s="304"/>
      <c r="AE11" s="305"/>
      <c r="CM11" s="168"/>
      <c r="CN11" s="168"/>
      <c r="CO11" s="168"/>
      <c r="CP11" s="168"/>
    </row>
    <row r="12" spans="2:97" s="166" customFormat="1" ht="15" customHeight="1">
      <c r="B12" s="182"/>
      <c r="C12" s="180"/>
      <c r="D12" s="180"/>
      <c r="E12" s="180"/>
      <c r="F12" s="180"/>
      <c r="G12" s="180"/>
      <c r="H12" s="180"/>
      <c r="I12" s="180"/>
      <c r="J12" s="181"/>
      <c r="K12" s="180"/>
      <c r="L12" s="180"/>
      <c r="M12" s="180"/>
      <c r="N12" s="183"/>
      <c r="P12" s="182"/>
      <c r="Q12" s="180"/>
      <c r="R12" s="180"/>
      <c r="S12" s="180"/>
      <c r="T12" s="180"/>
      <c r="U12" s="180"/>
      <c r="V12" s="180"/>
      <c r="W12" s="180"/>
      <c r="X12" s="180"/>
      <c r="Y12" s="180"/>
      <c r="Z12" s="180"/>
      <c r="AA12" s="180"/>
      <c r="AB12" s="180"/>
      <c r="AC12" s="180"/>
      <c r="AD12" s="180"/>
      <c r="AE12" s="183"/>
      <c r="CM12" s="168"/>
      <c r="CN12" s="168"/>
      <c r="CO12" s="168"/>
      <c r="CP12" s="168"/>
    </row>
    <row r="13" spans="2:97" s="166" customFormat="1" ht="15" customHeight="1">
      <c r="B13" s="182"/>
      <c r="C13" s="184" t="str">
        <f>Tournament!D14</f>
        <v>Match #</v>
      </c>
      <c r="D13" s="184" t="str">
        <f>Tournament!E14</f>
        <v>Group</v>
      </c>
      <c r="E13" s="184" t="str">
        <f>Tournament!F14</f>
        <v>Date</v>
      </c>
      <c r="F13" s="184" t="str">
        <f>Tournament!G14</f>
        <v>Time</v>
      </c>
      <c r="G13" s="184" t="str">
        <f>Tournament!H14</f>
        <v>Country</v>
      </c>
      <c r="H13" s="184"/>
      <c r="I13" s="306" t="str">
        <f>Tournament!J14</f>
        <v>Score</v>
      </c>
      <c r="J13" s="306"/>
      <c r="K13" s="306"/>
      <c r="L13" s="184"/>
      <c r="M13" s="184" t="str">
        <f>Tournament!N14</f>
        <v>Country</v>
      </c>
      <c r="N13" s="183"/>
      <c r="P13" s="185" t="str">
        <f>G13</f>
        <v>Country</v>
      </c>
      <c r="Q13" s="184"/>
      <c r="R13" s="306" t="str">
        <f>I13</f>
        <v>Score</v>
      </c>
      <c r="S13" s="306"/>
      <c r="T13" s="306"/>
      <c r="U13" s="184"/>
      <c r="V13" s="184" t="str">
        <f>M13</f>
        <v>Country</v>
      </c>
      <c r="W13" s="306"/>
      <c r="X13" s="306"/>
      <c r="Y13" s="306"/>
      <c r="Z13" s="184"/>
      <c r="AA13" s="306"/>
      <c r="AB13" s="306"/>
      <c r="AC13" s="306"/>
      <c r="AD13" s="184" t="s">
        <v>3277</v>
      </c>
      <c r="AE13" s="183"/>
      <c r="CP13" s="168"/>
      <c r="CQ13" s="186"/>
      <c r="CR13" s="187"/>
      <c r="CS13" s="168"/>
    </row>
    <row r="14" spans="2:97" s="166" customFormat="1" ht="15" customHeight="1">
      <c r="B14" s="182"/>
      <c r="C14" s="180"/>
      <c r="D14" s="180"/>
      <c r="E14" s="180"/>
      <c r="F14" s="180"/>
      <c r="G14" s="180"/>
      <c r="H14" s="180"/>
      <c r="I14" s="180"/>
      <c r="J14" s="180"/>
      <c r="K14" s="180"/>
      <c r="L14" s="180"/>
      <c r="M14" s="180"/>
      <c r="N14" s="183"/>
      <c r="P14" s="182"/>
      <c r="Q14" s="180"/>
      <c r="R14" s="180"/>
      <c r="S14" s="180"/>
      <c r="T14" s="180"/>
      <c r="U14" s="180"/>
      <c r="V14" s="180"/>
      <c r="W14" s="180"/>
      <c r="X14" s="180"/>
      <c r="Y14" s="180"/>
      <c r="Z14" s="180"/>
      <c r="AA14" s="180"/>
      <c r="AB14" s="180"/>
      <c r="AC14" s="180"/>
      <c r="AD14" s="181"/>
      <c r="AE14" s="183"/>
      <c r="CP14" s="168"/>
      <c r="CQ14" s="186"/>
      <c r="CR14" s="187"/>
      <c r="CS14" s="168"/>
    </row>
    <row r="15" spans="2:97" s="166" customFormat="1" ht="15" customHeight="1">
      <c r="B15" s="182"/>
      <c r="C15" s="181">
        <f>Tournament!D16</f>
        <v>1</v>
      </c>
      <c r="D15" s="181" t="str">
        <f>Tournament!E16</f>
        <v>A</v>
      </c>
      <c r="E15" s="188">
        <f>Tournament!F16</f>
        <v>41802.708333333336</v>
      </c>
      <c r="F15" s="189">
        <f>Tournament!G16</f>
        <v>41802.708333333336</v>
      </c>
      <c r="G15" s="190" t="str">
        <f>Tournament!H16</f>
        <v>Brazil</v>
      </c>
      <c r="H15" s="180"/>
      <c r="I15" s="9"/>
      <c r="J15" s="191" t="s">
        <v>3088</v>
      </c>
      <c r="K15" s="9"/>
      <c r="L15" s="180"/>
      <c r="M15" s="180" t="str">
        <f>Tournament!N16</f>
        <v>Croatia</v>
      </c>
      <c r="N15" s="183"/>
      <c r="O15" s="180"/>
      <c r="P15" s="192" t="str">
        <f>G15</f>
        <v>Brazil</v>
      </c>
      <c r="Q15" s="193"/>
      <c r="R15" s="194">
        <f>IF(Tournament!J16&lt;&gt;"",Tournament!J16,"")</f>
        <v>3</v>
      </c>
      <c r="S15" s="194" t="s">
        <v>3088</v>
      </c>
      <c r="T15" s="194">
        <f>IF(Tournament!L16&lt;&gt;"",Tournament!L16,"")</f>
        <v>1</v>
      </c>
      <c r="U15" s="193"/>
      <c r="V15" s="193" t="str">
        <f>M15</f>
        <v>Croatia</v>
      </c>
      <c r="W15" s="194"/>
      <c r="X15" s="194"/>
      <c r="Y15" s="194"/>
      <c r="Z15" s="194"/>
      <c r="AA15" s="194"/>
      <c r="AB15" s="194"/>
      <c r="AC15" s="194"/>
      <c r="AD15" s="195" t="str">
        <f>IF(AND(I15&lt;&gt;"",K15&lt;&gt;"",R15&lt;&gt;"",T15&lt;&gt;""),IF(AND(I15=R15,K15=T15),Setup!$D$10,IF((I15-K15)=(R15-T15),Setup!$D$11,IF(AND((I15&gt;K15),(R15&gt;T15)),Setup!$D$12,IF(AND((K15&gt;I15),(T15&gt;R15)),Setup!$D$12,0)))),"")</f>
        <v/>
      </c>
      <c r="AE15" s="183"/>
      <c r="CP15" s="168"/>
      <c r="CQ15" s="186"/>
      <c r="CR15" s="187"/>
      <c r="CS15" s="168"/>
    </row>
    <row r="16" spans="2:97" s="166" customFormat="1" ht="15" customHeight="1">
      <c r="B16" s="182"/>
      <c r="C16" s="181">
        <f>Tournament!D17</f>
        <v>2</v>
      </c>
      <c r="D16" s="181" t="str">
        <f>Tournament!E17</f>
        <v>A</v>
      </c>
      <c r="E16" s="188">
        <f>Tournament!F17</f>
        <v>41803.541666666664</v>
      </c>
      <c r="F16" s="189">
        <f>Tournament!G17</f>
        <v>41803.541666666664</v>
      </c>
      <c r="G16" s="190" t="str">
        <f>Tournament!H17</f>
        <v>Mexico</v>
      </c>
      <c r="H16" s="180"/>
      <c r="I16" s="9"/>
      <c r="J16" s="191" t="s">
        <v>3088</v>
      </c>
      <c r="K16" s="9"/>
      <c r="L16" s="180"/>
      <c r="M16" s="180" t="str">
        <f>Tournament!N17</f>
        <v>Cameroon</v>
      </c>
      <c r="N16" s="183"/>
      <c r="P16" s="192" t="str">
        <f t="shared" ref="P16:P62" si="0">G16</f>
        <v>Mexico</v>
      </c>
      <c r="Q16" s="193"/>
      <c r="R16" s="194">
        <f>IF(Tournament!J17&lt;&gt;"",Tournament!J17,"")</f>
        <v>1</v>
      </c>
      <c r="S16" s="194" t="s">
        <v>3088</v>
      </c>
      <c r="T16" s="194">
        <f>IF(Tournament!L17&lt;&gt;"",Tournament!L17,"")</f>
        <v>0</v>
      </c>
      <c r="U16" s="193"/>
      <c r="V16" s="193" t="str">
        <f t="shared" ref="V16:V62" si="1">M16</f>
        <v>Cameroon</v>
      </c>
      <c r="W16" s="194"/>
      <c r="X16" s="194"/>
      <c r="Y16" s="194"/>
      <c r="Z16" s="194"/>
      <c r="AA16" s="194"/>
      <c r="AB16" s="194"/>
      <c r="AC16" s="194"/>
      <c r="AD16" s="195" t="str">
        <f>IF(AND(I16&lt;&gt;"",K16&lt;&gt;"",R16&lt;&gt;"",T16&lt;&gt;""),IF(AND(I16=R16,K16=T16),Setup!$D$10,IF((I16-K16)=(R16-T16),Setup!$D$11,IF(AND((I16&gt;K16),(R16&gt;T16)),Setup!$D$12,IF(AND((K16&gt;I16),(T16&gt;R16)),Setup!$D$12,0)))),"")</f>
        <v/>
      </c>
      <c r="AE16" s="183"/>
      <c r="AI16" s="179" t="s">
        <v>3904</v>
      </c>
      <c r="CP16" s="168"/>
      <c r="CQ16" s="186"/>
      <c r="CR16" s="187"/>
      <c r="CS16" s="168"/>
    </row>
    <row r="17" spans="2:97" s="166" customFormat="1" ht="15" customHeight="1">
      <c r="B17" s="182"/>
      <c r="C17" s="181">
        <f>Tournament!D18</f>
        <v>3</v>
      </c>
      <c r="D17" s="181" t="str">
        <f>Tournament!E18</f>
        <v>B</v>
      </c>
      <c r="E17" s="188">
        <f>Tournament!F18</f>
        <v>41803.666666666664</v>
      </c>
      <c r="F17" s="189">
        <f>Tournament!G18</f>
        <v>41803.666666666664</v>
      </c>
      <c r="G17" s="190" t="str">
        <f>Tournament!H18</f>
        <v>Spain</v>
      </c>
      <c r="H17" s="180"/>
      <c r="I17" s="9"/>
      <c r="J17" s="191" t="s">
        <v>3088</v>
      </c>
      <c r="K17" s="9"/>
      <c r="L17" s="180"/>
      <c r="M17" s="180" t="str">
        <f>Tournament!N18</f>
        <v>Netherlands</v>
      </c>
      <c r="N17" s="183"/>
      <c r="P17" s="192" t="str">
        <f t="shared" si="0"/>
        <v>Spain</v>
      </c>
      <c r="Q17" s="193"/>
      <c r="R17" s="194">
        <f>IF(Tournament!J18&lt;&gt;"",Tournament!J18,"")</f>
        <v>1</v>
      </c>
      <c r="S17" s="194" t="s">
        <v>3088</v>
      </c>
      <c r="T17" s="194">
        <f>IF(Tournament!L18&lt;&gt;"",Tournament!L18,"")</f>
        <v>5</v>
      </c>
      <c r="U17" s="193"/>
      <c r="V17" s="193" t="str">
        <f t="shared" si="1"/>
        <v>Netherlands</v>
      </c>
      <c r="W17" s="194"/>
      <c r="X17" s="194"/>
      <c r="Y17" s="194"/>
      <c r="Z17" s="194"/>
      <c r="AA17" s="194"/>
      <c r="AB17" s="194"/>
      <c r="AC17" s="194"/>
      <c r="AD17" s="195" t="str">
        <f>IF(AND(I17&lt;&gt;"",K17&lt;&gt;"",R17&lt;&gt;"",T17&lt;&gt;""),IF(AND(I17=R17,K17=T17),Setup!$D$10,IF((I17-K17)=(R17-T17),Setup!$D$11,IF(AND((I17&gt;K17),(R17&gt;T17)),Setup!$D$12,IF(AND((K17&gt;I17),(T17&gt;R17)),Setup!$D$12,0)))),"")</f>
        <v/>
      </c>
      <c r="AE17" s="183"/>
      <c r="CP17" s="168"/>
      <c r="CQ17" s="186"/>
      <c r="CR17" s="187"/>
      <c r="CS17" s="168"/>
    </row>
    <row r="18" spans="2:97" s="166" customFormat="1" ht="15" customHeight="1">
      <c r="B18" s="182"/>
      <c r="C18" s="181">
        <f>Tournament!D19</f>
        <v>4</v>
      </c>
      <c r="D18" s="181" t="str">
        <f>Tournament!E19</f>
        <v>B</v>
      </c>
      <c r="E18" s="188">
        <f>Tournament!F19</f>
        <v>41803.791666666664</v>
      </c>
      <c r="F18" s="189">
        <f>Tournament!G19</f>
        <v>41803.791666666664</v>
      </c>
      <c r="G18" s="190" t="str">
        <f>Tournament!H19</f>
        <v>Chile</v>
      </c>
      <c r="H18" s="180"/>
      <c r="I18" s="9"/>
      <c r="J18" s="191" t="s">
        <v>3088</v>
      </c>
      <c r="K18" s="9"/>
      <c r="L18" s="180"/>
      <c r="M18" s="180" t="str">
        <f>Tournament!N19</f>
        <v>Australia</v>
      </c>
      <c r="N18" s="183"/>
      <c r="P18" s="192" t="str">
        <f t="shared" si="0"/>
        <v>Chile</v>
      </c>
      <c r="Q18" s="193"/>
      <c r="R18" s="194">
        <f>IF(Tournament!J19&lt;&gt;"",Tournament!J19,"")</f>
        <v>3</v>
      </c>
      <c r="S18" s="194" t="s">
        <v>3088</v>
      </c>
      <c r="T18" s="194">
        <f>IF(Tournament!L19&lt;&gt;"",Tournament!L19,"")</f>
        <v>1</v>
      </c>
      <c r="U18" s="193"/>
      <c r="V18" s="193" t="str">
        <f t="shared" si="1"/>
        <v>Australia</v>
      </c>
      <c r="W18" s="194"/>
      <c r="X18" s="194"/>
      <c r="Y18" s="194"/>
      <c r="Z18" s="194"/>
      <c r="AA18" s="194"/>
      <c r="AB18" s="194"/>
      <c r="AC18" s="194"/>
      <c r="AD18" s="195" t="str">
        <f>IF(AND(I18&lt;&gt;"",K18&lt;&gt;"",R18&lt;&gt;"",T18&lt;&gt;""),IF(AND(I18=R18,K18=T18),Setup!$D$10,IF((I18-K18)=(R18-T18),Setup!$D$11,IF(AND((I18&gt;K18),(R18&gt;T18)),Setup!$D$12,IF(AND((K18&gt;I18),(T18&gt;R18)),Setup!$D$12,0)))),"")</f>
        <v/>
      </c>
      <c r="AE18" s="183"/>
      <c r="CP18" s="168"/>
      <c r="CQ18" s="186"/>
      <c r="CR18" s="187"/>
      <c r="CS18" s="168"/>
    </row>
    <row r="19" spans="2:97" s="166" customFormat="1" ht="15" customHeight="1">
      <c r="B19" s="182"/>
      <c r="C19" s="181">
        <f>Tournament!D20</f>
        <v>5</v>
      </c>
      <c r="D19" s="181" t="str">
        <f>Tournament!E20</f>
        <v>C</v>
      </c>
      <c r="E19" s="188">
        <f>Tournament!F20</f>
        <v>41804.541666666664</v>
      </c>
      <c r="F19" s="189">
        <f>Tournament!G20</f>
        <v>41804.541666666664</v>
      </c>
      <c r="G19" s="190" t="str">
        <f>Tournament!H20</f>
        <v>Colombia</v>
      </c>
      <c r="H19" s="180"/>
      <c r="I19" s="9"/>
      <c r="J19" s="191" t="s">
        <v>3088</v>
      </c>
      <c r="K19" s="9"/>
      <c r="L19" s="180"/>
      <c r="M19" s="180" t="str">
        <f>Tournament!N20</f>
        <v>Greece</v>
      </c>
      <c r="N19" s="183"/>
      <c r="P19" s="192" t="str">
        <f t="shared" si="0"/>
        <v>Colombia</v>
      </c>
      <c r="Q19" s="193"/>
      <c r="R19" s="194" t="str">
        <f>IF(Tournament!J20&lt;&gt;"",Tournament!J20,"")</f>
        <v/>
      </c>
      <c r="S19" s="194" t="s">
        <v>3088</v>
      </c>
      <c r="T19" s="194" t="str">
        <f>IF(Tournament!L20&lt;&gt;"",Tournament!L20,"")</f>
        <v/>
      </c>
      <c r="U19" s="193"/>
      <c r="V19" s="193" t="str">
        <f t="shared" si="1"/>
        <v>Greece</v>
      </c>
      <c r="W19" s="194"/>
      <c r="X19" s="194"/>
      <c r="Y19" s="194"/>
      <c r="Z19" s="194"/>
      <c r="AA19" s="194"/>
      <c r="AB19" s="194"/>
      <c r="AC19" s="194"/>
      <c r="AD19" s="195" t="str">
        <f>IF(AND(I19&lt;&gt;"",K19&lt;&gt;"",R19&lt;&gt;"",T19&lt;&gt;""),IF(AND(I19=R19,K19=T19),Setup!$D$10,IF((I19-K19)=(R19-T19),Setup!$D$11,IF(AND((I19&gt;K19),(R19&gt;T19)),Setup!$D$12,IF(AND((K19&gt;I19),(T19&gt;R19)),Setup!$D$12,0)))),"")</f>
        <v/>
      </c>
      <c r="AE19" s="183"/>
      <c r="CP19" s="168"/>
      <c r="CQ19" s="186"/>
      <c r="CR19" s="187"/>
      <c r="CS19" s="168"/>
    </row>
    <row r="20" spans="2:97" s="166" customFormat="1" ht="15" customHeight="1">
      <c r="B20" s="182"/>
      <c r="C20" s="181">
        <f>Tournament!D21</f>
        <v>6</v>
      </c>
      <c r="D20" s="181" t="str">
        <f>Tournament!E21</f>
        <v>C</v>
      </c>
      <c r="E20" s="188">
        <f>Tournament!F21</f>
        <v>41804.916666666664</v>
      </c>
      <c r="F20" s="189">
        <f>Tournament!G21</f>
        <v>41804.916666666664</v>
      </c>
      <c r="G20" s="190" t="str">
        <f>Tournament!H21</f>
        <v>Ivory Coast</v>
      </c>
      <c r="H20" s="180"/>
      <c r="I20" s="9"/>
      <c r="J20" s="191" t="s">
        <v>3088</v>
      </c>
      <c r="K20" s="9"/>
      <c r="L20" s="180"/>
      <c r="M20" s="180" t="str">
        <f>Tournament!N21</f>
        <v>Japan</v>
      </c>
      <c r="N20" s="183"/>
      <c r="P20" s="192" t="str">
        <f t="shared" si="0"/>
        <v>Ivory Coast</v>
      </c>
      <c r="Q20" s="193"/>
      <c r="R20" s="194" t="str">
        <f>IF(Tournament!J21&lt;&gt;"",Tournament!J21,"")</f>
        <v/>
      </c>
      <c r="S20" s="194" t="s">
        <v>3088</v>
      </c>
      <c r="T20" s="194" t="str">
        <f>IF(Tournament!L21&lt;&gt;"",Tournament!L21,"")</f>
        <v/>
      </c>
      <c r="U20" s="193"/>
      <c r="V20" s="193" t="str">
        <f t="shared" si="1"/>
        <v>Japan</v>
      </c>
      <c r="W20" s="194"/>
      <c r="X20" s="194"/>
      <c r="Y20" s="194"/>
      <c r="Z20" s="194"/>
      <c r="AA20" s="194"/>
      <c r="AB20" s="194"/>
      <c r="AC20" s="194"/>
      <c r="AD20" s="195" t="str">
        <f>IF(AND(I20&lt;&gt;"",K20&lt;&gt;"",R20&lt;&gt;"",T20&lt;&gt;""),IF(AND(I20=R20,K20=T20),Setup!$D$10,IF((I20-K20)=(R20-T20),Setup!$D$11,IF(AND((I20&gt;K20),(R20&gt;T20)),Setup!$D$12,IF(AND((K20&gt;I20),(T20&gt;R20)),Setup!$D$12,0)))),"")</f>
        <v/>
      </c>
      <c r="AE20" s="183"/>
      <c r="CP20" s="168"/>
      <c r="CQ20" s="186"/>
      <c r="CR20" s="187"/>
      <c r="CS20" s="168"/>
    </row>
    <row r="21" spans="2:97" s="166" customFormat="1" ht="15" customHeight="1">
      <c r="B21" s="182"/>
      <c r="C21" s="181">
        <f>Tournament!D22</f>
        <v>7</v>
      </c>
      <c r="D21" s="181" t="str">
        <f>Tournament!E22</f>
        <v>D</v>
      </c>
      <c r="E21" s="188">
        <f>Tournament!F22</f>
        <v>41804.666666666664</v>
      </c>
      <c r="F21" s="189">
        <f>Tournament!G22</f>
        <v>41804.666666666664</v>
      </c>
      <c r="G21" s="190" t="str">
        <f>Tournament!H22</f>
        <v>Uruguay</v>
      </c>
      <c r="H21" s="180"/>
      <c r="I21" s="9"/>
      <c r="J21" s="191" t="s">
        <v>3088</v>
      </c>
      <c r="K21" s="9"/>
      <c r="L21" s="180"/>
      <c r="M21" s="180" t="str">
        <f>Tournament!N22</f>
        <v>Costa Rica</v>
      </c>
      <c r="N21" s="183"/>
      <c r="P21" s="192" t="str">
        <f t="shared" si="0"/>
        <v>Uruguay</v>
      </c>
      <c r="Q21" s="193"/>
      <c r="R21" s="194" t="str">
        <f>IF(Tournament!J22&lt;&gt;"",Tournament!J22,"")</f>
        <v/>
      </c>
      <c r="S21" s="194" t="s">
        <v>3088</v>
      </c>
      <c r="T21" s="194" t="str">
        <f>IF(Tournament!L22&lt;&gt;"",Tournament!L22,"")</f>
        <v/>
      </c>
      <c r="U21" s="193"/>
      <c r="V21" s="193" t="str">
        <f t="shared" si="1"/>
        <v>Costa Rica</v>
      </c>
      <c r="W21" s="194"/>
      <c r="X21" s="194"/>
      <c r="Y21" s="194"/>
      <c r="Z21" s="194"/>
      <c r="AA21" s="194"/>
      <c r="AB21" s="194"/>
      <c r="AC21" s="194"/>
      <c r="AD21" s="195" t="str">
        <f>IF(AND(I21&lt;&gt;"",K21&lt;&gt;"",R21&lt;&gt;"",T21&lt;&gt;""),IF(AND(I21=R21,K21=T21),Setup!$D$10,IF((I21-K21)=(R21-T21),Setup!$D$11,IF(AND((I21&gt;K21),(R21&gt;T21)),Setup!$D$12,IF(AND((K21&gt;I21),(T21&gt;R21)),Setup!$D$12,0)))),"")</f>
        <v/>
      </c>
      <c r="AE21" s="183"/>
      <c r="CP21" s="168"/>
      <c r="CQ21" s="196"/>
      <c r="CR21" s="187"/>
      <c r="CS21" s="168"/>
    </row>
    <row r="22" spans="2:97" s="166" customFormat="1" ht="15" customHeight="1">
      <c r="B22" s="182"/>
      <c r="C22" s="181">
        <f>Tournament!D23</f>
        <v>8</v>
      </c>
      <c r="D22" s="181" t="str">
        <f>Tournament!E23</f>
        <v>D</v>
      </c>
      <c r="E22" s="188">
        <f>Tournament!F23</f>
        <v>41804.791666666664</v>
      </c>
      <c r="F22" s="189">
        <f>Tournament!G23</f>
        <v>41804.791666666664</v>
      </c>
      <c r="G22" s="190" t="str">
        <f>Tournament!H23</f>
        <v>England</v>
      </c>
      <c r="H22" s="180"/>
      <c r="I22" s="9"/>
      <c r="J22" s="191" t="s">
        <v>3088</v>
      </c>
      <c r="K22" s="9"/>
      <c r="L22" s="180"/>
      <c r="M22" s="180" t="str">
        <f>Tournament!N23</f>
        <v>Italy</v>
      </c>
      <c r="N22" s="183"/>
      <c r="P22" s="192" t="str">
        <f t="shared" si="0"/>
        <v>England</v>
      </c>
      <c r="Q22" s="193"/>
      <c r="R22" s="194" t="str">
        <f>IF(Tournament!J23&lt;&gt;"",Tournament!J23,"")</f>
        <v/>
      </c>
      <c r="S22" s="194" t="s">
        <v>3088</v>
      </c>
      <c r="T22" s="194" t="str">
        <f>IF(Tournament!L23&lt;&gt;"",Tournament!L23,"")</f>
        <v/>
      </c>
      <c r="U22" s="193"/>
      <c r="V22" s="193" t="str">
        <f t="shared" si="1"/>
        <v>Italy</v>
      </c>
      <c r="W22" s="194"/>
      <c r="X22" s="194"/>
      <c r="Y22" s="194"/>
      <c r="Z22" s="194"/>
      <c r="AA22" s="194"/>
      <c r="AB22" s="194"/>
      <c r="AC22" s="194"/>
      <c r="AD22" s="195" t="str">
        <f>IF(AND(I22&lt;&gt;"",K22&lt;&gt;"",R22&lt;&gt;"",T22&lt;&gt;""),IF(AND(I22=R22,K22=T22),Setup!$D$10,IF((I22-K22)=(R22-T22),Setup!$D$11,IF(AND((I22&gt;K22),(R22&gt;T22)),Setup!$D$12,IF(AND((K22&gt;I22),(T22&gt;R22)),Setup!$D$12,0)))),"")</f>
        <v/>
      </c>
      <c r="AE22" s="183"/>
      <c r="CP22" s="168"/>
      <c r="CQ22" s="186"/>
      <c r="CR22" s="187"/>
      <c r="CS22" s="168"/>
    </row>
    <row r="23" spans="2:97" s="166" customFormat="1" ht="15" customHeight="1">
      <c r="B23" s="182"/>
      <c r="C23" s="181">
        <f>Tournament!D24</f>
        <v>9</v>
      </c>
      <c r="D23" s="181" t="str">
        <f>Tournament!E24</f>
        <v>E</v>
      </c>
      <c r="E23" s="188">
        <f>Tournament!F24</f>
        <v>41805.541666666664</v>
      </c>
      <c r="F23" s="189">
        <f>Tournament!G24</f>
        <v>41805.541666666664</v>
      </c>
      <c r="G23" s="190" t="str">
        <f>Tournament!H24</f>
        <v>Switzerland</v>
      </c>
      <c r="H23" s="180"/>
      <c r="I23" s="9"/>
      <c r="J23" s="191" t="s">
        <v>3088</v>
      </c>
      <c r="K23" s="9"/>
      <c r="L23" s="180"/>
      <c r="M23" s="180" t="str">
        <f>Tournament!N24</f>
        <v>Ecuador</v>
      </c>
      <c r="N23" s="183"/>
      <c r="P23" s="192" t="str">
        <f t="shared" si="0"/>
        <v>Switzerland</v>
      </c>
      <c r="Q23" s="193"/>
      <c r="R23" s="194" t="str">
        <f>IF(Tournament!J24&lt;&gt;"",Tournament!J24,"")</f>
        <v/>
      </c>
      <c r="S23" s="194" t="s">
        <v>3088</v>
      </c>
      <c r="T23" s="194" t="str">
        <f>IF(Tournament!L24&lt;&gt;"",Tournament!L24,"")</f>
        <v/>
      </c>
      <c r="U23" s="193"/>
      <c r="V23" s="193" t="str">
        <f t="shared" si="1"/>
        <v>Ecuador</v>
      </c>
      <c r="W23" s="194"/>
      <c r="X23" s="194"/>
      <c r="Y23" s="194"/>
      <c r="Z23" s="194"/>
      <c r="AA23" s="194"/>
      <c r="AB23" s="194"/>
      <c r="AC23" s="194"/>
      <c r="AD23" s="195" t="str">
        <f>IF(AND(I23&lt;&gt;"",K23&lt;&gt;"",R23&lt;&gt;"",T23&lt;&gt;""),IF(AND(I23=R23,K23=T23),Setup!$D$10,IF((I23-K23)=(R23-T23),Setup!$D$11,IF(AND((I23&gt;K23),(R23&gt;T23)),Setup!$D$12,IF(AND((K23&gt;I23),(T23&gt;R23)),Setup!$D$12,0)))),"")</f>
        <v/>
      </c>
      <c r="AE23" s="183"/>
      <c r="CP23" s="168"/>
      <c r="CQ23" s="186"/>
      <c r="CR23" s="187"/>
      <c r="CS23" s="168"/>
    </row>
    <row r="24" spans="2:97" s="166" customFormat="1" ht="15" customHeight="1">
      <c r="B24" s="182"/>
      <c r="C24" s="181">
        <f>Tournament!D25</f>
        <v>10</v>
      </c>
      <c r="D24" s="181" t="str">
        <f>Tournament!E25</f>
        <v>E</v>
      </c>
      <c r="E24" s="188">
        <f>Tournament!F25</f>
        <v>41805.666666666664</v>
      </c>
      <c r="F24" s="189">
        <f>Tournament!G25</f>
        <v>41805.666666666664</v>
      </c>
      <c r="G24" s="190" t="str">
        <f>Tournament!H25</f>
        <v>France</v>
      </c>
      <c r="H24" s="180"/>
      <c r="I24" s="9"/>
      <c r="J24" s="191" t="s">
        <v>3088</v>
      </c>
      <c r="K24" s="9"/>
      <c r="L24" s="180"/>
      <c r="M24" s="180" t="str">
        <f>Tournament!N25</f>
        <v>Honduras</v>
      </c>
      <c r="N24" s="183"/>
      <c r="P24" s="192" t="str">
        <f t="shared" si="0"/>
        <v>France</v>
      </c>
      <c r="Q24" s="193"/>
      <c r="R24" s="194" t="str">
        <f>IF(Tournament!J25&lt;&gt;"",Tournament!J25,"")</f>
        <v/>
      </c>
      <c r="S24" s="194" t="s">
        <v>3088</v>
      </c>
      <c r="T24" s="194" t="str">
        <f>IF(Tournament!L25&lt;&gt;"",Tournament!L25,"")</f>
        <v/>
      </c>
      <c r="U24" s="193"/>
      <c r="V24" s="193" t="str">
        <f t="shared" si="1"/>
        <v>Honduras</v>
      </c>
      <c r="W24" s="194"/>
      <c r="X24" s="194"/>
      <c r="Y24" s="194"/>
      <c r="Z24" s="194"/>
      <c r="AA24" s="194"/>
      <c r="AB24" s="194"/>
      <c r="AC24" s="194"/>
      <c r="AD24" s="195" t="str">
        <f>IF(AND(I24&lt;&gt;"",K24&lt;&gt;"",R24&lt;&gt;"",T24&lt;&gt;""),IF(AND(I24=R24,K24=T24),Setup!$D$10,IF((I24-K24)=(R24-T24),Setup!$D$11,IF(AND((I24&gt;K24),(R24&gt;T24)),Setup!$D$12,IF(AND((K24&gt;I24),(T24&gt;R24)),Setup!$D$12,0)))),"")</f>
        <v/>
      </c>
      <c r="AE24" s="183"/>
      <c r="CP24" s="168"/>
      <c r="CQ24" s="186"/>
      <c r="CR24" s="187"/>
      <c r="CS24" s="168"/>
    </row>
    <row r="25" spans="2:97" s="166" customFormat="1" ht="15" customHeight="1">
      <c r="B25" s="182"/>
      <c r="C25" s="181">
        <f>Tournament!D26</f>
        <v>11</v>
      </c>
      <c r="D25" s="181" t="str">
        <f>Tournament!E26</f>
        <v>F</v>
      </c>
      <c r="E25" s="188">
        <f>Tournament!F26</f>
        <v>41805.791666666664</v>
      </c>
      <c r="F25" s="189">
        <f>Tournament!G26</f>
        <v>41805.791666666664</v>
      </c>
      <c r="G25" s="190" t="str">
        <f>Tournament!H26</f>
        <v>Argentina</v>
      </c>
      <c r="H25" s="180"/>
      <c r="I25" s="9"/>
      <c r="J25" s="191" t="s">
        <v>3088</v>
      </c>
      <c r="K25" s="9"/>
      <c r="L25" s="180"/>
      <c r="M25" s="180" t="str">
        <f>Tournament!N26</f>
        <v>Bosnia-Herzegovina</v>
      </c>
      <c r="N25" s="183"/>
      <c r="P25" s="192" t="str">
        <f t="shared" si="0"/>
        <v>Argentina</v>
      </c>
      <c r="Q25" s="193"/>
      <c r="R25" s="194" t="str">
        <f>IF(Tournament!J26&lt;&gt;"",Tournament!J26,"")</f>
        <v/>
      </c>
      <c r="S25" s="194" t="s">
        <v>3088</v>
      </c>
      <c r="T25" s="194" t="str">
        <f>IF(Tournament!L26&lt;&gt;"",Tournament!L26,"")</f>
        <v/>
      </c>
      <c r="U25" s="193"/>
      <c r="V25" s="193" t="str">
        <f t="shared" si="1"/>
        <v>Bosnia-Herzegovina</v>
      </c>
      <c r="W25" s="194"/>
      <c r="X25" s="194"/>
      <c r="Y25" s="194"/>
      <c r="Z25" s="194"/>
      <c r="AA25" s="194"/>
      <c r="AB25" s="194"/>
      <c r="AC25" s="194"/>
      <c r="AD25" s="195" t="str">
        <f>IF(AND(I25&lt;&gt;"",K25&lt;&gt;"",R25&lt;&gt;"",T25&lt;&gt;""),IF(AND(I25=R25,K25=T25),Setup!$D$10,IF((I25-K25)=(R25-T25),Setup!$D$11,IF(AND((I25&gt;K25),(R25&gt;T25)),Setup!$D$12,IF(AND((K25&gt;I25),(T25&gt;R25)),Setup!$D$12,0)))),"")</f>
        <v/>
      </c>
      <c r="AE25" s="183"/>
      <c r="CP25" s="168"/>
      <c r="CQ25" s="186"/>
      <c r="CR25" s="187"/>
      <c r="CS25" s="168"/>
    </row>
    <row r="26" spans="2:97" s="166" customFormat="1" ht="15" customHeight="1">
      <c r="B26" s="182"/>
      <c r="C26" s="181">
        <f>Tournament!D27</f>
        <v>12</v>
      </c>
      <c r="D26" s="181" t="str">
        <f>Tournament!E27</f>
        <v>F</v>
      </c>
      <c r="E26" s="188">
        <f>Tournament!F27</f>
        <v>41806.666666666664</v>
      </c>
      <c r="F26" s="189">
        <f>Tournament!G27</f>
        <v>41806.666666666664</v>
      </c>
      <c r="G26" s="190" t="str">
        <f>Tournament!H27</f>
        <v>Iran</v>
      </c>
      <c r="H26" s="180"/>
      <c r="I26" s="9"/>
      <c r="J26" s="191" t="s">
        <v>3088</v>
      </c>
      <c r="K26" s="9"/>
      <c r="L26" s="180"/>
      <c r="M26" s="180" t="str">
        <f>Tournament!N27</f>
        <v>Nigeria</v>
      </c>
      <c r="N26" s="183"/>
      <c r="P26" s="192" t="str">
        <f t="shared" si="0"/>
        <v>Iran</v>
      </c>
      <c r="Q26" s="193"/>
      <c r="R26" s="194" t="str">
        <f>IF(Tournament!J27&lt;&gt;"",Tournament!J27,"")</f>
        <v/>
      </c>
      <c r="S26" s="194" t="s">
        <v>3088</v>
      </c>
      <c r="T26" s="194" t="str">
        <f>IF(Tournament!L27&lt;&gt;"",Tournament!L27,"")</f>
        <v/>
      </c>
      <c r="U26" s="193"/>
      <c r="V26" s="193" t="str">
        <f t="shared" si="1"/>
        <v>Nigeria</v>
      </c>
      <c r="W26" s="194"/>
      <c r="X26" s="194"/>
      <c r="Y26" s="194"/>
      <c r="Z26" s="194"/>
      <c r="AA26" s="194"/>
      <c r="AB26" s="194"/>
      <c r="AC26" s="194"/>
      <c r="AD26" s="195" t="str">
        <f>IF(AND(I26&lt;&gt;"",K26&lt;&gt;"",R26&lt;&gt;"",T26&lt;&gt;""),IF(AND(I26=R26,K26=T26),Setup!$D$10,IF((I26-K26)=(R26-T26),Setup!$D$11,IF(AND((I26&gt;K26),(R26&gt;T26)),Setup!$D$12,IF(AND((K26&gt;I26),(T26&gt;R26)),Setup!$D$12,0)))),"")</f>
        <v/>
      </c>
      <c r="AE26" s="183"/>
      <c r="CP26" s="168"/>
      <c r="CQ26" s="186"/>
      <c r="CR26" s="187"/>
      <c r="CS26" s="168"/>
    </row>
    <row r="27" spans="2:97" s="166" customFormat="1" ht="15" customHeight="1">
      <c r="B27" s="182"/>
      <c r="C27" s="181">
        <f>Tournament!D28</f>
        <v>13</v>
      </c>
      <c r="D27" s="181" t="str">
        <f>Tournament!E28</f>
        <v>G</v>
      </c>
      <c r="E27" s="188">
        <f>Tournament!F28</f>
        <v>41806.541666666664</v>
      </c>
      <c r="F27" s="189">
        <f>Tournament!G28</f>
        <v>41806.541666666664</v>
      </c>
      <c r="G27" s="190" t="str">
        <f>Tournament!H28</f>
        <v>Germany</v>
      </c>
      <c r="H27" s="180"/>
      <c r="I27" s="9"/>
      <c r="J27" s="191" t="s">
        <v>3088</v>
      </c>
      <c r="K27" s="9"/>
      <c r="L27" s="180"/>
      <c r="M27" s="180" t="str">
        <f>Tournament!N28</f>
        <v>Portugal</v>
      </c>
      <c r="N27" s="183"/>
      <c r="P27" s="192" t="str">
        <f t="shared" si="0"/>
        <v>Germany</v>
      </c>
      <c r="Q27" s="193"/>
      <c r="R27" s="194" t="str">
        <f>IF(Tournament!J28&lt;&gt;"",Tournament!J28,"")</f>
        <v/>
      </c>
      <c r="S27" s="194" t="s">
        <v>3088</v>
      </c>
      <c r="T27" s="194" t="str">
        <f>IF(Tournament!L28&lt;&gt;"",Tournament!L28,"")</f>
        <v/>
      </c>
      <c r="U27" s="193"/>
      <c r="V27" s="193" t="str">
        <f t="shared" si="1"/>
        <v>Portugal</v>
      </c>
      <c r="W27" s="194"/>
      <c r="X27" s="194"/>
      <c r="Y27" s="194"/>
      <c r="Z27" s="194"/>
      <c r="AA27" s="194"/>
      <c r="AB27" s="194"/>
      <c r="AC27" s="194"/>
      <c r="AD27" s="195" t="str">
        <f>IF(AND(I27&lt;&gt;"",K27&lt;&gt;"",R27&lt;&gt;"",T27&lt;&gt;""),IF(AND(I27=R27,K27=T27),Setup!$D$10,IF((I27-K27)=(R27-T27),Setup!$D$11,IF(AND((I27&gt;K27),(R27&gt;T27)),Setup!$D$12,IF(AND((K27&gt;I27),(T27&gt;R27)),Setup!$D$12,0)))),"")</f>
        <v/>
      </c>
      <c r="AE27" s="183"/>
      <c r="CP27" s="168"/>
      <c r="CQ27" s="186"/>
      <c r="CR27" s="187"/>
      <c r="CS27" s="168"/>
    </row>
    <row r="28" spans="2:97" s="166" customFormat="1" ht="15" customHeight="1">
      <c r="B28" s="182"/>
      <c r="C28" s="181">
        <f>Tournament!D29</f>
        <v>14</v>
      </c>
      <c r="D28" s="181" t="str">
        <f>Tournament!E29</f>
        <v>G</v>
      </c>
      <c r="E28" s="188">
        <f>Tournament!F29</f>
        <v>41806.791666666664</v>
      </c>
      <c r="F28" s="189">
        <f>Tournament!G29</f>
        <v>41806.791666666664</v>
      </c>
      <c r="G28" s="190" t="str">
        <f>Tournament!H29</f>
        <v>Ghana</v>
      </c>
      <c r="H28" s="180"/>
      <c r="I28" s="9"/>
      <c r="J28" s="191" t="s">
        <v>3088</v>
      </c>
      <c r="K28" s="9"/>
      <c r="L28" s="180"/>
      <c r="M28" s="180" t="str">
        <f>Tournament!N29</f>
        <v>USA</v>
      </c>
      <c r="N28" s="183"/>
      <c r="P28" s="192" t="str">
        <f t="shared" si="0"/>
        <v>Ghana</v>
      </c>
      <c r="Q28" s="193"/>
      <c r="R28" s="194" t="str">
        <f>IF(Tournament!J29&lt;&gt;"",Tournament!J29,"")</f>
        <v/>
      </c>
      <c r="S28" s="194" t="s">
        <v>3088</v>
      </c>
      <c r="T28" s="194" t="str">
        <f>IF(Tournament!L29&lt;&gt;"",Tournament!L29,"")</f>
        <v/>
      </c>
      <c r="U28" s="193"/>
      <c r="V28" s="193" t="str">
        <f t="shared" si="1"/>
        <v>USA</v>
      </c>
      <c r="W28" s="194"/>
      <c r="X28" s="194"/>
      <c r="Y28" s="194"/>
      <c r="Z28" s="194"/>
      <c r="AA28" s="194"/>
      <c r="AB28" s="194"/>
      <c r="AC28" s="194"/>
      <c r="AD28" s="195" t="str">
        <f>IF(AND(I28&lt;&gt;"",K28&lt;&gt;"",R28&lt;&gt;"",T28&lt;&gt;""),IF(AND(I28=R28,K28=T28),Setup!$D$10,IF((I28-K28)=(R28-T28),Setup!$D$11,IF(AND((I28&gt;K28),(R28&gt;T28)),Setup!$D$12,IF(AND((K28&gt;I28),(T28&gt;R28)),Setup!$D$12,0)))),"")</f>
        <v/>
      </c>
      <c r="AE28" s="183"/>
      <c r="CP28" s="168"/>
      <c r="CQ28" s="186"/>
      <c r="CR28" s="187"/>
      <c r="CS28" s="168"/>
    </row>
    <row r="29" spans="2:97" s="166" customFormat="1" ht="15" customHeight="1">
      <c r="B29" s="182"/>
      <c r="C29" s="181">
        <f>Tournament!D30</f>
        <v>15</v>
      </c>
      <c r="D29" s="181" t="str">
        <f>Tournament!E30</f>
        <v>H</v>
      </c>
      <c r="E29" s="188">
        <f>Tournament!F30</f>
        <v>41807.541666666664</v>
      </c>
      <c r="F29" s="189">
        <f>Tournament!G30</f>
        <v>41807.541666666664</v>
      </c>
      <c r="G29" s="190" t="str">
        <f>Tournament!H30</f>
        <v>Belgium</v>
      </c>
      <c r="H29" s="180"/>
      <c r="I29" s="9"/>
      <c r="J29" s="191" t="s">
        <v>3088</v>
      </c>
      <c r="K29" s="9"/>
      <c r="L29" s="180"/>
      <c r="M29" s="180" t="str">
        <f>Tournament!N30</f>
        <v>Algeria</v>
      </c>
      <c r="N29" s="183"/>
      <c r="P29" s="192" t="str">
        <f t="shared" si="0"/>
        <v>Belgium</v>
      </c>
      <c r="Q29" s="193"/>
      <c r="R29" s="194" t="str">
        <f>IF(Tournament!J30&lt;&gt;"",Tournament!J30,"")</f>
        <v/>
      </c>
      <c r="S29" s="194" t="s">
        <v>3088</v>
      </c>
      <c r="T29" s="194" t="str">
        <f>IF(Tournament!L30&lt;&gt;"",Tournament!L30,"")</f>
        <v/>
      </c>
      <c r="U29" s="193"/>
      <c r="V29" s="193" t="str">
        <f t="shared" si="1"/>
        <v>Algeria</v>
      </c>
      <c r="W29" s="194"/>
      <c r="X29" s="194"/>
      <c r="Y29" s="194"/>
      <c r="Z29" s="194"/>
      <c r="AA29" s="194"/>
      <c r="AB29" s="194"/>
      <c r="AC29" s="194"/>
      <c r="AD29" s="195" t="str">
        <f>IF(AND(I29&lt;&gt;"",K29&lt;&gt;"",R29&lt;&gt;"",T29&lt;&gt;""),IF(AND(I29=R29,K29=T29),Setup!$D$10,IF((I29-K29)=(R29-T29),Setup!$D$11,IF(AND((I29&gt;K29),(R29&gt;T29)),Setup!$D$12,IF(AND((K29&gt;I29),(T29&gt;R29)),Setup!$D$12,0)))),"")</f>
        <v/>
      </c>
      <c r="AE29" s="183"/>
      <c r="CP29" s="168"/>
      <c r="CQ29" s="186"/>
      <c r="CR29" s="187"/>
      <c r="CS29" s="168"/>
    </row>
    <row r="30" spans="2:97" s="166" customFormat="1" ht="15" customHeight="1">
      <c r="B30" s="182"/>
      <c r="C30" s="181">
        <f>Tournament!D31</f>
        <v>16</v>
      </c>
      <c r="D30" s="181" t="str">
        <f>Tournament!E31</f>
        <v>H</v>
      </c>
      <c r="E30" s="188">
        <f>Tournament!F31</f>
        <v>41807.791666666664</v>
      </c>
      <c r="F30" s="189">
        <f>Tournament!G31</f>
        <v>41807.791666666664</v>
      </c>
      <c r="G30" s="190" t="str">
        <f>Tournament!H31</f>
        <v>Russia</v>
      </c>
      <c r="H30" s="180"/>
      <c r="I30" s="9"/>
      <c r="J30" s="191" t="s">
        <v>3088</v>
      </c>
      <c r="K30" s="9"/>
      <c r="L30" s="180"/>
      <c r="M30" s="180" t="str">
        <f>Tournament!N31</f>
        <v>South Korea</v>
      </c>
      <c r="N30" s="183"/>
      <c r="P30" s="192" t="str">
        <f t="shared" si="0"/>
        <v>Russia</v>
      </c>
      <c r="Q30" s="193"/>
      <c r="R30" s="194" t="str">
        <f>IF(Tournament!J31&lt;&gt;"",Tournament!J31,"")</f>
        <v/>
      </c>
      <c r="S30" s="194" t="s">
        <v>3088</v>
      </c>
      <c r="T30" s="194" t="str">
        <f>IF(Tournament!L31&lt;&gt;"",Tournament!L31,"")</f>
        <v/>
      </c>
      <c r="U30" s="193"/>
      <c r="V30" s="193" t="str">
        <f t="shared" si="1"/>
        <v>South Korea</v>
      </c>
      <c r="W30" s="194"/>
      <c r="X30" s="194"/>
      <c r="Y30" s="194"/>
      <c r="Z30" s="194"/>
      <c r="AA30" s="194"/>
      <c r="AB30" s="194"/>
      <c r="AC30" s="194"/>
      <c r="AD30" s="195" t="str">
        <f>IF(AND(I30&lt;&gt;"",K30&lt;&gt;"",R30&lt;&gt;"",T30&lt;&gt;""),IF(AND(I30=R30,K30=T30),Setup!$D$10,IF((I30-K30)=(R30-T30),Setup!$D$11,IF(AND((I30&gt;K30),(R30&gt;T30)),Setup!$D$12,IF(AND((K30&gt;I30),(T30&gt;R30)),Setup!$D$12,0)))),"")</f>
        <v/>
      </c>
      <c r="AE30" s="183"/>
      <c r="CP30" s="168"/>
      <c r="CQ30" s="186"/>
      <c r="CR30" s="187"/>
      <c r="CS30" s="168"/>
    </row>
    <row r="31" spans="2:97" s="166" customFormat="1" ht="15" customHeight="1">
      <c r="B31" s="182"/>
      <c r="C31" s="181">
        <f>Tournament!D32</f>
        <v>17</v>
      </c>
      <c r="D31" s="181" t="str">
        <f>Tournament!E32</f>
        <v>A</v>
      </c>
      <c r="E31" s="188">
        <f>Tournament!F32</f>
        <v>41807.666666666664</v>
      </c>
      <c r="F31" s="189">
        <f>Tournament!G32</f>
        <v>41807.666666666664</v>
      </c>
      <c r="G31" s="190" t="str">
        <f>Tournament!H32</f>
        <v>Brazil</v>
      </c>
      <c r="H31" s="180"/>
      <c r="I31" s="9"/>
      <c r="J31" s="191" t="s">
        <v>3088</v>
      </c>
      <c r="K31" s="9"/>
      <c r="L31" s="180"/>
      <c r="M31" s="180" t="str">
        <f>Tournament!N32</f>
        <v>Mexico</v>
      </c>
      <c r="N31" s="183"/>
      <c r="P31" s="192" t="str">
        <f t="shared" si="0"/>
        <v>Brazil</v>
      </c>
      <c r="Q31" s="193"/>
      <c r="R31" s="194" t="str">
        <f>IF(Tournament!J32&lt;&gt;"",Tournament!J32,"")</f>
        <v/>
      </c>
      <c r="S31" s="194" t="s">
        <v>3088</v>
      </c>
      <c r="T31" s="194" t="str">
        <f>IF(Tournament!L32&lt;&gt;"",Tournament!L32,"")</f>
        <v/>
      </c>
      <c r="U31" s="193"/>
      <c r="V31" s="193" t="str">
        <f t="shared" si="1"/>
        <v>Mexico</v>
      </c>
      <c r="W31" s="194"/>
      <c r="X31" s="194"/>
      <c r="Y31" s="194"/>
      <c r="Z31" s="194"/>
      <c r="AA31" s="194"/>
      <c r="AB31" s="194"/>
      <c r="AC31" s="194"/>
      <c r="AD31" s="195" t="str">
        <f>IF(AND(I31&lt;&gt;"",K31&lt;&gt;"",R31&lt;&gt;"",T31&lt;&gt;""),IF(AND(I31=R31,K31=T31),Setup!$D$10,IF((I31-K31)=(R31-T31),Setup!$D$11,IF(AND((I31&gt;K31),(R31&gt;T31)),Setup!$D$12,IF(AND((K31&gt;I31),(T31&gt;R31)),Setup!$D$12,0)))),"")</f>
        <v/>
      </c>
      <c r="AE31" s="183"/>
      <c r="CP31" s="168"/>
      <c r="CQ31" s="186"/>
      <c r="CR31" s="187"/>
      <c r="CS31" s="168"/>
    </row>
    <row r="32" spans="2:97" s="166" customFormat="1" ht="15" customHeight="1">
      <c r="B32" s="182"/>
      <c r="C32" s="181">
        <f>Tournament!D33</f>
        <v>18</v>
      </c>
      <c r="D32" s="181" t="str">
        <f>Tournament!E33</f>
        <v>A</v>
      </c>
      <c r="E32" s="188">
        <f>Tournament!F33</f>
        <v>41808.791666666664</v>
      </c>
      <c r="F32" s="189">
        <f>Tournament!G33</f>
        <v>41808.791666666664</v>
      </c>
      <c r="G32" s="190" t="str">
        <f>Tournament!H33</f>
        <v>Cameroon</v>
      </c>
      <c r="H32" s="180"/>
      <c r="I32" s="9"/>
      <c r="J32" s="191" t="s">
        <v>3088</v>
      </c>
      <c r="K32" s="9"/>
      <c r="L32" s="180"/>
      <c r="M32" s="180" t="str">
        <f>Tournament!N33</f>
        <v>Croatia</v>
      </c>
      <c r="N32" s="183"/>
      <c r="P32" s="192" t="str">
        <f t="shared" si="0"/>
        <v>Cameroon</v>
      </c>
      <c r="Q32" s="193"/>
      <c r="R32" s="194" t="str">
        <f>IF(Tournament!J33&lt;&gt;"",Tournament!J33,"")</f>
        <v/>
      </c>
      <c r="S32" s="194" t="s">
        <v>3088</v>
      </c>
      <c r="T32" s="194" t="str">
        <f>IF(Tournament!L33&lt;&gt;"",Tournament!L33,"")</f>
        <v/>
      </c>
      <c r="U32" s="193"/>
      <c r="V32" s="193" t="str">
        <f t="shared" si="1"/>
        <v>Croatia</v>
      </c>
      <c r="W32" s="194"/>
      <c r="X32" s="194"/>
      <c r="Y32" s="194"/>
      <c r="Z32" s="194"/>
      <c r="AA32" s="194"/>
      <c r="AB32" s="194"/>
      <c r="AC32" s="194"/>
      <c r="AD32" s="195" t="str">
        <f>IF(AND(I32&lt;&gt;"",K32&lt;&gt;"",R32&lt;&gt;"",T32&lt;&gt;""),IF(AND(I32=R32,K32=T32),Setup!$D$10,IF((I32-K32)=(R32-T32),Setup!$D$11,IF(AND((I32&gt;K32),(R32&gt;T32)),Setup!$D$12,IF(AND((K32&gt;I32),(T32&gt;R32)),Setup!$D$12,0)))),"")</f>
        <v/>
      </c>
      <c r="AE32" s="183"/>
      <c r="CP32" s="168"/>
      <c r="CQ32" s="186"/>
      <c r="CR32" s="187"/>
      <c r="CS32" s="168"/>
    </row>
    <row r="33" spans="2:97" s="166" customFormat="1" ht="15" customHeight="1">
      <c r="B33" s="182"/>
      <c r="C33" s="181">
        <f>Tournament!D34</f>
        <v>19</v>
      </c>
      <c r="D33" s="181" t="str">
        <f>Tournament!E34</f>
        <v>B</v>
      </c>
      <c r="E33" s="188">
        <f>Tournament!F34</f>
        <v>41808.666666666664</v>
      </c>
      <c r="F33" s="189">
        <f>Tournament!G34</f>
        <v>41808.666666666664</v>
      </c>
      <c r="G33" s="190" t="str">
        <f>Tournament!H34</f>
        <v>Spain</v>
      </c>
      <c r="H33" s="180"/>
      <c r="I33" s="9"/>
      <c r="J33" s="191" t="s">
        <v>3088</v>
      </c>
      <c r="K33" s="9"/>
      <c r="L33" s="180"/>
      <c r="M33" s="180" t="str">
        <f>Tournament!N34</f>
        <v>Chile</v>
      </c>
      <c r="N33" s="183"/>
      <c r="P33" s="192" t="str">
        <f t="shared" si="0"/>
        <v>Spain</v>
      </c>
      <c r="Q33" s="193"/>
      <c r="R33" s="194" t="str">
        <f>IF(Tournament!J34&lt;&gt;"",Tournament!J34,"")</f>
        <v/>
      </c>
      <c r="S33" s="194" t="s">
        <v>3088</v>
      </c>
      <c r="T33" s="194" t="str">
        <f>IF(Tournament!L34&lt;&gt;"",Tournament!L34,"")</f>
        <v/>
      </c>
      <c r="U33" s="193"/>
      <c r="V33" s="193" t="str">
        <f t="shared" si="1"/>
        <v>Chile</v>
      </c>
      <c r="W33" s="194"/>
      <c r="X33" s="194"/>
      <c r="Y33" s="194"/>
      <c r="Z33" s="194"/>
      <c r="AA33" s="194"/>
      <c r="AB33" s="194"/>
      <c r="AC33" s="194"/>
      <c r="AD33" s="195" t="str">
        <f>IF(AND(I33&lt;&gt;"",K33&lt;&gt;"",R33&lt;&gt;"",T33&lt;&gt;""),IF(AND(I33=R33,K33=T33),Setup!$D$10,IF((I33-K33)=(R33-T33),Setup!$D$11,IF(AND((I33&gt;K33),(R33&gt;T33)),Setup!$D$12,IF(AND((K33&gt;I33),(T33&gt;R33)),Setup!$D$12,0)))),"")</f>
        <v/>
      </c>
      <c r="AE33" s="183"/>
      <c r="CP33" s="168"/>
      <c r="CQ33" s="186"/>
      <c r="CR33" s="187"/>
      <c r="CS33" s="168"/>
    </row>
    <row r="34" spans="2:97" s="166" customFormat="1" ht="15" customHeight="1">
      <c r="B34" s="182"/>
      <c r="C34" s="181">
        <f>Tournament!D35</f>
        <v>20</v>
      </c>
      <c r="D34" s="181" t="str">
        <f>Tournament!E35</f>
        <v>B</v>
      </c>
      <c r="E34" s="188">
        <f>Tournament!F35</f>
        <v>41808.541666666664</v>
      </c>
      <c r="F34" s="189">
        <f>Tournament!G35</f>
        <v>41808.541666666664</v>
      </c>
      <c r="G34" s="190" t="str">
        <f>Tournament!H35</f>
        <v>Australia</v>
      </c>
      <c r="H34" s="180"/>
      <c r="I34" s="9"/>
      <c r="J34" s="191" t="s">
        <v>3088</v>
      </c>
      <c r="K34" s="9"/>
      <c r="L34" s="180"/>
      <c r="M34" s="180" t="str">
        <f>Tournament!N35</f>
        <v>Netherlands</v>
      </c>
      <c r="N34" s="183"/>
      <c r="P34" s="192" t="str">
        <f t="shared" si="0"/>
        <v>Australia</v>
      </c>
      <c r="Q34" s="193"/>
      <c r="R34" s="194" t="str">
        <f>IF(Tournament!J35&lt;&gt;"",Tournament!J35,"")</f>
        <v/>
      </c>
      <c r="S34" s="194" t="s">
        <v>3088</v>
      </c>
      <c r="T34" s="194" t="str">
        <f>IF(Tournament!L35&lt;&gt;"",Tournament!L35,"")</f>
        <v/>
      </c>
      <c r="U34" s="193"/>
      <c r="V34" s="193" t="str">
        <f t="shared" si="1"/>
        <v>Netherlands</v>
      </c>
      <c r="W34" s="194"/>
      <c r="X34" s="194"/>
      <c r="Y34" s="194"/>
      <c r="Z34" s="194"/>
      <c r="AA34" s="194"/>
      <c r="AB34" s="194"/>
      <c r="AC34" s="194"/>
      <c r="AD34" s="195" t="str">
        <f>IF(AND(I34&lt;&gt;"",K34&lt;&gt;"",R34&lt;&gt;"",T34&lt;&gt;""),IF(AND(I34=R34,K34=T34),Setup!$D$10,IF((I34-K34)=(R34-T34),Setup!$D$11,IF(AND((I34&gt;K34),(R34&gt;T34)),Setup!$D$12,IF(AND((K34&gt;I34),(T34&gt;R34)),Setup!$D$12,0)))),"")</f>
        <v/>
      </c>
      <c r="AE34" s="183"/>
      <c r="CP34" s="168"/>
      <c r="CQ34" s="186"/>
      <c r="CR34" s="187"/>
      <c r="CS34" s="168"/>
    </row>
    <row r="35" spans="2:97" s="166" customFormat="1" ht="15" customHeight="1">
      <c r="B35" s="182"/>
      <c r="C35" s="181">
        <f>Tournament!D36</f>
        <v>21</v>
      </c>
      <c r="D35" s="181" t="str">
        <f>Tournament!E36</f>
        <v>C</v>
      </c>
      <c r="E35" s="188">
        <f>Tournament!F36</f>
        <v>41809.541666666664</v>
      </c>
      <c r="F35" s="189">
        <f>Tournament!G36</f>
        <v>41809.541666666664</v>
      </c>
      <c r="G35" s="190" t="str">
        <f>Tournament!H36</f>
        <v>Colombia</v>
      </c>
      <c r="H35" s="180"/>
      <c r="I35" s="9"/>
      <c r="J35" s="191" t="s">
        <v>3088</v>
      </c>
      <c r="K35" s="9"/>
      <c r="L35" s="180"/>
      <c r="M35" s="180" t="str">
        <f>Tournament!N36</f>
        <v>Ivory Coast</v>
      </c>
      <c r="N35" s="183"/>
      <c r="P35" s="192" t="str">
        <f t="shared" si="0"/>
        <v>Colombia</v>
      </c>
      <c r="Q35" s="193"/>
      <c r="R35" s="194" t="str">
        <f>IF(Tournament!J36&lt;&gt;"",Tournament!J36,"")</f>
        <v/>
      </c>
      <c r="S35" s="194" t="s">
        <v>3088</v>
      </c>
      <c r="T35" s="194" t="str">
        <f>IF(Tournament!L36&lt;&gt;"",Tournament!L36,"")</f>
        <v/>
      </c>
      <c r="U35" s="193"/>
      <c r="V35" s="193" t="str">
        <f t="shared" si="1"/>
        <v>Ivory Coast</v>
      </c>
      <c r="W35" s="194"/>
      <c r="X35" s="194"/>
      <c r="Y35" s="194"/>
      <c r="Z35" s="194"/>
      <c r="AA35" s="194"/>
      <c r="AB35" s="194"/>
      <c r="AC35" s="194"/>
      <c r="AD35" s="195" t="str">
        <f>IF(AND(I35&lt;&gt;"",K35&lt;&gt;"",R35&lt;&gt;"",T35&lt;&gt;""),IF(AND(I35=R35,K35=T35),Setup!$D$10,IF((I35-K35)=(R35-T35),Setup!$D$11,IF(AND((I35&gt;K35),(R35&gt;T35)),Setup!$D$12,IF(AND((K35&gt;I35),(T35&gt;R35)),Setup!$D$12,0)))),"")</f>
        <v/>
      </c>
      <c r="AE35" s="183"/>
      <c r="CP35" s="168"/>
      <c r="CQ35" s="186"/>
      <c r="CR35" s="187"/>
      <c r="CS35" s="168"/>
    </row>
    <row r="36" spans="2:97" s="166" customFormat="1" ht="15" customHeight="1">
      <c r="B36" s="182"/>
      <c r="C36" s="181">
        <f>Tournament!D37</f>
        <v>22</v>
      </c>
      <c r="D36" s="181" t="str">
        <f>Tournament!E37</f>
        <v>C</v>
      </c>
      <c r="E36" s="188">
        <f>Tournament!F37</f>
        <v>41809.791666666664</v>
      </c>
      <c r="F36" s="189">
        <f>Tournament!G37</f>
        <v>41809.791666666664</v>
      </c>
      <c r="G36" s="190" t="str">
        <f>Tournament!H37</f>
        <v>Japan</v>
      </c>
      <c r="H36" s="180"/>
      <c r="I36" s="9"/>
      <c r="J36" s="191" t="s">
        <v>3088</v>
      </c>
      <c r="K36" s="9"/>
      <c r="L36" s="180"/>
      <c r="M36" s="180" t="str">
        <f>Tournament!N37</f>
        <v>Greece</v>
      </c>
      <c r="N36" s="183"/>
      <c r="P36" s="192" t="str">
        <f t="shared" si="0"/>
        <v>Japan</v>
      </c>
      <c r="Q36" s="193"/>
      <c r="R36" s="194" t="str">
        <f>IF(Tournament!J37&lt;&gt;"",Tournament!J37,"")</f>
        <v/>
      </c>
      <c r="S36" s="194" t="s">
        <v>3088</v>
      </c>
      <c r="T36" s="194" t="str">
        <f>IF(Tournament!L37&lt;&gt;"",Tournament!L37,"")</f>
        <v/>
      </c>
      <c r="U36" s="193"/>
      <c r="V36" s="193" t="str">
        <f t="shared" si="1"/>
        <v>Greece</v>
      </c>
      <c r="W36" s="194"/>
      <c r="X36" s="194"/>
      <c r="Y36" s="194"/>
      <c r="Z36" s="194"/>
      <c r="AA36" s="194"/>
      <c r="AB36" s="194"/>
      <c r="AC36" s="194"/>
      <c r="AD36" s="195" t="str">
        <f>IF(AND(I36&lt;&gt;"",K36&lt;&gt;"",R36&lt;&gt;"",T36&lt;&gt;""),IF(AND(I36=R36,K36=T36),Setup!$D$10,IF((I36-K36)=(R36-T36),Setup!$D$11,IF(AND((I36&gt;K36),(R36&gt;T36)),Setup!$D$12,IF(AND((K36&gt;I36),(T36&gt;R36)),Setup!$D$12,0)))),"")</f>
        <v/>
      </c>
      <c r="AE36" s="183"/>
      <c r="CP36" s="168"/>
      <c r="CQ36" s="186"/>
      <c r="CR36" s="187"/>
      <c r="CS36" s="168"/>
    </row>
    <row r="37" spans="2:97" s="166" customFormat="1" ht="15" customHeight="1">
      <c r="B37" s="182"/>
      <c r="C37" s="181">
        <f>Tournament!D38</f>
        <v>23</v>
      </c>
      <c r="D37" s="181" t="str">
        <f>Tournament!E38</f>
        <v>D</v>
      </c>
      <c r="E37" s="188">
        <f>Tournament!F38</f>
        <v>41809.666666666664</v>
      </c>
      <c r="F37" s="189">
        <f>Tournament!G38</f>
        <v>41809.666666666664</v>
      </c>
      <c r="G37" s="190" t="str">
        <f>Tournament!H38</f>
        <v>Uruguay</v>
      </c>
      <c r="H37" s="180"/>
      <c r="I37" s="9"/>
      <c r="J37" s="191" t="s">
        <v>3088</v>
      </c>
      <c r="K37" s="9"/>
      <c r="L37" s="180"/>
      <c r="M37" s="180" t="str">
        <f>Tournament!N38</f>
        <v>England</v>
      </c>
      <c r="N37" s="183"/>
      <c r="P37" s="192" t="str">
        <f t="shared" si="0"/>
        <v>Uruguay</v>
      </c>
      <c r="Q37" s="193"/>
      <c r="R37" s="194" t="str">
        <f>IF(Tournament!J38&lt;&gt;"",Tournament!J38,"")</f>
        <v/>
      </c>
      <c r="S37" s="194" t="s">
        <v>3088</v>
      </c>
      <c r="T37" s="194" t="str">
        <f>IF(Tournament!L38&lt;&gt;"",Tournament!L38,"")</f>
        <v/>
      </c>
      <c r="U37" s="193"/>
      <c r="V37" s="193" t="str">
        <f t="shared" si="1"/>
        <v>England</v>
      </c>
      <c r="W37" s="194"/>
      <c r="X37" s="194"/>
      <c r="Y37" s="194"/>
      <c r="Z37" s="194"/>
      <c r="AA37" s="194"/>
      <c r="AB37" s="194"/>
      <c r="AC37" s="194"/>
      <c r="AD37" s="195" t="str">
        <f>IF(AND(I37&lt;&gt;"",K37&lt;&gt;"",R37&lt;&gt;"",T37&lt;&gt;""),IF(AND(I37=R37,K37=T37),Setup!$D$10,IF((I37-K37)=(R37-T37),Setup!$D$11,IF(AND((I37&gt;K37),(R37&gt;T37)),Setup!$D$12,IF(AND((K37&gt;I37),(T37&gt;R37)),Setup!$D$12,0)))),"")</f>
        <v/>
      </c>
      <c r="AE37" s="183"/>
      <c r="CP37" s="168"/>
      <c r="CQ37" s="186"/>
      <c r="CR37" s="187"/>
      <c r="CS37" s="168"/>
    </row>
    <row r="38" spans="2:97" s="166" customFormat="1" ht="15" customHeight="1">
      <c r="B38" s="182"/>
      <c r="C38" s="181">
        <f>Tournament!D39</f>
        <v>24</v>
      </c>
      <c r="D38" s="181" t="str">
        <f>Tournament!E39</f>
        <v>D</v>
      </c>
      <c r="E38" s="188">
        <f>Tournament!F39</f>
        <v>41810.541666666664</v>
      </c>
      <c r="F38" s="189">
        <f>Tournament!G39</f>
        <v>41810.541666666664</v>
      </c>
      <c r="G38" s="190" t="str">
        <f>Tournament!H39</f>
        <v>Italy</v>
      </c>
      <c r="H38" s="180"/>
      <c r="I38" s="9"/>
      <c r="J38" s="191" t="s">
        <v>3088</v>
      </c>
      <c r="K38" s="9"/>
      <c r="L38" s="180"/>
      <c r="M38" s="180" t="str">
        <f>Tournament!N39</f>
        <v>Costa Rica</v>
      </c>
      <c r="N38" s="183"/>
      <c r="P38" s="192" t="str">
        <f t="shared" si="0"/>
        <v>Italy</v>
      </c>
      <c r="Q38" s="193"/>
      <c r="R38" s="194" t="str">
        <f>IF(Tournament!J39&lt;&gt;"",Tournament!J39,"")</f>
        <v/>
      </c>
      <c r="S38" s="194" t="s">
        <v>3088</v>
      </c>
      <c r="T38" s="194" t="str">
        <f>IF(Tournament!L39&lt;&gt;"",Tournament!L39,"")</f>
        <v/>
      </c>
      <c r="U38" s="193"/>
      <c r="V38" s="193" t="str">
        <f t="shared" si="1"/>
        <v>Costa Rica</v>
      </c>
      <c r="W38" s="194"/>
      <c r="X38" s="194"/>
      <c r="Y38" s="194"/>
      <c r="Z38" s="194"/>
      <c r="AA38" s="194"/>
      <c r="AB38" s="194"/>
      <c r="AC38" s="194"/>
      <c r="AD38" s="195" t="str">
        <f>IF(AND(I38&lt;&gt;"",K38&lt;&gt;"",R38&lt;&gt;"",T38&lt;&gt;""),IF(AND(I38=R38,K38=T38),Setup!$D$10,IF((I38-K38)=(R38-T38),Setup!$D$11,IF(AND((I38&gt;K38),(R38&gt;T38)),Setup!$D$12,IF(AND((K38&gt;I38),(T38&gt;R38)),Setup!$D$12,0)))),"")</f>
        <v/>
      </c>
      <c r="AE38" s="183"/>
      <c r="CP38" s="168"/>
      <c r="CQ38" s="186"/>
      <c r="CR38" s="187"/>
      <c r="CS38" s="168"/>
    </row>
    <row r="39" spans="2:97" s="166" customFormat="1" ht="15" customHeight="1">
      <c r="B39" s="182"/>
      <c r="C39" s="181">
        <f>Tournament!D40</f>
        <v>25</v>
      </c>
      <c r="D39" s="181" t="str">
        <f>Tournament!E40</f>
        <v>E</v>
      </c>
      <c r="E39" s="188">
        <f>Tournament!F40</f>
        <v>41810.666666666664</v>
      </c>
      <c r="F39" s="189">
        <f>Tournament!G40</f>
        <v>41810.666666666664</v>
      </c>
      <c r="G39" s="190" t="str">
        <f>Tournament!H40</f>
        <v>Switzerland</v>
      </c>
      <c r="H39" s="180"/>
      <c r="I39" s="9"/>
      <c r="J39" s="191" t="s">
        <v>3088</v>
      </c>
      <c r="K39" s="9"/>
      <c r="L39" s="180"/>
      <c r="M39" s="180" t="str">
        <f>Tournament!N40</f>
        <v>France</v>
      </c>
      <c r="N39" s="183"/>
      <c r="P39" s="192" t="str">
        <f t="shared" si="0"/>
        <v>Switzerland</v>
      </c>
      <c r="Q39" s="193"/>
      <c r="R39" s="194" t="str">
        <f>IF(Tournament!J40&lt;&gt;"",Tournament!J40,"")</f>
        <v/>
      </c>
      <c r="S39" s="194" t="s">
        <v>3088</v>
      </c>
      <c r="T39" s="194" t="str">
        <f>IF(Tournament!L40&lt;&gt;"",Tournament!L40,"")</f>
        <v/>
      </c>
      <c r="U39" s="193"/>
      <c r="V39" s="193" t="str">
        <f t="shared" si="1"/>
        <v>France</v>
      </c>
      <c r="W39" s="194"/>
      <c r="X39" s="194"/>
      <c r="Y39" s="194"/>
      <c r="Z39" s="194"/>
      <c r="AA39" s="194"/>
      <c r="AB39" s="194"/>
      <c r="AC39" s="194"/>
      <c r="AD39" s="195" t="str">
        <f>IF(AND(I39&lt;&gt;"",K39&lt;&gt;"",R39&lt;&gt;"",T39&lt;&gt;""),IF(AND(I39=R39,K39=T39),Setup!$D$10,IF((I39-K39)=(R39-T39),Setup!$D$11,IF(AND((I39&gt;K39),(R39&gt;T39)),Setup!$D$12,IF(AND((K39&gt;I39),(T39&gt;R39)),Setup!$D$12,0)))),"")</f>
        <v/>
      </c>
      <c r="AE39" s="183"/>
      <c r="CP39" s="168"/>
      <c r="CQ39" s="186"/>
      <c r="CR39" s="187"/>
      <c r="CS39" s="168"/>
    </row>
    <row r="40" spans="2:97" s="166" customFormat="1" ht="15" customHeight="1">
      <c r="B40" s="182"/>
      <c r="C40" s="181">
        <f>Tournament!D41</f>
        <v>26</v>
      </c>
      <c r="D40" s="181" t="str">
        <f>Tournament!E41</f>
        <v>E</v>
      </c>
      <c r="E40" s="188">
        <f>Tournament!F41</f>
        <v>41810.791666666664</v>
      </c>
      <c r="F40" s="189">
        <f>Tournament!G41</f>
        <v>41810.791666666664</v>
      </c>
      <c r="G40" s="190" t="str">
        <f>Tournament!H41</f>
        <v>Honduras</v>
      </c>
      <c r="H40" s="180"/>
      <c r="I40" s="9"/>
      <c r="J40" s="191" t="s">
        <v>3088</v>
      </c>
      <c r="K40" s="9"/>
      <c r="L40" s="180"/>
      <c r="M40" s="180" t="str">
        <f>Tournament!N41</f>
        <v>Ecuador</v>
      </c>
      <c r="N40" s="183"/>
      <c r="P40" s="192" t="str">
        <f t="shared" si="0"/>
        <v>Honduras</v>
      </c>
      <c r="Q40" s="193"/>
      <c r="R40" s="194" t="str">
        <f>IF(Tournament!J41&lt;&gt;"",Tournament!J41,"")</f>
        <v/>
      </c>
      <c r="S40" s="194" t="s">
        <v>3088</v>
      </c>
      <c r="T40" s="194" t="str">
        <f>IF(Tournament!L41&lt;&gt;"",Tournament!L41,"")</f>
        <v/>
      </c>
      <c r="U40" s="193"/>
      <c r="V40" s="193" t="str">
        <f t="shared" si="1"/>
        <v>Ecuador</v>
      </c>
      <c r="W40" s="194"/>
      <c r="X40" s="194"/>
      <c r="Y40" s="194"/>
      <c r="Z40" s="194"/>
      <c r="AA40" s="194"/>
      <c r="AB40" s="194"/>
      <c r="AC40" s="194"/>
      <c r="AD40" s="195" t="str">
        <f>IF(AND(I40&lt;&gt;"",K40&lt;&gt;"",R40&lt;&gt;"",T40&lt;&gt;""),IF(AND(I40=R40,K40=T40),Setup!$D$10,IF((I40-K40)=(R40-T40),Setup!$D$11,IF(AND((I40&gt;K40),(R40&gt;T40)),Setup!$D$12,IF(AND((K40&gt;I40),(T40&gt;R40)),Setup!$D$12,0)))),"")</f>
        <v/>
      </c>
      <c r="AE40" s="183"/>
      <c r="CP40" s="168"/>
      <c r="CQ40" s="196"/>
      <c r="CR40" s="187"/>
      <c r="CS40" s="168"/>
    </row>
    <row r="41" spans="2:97" s="166" customFormat="1" ht="15" customHeight="1">
      <c r="B41" s="182"/>
      <c r="C41" s="181">
        <f>Tournament!D42</f>
        <v>27</v>
      </c>
      <c r="D41" s="181" t="str">
        <f>Tournament!E42</f>
        <v>F</v>
      </c>
      <c r="E41" s="188">
        <f>Tournament!F42</f>
        <v>41811.541666666664</v>
      </c>
      <c r="F41" s="189">
        <f>Tournament!G42</f>
        <v>41811.541666666664</v>
      </c>
      <c r="G41" s="190" t="str">
        <f>Tournament!H42</f>
        <v>Argentina</v>
      </c>
      <c r="H41" s="180"/>
      <c r="I41" s="9"/>
      <c r="J41" s="191" t="s">
        <v>3088</v>
      </c>
      <c r="K41" s="9"/>
      <c r="L41" s="180"/>
      <c r="M41" s="180" t="str">
        <f>Tournament!N42</f>
        <v>Iran</v>
      </c>
      <c r="N41" s="183"/>
      <c r="P41" s="192" t="str">
        <f t="shared" si="0"/>
        <v>Argentina</v>
      </c>
      <c r="Q41" s="193"/>
      <c r="R41" s="194" t="str">
        <f>IF(Tournament!J42&lt;&gt;"",Tournament!J42,"")</f>
        <v/>
      </c>
      <c r="S41" s="194" t="s">
        <v>3088</v>
      </c>
      <c r="T41" s="194" t="str">
        <f>IF(Tournament!L42&lt;&gt;"",Tournament!L42,"")</f>
        <v/>
      </c>
      <c r="U41" s="193"/>
      <c r="V41" s="193" t="str">
        <f t="shared" si="1"/>
        <v>Iran</v>
      </c>
      <c r="W41" s="194"/>
      <c r="X41" s="194"/>
      <c r="Y41" s="194"/>
      <c r="Z41" s="194"/>
      <c r="AA41" s="194"/>
      <c r="AB41" s="194"/>
      <c r="AC41" s="194"/>
      <c r="AD41" s="195" t="str">
        <f>IF(AND(I41&lt;&gt;"",K41&lt;&gt;"",R41&lt;&gt;"",T41&lt;&gt;""),IF(AND(I41=R41,K41=T41),Setup!$D$10,IF((I41-K41)=(R41-T41),Setup!$D$11,IF(AND((I41&gt;K41),(R41&gt;T41)),Setup!$D$12,IF(AND((K41&gt;I41),(T41&gt;R41)),Setup!$D$12,0)))),"")</f>
        <v/>
      </c>
      <c r="AE41" s="183"/>
      <c r="CP41" s="168"/>
      <c r="CQ41" s="196"/>
      <c r="CR41" s="187"/>
      <c r="CS41" s="168"/>
    </row>
    <row r="42" spans="2:97" s="166" customFormat="1" ht="15" customHeight="1">
      <c r="B42" s="182"/>
      <c r="C42" s="181">
        <f>Tournament!D43</f>
        <v>28</v>
      </c>
      <c r="D42" s="181" t="str">
        <f>Tournament!E43</f>
        <v>F</v>
      </c>
      <c r="E42" s="188">
        <f>Tournament!F43</f>
        <v>41811.791666666664</v>
      </c>
      <c r="F42" s="189">
        <f>Tournament!G43</f>
        <v>41811.791666666664</v>
      </c>
      <c r="G42" s="190" t="str">
        <f>Tournament!H43</f>
        <v>Nigeria</v>
      </c>
      <c r="H42" s="180"/>
      <c r="I42" s="9"/>
      <c r="J42" s="191" t="s">
        <v>3088</v>
      </c>
      <c r="K42" s="9"/>
      <c r="L42" s="180"/>
      <c r="M42" s="180" t="str">
        <f>Tournament!N43</f>
        <v>Bosnia-Herzegovina</v>
      </c>
      <c r="N42" s="183"/>
      <c r="P42" s="192" t="str">
        <f t="shared" si="0"/>
        <v>Nigeria</v>
      </c>
      <c r="Q42" s="193"/>
      <c r="R42" s="194" t="str">
        <f>IF(Tournament!J43&lt;&gt;"",Tournament!J43,"")</f>
        <v/>
      </c>
      <c r="S42" s="194" t="s">
        <v>3088</v>
      </c>
      <c r="T42" s="194" t="str">
        <f>IF(Tournament!L43&lt;&gt;"",Tournament!L43,"")</f>
        <v/>
      </c>
      <c r="U42" s="193"/>
      <c r="V42" s="193" t="str">
        <f t="shared" si="1"/>
        <v>Bosnia-Herzegovina</v>
      </c>
      <c r="W42" s="194"/>
      <c r="X42" s="194"/>
      <c r="Y42" s="194"/>
      <c r="Z42" s="194"/>
      <c r="AA42" s="194"/>
      <c r="AB42" s="194"/>
      <c r="AC42" s="194"/>
      <c r="AD42" s="195" t="str">
        <f>IF(AND(I42&lt;&gt;"",K42&lt;&gt;"",R42&lt;&gt;"",T42&lt;&gt;""),IF(AND(I42=R42,K42=T42),Setup!$D$10,IF((I42-K42)=(R42-T42),Setup!$D$11,IF(AND((I42&gt;K42),(R42&gt;T42)),Setup!$D$12,IF(AND((K42&gt;I42),(T42&gt;R42)),Setup!$D$12,0)))),"")</f>
        <v/>
      </c>
      <c r="AE42" s="183"/>
      <c r="CP42" s="168"/>
      <c r="CQ42" s="168"/>
      <c r="CR42" s="187"/>
      <c r="CS42" s="168"/>
    </row>
    <row r="43" spans="2:97" s="166" customFormat="1" ht="15" customHeight="1">
      <c r="B43" s="182"/>
      <c r="C43" s="181">
        <f>Tournament!D44</f>
        <v>29</v>
      </c>
      <c r="D43" s="181" t="str">
        <f>Tournament!E44</f>
        <v>G</v>
      </c>
      <c r="E43" s="188">
        <f>Tournament!F44</f>
        <v>41811.666666666664</v>
      </c>
      <c r="F43" s="189">
        <f>Tournament!G44</f>
        <v>41811.666666666664</v>
      </c>
      <c r="G43" s="190" t="str">
        <f>Tournament!H44</f>
        <v>Germany</v>
      </c>
      <c r="H43" s="180"/>
      <c r="I43" s="9"/>
      <c r="J43" s="191" t="s">
        <v>3088</v>
      </c>
      <c r="K43" s="9"/>
      <c r="L43" s="180"/>
      <c r="M43" s="180" t="str">
        <f>Tournament!N44</f>
        <v>Ghana</v>
      </c>
      <c r="N43" s="183"/>
      <c r="P43" s="192" t="str">
        <f t="shared" si="0"/>
        <v>Germany</v>
      </c>
      <c r="Q43" s="193"/>
      <c r="R43" s="194" t="str">
        <f>IF(Tournament!J44&lt;&gt;"",Tournament!J44,"")</f>
        <v/>
      </c>
      <c r="S43" s="194" t="s">
        <v>3088</v>
      </c>
      <c r="T43" s="194" t="str">
        <f>IF(Tournament!L44&lt;&gt;"",Tournament!L44,"")</f>
        <v/>
      </c>
      <c r="U43" s="193"/>
      <c r="V43" s="193" t="str">
        <f t="shared" si="1"/>
        <v>Ghana</v>
      </c>
      <c r="W43" s="194"/>
      <c r="X43" s="194"/>
      <c r="Y43" s="194"/>
      <c r="Z43" s="194"/>
      <c r="AA43" s="194"/>
      <c r="AB43" s="194"/>
      <c r="AC43" s="194"/>
      <c r="AD43" s="195" t="str">
        <f>IF(AND(I43&lt;&gt;"",K43&lt;&gt;"",R43&lt;&gt;"",T43&lt;&gt;""),IF(AND(I43=R43,K43=T43),Setup!$D$10,IF((I43-K43)=(R43-T43),Setup!$D$11,IF(AND((I43&gt;K43),(R43&gt;T43)),Setup!$D$12,IF(AND((K43&gt;I43),(T43&gt;R43)),Setup!$D$12,0)))),"")</f>
        <v/>
      </c>
      <c r="AE43" s="183"/>
      <c r="CP43" s="168"/>
      <c r="CQ43" s="168"/>
      <c r="CR43" s="187"/>
      <c r="CS43" s="168"/>
    </row>
    <row r="44" spans="2:97" s="166" customFormat="1" ht="15" customHeight="1">
      <c r="B44" s="182"/>
      <c r="C44" s="181">
        <f>Tournament!D45</f>
        <v>30</v>
      </c>
      <c r="D44" s="181" t="str">
        <f>Tournament!E45</f>
        <v>G</v>
      </c>
      <c r="E44" s="188">
        <f>Tournament!F45</f>
        <v>41812.791666666664</v>
      </c>
      <c r="F44" s="189">
        <f>Tournament!G45</f>
        <v>41812.791666666664</v>
      </c>
      <c r="G44" s="190" t="str">
        <f>Tournament!H45</f>
        <v>USA</v>
      </c>
      <c r="H44" s="180"/>
      <c r="I44" s="9"/>
      <c r="J44" s="191" t="s">
        <v>3088</v>
      </c>
      <c r="K44" s="9"/>
      <c r="L44" s="180"/>
      <c r="M44" s="180" t="str">
        <f>Tournament!N45</f>
        <v>Portugal</v>
      </c>
      <c r="N44" s="183"/>
      <c r="P44" s="192" t="str">
        <f t="shared" si="0"/>
        <v>USA</v>
      </c>
      <c r="Q44" s="193"/>
      <c r="R44" s="194" t="str">
        <f>IF(Tournament!J45&lt;&gt;"",Tournament!J45,"")</f>
        <v/>
      </c>
      <c r="S44" s="194" t="s">
        <v>3088</v>
      </c>
      <c r="T44" s="194" t="str">
        <f>IF(Tournament!L45&lt;&gt;"",Tournament!L45,"")</f>
        <v/>
      </c>
      <c r="U44" s="193"/>
      <c r="V44" s="193" t="str">
        <f t="shared" si="1"/>
        <v>Portugal</v>
      </c>
      <c r="W44" s="194"/>
      <c r="X44" s="194"/>
      <c r="Y44" s="194"/>
      <c r="Z44" s="194"/>
      <c r="AA44" s="194"/>
      <c r="AB44" s="194"/>
      <c r="AC44" s="194"/>
      <c r="AD44" s="195" t="str">
        <f>IF(AND(I44&lt;&gt;"",K44&lt;&gt;"",R44&lt;&gt;"",T44&lt;&gt;""),IF(AND(I44=R44,K44=T44),Setup!$D$10,IF((I44-K44)=(R44-T44),Setup!$D$11,IF(AND((I44&gt;K44),(R44&gt;T44)),Setup!$D$12,IF(AND((K44&gt;I44),(T44&gt;R44)),Setup!$D$12,0)))),"")</f>
        <v/>
      </c>
      <c r="AE44" s="183"/>
      <c r="CP44" s="168"/>
      <c r="CQ44" s="168"/>
      <c r="CR44" s="187"/>
      <c r="CS44" s="168"/>
    </row>
    <row r="45" spans="2:97" s="166" customFormat="1" ht="15" customHeight="1">
      <c r="B45" s="182"/>
      <c r="C45" s="181">
        <f>Tournament!D46</f>
        <v>31</v>
      </c>
      <c r="D45" s="181" t="str">
        <f>Tournament!E46</f>
        <v>H</v>
      </c>
      <c r="E45" s="188">
        <f>Tournament!F46</f>
        <v>41812.541666666664</v>
      </c>
      <c r="F45" s="189">
        <f>Tournament!G46</f>
        <v>41812.541666666664</v>
      </c>
      <c r="G45" s="190" t="str">
        <f>Tournament!H46</f>
        <v>Belgium</v>
      </c>
      <c r="H45" s="180"/>
      <c r="I45" s="9"/>
      <c r="J45" s="191" t="s">
        <v>3088</v>
      </c>
      <c r="K45" s="9"/>
      <c r="L45" s="180"/>
      <c r="M45" s="180" t="str">
        <f>Tournament!N46</f>
        <v>Russia</v>
      </c>
      <c r="N45" s="183"/>
      <c r="P45" s="192" t="str">
        <f t="shared" si="0"/>
        <v>Belgium</v>
      </c>
      <c r="Q45" s="193"/>
      <c r="R45" s="194" t="str">
        <f>IF(Tournament!J46&lt;&gt;"",Tournament!J46,"")</f>
        <v/>
      </c>
      <c r="S45" s="194" t="s">
        <v>3088</v>
      </c>
      <c r="T45" s="194" t="str">
        <f>IF(Tournament!L46&lt;&gt;"",Tournament!L46,"")</f>
        <v/>
      </c>
      <c r="U45" s="193"/>
      <c r="V45" s="193" t="str">
        <f t="shared" si="1"/>
        <v>Russia</v>
      </c>
      <c r="W45" s="194"/>
      <c r="X45" s="194"/>
      <c r="Y45" s="194"/>
      <c r="Z45" s="194"/>
      <c r="AA45" s="194"/>
      <c r="AB45" s="194"/>
      <c r="AC45" s="194"/>
      <c r="AD45" s="195" t="str">
        <f>IF(AND(I45&lt;&gt;"",K45&lt;&gt;"",R45&lt;&gt;"",T45&lt;&gt;""),IF(AND(I45=R45,K45=T45),Setup!$D$10,IF((I45-K45)=(R45-T45),Setup!$D$11,IF(AND((I45&gt;K45),(R45&gt;T45)),Setup!$D$12,IF(AND((K45&gt;I45),(T45&gt;R45)),Setup!$D$12,0)))),"")</f>
        <v/>
      </c>
      <c r="AE45" s="183"/>
      <c r="CP45" s="168"/>
      <c r="CQ45" s="168"/>
      <c r="CR45" s="187"/>
      <c r="CS45" s="168"/>
    </row>
    <row r="46" spans="2:97" s="166" customFormat="1" ht="15" customHeight="1">
      <c r="B46" s="182"/>
      <c r="C46" s="181">
        <f>Tournament!D47</f>
        <v>32</v>
      </c>
      <c r="D46" s="181" t="str">
        <f>Tournament!E47</f>
        <v>H</v>
      </c>
      <c r="E46" s="188">
        <f>Tournament!F47</f>
        <v>41812.666666666664</v>
      </c>
      <c r="F46" s="189">
        <f>Tournament!G47</f>
        <v>41812.666666666664</v>
      </c>
      <c r="G46" s="190" t="str">
        <f>Tournament!H47</f>
        <v>South Korea</v>
      </c>
      <c r="H46" s="180"/>
      <c r="I46" s="9"/>
      <c r="J46" s="191" t="s">
        <v>3088</v>
      </c>
      <c r="K46" s="9"/>
      <c r="L46" s="180"/>
      <c r="M46" s="180" t="str">
        <f>Tournament!N47</f>
        <v>Algeria</v>
      </c>
      <c r="N46" s="183"/>
      <c r="P46" s="192" t="str">
        <f t="shared" si="0"/>
        <v>South Korea</v>
      </c>
      <c r="Q46" s="193"/>
      <c r="R46" s="194" t="str">
        <f>IF(Tournament!J47&lt;&gt;"",Tournament!J47,"")</f>
        <v/>
      </c>
      <c r="S46" s="194" t="s">
        <v>3088</v>
      </c>
      <c r="T46" s="194" t="str">
        <f>IF(Tournament!L47&lt;&gt;"",Tournament!L47,"")</f>
        <v/>
      </c>
      <c r="U46" s="193"/>
      <c r="V46" s="193" t="str">
        <f t="shared" si="1"/>
        <v>Algeria</v>
      </c>
      <c r="W46" s="194"/>
      <c r="X46" s="194"/>
      <c r="Y46" s="194"/>
      <c r="Z46" s="194"/>
      <c r="AA46" s="194"/>
      <c r="AB46" s="194"/>
      <c r="AC46" s="194"/>
      <c r="AD46" s="195" t="str">
        <f>IF(AND(I46&lt;&gt;"",K46&lt;&gt;"",R46&lt;&gt;"",T46&lt;&gt;""),IF(AND(I46=R46,K46=T46),Setup!$D$10,IF((I46-K46)=(R46-T46),Setup!$D$11,IF(AND((I46&gt;K46),(R46&gt;T46)),Setup!$D$12,IF(AND((K46&gt;I46),(T46&gt;R46)),Setup!$D$12,0)))),"")</f>
        <v/>
      </c>
      <c r="AE46" s="183"/>
      <c r="CP46" s="168"/>
      <c r="CQ46" s="168"/>
      <c r="CR46" s="187"/>
      <c r="CS46" s="168"/>
    </row>
    <row r="47" spans="2:97" s="166" customFormat="1" ht="15" customHeight="1">
      <c r="B47" s="182"/>
      <c r="C47" s="181">
        <f>Tournament!D48</f>
        <v>33</v>
      </c>
      <c r="D47" s="181" t="str">
        <f>Tournament!E48</f>
        <v>A</v>
      </c>
      <c r="E47" s="188">
        <f>Tournament!F48</f>
        <v>41813.708333333336</v>
      </c>
      <c r="F47" s="189">
        <f>Tournament!G48</f>
        <v>41813.708333333336</v>
      </c>
      <c r="G47" s="190" t="str">
        <f>Tournament!H48</f>
        <v>Cameroon</v>
      </c>
      <c r="H47" s="180"/>
      <c r="I47" s="9"/>
      <c r="J47" s="191" t="s">
        <v>3088</v>
      </c>
      <c r="K47" s="9"/>
      <c r="L47" s="180"/>
      <c r="M47" s="180" t="str">
        <f>Tournament!N48</f>
        <v>Brazil</v>
      </c>
      <c r="N47" s="183"/>
      <c r="P47" s="192" t="str">
        <f t="shared" si="0"/>
        <v>Cameroon</v>
      </c>
      <c r="Q47" s="193"/>
      <c r="R47" s="194" t="str">
        <f>IF(Tournament!J48&lt;&gt;"",Tournament!J48,"")</f>
        <v/>
      </c>
      <c r="S47" s="194" t="s">
        <v>3088</v>
      </c>
      <c r="T47" s="194" t="str">
        <f>IF(Tournament!L48&lt;&gt;"",Tournament!L48,"")</f>
        <v/>
      </c>
      <c r="U47" s="193"/>
      <c r="V47" s="193" t="str">
        <f t="shared" si="1"/>
        <v>Brazil</v>
      </c>
      <c r="W47" s="194"/>
      <c r="X47" s="194"/>
      <c r="Y47" s="194"/>
      <c r="Z47" s="194"/>
      <c r="AA47" s="194"/>
      <c r="AB47" s="194"/>
      <c r="AC47" s="194"/>
      <c r="AD47" s="195" t="str">
        <f>IF(AND(I47&lt;&gt;"",K47&lt;&gt;"",R47&lt;&gt;"",T47&lt;&gt;""),IF(AND(I47=R47,K47=T47),Setup!$D$10,IF((I47-K47)=(R47-T47),Setup!$D$11,IF(AND((I47&gt;K47),(R47&gt;T47)),Setup!$D$12,IF(AND((K47&gt;I47),(T47&gt;R47)),Setup!$D$12,0)))),"")</f>
        <v/>
      </c>
      <c r="AE47" s="183"/>
      <c r="CP47" s="168"/>
      <c r="CQ47" s="168"/>
      <c r="CR47" s="187"/>
      <c r="CS47" s="168"/>
    </row>
    <row r="48" spans="2:97" s="166" customFormat="1" ht="15" customHeight="1">
      <c r="B48" s="182"/>
      <c r="C48" s="181">
        <f>Tournament!D49</f>
        <v>34</v>
      </c>
      <c r="D48" s="181" t="str">
        <f>Tournament!E49</f>
        <v>A</v>
      </c>
      <c r="E48" s="188">
        <f>Tournament!F49</f>
        <v>41813.708333333336</v>
      </c>
      <c r="F48" s="189">
        <f>Tournament!G49</f>
        <v>41813.708333333336</v>
      </c>
      <c r="G48" s="190" t="str">
        <f>Tournament!H49</f>
        <v>Croatia</v>
      </c>
      <c r="H48" s="180"/>
      <c r="I48" s="9"/>
      <c r="J48" s="191" t="s">
        <v>3088</v>
      </c>
      <c r="K48" s="9"/>
      <c r="L48" s="180"/>
      <c r="M48" s="180" t="str">
        <f>Tournament!N49</f>
        <v>Mexico</v>
      </c>
      <c r="N48" s="183"/>
      <c r="P48" s="192" t="str">
        <f t="shared" si="0"/>
        <v>Croatia</v>
      </c>
      <c r="Q48" s="193"/>
      <c r="R48" s="194" t="str">
        <f>IF(Tournament!J49&lt;&gt;"",Tournament!J49,"")</f>
        <v/>
      </c>
      <c r="S48" s="194" t="s">
        <v>3088</v>
      </c>
      <c r="T48" s="194" t="str">
        <f>IF(Tournament!L49&lt;&gt;"",Tournament!L49,"")</f>
        <v/>
      </c>
      <c r="U48" s="193"/>
      <c r="V48" s="193" t="str">
        <f t="shared" si="1"/>
        <v>Mexico</v>
      </c>
      <c r="W48" s="194"/>
      <c r="X48" s="194"/>
      <c r="Y48" s="194"/>
      <c r="Z48" s="194"/>
      <c r="AA48" s="194"/>
      <c r="AB48" s="194"/>
      <c r="AC48" s="194"/>
      <c r="AD48" s="195" t="str">
        <f>IF(AND(I48&lt;&gt;"",K48&lt;&gt;"",R48&lt;&gt;"",T48&lt;&gt;""),IF(AND(I48=R48,K48=T48),Setup!$D$10,IF((I48-K48)=(R48-T48),Setup!$D$11,IF(AND((I48&gt;K48),(R48&gt;T48)),Setup!$D$12,IF(AND((K48&gt;I48),(T48&gt;R48)),Setup!$D$12,0)))),"")</f>
        <v/>
      </c>
      <c r="AE48" s="183"/>
      <c r="CP48" s="168"/>
      <c r="CQ48" s="168"/>
      <c r="CR48" s="187"/>
      <c r="CS48" s="168"/>
    </row>
    <row r="49" spans="2:97" s="166" customFormat="1" ht="15" customHeight="1">
      <c r="B49" s="182"/>
      <c r="C49" s="181">
        <f>Tournament!D50</f>
        <v>35</v>
      </c>
      <c r="D49" s="181" t="str">
        <f>Tournament!E50</f>
        <v>B</v>
      </c>
      <c r="E49" s="188">
        <f>Tournament!F50</f>
        <v>41813.541666666664</v>
      </c>
      <c r="F49" s="189">
        <f>Tournament!G50</f>
        <v>41813.541666666664</v>
      </c>
      <c r="G49" s="190" t="str">
        <f>Tournament!H50</f>
        <v>Australia</v>
      </c>
      <c r="H49" s="180"/>
      <c r="I49" s="9"/>
      <c r="J49" s="191" t="s">
        <v>3088</v>
      </c>
      <c r="K49" s="9"/>
      <c r="L49" s="180"/>
      <c r="M49" s="180" t="str">
        <f>Tournament!N50</f>
        <v>Spain</v>
      </c>
      <c r="N49" s="183"/>
      <c r="P49" s="192" t="str">
        <f t="shared" si="0"/>
        <v>Australia</v>
      </c>
      <c r="Q49" s="193"/>
      <c r="R49" s="194" t="str">
        <f>IF(Tournament!J50&lt;&gt;"",Tournament!J50,"")</f>
        <v/>
      </c>
      <c r="S49" s="194" t="s">
        <v>3088</v>
      </c>
      <c r="T49" s="194" t="str">
        <f>IF(Tournament!L50&lt;&gt;"",Tournament!L50,"")</f>
        <v/>
      </c>
      <c r="U49" s="193"/>
      <c r="V49" s="193" t="str">
        <f t="shared" si="1"/>
        <v>Spain</v>
      </c>
      <c r="W49" s="194"/>
      <c r="X49" s="194"/>
      <c r="Y49" s="194"/>
      <c r="Z49" s="194"/>
      <c r="AA49" s="194"/>
      <c r="AB49" s="194"/>
      <c r="AC49" s="194"/>
      <c r="AD49" s="195" t="str">
        <f>IF(AND(I49&lt;&gt;"",K49&lt;&gt;"",R49&lt;&gt;"",T49&lt;&gt;""),IF(AND(I49=R49,K49=T49),Setup!$D$10,IF((I49-K49)=(R49-T49),Setup!$D$11,IF(AND((I49&gt;K49),(R49&gt;T49)),Setup!$D$12,IF(AND((K49&gt;I49),(T49&gt;R49)),Setup!$D$12,0)))),"")</f>
        <v/>
      </c>
      <c r="AE49" s="183"/>
      <c r="CP49" s="168"/>
      <c r="CQ49" s="168"/>
      <c r="CR49" s="187"/>
      <c r="CS49" s="168"/>
    </row>
    <row r="50" spans="2:97" s="166" customFormat="1" ht="15" customHeight="1">
      <c r="B50" s="182"/>
      <c r="C50" s="181">
        <f>Tournament!D51</f>
        <v>36</v>
      </c>
      <c r="D50" s="181" t="str">
        <f>Tournament!E51</f>
        <v>B</v>
      </c>
      <c r="E50" s="188">
        <f>Tournament!F51</f>
        <v>41813.541666666664</v>
      </c>
      <c r="F50" s="189">
        <f>Tournament!G51</f>
        <v>41813.541666666664</v>
      </c>
      <c r="G50" s="190" t="str">
        <f>Tournament!H51</f>
        <v>Netherlands</v>
      </c>
      <c r="H50" s="180"/>
      <c r="I50" s="9"/>
      <c r="J50" s="191" t="s">
        <v>3088</v>
      </c>
      <c r="K50" s="9"/>
      <c r="L50" s="180"/>
      <c r="M50" s="180" t="str">
        <f>Tournament!N51</f>
        <v>Chile</v>
      </c>
      <c r="N50" s="183"/>
      <c r="P50" s="192" t="str">
        <f t="shared" si="0"/>
        <v>Netherlands</v>
      </c>
      <c r="Q50" s="193"/>
      <c r="R50" s="194" t="str">
        <f>IF(Tournament!J51&lt;&gt;"",Tournament!J51,"")</f>
        <v/>
      </c>
      <c r="S50" s="194" t="s">
        <v>3088</v>
      </c>
      <c r="T50" s="194" t="str">
        <f>IF(Tournament!L51&lt;&gt;"",Tournament!L51,"")</f>
        <v/>
      </c>
      <c r="U50" s="193"/>
      <c r="V50" s="193" t="str">
        <f t="shared" si="1"/>
        <v>Chile</v>
      </c>
      <c r="W50" s="194"/>
      <c r="X50" s="194"/>
      <c r="Y50" s="194"/>
      <c r="Z50" s="194"/>
      <c r="AA50" s="194"/>
      <c r="AB50" s="194"/>
      <c r="AC50" s="194"/>
      <c r="AD50" s="195" t="str">
        <f>IF(AND(I50&lt;&gt;"",K50&lt;&gt;"",R50&lt;&gt;"",T50&lt;&gt;""),IF(AND(I50=R50,K50=T50),Setup!$D$10,IF((I50-K50)=(R50-T50),Setup!$D$11,IF(AND((I50&gt;K50),(R50&gt;T50)),Setup!$D$12,IF(AND((K50&gt;I50),(T50&gt;R50)),Setup!$D$12,0)))),"")</f>
        <v/>
      </c>
      <c r="AE50" s="183"/>
      <c r="CP50" s="168"/>
      <c r="CQ50" s="168"/>
      <c r="CR50" s="187"/>
      <c r="CS50" s="168"/>
    </row>
    <row r="51" spans="2:97" s="166" customFormat="1" ht="15" customHeight="1">
      <c r="B51" s="182"/>
      <c r="C51" s="181">
        <f>Tournament!D52</f>
        <v>37</v>
      </c>
      <c r="D51" s="181" t="str">
        <f>Tournament!E52</f>
        <v>C</v>
      </c>
      <c r="E51" s="188">
        <f>Tournament!F52</f>
        <v>41814.708333333336</v>
      </c>
      <c r="F51" s="189">
        <f>Tournament!G52</f>
        <v>41814.708333333336</v>
      </c>
      <c r="G51" s="190" t="str">
        <f>Tournament!H52</f>
        <v>Japan</v>
      </c>
      <c r="H51" s="180"/>
      <c r="I51" s="9"/>
      <c r="J51" s="191" t="s">
        <v>3088</v>
      </c>
      <c r="K51" s="9"/>
      <c r="L51" s="180"/>
      <c r="M51" s="180" t="str">
        <f>Tournament!N52</f>
        <v>Colombia</v>
      </c>
      <c r="N51" s="183"/>
      <c r="P51" s="192" t="str">
        <f t="shared" si="0"/>
        <v>Japan</v>
      </c>
      <c r="Q51" s="193"/>
      <c r="R51" s="194" t="str">
        <f>IF(Tournament!J52&lt;&gt;"",Tournament!J52,"")</f>
        <v/>
      </c>
      <c r="S51" s="194" t="s">
        <v>3088</v>
      </c>
      <c r="T51" s="194" t="str">
        <f>IF(Tournament!L52&lt;&gt;"",Tournament!L52,"")</f>
        <v/>
      </c>
      <c r="U51" s="193"/>
      <c r="V51" s="193" t="str">
        <f t="shared" si="1"/>
        <v>Colombia</v>
      </c>
      <c r="W51" s="194"/>
      <c r="X51" s="194"/>
      <c r="Y51" s="194"/>
      <c r="Z51" s="194"/>
      <c r="AA51" s="194"/>
      <c r="AB51" s="194"/>
      <c r="AC51" s="194"/>
      <c r="AD51" s="195" t="str">
        <f>IF(AND(I51&lt;&gt;"",K51&lt;&gt;"",R51&lt;&gt;"",T51&lt;&gt;""),IF(AND(I51=R51,K51=T51),Setup!$D$10,IF((I51-K51)=(R51-T51),Setup!$D$11,IF(AND((I51&gt;K51),(R51&gt;T51)),Setup!$D$12,IF(AND((K51&gt;I51),(T51&gt;R51)),Setup!$D$12,0)))),"")</f>
        <v/>
      </c>
      <c r="AE51" s="183"/>
      <c r="CP51" s="168"/>
      <c r="CQ51" s="168"/>
      <c r="CR51" s="187"/>
      <c r="CS51" s="168"/>
    </row>
    <row r="52" spans="2:97" s="166" customFormat="1" ht="15" customHeight="1">
      <c r="B52" s="182"/>
      <c r="C52" s="181">
        <f>Tournament!D53</f>
        <v>38</v>
      </c>
      <c r="D52" s="181" t="str">
        <f>Tournament!E53</f>
        <v>C</v>
      </c>
      <c r="E52" s="188">
        <f>Tournament!F53</f>
        <v>41814.708333333336</v>
      </c>
      <c r="F52" s="189">
        <f>Tournament!G53</f>
        <v>41814.708333333336</v>
      </c>
      <c r="G52" s="190" t="str">
        <f>Tournament!H53</f>
        <v>Greece</v>
      </c>
      <c r="H52" s="180"/>
      <c r="I52" s="9"/>
      <c r="J52" s="191" t="s">
        <v>3088</v>
      </c>
      <c r="K52" s="9"/>
      <c r="L52" s="180"/>
      <c r="M52" s="180" t="str">
        <f>Tournament!N53</f>
        <v>Ivory Coast</v>
      </c>
      <c r="N52" s="183"/>
      <c r="P52" s="192" t="str">
        <f t="shared" si="0"/>
        <v>Greece</v>
      </c>
      <c r="Q52" s="193"/>
      <c r="R52" s="194" t="str">
        <f>IF(Tournament!J53&lt;&gt;"",Tournament!J53,"")</f>
        <v/>
      </c>
      <c r="S52" s="194" t="s">
        <v>3088</v>
      </c>
      <c r="T52" s="194" t="str">
        <f>IF(Tournament!L53&lt;&gt;"",Tournament!L53,"")</f>
        <v/>
      </c>
      <c r="U52" s="193"/>
      <c r="V52" s="193" t="str">
        <f t="shared" si="1"/>
        <v>Ivory Coast</v>
      </c>
      <c r="W52" s="194"/>
      <c r="X52" s="194"/>
      <c r="Y52" s="194"/>
      <c r="Z52" s="194"/>
      <c r="AA52" s="194"/>
      <c r="AB52" s="194"/>
      <c r="AC52" s="194"/>
      <c r="AD52" s="195" t="str">
        <f>IF(AND(I52&lt;&gt;"",K52&lt;&gt;"",R52&lt;&gt;"",T52&lt;&gt;""),IF(AND(I52=R52,K52=T52),Setup!$D$10,IF((I52-K52)=(R52-T52),Setup!$D$11,IF(AND((I52&gt;K52),(R52&gt;T52)),Setup!$D$12,IF(AND((K52&gt;I52),(T52&gt;R52)),Setup!$D$12,0)))),"")</f>
        <v/>
      </c>
      <c r="AE52" s="183"/>
      <c r="CP52" s="168"/>
      <c r="CQ52" s="168"/>
      <c r="CR52" s="187"/>
      <c r="CS52" s="168"/>
    </row>
    <row r="53" spans="2:97" s="166" customFormat="1" ht="15" customHeight="1">
      <c r="B53" s="182"/>
      <c r="C53" s="181">
        <f>Tournament!D54</f>
        <v>39</v>
      </c>
      <c r="D53" s="181" t="str">
        <f>Tournament!E54</f>
        <v>D</v>
      </c>
      <c r="E53" s="188">
        <f>Tournament!F54</f>
        <v>41814.541666666664</v>
      </c>
      <c r="F53" s="189">
        <f>Tournament!G54</f>
        <v>41814.541666666664</v>
      </c>
      <c r="G53" s="190" t="str">
        <f>Tournament!H54</f>
        <v>Italy</v>
      </c>
      <c r="H53" s="180"/>
      <c r="I53" s="9"/>
      <c r="J53" s="191" t="s">
        <v>3088</v>
      </c>
      <c r="K53" s="9"/>
      <c r="L53" s="180"/>
      <c r="M53" s="180" t="str">
        <f>Tournament!N54</f>
        <v>Uruguay</v>
      </c>
      <c r="N53" s="183"/>
      <c r="P53" s="192" t="str">
        <f t="shared" si="0"/>
        <v>Italy</v>
      </c>
      <c r="Q53" s="193"/>
      <c r="R53" s="194" t="str">
        <f>IF(Tournament!J54&lt;&gt;"",Tournament!J54,"")</f>
        <v/>
      </c>
      <c r="S53" s="194" t="s">
        <v>3088</v>
      </c>
      <c r="T53" s="194" t="str">
        <f>IF(Tournament!L54&lt;&gt;"",Tournament!L54,"")</f>
        <v/>
      </c>
      <c r="U53" s="193"/>
      <c r="V53" s="193" t="str">
        <f t="shared" si="1"/>
        <v>Uruguay</v>
      </c>
      <c r="W53" s="194"/>
      <c r="X53" s="194"/>
      <c r="Y53" s="194"/>
      <c r="Z53" s="194"/>
      <c r="AA53" s="194"/>
      <c r="AB53" s="194"/>
      <c r="AC53" s="194"/>
      <c r="AD53" s="195" t="str">
        <f>IF(AND(I53&lt;&gt;"",K53&lt;&gt;"",R53&lt;&gt;"",T53&lt;&gt;""),IF(AND(I53=R53,K53=T53),Setup!$D$10,IF((I53-K53)=(R53-T53),Setup!$D$11,IF(AND((I53&gt;K53),(R53&gt;T53)),Setup!$D$12,IF(AND((K53&gt;I53),(T53&gt;R53)),Setup!$D$12,0)))),"")</f>
        <v/>
      </c>
      <c r="AE53" s="183"/>
      <c r="CP53" s="168"/>
      <c r="CQ53" s="168"/>
      <c r="CR53" s="187"/>
      <c r="CS53" s="168"/>
    </row>
    <row r="54" spans="2:97" s="166" customFormat="1" ht="15" customHeight="1">
      <c r="B54" s="182"/>
      <c r="C54" s="181">
        <f>Tournament!D55</f>
        <v>40</v>
      </c>
      <c r="D54" s="181" t="str">
        <f>Tournament!E55</f>
        <v>D</v>
      </c>
      <c r="E54" s="188">
        <f>Tournament!F55</f>
        <v>41814.541666666664</v>
      </c>
      <c r="F54" s="189">
        <f>Tournament!G55</f>
        <v>41814.541666666664</v>
      </c>
      <c r="G54" s="190" t="str">
        <f>Tournament!H55</f>
        <v>Costa Rica</v>
      </c>
      <c r="H54" s="180"/>
      <c r="I54" s="9"/>
      <c r="J54" s="191" t="s">
        <v>3088</v>
      </c>
      <c r="K54" s="9"/>
      <c r="L54" s="180"/>
      <c r="M54" s="180" t="str">
        <f>Tournament!N55</f>
        <v>England</v>
      </c>
      <c r="N54" s="183"/>
      <c r="P54" s="192" t="str">
        <f t="shared" si="0"/>
        <v>Costa Rica</v>
      </c>
      <c r="Q54" s="193"/>
      <c r="R54" s="194" t="str">
        <f>IF(Tournament!J55&lt;&gt;"",Tournament!J55,"")</f>
        <v/>
      </c>
      <c r="S54" s="194" t="s">
        <v>3088</v>
      </c>
      <c r="T54" s="194" t="str">
        <f>IF(Tournament!L55&lt;&gt;"",Tournament!L55,"")</f>
        <v/>
      </c>
      <c r="U54" s="193"/>
      <c r="V54" s="193" t="str">
        <f t="shared" si="1"/>
        <v>England</v>
      </c>
      <c r="W54" s="194"/>
      <c r="X54" s="194"/>
      <c r="Y54" s="194"/>
      <c r="Z54" s="194"/>
      <c r="AA54" s="194"/>
      <c r="AB54" s="194"/>
      <c r="AC54" s="194"/>
      <c r="AD54" s="195" t="str">
        <f>IF(AND(I54&lt;&gt;"",K54&lt;&gt;"",R54&lt;&gt;"",T54&lt;&gt;""),IF(AND(I54=R54,K54=T54),Setup!$D$10,IF((I54-K54)=(R54-T54),Setup!$D$11,IF(AND((I54&gt;K54),(R54&gt;T54)),Setup!$D$12,IF(AND((K54&gt;I54),(T54&gt;R54)),Setup!$D$12,0)))),"")</f>
        <v/>
      </c>
      <c r="AE54" s="183"/>
      <c r="CP54" s="168"/>
      <c r="CQ54" s="168"/>
      <c r="CR54" s="187"/>
      <c r="CS54" s="168"/>
    </row>
    <row r="55" spans="2:97" s="166" customFormat="1" ht="15" customHeight="1">
      <c r="B55" s="182"/>
      <c r="C55" s="181">
        <f>Tournament!D56</f>
        <v>41</v>
      </c>
      <c r="D55" s="181" t="str">
        <f>Tournament!E56</f>
        <v>E</v>
      </c>
      <c r="E55" s="188">
        <f>Tournament!F56</f>
        <v>41815.708333333336</v>
      </c>
      <c r="F55" s="189">
        <f>Tournament!G56</f>
        <v>41815.708333333336</v>
      </c>
      <c r="G55" s="190" t="str">
        <f>Tournament!H56</f>
        <v>Honduras</v>
      </c>
      <c r="H55" s="180"/>
      <c r="I55" s="9"/>
      <c r="J55" s="191" t="s">
        <v>3088</v>
      </c>
      <c r="K55" s="9"/>
      <c r="L55" s="180"/>
      <c r="M55" s="180" t="str">
        <f>Tournament!N56</f>
        <v>Switzerland</v>
      </c>
      <c r="N55" s="183"/>
      <c r="P55" s="192" t="str">
        <f t="shared" si="0"/>
        <v>Honduras</v>
      </c>
      <c r="Q55" s="193"/>
      <c r="R55" s="194" t="str">
        <f>IF(Tournament!J56&lt;&gt;"",Tournament!J56,"")</f>
        <v/>
      </c>
      <c r="S55" s="194" t="s">
        <v>3088</v>
      </c>
      <c r="T55" s="194" t="str">
        <f>IF(Tournament!L56&lt;&gt;"",Tournament!L56,"")</f>
        <v/>
      </c>
      <c r="U55" s="193"/>
      <c r="V55" s="193" t="str">
        <f t="shared" si="1"/>
        <v>Switzerland</v>
      </c>
      <c r="W55" s="194"/>
      <c r="X55" s="194"/>
      <c r="Y55" s="194"/>
      <c r="Z55" s="194"/>
      <c r="AA55" s="194"/>
      <c r="AB55" s="194"/>
      <c r="AC55" s="194"/>
      <c r="AD55" s="195" t="str">
        <f>IF(AND(I55&lt;&gt;"",K55&lt;&gt;"",R55&lt;&gt;"",T55&lt;&gt;""),IF(AND(I55=R55,K55=T55),Setup!$D$10,IF((I55-K55)=(R55-T55),Setup!$D$11,IF(AND((I55&gt;K55),(R55&gt;T55)),Setup!$D$12,IF(AND((K55&gt;I55),(T55&gt;R55)),Setup!$D$12,0)))),"")</f>
        <v/>
      </c>
      <c r="AE55" s="183"/>
      <c r="CP55" s="168"/>
      <c r="CQ55" s="168"/>
      <c r="CR55" s="187"/>
      <c r="CS55" s="168"/>
    </row>
    <row r="56" spans="2:97" s="166" customFormat="1" ht="15" customHeight="1">
      <c r="B56" s="182"/>
      <c r="C56" s="181">
        <f>Tournament!D57</f>
        <v>42</v>
      </c>
      <c r="D56" s="181" t="str">
        <f>Tournament!E57</f>
        <v>E</v>
      </c>
      <c r="E56" s="188">
        <f>Tournament!F57</f>
        <v>41815.708333333336</v>
      </c>
      <c r="F56" s="189">
        <f>Tournament!G57</f>
        <v>41815.708333333336</v>
      </c>
      <c r="G56" s="190" t="str">
        <f>Tournament!H57</f>
        <v>Ecuador</v>
      </c>
      <c r="H56" s="180"/>
      <c r="I56" s="9"/>
      <c r="J56" s="191" t="s">
        <v>3088</v>
      </c>
      <c r="K56" s="9"/>
      <c r="L56" s="180"/>
      <c r="M56" s="180" t="str">
        <f>Tournament!N57</f>
        <v>France</v>
      </c>
      <c r="N56" s="183"/>
      <c r="P56" s="192" t="str">
        <f t="shared" si="0"/>
        <v>Ecuador</v>
      </c>
      <c r="Q56" s="193"/>
      <c r="R56" s="194" t="str">
        <f>IF(Tournament!J57&lt;&gt;"",Tournament!J57,"")</f>
        <v/>
      </c>
      <c r="S56" s="194" t="s">
        <v>3088</v>
      </c>
      <c r="T56" s="194" t="str">
        <f>IF(Tournament!L57&lt;&gt;"",Tournament!L57,"")</f>
        <v/>
      </c>
      <c r="U56" s="193"/>
      <c r="V56" s="193" t="str">
        <f t="shared" si="1"/>
        <v>France</v>
      </c>
      <c r="W56" s="194"/>
      <c r="X56" s="194"/>
      <c r="Y56" s="194"/>
      <c r="Z56" s="194"/>
      <c r="AA56" s="194"/>
      <c r="AB56" s="194"/>
      <c r="AC56" s="194"/>
      <c r="AD56" s="195" t="str">
        <f>IF(AND(I56&lt;&gt;"",K56&lt;&gt;"",R56&lt;&gt;"",T56&lt;&gt;""),IF(AND(I56=R56,K56=T56),Setup!$D$10,IF((I56-K56)=(R56-T56),Setup!$D$11,IF(AND((I56&gt;K56),(R56&gt;T56)),Setup!$D$12,IF(AND((K56&gt;I56),(T56&gt;R56)),Setup!$D$12,0)))),"")</f>
        <v/>
      </c>
      <c r="AE56" s="183"/>
      <c r="CP56" s="168"/>
      <c r="CQ56" s="168"/>
      <c r="CR56" s="187"/>
      <c r="CS56" s="168"/>
    </row>
    <row r="57" spans="2:97" s="166" customFormat="1" ht="15" customHeight="1">
      <c r="B57" s="182"/>
      <c r="C57" s="181">
        <f>Tournament!D58</f>
        <v>43</v>
      </c>
      <c r="D57" s="181" t="str">
        <f>Tournament!E58</f>
        <v>F</v>
      </c>
      <c r="E57" s="188">
        <f>Tournament!F58</f>
        <v>41815.541666666664</v>
      </c>
      <c r="F57" s="189">
        <f>Tournament!G58</f>
        <v>41815.541666666664</v>
      </c>
      <c r="G57" s="190" t="str">
        <f>Tournament!H58</f>
        <v>Nigeria</v>
      </c>
      <c r="H57" s="180"/>
      <c r="I57" s="9"/>
      <c r="J57" s="191" t="s">
        <v>3088</v>
      </c>
      <c r="K57" s="9"/>
      <c r="L57" s="180"/>
      <c r="M57" s="180" t="str">
        <f>Tournament!N58</f>
        <v>Argentina</v>
      </c>
      <c r="N57" s="183"/>
      <c r="P57" s="192" t="str">
        <f t="shared" si="0"/>
        <v>Nigeria</v>
      </c>
      <c r="Q57" s="193"/>
      <c r="R57" s="194" t="str">
        <f>IF(Tournament!J58&lt;&gt;"",Tournament!J58,"")</f>
        <v/>
      </c>
      <c r="S57" s="194" t="s">
        <v>3088</v>
      </c>
      <c r="T57" s="194" t="str">
        <f>IF(Tournament!L58&lt;&gt;"",Tournament!L58,"")</f>
        <v/>
      </c>
      <c r="U57" s="193"/>
      <c r="V57" s="193" t="str">
        <f t="shared" si="1"/>
        <v>Argentina</v>
      </c>
      <c r="W57" s="194"/>
      <c r="X57" s="194"/>
      <c r="Y57" s="194"/>
      <c r="Z57" s="194"/>
      <c r="AA57" s="194"/>
      <c r="AB57" s="194"/>
      <c r="AC57" s="194"/>
      <c r="AD57" s="195" t="str">
        <f>IF(AND(I57&lt;&gt;"",K57&lt;&gt;"",R57&lt;&gt;"",T57&lt;&gt;""),IF(AND(I57=R57,K57=T57),Setup!$D$10,IF((I57-K57)=(R57-T57),Setup!$D$11,IF(AND((I57&gt;K57),(R57&gt;T57)),Setup!$D$12,IF(AND((K57&gt;I57),(T57&gt;R57)),Setup!$D$12,0)))),"")</f>
        <v/>
      </c>
      <c r="AE57" s="183"/>
      <c r="CP57" s="168"/>
      <c r="CQ57" s="168"/>
      <c r="CR57" s="187"/>
      <c r="CS57" s="168"/>
    </row>
    <row r="58" spans="2:97" s="166" customFormat="1" ht="15" customHeight="1">
      <c r="B58" s="182"/>
      <c r="C58" s="181">
        <f>Tournament!D59</f>
        <v>44</v>
      </c>
      <c r="D58" s="181" t="str">
        <f>Tournament!E59</f>
        <v>F</v>
      </c>
      <c r="E58" s="188">
        <f>Tournament!F59</f>
        <v>41815.541666666664</v>
      </c>
      <c r="F58" s="189">
        <f>Tournament!G59</f>
        <v>41815.541666666664</v>
      </c>
      <c r="G58" s="190" t="str">
        <f>Tournament!H59</f>
        <v>Bosnia-Herzegovina</v>
      </c>
      <c r="H58" s="180"/>
      <c r="I58" s="9"/>
      <c r="J58" s="191" t="s">
        <v>3088</v>
      </c>
      <c r="K58" s="9"/>
      <c r="L58" s="180"/>
      <c r="M58" s="180" t="str">
        <f>Tournament!N59</f>
        <v>Iran</v>
      </c>
      <c r="N58" s="183"/>
      <c r="P58" s="192" t="str">
        <f t="shared" si="0"/>
        <v>Bosnia-Herzegovina</v>
      </c>
      <c r="Q58" s="193"/>
      <c r="R58" s="194" t="str">
        <f>IF(Tournament!J59&lt;&gt;"",Tournament!J59,"")</f>
        <v/>
      </c>
      <c r="S58" s="194" t="s">
        <v>3088</v>
      </c>
      <c r="T58" s="194" t="str">
        <f>IF(Tournament!L59&lt;&gt;"",Tournament!L59,"")</f>
        <v/>
      </c>
      <c r="U58" s="193"/>
      <c r="V58" s="193" t="str">
        <f t="shared" si="1"/>
        <v>Iran</v>
      </c>
      <c r="W58" s="194"/>
      <c r="X58" s="194"/>
      <c r="Y58" s="194"/>
      <c r="Z58" s="194"/>
      <c r="AA58" s="194"/>
      <c r="AB58" s="194"/>
      <c r="AC58" s="194"/>
      <c r="AD58" s="195" t="str">
        <f>IF(AND(I58&lt;&gt;"",K58&lt;&gt;"",R58&lt;&gt;"",T58&lt;&gt;""),IF(AND(I58=R58,K58=T58),Setup!$D$10,IF((I58-K58)=(R58-T58),Setup!$D$11,IF(AND((I58&gt;K58),(R58&gt;T58)),Setup!$D$12,IF(AND((K58&gt;I58),(T58&gt;R58)),Setup!$D$12,0)))),"")</f>
        <v/>
      </c>
      <c r="AE58" s="183"/>
      <c r="CP58" s="168"/>
      <c r="CQ58" s="168"/>
      <c r="CR58" s="187"/>
      <c r="CS58" s="168"/>
    </row>
    <row r="59" spans="2:97" s="166" customFormat="1" ht="15" customHeight="1">
      <c r="B59" s="182"/>
      <c r="C59" s="181">
        <f>Tournament!D60</f>
        <v>45</v>
      </c>
      <c r="D59" s="181" t="str">
        <f>Tournament!E60</f>
        <v>G</v>
      </c>
      <c r="E59" s="188">
        <f>Tournament!F60</f>
        <v>41816.541666666664</v>
      </c>
      <c r="F59" s="189">
        <f>Tournament!G60</f>
        <v>41816.541666666664</v>
      </c>
      <c r="G59" s="190" t="str">
        <f>Tournament!H60</f>
        <v>USA</v>
      </c>
      <c r="H59" s="180"/>
      <c r="I59" s="9"/>
      <c r="J59" s="191" t="s">
        <v>3088</v>
      </c>
      <c r="K59" s="9"/>
      <c r="L59" s="180"/>
      <c r="M59" s="180" t="str">
        <f>Tournament!N60</f>
        <v>Germany</v>
      </c>
      <c r="N59" s="183"/>
      <c r="P59" s="192" t="str">
        <f t="shared" si="0"/>
        <v>USA</v>
      </c>
      <c r="Q59" s="193"/>
      <c r="R59" s="194" t="str">
        <f>IF(Tournament!J60&lt;&gt;"",Tournament!J60,"")</f>
        <v/>
      </c>
      <c r="S59" s="194" t="s">
        <v>3088</v>
      </c>
      <c r="T59" s="194" t="str">
        <f>IF(Tournament!L60&lt;&gt;"",Tournament!L60,"")</f>
        <v/>
      </c>
      <c r="U59" s="193"/>
      <c r="V59" s="193" t="str">
        <f t="shared" si="1"/>
        <v>Germany</v>
      </c>
      <c r="W59" s="194"/>
      <c r="X59" s="194"/>
      <c r="Y59" s="194"/>
      <c r="Z59" s="194"/>
      <c r="AA59" s="194"/>
      <c r="AB59" s="194"/>
      <c r="AC59" s="194"/>
      <c r="AD59" s="195" t="str">
        <f>IF(AND(I59&lt;&gt;"",K59&lt;&gt;"",R59&lt;&gt;"",T59&lt;&gt;""),IF(AND(I59=R59,K59=T59),Setup!$D$10,IF((I59-K59)=(R59-T59),Setup!$D$11,IF(AND((I59&gt;K59),(R59&gt;T59)),Setup!$D$12,IF(AND((K59&gt;I59),(T59&gt;R59)),Setup!$D$12,0)))),"")</f>
        <v/>
      </c>
      <c r="AE59" s="183"/>
      <c r="CP59" s="168"/>
      <c r="CQ59" s="168"/>
      <c r="CR59" s="187"/>
      <c r="CS59" s="168"/>
    </row>
    <row r="60" spans="2:97" s="166" customFormat="1" ht="15" customHeight="1">
      <c r="B60" s="182"/>
      <c r="C60" s="181">
        <f>Tournament!D61</f>
        <v>46</v>
      </c>
      <c r="D60" s="181" t="str">
        <f>Tournament!E61</f>
        <v>G</v>
      </c>
      <c r="E60" s="188">
        <f>Tournament!F61</f>
        <v>41816.541666666664</v>
      </c>
      <c r="F60" s="189">
        <f>Tournament!G61</f>
        <v>41816.541666666664</v>
      </c>
      <c r="G60" s="190" t="str">
        <f>Tournament!H61</f>
        <v>Portugal</v>
      </c>
      <c r="H60" s="180"/>
      <c r="I60" s="9"/>
      <c r="J60" s="191" t="s">
        <v>3088</v>
      </c>
      <c r="K60" s="9"/>
      <c r="L60" s="180"/>
      <c r="M60" s="180" t="str">
        <f>Tournament!N61</f>
        <v>Ghana</v>
      </c>
      <c r="N60" s="183"/>
      <c r="P60" s="192" t="str">
        <f t="shared" si="0"/>
        <v>Portugal</v>
      </c>
      <c r="Q60" s="193"/>
      <c r="R60" s="194" t="str">
        <f>IF(Tournament!J61&lt;&gt;"",Tournament!J61,"")</f>
        <v/>
      </c>
      <c r="S60" s="194" t="s">
        <v>3088</v>
      </c>
      <c r="T60" s="194" t="str">
        <f>IF(Tournament!L61&lt;&gt;"",Tournament!L61,"")</f>
        <v/>
      </c>
      <c r="U60" s="193"/>
      <c r="V60" s="193" t="str">
        <f t="shared" si="1"/>
        <v>Ghana</v>
      </c>
      <c r="W60" s="194"/>
      <c r="X60" s="194"/>
      <c r="Y60" s="194"/>
      <c r="Z60" s="194"/>
      <c r="AA60" s="194"/>
      <c r="AB60" s="194"/>
      <c r="AC60" s="194"/>
      <c r="AD60" s="195" t="str">
        <f>IF(AND(I60&lt;&gt;"",K60&lt;&gt;"",R60&lt;&gt;"",T60&lt;&gt;""),IF(AND(I60=R60,K60=T60),Setup!$D$10,IF((I60-K60)=(R60-T60),Setup!$D$11,IF(AND((I60&gt;K60),(R60&gt;T60)),Setup!$D$12,IF(AND((K60&gt;I60),(T60&gt;R60)),Setup!$D$12,0)))),"")</f>
        <v/>
      </c>
      <c r="AE60" s="183"/>
      <c r="CN60" s="168"/>
      <c r="CO60" s="168"/>
      <c r="CP60" s="187"/>
      <c r="CQ60" s="168"/>
    </row>
    <row r="61" spans="2:97" s="166" customFormat="1" ht="15" customHeight="1">
      <c r="B61" s="182"/>
      <c r="C61" s="181">
        <f>Tournament!D62</f>
        <v>47</v>
      </c>
      <c r="D61" s="181" t="str">
        <f>Tournament!E62</f>
        <v>H</v>
      </c>
      <c r="E61" s="188">
        <f>Tournament!F62</f>
        <v>41816.708333333336</v>
      </c>
      <c r="F61" s="189">
        <f>Tournament!G62</f>
        <v>41816.708333333336</v>
      </c>
      <c r="G61" s="190" t="str">
        <f>Tournament!H62</f>
        <v>South Korea</v>
      </c>
      <c r="H61" s="180"/>
      <c r="I61" s="9"/>
      <c r="J61" s="191" t="s">
        <v>3088</v>
      </c>
      <c r="K61" s="9"/>
      <c r="L61" s="180"/>
      <c r="M61" s="180" t="str">
        <f>Tournament!N62</f>
        <v>Belgium</v>
      </c>
      <c r="N61" s="183"/>
      <c r="P61" s="192" t="str">
        <f t="shared" si="0"/>
        <v>South Korea</v>
      </c>
      <c r="Q61" s="193"/>
      <c r="R61" s="194" t="str">
        <f>IF(Tournament!J62&lt;&gt;"",Tournament!J62,"")</f>
        <v/>
      </c>
      <c r="S61" s="194" t="s">
        <v>3088</v>
      </c>
      <c r="T61" s="194" t="str">
        <f>IF(Tournament!L62&lt;&gt;"",Tournament!L62,"")</f>
        <v/>
      </c>
      <c r="U61" s="193"/>
      <c r="V61" s="193" t="str">
        <f t="shared" si="1"/>
        <v>Belgium</v>
      </c>
      <c r="W61" s="194"/>
      <c r="X61" s="194"/>
      <c r="Y61" s="194"/>
      <c r="Z61" s="194"/>
      <c r="AA61" s="194"/>
      <c r="AB61" s="194"/>
      <c r="AC61" s="194"/>
      <c r="AD61" s="195" t="str">
        <f>IF(AND(I61&lt;&gt;"",K61&lt;&gt;"",R61&lt;&gt;"",T61&lt;&gt;""),IF(AND(I61=R61,K61=T61),Setup!$D$10,IF((I61-K61)=(R61-T61),Setup!$D$11,IF(AND((I61&gt;K61),(R61&gt;T61)),Setup!$D$12,IF(AND((K61&gt;I61),(T61&gt;R61)),Setup!$D$12,0)))),"")</f>
        <v/>
      </c>
      <c r="AE61" s="183"/>
      <c r="CM61" s="168"/>
      <c r="CN61" s="168"/>
      <c r="CO61" s="187"/>
      <c r="CP61" s="168"/>
    </row>
    <row r="62" spans="2:97" s="166" customFormat="1" ht="15" customHeight="1">
      <c r="B62" s="182"/>
      <c r="C62" s="181">
        <f>Tournament!D63</f>
        <v>48</v>
      </c>
      <c r="D62" s="181" t="str">
        <f>Tournament!E63</f>
        <v>H</v>
      </c>
      <c r="E62" s="188">
        <f>Tournament!F63</f>
        <v>41816.708333333336</v>
      </c>
      <c r="F62" s="189">
        <f>Tournament!G63</f>
        <v>41816.708333333336</v>
      </c>
      <c r="G62" s="190" t="str">
        <f>Tournament!H63</f>
        <v>Algeria</v>
      </c>
      <c r="H62" s="180"/>
      <c r="I62" s="9"/>
      <c r="J62" s="191" t="s">
        <v>3088</v>
      </c>
      <c r="K62" s="9"/>
      <c r="L62" s="180"/>
      <c r="M62" s="180" t="str">
        <f>Tournament!N63</f>
        <v>Russia</v>
      </c>
      <c r="N62" s="183"/>
      <c r="P62" s="192" t="str">
        <f t="shared" si="0"/>
        <v>Algeria</v>
      </c>
      <c r="Q62" s="193"/>
      <c r="R62" s="194" t="str">
        <f>IF(Tournament!J63&lt;&gt;"",Tournament!J63,"")</f>
        <v/>
      </c>
      <c r="S62" s="194" t="s">
        <v>3088</v>
      </c>
      <c r="T62" s="194" t="str">
        <f>IF(Tournament!L63&lt;&gt;"",Tournament!L63,"")</f>
        <v/>
      </c>
      <c r="U62" s="193"/>
      <c r="V62" s="193" t="str">
        <f t="shared" si="1"/>
        <v>Russia</v>
      </c>
      <c r="AD62" s="195" t="str">
        <f>IF(AND(I62&lt;&gt;"",K62&lt;&gt;"",R62&lt;&gt;"",T62&lt;&gt;""),IF(AND(I62=R62,K62=T62),Setup!$D$10,IF((I62-K62)=(R62-T62),Setup!$D$11,IF(AND((I62&gt;K62),(R62&gt;T62)),Setup!$D$12,IF(AND((K62&gt;I62),(T62&gt;R62)),Setup!$D$12,0)))),"")</f>
        <v/>
      </c>
      <c r="AE62" s="183"/>
      <c r="CM62" s="168"/>
      <c r="CN62" s="168"/>
      <c r="CO62" s="187"/>
      <c r="CP62" s="168"/>
    </row>
    <row r="63" spans="2:97" s="166" customFormat="1" ht="15" customHeight="1">
      <c r="B63" s="182"/>
      <c r="C63" s="181"/>
      <c r="D63" s="181"/>
      <c r="E63" s="188"/>
      <c r="F63" s="189"/>
      <c r="G63" s="190"/>
      <c r="H63" s="180"/>
      <c r="I63" s="191"/>
      <c r="J63" s="191"/>
      <c r="K63" s="191"/>
      <c r="L63" s="180"/>
      <c r="M63" s="180"/>
      <c r="N63" s="183"/>
      <c r="P63" s="192"/>
      <c r="Q63" s="193"/>
      <c r="R63" s="194"/>
      <c r="S63" s="194"/>
      <c r="T63" s="194"/>
      <c r="U63" s="193"/>
      <c r="V63" s="193"/>
      <c r="AD63" s="181"/>
      <c r="AE63" s="183"/>
      <c r="CM63" s="168"/>
      <c r="CN63" s="168"/>
      <c r="CO63" s="187"/>
      <c r="CP63" s="168"/>
    </row>
    <row r="64" spans="2:97" s="166" customFormat="1" ht="15" customHeight="1">
      <c r="B64" s="300" t="s">
        <v>3544</v>
      </c>
      <c r="C64" s="301"/>
      <c r="D64" s="301"/>
      <c r="E64" s="301"/>
      <c r="F64" s="301"/>
      <c r="G64" s="301"/>
      <c r="H64" s="301"/>
      <c r="I64" s="301"/>
      <c r="J64" s="301"/>
      <c r="K64" s="301"/>
      <c r="L64" s="301"/>
      <c r="M64" s="301"/>
      <c r="N64" s="302"/>
      <c r="P64" s="303" t="str">
        <f>B64</f>
        <v>Knock Out Stages</v>
      </c>
      <c r="Q64" s="304"/>
      <c r="R64" s="304"/>
      <c r="S64" s="304"/>
      <c r="T64" s="304"/>
      <c r="U64" s="304"/>
      <c r="V64" s="304"/>
      <c r="W64" s="304"/>
      <c r="X64" s="304"/>
      <c r="Y64" s="304"/>
      <c r="Z64" s="304"/>
      <c r="AA64" s="304"/>
      <c r="AB64" s="304"/>
      <c r="AC64" s="304"/>
      <c r="AD64" s="304"/>
      <c r="AE64" s="305"/>
      <c r="CM64" s="168"/>
      <c r="CN64" s="168"/>
      <c r="CO64" s="187"/>
      <c r="CP64" s="168"/>
    </row>
    <row r="65" spans="2:94" s="166" customFormat="1" ht="15" customHeight="1">
      <c r="B65" s="182"/>
      <c r="C65" s="181"/>
      <c r="D65" s="181"/>
      <c r="E65" s="188"/>
      <c r="F65" s="189"/>
      <c r="G65" s="190"/>
      <c r="H65" s="180"/>
      <c r="I65" s="191"/>
      <c r="J65" s="191"/>
      <c r="K65" s="191"/>
      <c r="L65" s="180"/>
      <c r="M65" s="180"/>
      <c r="N65" s="183"/>
      <c r="P65" s="192"/>
      <c r="Q65" s="193"/>
      <c r="R65" s="299" t="s">
        <v>3554</v>
      </c>
      <c r="S65" s="299"/>
      <c r="T65" s="299"/>
      <c r="U65" s="193"/>
      <c r="V65" s="193"/>
      <c r="W65" s="299" t="s">
        <v>3546</v>
      </c>
      <c r="X65" s="299"/>
      <c r="Y65" s="299"/>
      <c r="Z65" s="197"/>
      <c r="AA65" s="299" t="s">
        <v>3547</v>
      </c>
      <c r="AB65" s="299"/>
      <c r="AC65" s="299"/>
      <c r="AD65" s="181"/>
      <c r="AE65" s="183"/>
      <c r="CM65" s="168"/>
      <c r="CN65" s="168"/>
      <c r="CO65" s="187"/>
      <c r="CP65" s="168"/>
    </row>
    <row r="66" spans="2:94" s="166" customFormat="1" ht="15" customHeight="1">
      <c r="B66" s="182"/>
      <c r="C66" s="181">
        <v>49</v>
      </c>
      <c r="D66" s="181" t="s">
        <v>3548</v>
      </c>
      <c r="E66" s="188">
        <f>Tournament!F69</f>
        <v>41818.541666666664</v>
      </c>
      <c r="F66" s="189">
        <f>Tournament!G69</f>
        <v>41818.541666666664</v>
      </c>
      <c r="G66" s="190" t="str">
        <f>Tournament!H69</f>
        <v>Group A Winner</v>
      </c>
      <c r="H66" s="180"/>
      <c r="I66" s="9"/>
      <c r="J66" s="191" t="s">
        <v>3088</v>
      </c>
      <c r="K66" s="9"/>
      <c r="L66" s="180"/>
      <c r="M66" s="198" t="str">
        <f>Tournament!N69</f>
        <v>Group B Runner Up</v>
      </c>
      <c r="N66" s="183"/>
      <c r="P66" s="192" t="str">
        <f t="shared" ref="P66:P81" si="2">G66</f>
        <v>Group A Winner</v>
      </c>
      <c r="Q66" s="193"/>
      <c r="R66" s="194" t="str">
        <f>IF($Z$67=0,IF($Z$66=0,IF(Tournament!J70&lt;&gt;"",Tournament!J70,""),IF(Tournament!J70&lt;&gt;"",Tournament!J70+Tournament!J71,"")),IF(Tournament!J69&lt;&gt;"",Tournament!J69,""))</f>
        <v/>
      </c>
      <c r="S66" s="194" t="s">
        <v>3088</v>
      </c>
      <c r="T66" s="194" t="str">
        <f>IF($Z$67=0,IF($Z$66=0,IF(Tournament!L70&lt;&gt;"",Tournament!L70,""),IF(Tournament!L70&lt;&gt;"",Tournament!L70+Tournament!L71,"")),IF(Tournament!L69&lt;&gt;"",Tournament!L69,""))</f>
        <v/>
      </c>
      <c r="U66" s="193"/>
      <c r="V66" s="193" t="str">
        <f t="shared" ref="V66:V81" si="3">M66</f>
        <v>Group B Runner Up</v>
      </c>
      <c r="W66" s="191" t="str">
        <f>IF(Tournament!J71&lt;&gt;"",Tournament!J71,"")</f>
        <v/>
      </c>
      <c r="X66" s="199" t="s">
        <v>3088</v>
      </c>
      <c r="Y66" s="191" t="str">
        <f>IF(Tournament!L71&lt;&gt;"",Tournament!L71,"")</f>
        <v/>
      </c>
      <c r="Z66" s="199">
        <f>Setup!E16</f>
        <v>1</v>
      </c>
      <c r="AA66" s="191" t="str">
        <f>IF(Tournament!J72&lt;&gt;"",Tournament!J72,"")</f>
        <v/>
      </c>
      <c r="AB66" s="194" t="s">
        <v>3088</v>
      </c>
      <c r="AC66" s="191" t="str">
        <f>IF(Tournament!L72&lt;&gt;"",Tournament!L72,"")</f>
        <v/>
      </c>
      <c r="AD66" s="195" t="str">
        <f>IF(AND(I66&lt;&gt;"",K66&lt;&gt;"",R66&lt;&gt;"",T66&lt;&gt;""),IF(AND(I66=R66,K66=T66),Setup!$D$20,IF((I66-K66)=(R66-T66),Setup!$D$21,IF(AND((I66&gt;K66),(R66&gt;T66)),Setup!$D$22,IF(AND((K66&gt;I66),(T66&gt;R66)),Setup!$D$22,0)))),"")</f>
        <v/>
      </c>
      <c r="AE66" s="183"/>
      <c r="CM66" s="168"/>
      <c r="CN66" s="168"/>
      <c r="CO66" s="187"/>
      <c r="CP66" s="168"/>
    </row>
    <row r="67" spans="2:94" s="166" customFormat="1" ht="15" customHeight="1">
      <c r="B67" s="182"/>
      <c r="C67" s="181">
        <v>50</v>
      </c>
      <c r="D67" s="181" t="str">
        <f>D66</f>
        <v>R16</v>
      </c>
      <c r="E67" s="188">
        <f>Tournament!F75</f>
        <v>41818.708333333336</v>
      </c>
      <c r="F67" s="189">
        <f>Tournament!G75</f>
        <v>41818.708333333336</v>
      </c>
      <c r="G67" s="190" t="str">
        <f>Tournament!H75</f>
        <v>Group C Winner</v>
      </c>
      <c r="H67" s="180"/>
      <c r="I67" s="9"/>
      <c r="J67" s="191" t="s">
        <v>3088</v>
      </c>
      <c r="K67" s="9"/>
      <c r="L67" s="180"/>
      <c r="M67" s="198" t="str">
        <f>Tournament!N75</f>
        <v>Group D Runner Up</v>
      </c>
      <c r="N67" s="183"/>
      <c r="P67" s="192" t="str">
        <f t="shared" si="2"/>
        <v>Group C Winner</v>
      </c>
      <c r="Q67" s="193"/>
      <c r="R67" s="194" t="str">
        <f>IF($Z$67=0,IF($Z$66=0,IF(Tournament!J76&lt;&gt;"",Tournament!J76,""),IF(Tournament!J76&lt;&gt;"",Tournament!J76+Tournament!J77,"")),IF(Tournament!J75&lt;&gt;"",Tournament!J75,""))</f>
        <v/>
      </c>
      <c r="S67" s="194" t="s">
        <v>3088</v>
      </c>
      <c r="T67" s="194" t="str">
        <f>IF($Z$67=0,IF($Z$66=0,IF(Tournament!L76&lt;&gt;"",Tournament!L76,""),IF(Tournament!L76&lt;&gt;"",Tournament!L76+Tournament!L77,"")),IF(Tournament!L75&lt;&gt;"",Tournament!L75,""))</f>
        <v/>
      </c>
      <c r="U67" s="193"/>
      <c r="V67" s="193" t="str">
        <f t="shared" si="3"/>
        <v>Group D Runner Up</v>
      </c>
      <c r="W67" s="191" t="str">
        <f>IF(Tournament!J77&lt;&gt;"",Tournament!J77,"")</f>
        <v/>
      </c>
      <c r="X67" s="199" t="s">
        <v>3088</v>
      </c>
      <c r="Y67" s="191" t="str">
        <f>IF(Tournament!L77&lt;&gt;"",Tournament!L77,"")</f>
        <v/>
      </c>
      <c r="Z67" s="199">
        <f>Setup!E17</f>
        <v>0</v>
      </c>
      <c r="AA67" s="191" t="str">
        <f>IF(Tournament!J78&lt;&gt;"",Tournament!J78,"")</f>
        <v/>
      </c>
      <c r="AB67" s="194" t="s">
        <v>3088</v>
      </c>
      <c r="AC67" s="191" t="str">
        <f>IF(Tournament!L78&lt;&gt;"",Tournament!L78,"")</f>
        <v/>
      </c>
      <c r="AD67" s="195" t="str">
        <f>IF(AND(I67&lt;&gt;"",K67&lt;&gt;"",R67&lt;&gt;"",T67&lt;&gt;""),IF(AND(I67=R67,K67=T67),Setup!$D$20,IF((I67-K67)=(R67-T67),Setup!$D$21,IF(AND((I67&gt;K67),(R67&gt;T67)),Setup!$D$22,IF(AND((K67&gt;I67),(T67&gt;R67)),Setup!$D$22,0)))),"")</f>
        <v/>
      </c>
      <c r="AE67" s="183"/>
      <c r="CM67" s="168"/>
      <c r="CN67" s="168"/>
      <c r="CO67" s="187"/>
      <c r="CP67" s="168"/>
    </row>
    <row r="68" spans="2:94" s="166" customFormat="1" ht="15" customHeight="1">
      <c r="B68" s="182"/>
      <c r="C68" s="181">
        <v>52</v>
      </c>
      <c r="D68" s="181" t="str">
        <f t="shared" ref="D68:D73" si="4">D67</f>
        <v>R16</v>
      </c>
      <c r="E68" s="188">
        <f>Tournament!F81</f>
        <v>41819.708333333336</v>
      </c>
      <c r="F68" s="189">
        <f>Tournament!G81</f>
        <v>41819.708333333336</v>
      </c>
      <c r="G68" s="190" t="str">
        <f>Tournament!H81</f>
        <v>Group D Winner</v>
      </c>
      <c r="H68" s="180"/>
      <c r="I68" s="9"/>
      <c r="J68" s="191" t="s">
        <v>3088</v>
      </c>
      <c r="K68" s="9"/>
      <c r="L68" s="180"/>
      <c r="M68" s="198" t="str">
        <f>Tournament!N81</f>
        <v>Group C Runner Up</v>
      </c>
      <c r="N68" s="183"/>
      <c r="P68" s="192" t="str">
        <f t="shared" si="2"/>
        <v>Group D Winner</v>
      </c>
      <c r="Q68" s="193"/>
      <c r="R68" s="194" t="str">
        <f>IF($Z$67=0,IF($Z$66=0,IF(Tournament!J82&lt;&gt;"",Tournament!J82,""),IF(Tournament!J82&lt;&gt;"",Tournament!J82+Tournament!J83,"")),IF(Tournament!J81&lt;&gt;"",Tournament!J81,""))</f>
        <v/>
      </c>
      <c r="S68" s="194" t="s">
        <v>3088</v>
      </c>
      <c r="T68" s="194" t="str">
        <f>IF($Z$67=0,IF($Z$66=0,IF(Tournament!L82&lt;&gt;"",Tournament!L82,""),IF(Tournament!L82&lt;&gt;"",Tournament!L82+Tournament!L83,"")),IF(Tournament!L81&lt;&gt;"",Tournament!L81,""))</f>
        <v/>
      </c>
      <c r="U68" s="193"/>
      <c r="V68" s="193" t="str">
        <f t="shared" si="3"/>
        <v>Group C Runner Up</v>
      </c>
      <c r="W68" s="191" t="str">
        <f>IF(Tournament!J83&lt;&gt;"",Tournament!J83,"")</f>
        <v/>
      </c>
      <c r="X68" s="199" t="s">
        <v>3088</v>
      </c>
      <c r="Y68" s="191" t="str">
        <f>IF(Tournament!L83&lt;&gt;"",Tournament!L83,"")</f>
        <v/>
      </c>
      <c r="Z68" s="191"/>
      <c r="AA68" s="191" t="str">
        <f>IF(Tournament!J84&lt;&gt;"",Tournament!J84,"")</f>
        <v/>
      </c>
      <c r="AB68" s="194" t="s">
        <v>3088</v>
      </c>
      <c r="AC68" s="191" t="str">
        <f>IF(Tournament!L84&lt;&gt;"",Tournament!L84,"")</f>
        <v/>
      </c>
      <c r="AD68" s="195" t="str">
        <f>IF(AND(I68&lt;&gt;"",K68&lt;&gt;"",R68&lt;&gt;"",T68&lt;&gt;""),IF(AND(I68=R68,K68=T68),Setup!$D$20,IF((I68-K68)=(R68-T68),Setup!$D$21,IF(AND((I68&gt;K68),(R68&gt;T68)),Setup!$D$22,IF(AND((K68&gt;I68),(T68&gt;R68)),Setup!$D$22,0)))),"")</f>
        <v/>
      </c>
      <c r="AE68" s="183"/>
      <c r="CM68" s="168"/>
      <c r="CN68" s="168"/>
      <c r="CO68" s="187"/>
      <c r="CP68" s="168"/>
    </row>
    <row r="69" spans="2:94" s="166" customFormat="1" ht="15" customHeight="1">
      <c r="B69" s="182"/>
      <c r="C69" s="181">
        <v>51</v>
      </c>
      <c r="D69" s="181" t="str">
        <f t="shared" si="4"/>
        <v>R16</v>
      </c>
      <c r="E69" s="188">
        <f>Tournament!F87</f>
        <v>41819.541666666664</v>
      </c>
      <c r="F69" s="189">
        <f>Tournament!G93</f>
        <v>41820.541666666664</v>
      </c>
      <c r="G69" s="190" t="str">
        <f>Tournament!H87</f>
        <v>Group B Winner</v>
      </c>
      <c r="H69" s="180"/>
      <c r="I69" s="9"/>
      <c r="J69" s="191" t="s">
        <v>3088</v>
      </c>
      <c r="K69" s="9"/>
      <c r="L69" s="180"/>
      <c r="M69" s="198" t="str">
        <f>Tournament!N87</f>
        <v>Group A Runner Up</v>
      </c>
      <c r="N69" s="183"/>
      <c r="P69" s="192" t="str">
        <f t="shared" si="2"/>
        <v>Group B Winner</v>
      </c>
      <c r="Q69" s="193"/>
      <c r="R69" s="194" t="str">
        <f>IF($Z$67=0,IF($Z$66=0,IF(Tournament!J88&lt;&gt;"",Tournament!J88,""),IF(Tournament!J88&lt;&gt;"",Tournament!J88+Tournament!J89,"")),IF(Tournament!J87&lt;&gt;"",Tournament!J87,""))</f>
        <v/>
      </c>
      <c r="S69" s="194" t="s">
        <v>3088</v>
      </c>
      <c r="T69" s="194" t="str">
        <f>IF($Z$67=0,IF($Z$66=0,IF(Tournament!L88&lt;&gt;"",Tournament!L88,""),IF(Tournament!L88&lt;&gt;"",Tournament!L88+Tournament!L89,"")),IF(Tournament!L87&lt;&gt;"",Tournament!L87,""))</f>
        <v/>
      </c>
      <c r="U69" s="193"/>
      <c r="V69" s="193" t="str">
        <f t="shared" si="3"/>
        <v>Group A Runner Up</v>
      </c>
      <c r="W69" s="191" t="str">
        <f>IF(Tournament!J89&lt;&gt;"",Tournament!J89,"")</f>
        <v/>
      </c>
      <c r="X69" s="199" t="s">
        <v>3088</v>
      </c>
      <c r="Y69" s="191" t="str">
        <f>IF(Tournament!L89&lt;&gt;"",Tournament!L89,"")</f>
        <v/>
      </c>
      <c r="Z69" s="191"/>
      <c r="AA69" s="191" t="str">
        <f>IF(Tournament!J90&lt;&gt;"",Tournament!J90,"")</f>
        <v/>
      </c>
      <c r="AB69" s="194" t="s">
        <v>3088</v>
      </c>
      <c r="AC69" s="191" t="str">
        <f>IF(Tournament!L90&lt;&gt;"",Tournament!L90,"")</f>
        <v/>
      </c>
      <c r="AD69" s="195" t="str">
        <f>IF(AND(I69&lt;&gt;"",K69&lt;&gt;"",R69&lt;&gt;"",T69&lt;&gt;""),IF(AND(I69=R69,K69=T69),Setup!$D$20,IF((I69-K69)=(R69-T69),Setup!$D$21,IF(AND((I69&gt;K69),(R69&gt;T69)),Setup!$D$22,IF(AND((K69&gt;I69),(T69&gt;R69)),Setup!$D$22,0)))),"")</f>
        <v/>
      </c>
      <c r="AE69" s="183"/>
      <c r="CM69" s="168"/>
      <c r="CN69" s="168"/>
      <c r="CO69" s="187"/>
      <c r="CP69" s="168"/>
    </row>
    <row r="70" spans="2:94" s="166" customFormat="1" ht="15" customHeight="1">
      <c r="B70" s="182"/>
      <c r="C70" s="181">
        <v>53</v>
      </c>
      <c r="D70" s="181" t="str">
        <f t="shared" si="4"/>
        <v>R16</v>
      </c>
      <c r="E70" s="188">
        <f>Tournament!F93</f>
        <v>41820.541666666664</v>
      </c>
      <c r="F70" s="189">
        <f>Tournament!G93</f>
        <v>41820.541666666664</v>
      </c>
      <c r="G70" s="190" t="str">
        <f>Tournament!H93</f>
        <v>Group E Winner</v>
      </c>
      <c r="H70" s="180"/>
      <c r="I70" s="9"/>
      <c r="J70" s="191" t="s">
        <v>3088</v>
      </c>
      <c r="K70" s="9"/>
      <c r="L70" s="180"/>
      <c r="M70" s="198" t="str">
        <f>Tournament!N93</f>
        <v>Group F Runner Up</v>
      </c>
      <c r="N70" s="183"/>
      <c r="P70" s="192" t="str">
        <f t="shared" si="2"/>
        <v>Group E Winner</v>
      </c>
      <c r="Q70" s="193"/>
      <c r="R70" s="194" t="str">
        <f>IF($Z$67=0,IF($Z$66=0,IF(Tournament!J94&lt;&gt;"",Tournament!J94,""),IF(Tournament!J94&lt;&gt;"",Tournament!J94+Tournament!J95,"")),IF(Tournament!J93&lt;&gt;"",Tournament!J93,""))</f>
        <v/>
      </c>
      <c r="S70" s="194" t="s">
        <v>3088</v>
      </c>
      <c r="T70" s="194" t="str">
        <f>IF($Z$67=0,IF($Z$66=0,IF(Tournament!L94&lt;&gt;"",Tournament!L94,""),IF(Tournament!L94&lt;&gt;"",Tournament!L94+Tournament!L95,"")),IF(Tournament!L93&lt;&gt;"",Tournament!L93,""))</f>
        <v/>
      </c>
      <c r="U70" s="193"/>
      <c r="V70" s="193" t="str">
        <f t="shared" si="3"/>
        <v>Group F Runner Up</v>
      </c>
      <c r="W70" s="191" t="str">
        <f>IF(Tournament!J95&lt;&gt;"",Tournament!J95,"")</f>
        <v/>
      </c>
      <c r="X70" s="199" t="s">
        <v>3088</v>
      </c>
      <c r="Y70" s="191" t="str">
        <f>IF(Tournament!L95&lt;&gt;"",Tournament!L95,"")</f>
        <v/>
      </c>
      <c r="Z70" s="191"/>
      <c r="AA70" s="191" t="str">
        <f>IF(Tournament!J96&lt;&gt;"",Tournament!J96,"")</f>
        <v/>
      </c>
      <c r="AB70" s="194" t="s">
        <v>3088</v>
      </c>
      <c r="AC70" s="191" t="str">
        <f>IF(Tournament!L96&lt;&gt;"",Tournament!L96,"")</f>
        <v/>
      </c>
      <c r="AD70" s="195" t="str">
        <f>IF(AND(I70&lt;&gt;"",K70&lt;&gt;"",R70&lt;&gt;"",T70&lt;&gt;""),IF(AND(I70=R70,K70=T70),Setup!$D$20,IF((I70-K70)=(R70-T70),Setup!$D$21,IF(AND((I70&gt;K70),(R70&gt;T70)),Setup!$D$22,IF(AND((K70&gt;I70),(T70&gt;R70)),Setup!$D$22,0)))),"")</f>
        <v/>
      </c>
      <c r="AE70" s="183"/>
      <c r="CM70" s="168"/>
      <c r="CN70" s="168"/>
      <c r="CO70" s="187"/>
      <c r="CP70" s="168"/>
    </row>
    <row r="71" spans="2:94" s="166" customFormat="1" ht="15" customHeight="1">
      <c r="B71" s="182"/>
      <c r="C71" s="181">
        <v>54</v>
      </c>
      <c r="D71" s="181" t="str">
        <f t="shared" si="4"/>
        <v>R16</v>
      </c>
      <c r="E71" s="188">
        <f>Tournament!F99</f>
        <v>41820.708333333336</v>
      </c>
      <c r="F71" s="189">
        <f>Tournament!G99</f>
        <v>41820.708333333336</v>
      </c>
      <c r="G71" s="190" t="str">
        <f>Tournament!H99</f>
        <v>Group G Winner</v>
      </c>
      <c r="H71" s="180"/>
      <c r="I71" s="9"/>
      <c r="J71" s="191" t="s">
        <v>3088</v>
      </c>
      <c r="K71" s="9"/>
      <c r="L71" s="180"/>
      <c r="M71" s="198" t="str">
        <f>Tournament!N99</f>
        <v>Group H Runner Up</v>
      </c>
      <c r="N71" s="183"/>
      <c r="P71" s="192" t="str">
        <f t="shared" si="2"/>
        <v>Group G Winner</v>
      </c>
      <c r="Q71" s="193"/>
      <c r="R71" s="194" t="str">
        <f>IF($Z$67=0,IF($Z$66=0,IF(Tournament!J100&lt;&gt;"",Tournament!J100,""),IF(Tournament!J100&lt;&gt;"",Tournament!J100+Tournament!J101,"")),IF(Tournament!J99&lt;&gt;"",Tournament!J99,""))</f>
        <v/>
      </c>
      <c r="S71" s="194" t="s">
        <v>3088</v>
      </c>
      <c r="T71" s="194" t="str">
        <f>IF($Z$67=0,IF($Z$66=0,IF(Tournament!L100&lt;&gt;"",Tournament!L100,""),IF(Tournament!L100&lt;&gt;"",Tournament!L100+Tournament!L101,"")),IF(Tournament!L99&lt;&gt;"",Tournament!L99,""))</f>
        <v/>
      </c>
      <c r="U71" s="193"/>
      <c r="V71" s="193" t="str">
        <f t="shared" si="3"/>
        <v>Group H Runner Up</v>
      </c>
      <c r="W71" s="191" t="str">
        <f>IF(Tournament!J101&lt;&gt;"",Tournament!J101,"")</f>
        <v/>
      </c>
      <c r="X71" s="199" t="s">
        <v>3088</v>
      </c>
      <c r="Y71" s="191" t="str">
        <f>IF(Tournament!L101&lt;&gt;"",Tournament!L101,"")</f>
        <v/>
      </c>
      <c r="Z71" s="191"/>
      <c r="AA71" s="191" t="str">
        <f>IF(Tournament!J102&lt;&gt;"",Tournament!J102,"")</f>
        <v/>
      </c>
      <c r="AB71" s="194" t="s">
        <v>3088</v>
      </c>
      <c r="AC71" s="191" t="str">
        <f>IF(Tournament!L102&lt;&gt;"",Tournament!L102,"")</f>
        <v/>
      </c>
      <c r="AD71" s="195" t="str">
        <f>IF(AND(I71&lt;&gt;"",K71&lt;&gt;"",R71&lt;&gt;"",T71&lt;&gt;""),IF(AND(I71=R71,K71=T71),Setup!$D$20,IF((I71-K71)=(R71-T71),Setup!$D$21,IF(AND((I71&gt;K71),(R71&gt;T71)),Setup!$D$22,IF(AND((K71&gt;I71),(T71&gt;R71)),Setup!$D$22,0)))),"")</f>
        <v/>
      </c>
      <c r="AE71" s="183"/>
      <c r="CM71" s="168"/>
      <c r="CN71" s="168"/>
      <c r="CO71" s="187"/>
      <c r="CP71" s="168"/>
    </row>
    <row r="72" spans="2:94" s="166" customFormat="1" ht="15" customHeight="1">
      <c r="B72" s="182"/>
      <c r="C72" s="181">
        <v>55</v>
      </c>
      <c r="D72" s="181" t="str">
        <f t="shared" si="4"/>
        <v>R16</v>
      </c>
      <c r="E72" s="188">
        <f>Tournament!F105</f>
        <v>41821.541666666664</v>
      </c>
      <c r="F72" s="189">
        <f>Tournament!G105</f>
        <v>41821.541666666664</v>
      </c>
      <c r="G72" s="190" t="str">
        <f>Tournament!H105</f>
        <v>Group F Winner</v>
      </c>
      <c r="H72" s="180"/>
      <c r="I72" s="9"/>
      <c r="J72" s="191" t="s">
        <v>3088</v>
      </c>
      <c r="K72" s="9"/>
      <c r="L72" s="180"/>
      <c r="M72" s="198" t="str">
        <f>Tournament!N105</f>
        <v>Group E Runner Up</v>
      </c>
      <c r="N72" s="183"/>
      <c r="P72" s="192" t="str">
        <f t="shared" si="2"/>
        <v>Group F Winner</v>
      </c>
      <c r="Q72" s="193"/>
      <c r="R72" s="194" t="str">
        <f>IF($Z$67=0,IF($Z$66=0,IF(Tournament!J106&lt;&gt;"",Tournament!J106,""),IF(Tournament!J106&lt;&gt;"",Tournament!J106+Tournament!J107,"")),IF(Tournament!J105&lt;&gt;"",Tournament!J105,""))</f>
        <v/>
      </c>
      <c r="S72" s="194" t="s">
        <v>3088</v>
      </c>
      <c r="T72" s="194" t="str">
        <f>IF($Z$67=0,IF($Z$66=0,IF(Tournament!L106&lt;&gt;"",Tournament!L106,""),IF(Tournament!L106&lt;&gt;"",Tournament!L106+Tournament!L107,"")),IF(Tournament!L105&lt;&gt;"",Tournament!L105,""))</f>
        <v/>
      </c>
      <c r="U72" s="193"/>
      <c r="V72" s="193" t="str">
        <f t="shared" si="3"/>
        <v>Group E Runner Up</v>
      </c>
      <c r="W72" s="191" t="str">
        <f>IF(Tournament!J107&lt;&gt;"",Tournament!J107,"")</f>
        <v/>
      </c>
      <c r="X72" s="199" t="s">
        <v>3088</v>
      </c>
      <c r="Y72" s="191" t="str">
        <f>IF(Tournament!L107&lt;&gt;"",Tournament!L107,"")</f>
        <v/>
      </c>
      <c r="Z72" s="191"/>
      <c r="AA72" s="191" t="str">
        <f>IF(Tournament!J108&lt;&gt;"",Tournament!J108,"")</f>
        <v/>
      </c>
      <c r="AB72" s="194" t="s">
        <v>3088</v>
      </c>
      <c r="AC72" s="191" t="str">
        <f>IF(Tournament!L108&lt;&gt;"",Tournament!L108,"")</f>
        <v/>
      </c>
      <c r="AD72" s="195" t="str">
        <f>IF(AND(I72&lt;&gt;"",K72&lt;&gt;"",R72&lt;&gt;"",T72&lt;&gt;""),IF(AND(I72=R72,K72=T72),Setup!$D$20,IF((I72-K72)=(R72-T72),Setup!$D$21,IF(AND((I72&gt;K72),(R72&gt;T72)),Setup!$D$22,IF(AND((K72&gt;I72),(T72&gt;R72)),Setup!$D$22,0)))),"")</f>
        <v/>
      </c>
      <c r="AE72" s="183"/>
      <c r="CM72" s="168"/>
      <c r="CN72" s="168"/>
      <c r="CO72" s="187"/>
      <c r="CP72" s="168"/>
    </row>
    <row r="73" spans="2:94" s="166" customFormat="1" ht="15" customHeight="1">
      <c r="B73" s="182"/>
      <c r="C73" s="181">
        <v>56</v>
      </c>
      <c r="D73" s="181" t="str">
        <f t="shared" si="4"/>
        <v>R16</v>
      </c>
      <c r="E73" s="188">
        <f>Tournament!F111</f>
        <v>41821.708333333336</v>
      </c>
      <c r="F73" s="189">
        <f>Tournament!G111</f>
        <v>41821.708333333336</v>
      </c>
      <c r="G73" s="190" t="str">
        <f>Tournament!H111</f>
        <v>Group H Winner</v>
      </c>
      <c r="H73" s="180"/>
      <c r="I73" s="9"/>
      <c r="J73" s="191" t="s">
        <v>3088</v>
      </c>
      <c r="K73" s="9"/>
      <c r="L73" s="180"/>
      <c r="M73" s="198" t="str">
        <f>Tournament!N111</f>
        <v>Group G Runner Up</v>
      </c>
      <c r="N73" s="183"/>
      <c r="P73" s="192" t="str">
        <f t="shared" si="2"/>
        <v>Group H Winner</v>
      </c>
      <c r="Q73" s="193"/>
      <c r="R73" s="194" t="str">
        <f>IF($Z$67=0,IF($Z$66=0,IF(Tournament!J112&lt;&gt;"",Tournament!J112,""),IF(Tournament!J112&lt;&gt;"",Tournament!J112+Tournament!J113,"")),IF(Tournament!J111&lt;&gt;"",Tournament!J111,""))</f>
        <v/>
      </c>
      <c r="S73" s="194" t="s">
        <v>3088</v>
      </c>
      <c r="T73" s="194" t="str">
        <f>IF($Z$67=0,IF($Z$66=0,IF(Tournament!L112&lt;&gt;"",Tournament!L112,""),IF(Tournament!L112&lt;&gt;"",Tournament!L112+Tournament!L113,"")),IF(Tournament!L111&lt;&gt;"",Tournament!L111,""))</f>
        <v/>
      </c>
      <c r="U73" s="193"/>
      <c r="V73" s="193" t="str">
        <f t="shared" si="3"/>
        <v>Group G Runner Up</v>
      </c>
      <c r="W73" s="191" t="str">
        <f>IF(Tournament!J113&lt;&gt;"",Tournament!J113,"")</f>
        <v/>
      </c>
      <c r="X73" s="199" t="s">
        <v>3088</v>
      </c>
      <c r="Y73" s="191" t="str">
        <f>IF(Tournament!L113&lt;&gt;"",Tournament!L113,"")</f>
        <v/>
      </c>
      <c r="Z73" s="191"/>
      <c r="AA73" s="191" t="str">
        <f>IF(Tournament!J114&lt;&gt;"",Tournament!J114,"")</f>
        <v/>
      </c>
      <c r="AB73" s="194" t="s">
        <v>3088</v>
      </c>
      <c r="AC73" s="191" t="str">
        <f>IF(Tournament!L114&lt;&gt;"",Tournament!L114,"")</f>
        <v/>
      </c>
      <c r="AD73" s="195" t="str">
        <f>IF(AND(I73&lt;&gt;"",K73&lt;&gt;"",R73&lt;&gt;"",T73&lt;&gt;""),IF(AND(I73=R73,K73=T73),Setup!$D$20,IF((I73-K73)=(R73-T73),Setup!$D$21,IF(AND((I73&gt;K73),(R73&gt;T73)),Setup!$D$22,IF(AND((K73&gt;I73),(T73&gt;R73)),Setup!$D$22,0)))),"")</f>
        <v/>
      </c>
      <c r="AE73" s="183"/>
      <c r="CM73" s="168"/>
      <c r="CN73" s="168"/>
      <c r="CO73" s="187"/>
      <c r="CP73" s="168"/>
    </row>
    <row r="74" spans="2:94" s="166" customFormat="1" ht="15" customHeight="1">
      <c r="B74" s="182"/>
      <c r="C74" s="181">
        <v>58</v>
      </c>
      <c r="D74" s="181" t="s">
        <v>3549</v>
      </c>
      <c r="E74" s="188">
        <f>Tournament!T69</f>
        <v>41824.541666666664</v>
      </c>
      <c r="F74" s="189">
        <f>Tournament!U69</f>
        <v>41824.541666666664</v>
      </c>
      <c r="G74" s="190" t="str">
        <f>Tournament!Y69</f>
        <v>Match 53 Winner</v>
      </c>
      <c r="H74" s="180"/>
      <c r="I74" s="9"/>
      <c r="J74" s="191" t="s">
        <v>3088</v>
      </c>
      <c r="K74" s="9"/>
      <c r="L74" s="180"/>
      <c r="M74" s="198" t="str">
        <f>Tournament!AE69</f>
        <v>Match 54 Winner</v>
      </c>
      <c r="N74" s="183"/>
      <c r="P74" s="192" t="str">
        <f t="shared" si="2"/>
        <v>Match 53 Winner</v>
      </c>
      <c r="Q74" s="193"/>
      <c r="R74" s="194" t="str">
        <f>IF($Z$67=0,IF($Z$66=0,IF(Tournament!AA70&lt;&gt;"",Tournament!AA70,""),IF(Tournament!AA70&lt;&gt;"",Tournament!AA70+Tournament!AA71,"")),IF(Tournament!AA69&lt;&gt;"",Tournament!AA69,""))</f>
        <v/>
      </c>
      <c r="S74" s="194" t="s">
        <v>3088</v>
      </c>
      <c r="T74" s="194" t="str">
        <f>IF($Z$67=0,IF($Z$66=0,IF(Tournament!AC70&lt;&gt;"",Tournament!AC70,""),IF(Tournament!AC70&lt;&gt;"",Tournament!AC70+Tournament!AC71,"")),IF(Tournament!AC69&lt;&gt;"",Tournament!AC69,""))</f>
        <v/>
      </c>
      <c r="U74" s="193"/>
      <c r="V74" s="193" t="str">
        <f t="shared" si="3"/>
        <v>Match 54 Winner</v>
      </c>
      <c r="W74" s="191" t="str">
        <f>IF(Tournament!AA71&lt;&gt;"",Tournament!AA71,"")</f>
        <v/>
      </c>
      <c r="X74" s="199" t="s">
        <v>3088</v>
      </c>
      <c r="Y74" s="191" t="str">
        <f>IF(Tournament!AC71&lt;&gt;"",Tournament!AC71,"")</f>
        <v/>
      </c>
      <c r="Z74" s="191"/>
      <c r="AA74" s="191" t="str">
        <f>IF(Tournament!AA72&lt;&gt;"",Tournament!AA72,"")</f>
        <v/>
      </c>
      <c r="AB74" s="194" t="s">
        <v>3088</v>
      </c>
      <c r="AC74" s="191" t="str">
        <f>IF(Tournament!AC72&lt;&gt;"",Tournament!AC72,"")</f>
        <v/>
      </c>
      <c r="AD74" s="195" t="str">
        <f>IF(AND(I74&lt;&gt;"",K74&lt;&gt;"",R74&lt;&gt;"",T74&lt;&gt;""),IF(AND(I74=R74,K74=T74),Setup!$E$20,IF((I74-K74)=(R74-T74),Setup!$E$21,IF(AND((I74&gt;K74),(R74&gt;T74)),Setup!$E$22,IF(AND((K74&gt;I74),(T74&gt;R74)),Setup!$E$22,0)))),"")</f>
        <v/>
      </c>
      <c r="AE74" s="183"/>
      <c r="CM74" s="168"/>
      <c r="CN74" s="168"/>
      <c r="CO74" s="187"/>
      <c r="CP74" s="168"/>
    </row>
    <row r="75" spans="2:94" s="166" customFormat="1" ht="15" customHeight="1">
      <c r="B75" s="182"/>
      <c r="C75" s="181">
        <v>57</v>
      </c>
      <c r="D75" s="181" t="str">
        <f>D74</f>
        <v>QF</v>
      </c>
      <c r="E75" s="188">
        <f>Tournament!T74</f>
        <v>41824.708333333336</v>
      </c>
      <c r="F75" s="189">
        <f>Tournament!U74</f>
        <v>41824.708333333336</v>
      </c>
      <c r="G75" s="190" t="str">
        <f>Tournament!Y74</f>
        <v>Match 49 Winner</v>
      </c>
      <c r="H75" s="180"/>
      <c r="I75" s="9"/>
      <c r="J75" s="191" t="s">
        <v>3088</v>
      </c>
      <c r="K75" s="9"/>
      <c r="L75" s="180"/>
      <c r="M75" s="198" t="str">
        <f>Tournament!AE74</f>
        <v>Match 50 Winner</v>
      </c>
      <c r="N75" s="183"/>
      <c r="P75" s="192" t="str">
        <f t="shared" si="2"/>
        <v>Match 49 Winner</v>
      </c>
      <c r="Q75" s="193"/>
      <c r="R75" s="194" t="str">
        <f>IF($Z$67=0,IF($Z$66=0,IF(Tournament!AA75&lt;&gt;"",Tournament!AA75,""),IF(Tournament!AA75&lt;&gt;"",Tournament!AA75+Tournament!AA76,"")),IF(Tournament!AA74&lt;&gt;"",Tournament!AA74,""))</f>
        <v/>
      </c>
      <c r="S75" s="194" t="s">
        <v>3088</v>
      </c>
      <c r="T75" s="194" t="str">
        <f>IF($Z$67=0,IF($Z$66=0,IF(Tournament!AC75&lt;&gt;"",Tournament!AC75,""),IF(Tournament!AC75&lt;&gt;"",Tournament!AC75+Tournament!AC76,"")),IF(Tournament!AC74&lt;&gt;"",Tournament!AC74,""))</f>
        <v/>
      </c>
      <c r="U75" s="193"/>
      <c r="V75" s="193" t="str">
        <f t="shared" si="3"/>
        <v>Match 50 Winner</v>
      </c>
      <c r="W75" s="191" t="str">
        <f>IF(Tournament!AA76&lt;&gt;"",Tournament!AA76,"")</f>
        <v/>
      </c>
      <c r="X75" s="199" t="s">
        <v>3088</v>
      </c>
      <c r="Y75" s="191" t="str">
        <f>IF(Tournament!AC76&lt;&gt;"",Tournament!AC76,"")</f>
        <v/>
      </c>
      <c r="Z75" s="191"/>
      <c r="AA75" s="191" t="str">
        <f>IF(Tournament!AA77&lt;&gt;"",Tournament!AA77,"")</f>
        <v/>
      </c>
      <c r="AB75" s="194" t="s">
        <v>3088</v>
      </c>
      <c r="AC75" s="191" t="str">
        <f>IF(Tournament!AC77&lt;&gt;"",Tournament!AC77,"")</f>
        <v/>
      </c>
      <c r="AD75" s="195" t="str">
        <f>IF(AND(I75&lt;&gt;"",K75&lt;&gt;"",R75&lt;&gt;"",T75&lt;&gt;""),IF(AND(I75=R75,K75=T75),Setup!$E$20,IF((I75-K75)=(R75-T75),Setup!$E$21,IF(AND((I75&gt;K75),(R75&gt;T75)),Setup!$E$22,IF(AND((K75&gt;I75),(T75&gt;R75)),Setup!$E$22,0)))),"")</f>
        <v/>
      </c>
      <c r="AE75" s="183"/>
      <c r="CM75" s="168"/>
      <c r="CN75" s="168"/>
      <c r="CO75" s="187"/>
      <c r="CP75" s="168"/>
    </row>
    <row r="76" spans="2:94" s="166" customFormat="1" ht="15" customHeight="1">
      <c r="B76" s="182"/>
      <c r="C76" s="181">
        <v>59</v>
      </c>
      <c r="D76" s="181" t="str">
        <f>D75</f>
        <v>QF</v>
      </c>
      <c r="E76" s="188">
        <f>Tournament!T79</f>
        <v>41825.708333333336</v>
      </c>
      <c r="F76" s="189">
        <f>Tournament!U79</f>
        <v>41825.708333333336</v>
      </c>
      <c r="G76" s="190" t="str">
        <f>Tournament!Y79</f>
        <v>Match 51 Winner</v>
      </c>
      <c r="H76" s="180"/>
      <c r="I76" s="9"/>
      <c r="J76" s="191" t="s">
        <v>3088</v>
      </c>
      <c r="K76" s="9"/>
      <c r="L76" s="180"/>
      <c r="M76" s="198" t="str">
        <f>Tournament!AE79</f>
        <v>Match 52 Winner</v>
      </c>
      <c r="N76" s="183"/>
      <c r="P76" s="192" t="str">
        <f t="shared" si="2"/>
        <v>Match 51 Winner</v>
      </c>
      <c r="Q76" s="193"/>
      <c r="R76" s="194" t="str">
        <f>IF($Z$67=0,IF($Z$66=0,IF(Tournament!AA80&lt;&gt;"",Tournament!AA80,""),IF(Tournament!AA80&lt;&gt;"",Tournament!AA80+Tournament!AA81,"")),IF(Tournament!AA79&lt;&gt;"",Tournament!AA79,""))</f>
        <v/>
      </c>
      <c r="S76" s="194" t="s">
        <v>3088</v>
      </c>
      <c r="T76" s="194" t="str">
        <f>IF($Z$67=0,IF($Z$66=0,IF(Tournament!AC80&lt;&gt;"",Tournament!AC80,""),IF(Tournament!AC80&lt;&gt;"",Tournament!AC80+Tournament!AC81,"")),IF(Tournament!AC79&lt;&gt;"",Tournament!AC79,""))</f>
        <v/>
      </c>
      <c r="U76" s="193"/>
      <c r="V76" s="193" t="str">
        <f t="shared" si="3"/>
        <v>Match 52 Winner</v>
      </c>
      <c r="W76" s="191" t="str">
        <f>IF(Tournament!AA81&lt;&gt;"",Tournament!AA81,"")</f>
        <v/>
      </c>
      <c r="X76" s="199" t="s">
        <v>3088</v>
      </c>
      <c r="Y76" s="191" t="str">
        <f>IF(Tournament!AC81&lt;&gt;"",Tournament!AC81,"")</f>
        <v/>
      </c>
      <c r="Z76" s="191"/>
      <c r="AA76" s="191" t="str">
        <f>IF(Tournament!AA82&lt;&gt;"",Tournament!AA82,"")</f>
        <v/>
      </c>
      <c r="AB76" s="194" t="s">
        <v>3088</v>
      </c>
      <c r="AC76" s="191" t="str">
        <f>IF(Tournament!AC82&lt;&gt;"",Tournament!AC82,"")</f>
        <v/>
      </c>
      <c r="AD76" s="195" t="str">
        <f>IF(AND(I76&lt;&gt;"",K76&lt;&gt;"",R76&lt;&gt;"",T76&lt;&gt;""),IF(AND(I76=R76,K76=T76),Setup!$E$20,IF((I76-K76)=(R76-T76),Setup!$E$21,IF(AND((I76&gt;K76),(R76&gt;T76)),Setup!$E$22,IF(AND((K76&gt;I76),(T76&gt;R76)),Setup!$E$22,0)))),"")</f>
        <v/>
      </c>
      <c r="AE76" s="183"/>
      <c r="CM76" s="168"/>
      <c r="CN76" s="168"/>
      <c r="CO76" s="187"/>
      <c r="CP76" s="168"/>
    </row>
    <row r="77" spans="2:94" s="166" customFormat="1" ht="15" customHeight="1">
      <c r="B77" s="182"/>
      <c r="C77" s="181">
        <v>60</v>
      </c>
      <c r="D77" s="181" t="str">
        <f>D76</f>
        <v>QF</v>
      </c>
      <c r="E77" s="188">
        <f>Tournament!T84</f>
        <v>41825.541666666664</v>
      </c>
      <c r="F77" s="189">
        <f>Tournament!U84</f>
        <v>41825.541666666664</v>
      </c>
      <c r="G77" s="190" t="str">
        <f>Tournament!Y84</f>
        <v>Match 55 Winner</v>
      </c>
      <c r="H77" s="180"/>
      <c r="I77" s="9"/>
      <c r="J77" s="191" t="s">
        <v>3088</v>
      </c>
      <c r="K77" s="9"/>
      <c r="L77" s="180"/>
      <c r="M77" s="198" t="str">
        <f>Tournament!AE84</f>
        <v>Match 56 Winner</v>
      </c>
      <c r="N77" s="183"/>
      <c r="P77" s="192" t="str">
        <f t="shared" si="2"/>
        <v>Match 55 Winner</v>
      </c>
      <c r="Q77" s="193"/>
      <c r="R77" s="194" t="str">
        <f>IF($Z$67=0,IF($Z$66=0,IF(Tournament!AA85&lt;&gt;"",Tournament!AA85,""),IF(Tournament!AA85&lt;&gt;"",Tournament!AA85+Tournament!AA86,"")),IF(Tournament!AA84&lt;&gt;"",Tournament!AA84,""))</f>
        <v/>
      </c>
      <c r="S77" s="194" t="s">
        <v>3088</v>
      </c>
      <c r="T77" s="194" t="str">
        <f>IF($Z$67=0,IF($Z$66=0,IF(Tournament!AC85&lt;&gt;"",Tournament!AC85,""),IF(Tournament!AC85&lt;&gt;"",Tournament!AC85+Tournament!AC86,"")),IF(Tournament!AC84&lt;&gt;"",Tournament!AC84,""))</f>
        <v/>
      </c>
      <c r="U77" s="193"/>
      <c r="V77" s="193" t="str">
        <f t="shared" si="3"/>
        <v>Match 56 Winner</v>
      </c>
      <c r="W77" s="191" t="str">
        <f>IF(Tournament!AA86&lt;&gt;"",Tournament!AA86,"")</f>
        <v/>
      </c>
      <c r="X77" s="199" t="s">
        <v>3088</v>
      </c>
      <c r="Y77" s="191" t="str">
        <f>IF(Tournament!AC86&lt;&gt;"",Tournament!AC86,"")</f>
        <v/>
      </c>
      <c r="Z77" s="191"/>
      <c r="AA77" s="191" t="str">
        <f>IF(Tournament!AA87&lt;&gt;"",Tournament!AA87,"")</f>
        <v/>
      </c>
      <c r="AB77" s="194" t="s">
        <v>3088</v>
      </c>
      <c r="AC77" s="191" t="str">
        <f>IF(Tournament!AC87&lt;&gt;"",Tournament!AC87,"")</f>
        <v/>
      </c>
      <c r="AD77" s="195" t="str">
        <f>IF(AND(I77&lt;&gt;"",K77&lt;&gt;"",R77&lt;&gt;"",T77&lt;&gt;""),IF(AND(I77=R77,K77=T77),Setup!$E$20,IF((I77-K77)=(R77-T77),Setup!$E$21,IF(AND((I77&gt;K77),(R77&gt;T77)),Setup!$E$22,IF(AND((K77&gt;I77),(T77&gt;R77)),Setup!$E$22,0)))),"")</f>
        <v/>
      </c>
      <c r="AE77" s="183"/>
      <c r="CM77" s="168"/>
      <c r="CN77" s="168"/>
      <c r="CO77" s="187"/>
      <c r="CP77" s="168"/>
    </row>
    <row r="78" spans="2:94" s="166" customFormat="1" ht="15" customHeight="1">
      <c r="B78" s="182"/>
      <c r="C78" s="181">
        <v>61</v>
      </c>
      <c r="D78" s="181" t="s">
        <v>3550</v>
      </c>
      <c r="E78" s="188">
        <f>Tournament!T92</f>
        <v>41828.708333333336</v>
      </c>
      <c r="F78" s="189">
        <f>Tournament!U92</f>
        <v>41828.708333333336</v>
      </c>
      <c r="G78" s="190" t="str">
        <f>Tournament!Y92</f>
        <v>Match 57 Winner</v>
      </c>
      <c r="H78" s="180"/>
      <c r="I78" s="9"/>
      <c r="J78" s="191" t="s">
        <v>3088</v>
      </c>
      <c r="K78" s="9"/>
      <c r="L78" s="180"/>
      <c r="M78" s="198" t="str">
        <f>Tournament!AE92</f>
        <v>Match 58 Winner</v>
      </c>
      <c r="N78" s="183"/>
      <c r="P78" s="192" t="str">
        <f t="shared" si="2"/>
        <v>Match 57 Winner</v>
      </c>
      <c r="Q78" s="193"/>
      <c r="R78" s="194" t="str">
        <f>IF($Z$67=0,IF($Z$66=0,IF(Tournament!AA93&lt;&gt;"",Tournament!AA93,""),IF(Tournament!AA93&lt;&gt;"",Tournament!AA93+Tournament!AA94,"")),IF(Tournament!AA92&lt;&gt;"",Tournament!AA92,""))</f>
        <v/>
      </c>
      <c r="S78" s="194" t="s">
        <v>3088</v>
      </c>
      <c r="T78" s="194" t="str">
        <f>IF($Z$67=0,IF($Z$66=0,IF(Tournament!AC93&lt;&gt;"",Tournament!AC93,""),IF(Tournament!AC93&lt;&gt;"",Tournament!AC93+Tournament!AC94,"")),IF(Tournament!AC92&lt;&gt;"",Tournament!AC92,""))</f>
        <v/>
      </c>
      <c r="U78" s="193"/>
      <c r="V78" s="193" t="str">
        <f t="shared" si="3"/>
        <v>Match 58 Winner</v>
      </c>
      <c r="W78" s="191" t="str">
        <f>IF(Tournament!AA94&lt;&gt;"",Tournament!AA94,"")</f>
        <v/>
      </c>
      <c r="X78" s="199" t="s">
        <v>3088</v>
      </c>
      <c r="Y78" s="191" t="str">
        <f>IF(Tournament!AC94&lt;&gt;"",Tournament!AC94,"")</f>
        <v/>
      </c>
      <c r="Z78" s="191"/>
      <c r="AA78" s="191" t="str">
        <f>IF(Tournament!AA95&lt;&gt;"",Tournament!AA95,"")</f>
        <v/>
      </c>
      <c r="AB78" s="194" t="s">
        <v>3088</v>
      </c>
      <c r="AC78" s="191" t="str">
        <f>IF(Tournament!AC95&lt;&gt;"",Tournament!AC95,"")</f>
        <v/>
      </c>
      <c r="AD78" s="195" t="str">
        <f>IF(AND(I78&lt;&gt;"",K78&lt;&gt;"",R78&lt;&gt;"",T78&lt;&gt;""),IF(AND(I78=R78,K78=T78),Setup!$F$20,IF((I78-K78)=(R78-T78),Setup!$F$21,IF(AND((I78&gt;K78),(R78&gt;T78)),Setup!$F$22,IF(AND((K78&gt;I78),(T78&gt;R78)),Setup!$F$22,0)))),"")</f>
        <v/>
      </c>
      <c r="AE78" s="183"/>
      <c r="CM78" s="168"/>
      <c r="CN78" s="168"/>
      <c r="CO78" s="187"/>
      <c r="CP78" s="168"/>
    </row>
    <row r="79" spans="2:94" s="166" customFormat="1" ht="15" customHeight="1">
      <c r="B79" s="182"/>
      <c r="C79" s="181">
        <v>62</v>
      </c>
      <c r="D79" s="181" t="str">
        <f>D78</f>
        <v>SF</v>
      </c>
      <c r="E79" s="188">
        <f>Tournament!T97</f>
        <v>41829.708333333336</v>
      </c>
      <c r="F79" s="189">
        <f>Tournament!U97</f>
        <v>41829.708333333336</v>
      </c>
      <c r="G79" s="190" t="str">
        <f>Tournament!Y97</f>
        <v>Match 59 Winner</v>
      </c>
      <c r="H79" s="180"/>
      <c r="I79" s="9"/>
      <c r="J79" s="191" t="s">
        <v>3088</v>
      </c>
      <c r="K79" s="9"/>
      <c r="L79" s="180"/>
      <c r="M79" s="198" t="str">
        <f>Tournament!AE97</f>
        <v>Match 60 Winner</v>
      </c>
      <c r="N79" s="183"/>
      <c r="P79" s="192" t="str">
        <f t="shared" si="2"/>
        <v>Match 59 Winner</v>
      </c>
      <c r="Q79" s="193"/>
      <c r="R79" s="194" t="str">
        <f>IF($Z$67=0,IF($Z$66=0,IF(Tournament!AA98&lt;&gt;"",Tournament!AA98,""),IF(Tournament!AA98&lt;&gt;"",Tournament!AA98+Tournament!AA99,"")),IF(Tournament!AA97&lt;&gt;"",Tournament!AA97,""))</f>
        <v/>
      </c>
      <c r="S79" s="194" t="s">
        <v>3088</v>
      </c>
      <c r="T79" s="194" t="str">
        <f>IF($Z$67=0,IF($Z$66=0,IF(Tournament!AC98&lt;&gt;"",Tournament!AC98,""),IF(Tournament!AC98&lt;&gt;"",Tournament!AC98+Tournament!AC99,"")),IF(Tournament!AC97&lt;&gt;"",Tournament!AC97,""))</f>
        <v/>
      </c>
      <c r="U79" s="193"/>
      <c r="V79" s="193" t="str">
        <f t="shared" si="3"/>
        <v>Match 60 Winner</v>
      </c>
      <c r="W79" s="191" t="str">
        <f>IF(Tournament!AA99&lt;&gt;"",Tournament!AA99,"")</f>
        <v/>
      </c>
      <c r="X79" s="199" t="s">
        <v>3088</v>
      </c>
      <c r="Y79" s="191" t="str">
        <f>IF(Tournament!AC99&lt;&gt;"",Tournament!AC99,"")</f>
        <v/>
      </c>
      <c r="Z79" s="191"/>
      <c r="AA79" s="191" t="str">
        <f>IF(Tournament!AA100&lt;&gt;"",Tournament!AA100,"")</f>
        <v/>
      </c>
      <c r="AB79" s="194" t="s">
        <v>3088</v>
      </c>
      <c r="AC79" s="191" t="str">
        <f>IF(Tournament!AC100&lt;&gt;"",Tournament!AC100,"")</f>
        <v/>
      </c>
      <c r="AD79" s="195" t="str">
        <f>IF(AND(I79&lt;&gt;"",K79&lt;&gt;"",R79&lt;&gt;"",T79&lt;&gt;""),IF(AND(I79=R79,K79=T79),Setup!$F$20,IF((I79-K79)=(R79-T79),Setup!$F$21,IF(AND((I79&gt;K79),(R79&gt;T79)),Setup!$F$22,IF(AND((K79&gt;I79),(T79&gt;R79)),Setup!$F$22,0)))),"")</f>
        <v/>
      </c>
      <c r="AE79" s="183"/>
      <c r="CM79" s="168"/>
      <c r="CN79" s="168"/>
      <c r="CO79" s="187"/>
      <c r="CP79" s="168"/>
    </row>
    <row r="80" spans="2:94" s="166" customFormat="1" ht="15" customHeight="1">
      <c r="B80" s="182"/>
      <c r="C80" s="181">
        <v>63</v>
      </c>
      <c r="D80" s="181" t="s">
        <v>3551</v>
      </c>
      <c r="E80" s="188">
        <f>Tournament!T105</f>
        <v>41832.708333333336</v>
      </c>
      <c r="F80" s="189">
        <f>Tournament!U105</f>
        <v>41832.708333333336</v>
      </c>
      <c r="G80" s="190" t="str">
        <f>Tournament!Y105</f>
        <v>Match 61 Loser</v>
      </c>
      <c r="H80" s="180"/>
      <c r="I80" s="9"/>
      <c r="J80" s="191" t="s">
        <v>3088</v>
      </c>
      <c r="K80" s="9"/>
      <c r="L80" s="180"/>
      <c r="M80" s="198" t="str">
        <f>Tournament!AE105</f>
        <v>Match 62 Loser</v>
      </c>
      <c r="N80" s="183"/>
      <c r="P80" s="192" t="str">
        <f t="shared" si="2"/>
        <v>Match 61 Loser</v>
      </c>
      <c r="Q80" s="193"/>
      <c r="R80" s="194" t="str">
        <f>IF($Z$67=0,IF($Z$66=0,IF(Tournament!AA106&lt;&gt;"",Tournament!AA106,""),IF(Tournament!AA106&lt;&gt;"",Tournament!AA106+Tournament!AA107,"")),IF(Tournament!AA105&lt;&gt;"",Tournament!AA105,""))</f>
        <v/>
      </c>
      <c r="S80" s="194" t="s">
        <v>3088</v>
      </c>
      <c r="T80" s="194" t="str">
        <f>IF($Z$67=0,IF($Z$66=0,IF(Tournament!AC106&lt;&gt;"",Tournament!AC106,""),IF(Tournament!AC106&lt;&gt;"",Tournament!AC106+Tournament!AC107,"")),IF(Tournament!AC105&lt;&gt;"",Tournament!AC105,""))</f>
        <v/>
      </c>
      <c r="U80" s="193"/>
      <c r="V80" s="193" t="str">
        <f t="shared" si="3"/>
        <v>Match 62 Loser</v>
      </c>
      <c r="W80" s="191" t="str">
        <f>IF(Tournament!AA107&lt;&gt;"",Tournament!AA107,"")</f>
        <v/>
      </c>
      <c r="X80" s="199" t="s">
        <v>3088</v>
      </c>
      <c r="Y80" s="191" t="str">
        <f>IF(Tournament!AC107&lt;&gt;"",Tournament!AC107,"")</f>
        <v/>
      </c>
      <c r="Z80" s="191"/>
      <c r="AA80" s="191" t="str">
        <f>IF(Tournament!AA108&lt;&gt;"",Tournament!AA108,"")</f>
        <v/>
      </c>
      <c r="AB80" s="194" t="s">
        <v>3088</v>
      </c>
      <c r="AC80" s="191" t="str">
        <f>IF(Tournament!AC108&lt;&gt;"",Tournament!AC108,"")</f>
        <v/>
      </c>
      <c r="AD80" s="195" t="str">
        <f>IF(AND(I80&lt;&gt;"",K80&lt;&gt;"",R80&lt;&gt;"",T80&lt;&gt;""),IF(AND(I80=R80,K80=T80),Setup!$G$20,IF((I80-K80)=(R80-T80),Setup!$G$21,IF(AND((I80&gt;K80),(R80&gt;T80)),Setup!$G$22,IF(AND((K80&gt;I80),(T80&gt;R80)),Setup!$G$22,0)))),"")</f>
        <v/>
      </c>
      <c r="AE80" s="183"/>
      <c r="CM80" s="168"/>
      <c r="CN80" s="168"/>
      <c r="CO80" s="187"/>
      <c r="CP80" s="168"/>
    </row>
    <row r="81" spans="2:94" s="166" customFormat="1" ht="15" customHeight="1">
      <c r="B81" s="182"/>
      <c r="C81" s="181">
        <v>64</v>
      </c>
      <c r="D81" s="181" t="s">
        <v>3105</v>
      </c>
      <c r="E81" s="188">
        <f>Tournament!T113</f>
        <v>41833.666666666664</v>
      </c>
      <c r="F81" s="189">
        <f>Tournament!U113</f>
        <v>41833.666666666664</v>
      </c>
      <c r="G81" s="190" t="str">
        <f>Tournament!Y113</f>
        <v>Match 61 Winner</v>
      </c>
      <c r="H81" s="180"/>
      <c r="I81" s="9"/>
      <c r="J81" s="191" t="s">
        <v>3088</v>
      </c>
      <c r="K81" s="9"/>
      <c r="L81" s="180"/>
      <c r="M81" s="198" t="str">
        <f>Tournament!AE113</f>
        <v>Match 62 Winner</v>
      </c>
      <c r="N81" s="183"/>
      <c r="P81" s="192" t="str">
        <f t="shared" si="2"/>
        <v>Match 61 Winner</v>
      </c>
      <c r="Q81" s="193"/>
      <c r="R81" s="194" t="str">
        <f>IF($Z$67=0,IF($Z$66=0,IF(Tournament!AA114&lt;&gt;"",Tournament!AA114,""),IF(Tournament!AA114&lt;&gt;"",Tournament!AA114+Tournament!AA115,"")),IF(Tournament!AA113&lt;&gt;"",Tournament!AA113,""))</f>
        <v/>
      </c>
      <c r="S81" s="194" t="s">
        <v>3088</v>
      </c>
      <c r="T81" s="194" t="str">
        <f>IF($Z$67=0,IF($Z$66=0,IF(Tournament!AC114&lt;&gt;"",Tournament!AC114,""),IF(Tournament!AC114&lt;&gt;"",Tournament!AC114+Tournament!AC115,"")),IF(Tournament!AC113&lt;&gt;"",Tournament!AC113,""))</f>
        <v/>
      </c>
      <c r="U81" s="193"/>
      <c r="V81" s="193" t="str">
        <f t="shared" si="3"/>
        <v>Match 62 Winner</v>
      </c>
      <c r="W81" s="191" t="str">
        <f>IF(Tournament!AA115&lt;&gt;"",Tournament!AA115,"")</f>
        <v/>
      </c>
      <c r="X81" s="199" t="s">
        <v>3088</v>
      </c>
      <c r="Y81" s="191" t="str">
        <f>IF(Tournament!AC115&lt;&gt;"",Tournament!AC115,"")</f>
        <v/>
      </c>
      <c r="Z81" s="191"/>
      <c r="AA81" s="191" t="str">
        <f>IF(Tournament!AA116&lt;&gt;"",Tournament!AA116,"")</f>
        <v/>
      </c>
      <c r="AB81" s="194" t="s">
        <v>3088</v>
      </c>
      <c r="AC81" s="191" t="str">
        <f>IF(Tournament!AC116&lt;&gt;"",Tournament!AC116,"")</f>
        <v/>
      </c>
      <c r="AD81" s="195" t="str">
        <f>IF(AND(I81&lt;&gt;"",K81&lt;&gt;"",R81&lt;&gt;"",T81&lt;&gt;""),IF(AND(I81=R81,K81=T81),Setup!$H$20,IF((I81-K81)=(R81-T81),Setup!$H$21,IF(AND((I81&gt;K81),(R81&gt;T81)),Setup!$H$22,IF(AND((K81&gt;I81),(T81&gt;R81)),Setup!$H$22,0)))),"")</f>
        <v/>
      </c>
      <c r="AE81" s="183"/>
      <c r="CM81" s="168"/>
      <c r="CN81" s="168"/>
      <c r="CO81" s="187"/>
      <c r="CP81" s="168"/>
    </row>
    <row r="82" spans="2:94" s="166" customFormat="1" ht="15" customHeight="1">
      <c r="B82" s="200"/>
      <c r="C82" s="201"/>
      <c r="D82" s="201"/>
      <c r="E82" s="201"/>
      <c r="F82" s="201"/>
      <c r="G82" s="201"/>
      <c r="H82" s="201"/>
      <c r="I82" s="201"/>
      <c r="J82" s="202"/>
      <c r="K82" s="201"/>
      <c r="L82" s="201"/>
      <c r="M82" s="201"/>
      <c r="N82" s="203"/>
      <c r="P82" s="200"/>
      <c r="Q82" s="201"/>
      <c r="R82" s="201"/>
      <c r="S82" s="202"/>
      <c r="T82" s="201"/>
      <c r="U82" s="201"/>
      <c r="V82" s="201"/>
      <c r="W82" s="201"/>
      <c r="X82" s="202"/>
      <c r="Y82" s="201"/>
      <c r="Z82" s="201"/>
      <c r="AA82" s="201"/>
      <c r="AB82" s="202"/>
      <c r="AC82" s="201"/>
      <c r="AD82" s="202"/>
      <c r="AE82" s="203"/>
      <c r="CM82" s="168"/>
      <c r="CN82" s="168"/>
      <c r="CO82" s="187"/>
      <c r="CP82" s="168"/>
    </row>
    <row r="83" spans="2:94" s="166" customFormat="1" ht="15" customHeight="1">
      <c r="B83" s="166" t="s">
        <v>3905</v>
      </c>
      <c r="N83" s="180"/>
      <c r="AD83" s="167"/>
      <c r="CM83" s="168"/>
      <c r="CN83" s="168"/>
      <c r="CO83" s="187"/>
      <c r="CP83" s="168"/>
    </row>
    <row r="84" spans="2:94" s="166" customFormat="1" ht="15" hidden="1" customHeight="1">
      <c r="N84" s="180"/>
      <c r="AD84" s="167"/>
      <c r="CM84" s="168"/>
      <c r="CN84" s="168"/>
      <c r="CO84" s="187"/>
      <c r="CP84" s="168"/>
    </row>
    <row r="85" spans="2:94" s="166" customFormat="1" ht="15" hidden="1" customHeight="1">
      <c r="N85" s="180"/>
      <c r="AD85" s="167"/>
      <c r="CM85" s="168"/>
      <c r="CN85" s="168"/>
      <c r="CO85" s="187"/>
      <c r="CP85" s="168"/>
    </row>
    <row r="86" spans="2:94" s="166" customFormat="1" ht="15" hidden="1" customHeight="1">
      <c r="N86" s="180"/>
      <c r="AD86" s="167"/>
      <c r="CM86" s="168"/>
      <c r="CN86" s="168"/>
      <c r="CO86" s="187"/>
      <c r="CP86" s="168"/>
    </row>
    <row r="87" spans="2:94" s="166" customFormat="1" ht="15" hidden="1" customHeight="1">
      <c r="N87" s="180"/>
      <c r="AD87" s="167"/>
      <c r="CM87" s="168"/>
      <c r="CN87" s="168"/>
      <c r="CO87" s="187"/>
      <c r="CP87" s="168"/>
    </row>
    <row r="88" spans="2:94" s="166" customFormat="1" ht="15" hidden="1" customHeight="1">
      <c r="N88" s="180"/>
      <c r="AD88" s="167"/>
      <c r="CM88" s="168"/>
      <c r="CN88" s="168"/>
      <c r="CO88" s="187"/>
      <c r="CP88" s="168"/>
    </row>
    <row r="89" spans="2:94" s="166" customFormat="1" ht="15" hidden="1" customHeight="1">
      <c r="N89" s="180"/>
      <c r="AD89" s="167"/>
      <c r="CM89" s="168"/>
      <c r="CN89" s="168"/>
      <c r="CO89" s="187"/>
      <c r="CP89" s="168"/>
    </row>
    <row r="90" spans="2:94" s="166" customFormat="1" ht="15" hidden="1" customHeight="1">
      <c r="N90" s="180"/>
      <c r="AD90" s="167"/>
      <c r="CM90" s="168"/>
      <c r="CN90" s="168"/>
      <c r="CO90" s="187"/>
      <c r="CP90" s="168"/>
    </row>
    <row r="91" spans="2:94" s="166" customFormat="1" ht="15" hidden="1" customHeight="1">
      <c r="N91" s="180"/>
      <c r="AD91" s="167"/>
      <c r="CM91" s="168"/>
      <c r="CN91" s="168"/>
      <c r="CO91" s="187"/>
      <c r="CP91" s="168"/>
    </row>
    <row r="92" spans="2:94" s="166" customFormat="1" ht="15" hidden="1" customHeight="1">
      <c r="N92" s="180"/>
      <c r="AD92" s="167"/>
      <c r="CM92" s="168"/>
      <c r="CN92" s="168"/>
      <c r="CO92" s="187"/>
      <c r="CP92" s="168"/>
    </row>
    <row r="93" spans="2:94" s="166" customFormat="1" ht="15" hidden="1" customHeight="1">
      <c r="N93" s="180"/>
      <c r="AD93" s="167"/>
      <c r="CM93" s="168"/>
      <c r="CN93" s="168"/>
      <c r="CO93" s="187"/>
      <c r="CP93" s="168"/>
    </row>
    <row r="94" spans="2:94" s="166" customFormat="1" ht="15" hidden="1" customHeight="1">
      <c r="N94" s="180"/>
      <c r="AD94" s="167"/>
      <c r="CM94" s="168"/>
      <c r="CN94" s="168"/>
      <c r="CO94" s="187"/>
      <c r="CP94" s="168"/>
    </row>
    <row r="95" spans="2:94" s="166" customFormat="1" ht="15" hidden="1" customHeight="1">
      <c r="N95" s="180"/>
      <c r="AD95" s="167"/>
      <c r="CM95" s="168"/>
      <c r="CN95" s="168"/>
      <c r="CO95" s="187"/>
      <c r="CP95" s="168"/>
    </row>
    <row r="96" spans="2:94" s="166" customFormat="1" ht="15" hidden="1" customHeight="1">
      <c r="N96" s="180"/>
      <c r="AD96" s="167"/>
      <c r="CM96" s="168"/>
      <c r="CN96" s="168"/>
      <c r="CO96" s="187"/>
      <c r="CP96" s="168"/>
    </row>
    <row r="97" spans="14:94" s="166" customFormat="1" ht="15" hidden="1" customHeight="1">
      <c r="N97" s="180"/>
      <c r="AD97" s="167"/>
      <c r="CM97" s="168"/>
      <c r="CN97" s="168"/>
      <c r="CO97" s="187"/>
      <c r="CP97" s="168"/>
    </row>
    <row r="98" spans="14:94" s="166" customFormat="1" ht="15" hidden="1" customHeight="1">
      <c r="N98" s="180"/>
      <c r="AD98" s="167"/>
      <c r="CM98" s="168"/>
      <c r="CN98" s="168"/>
      <c r="CO98" s="187"/>
      <c r="CP98" s="168"/>
    </row>
    <row r="99" spans="14:94" s="166" customFormat="1" ht="15" hidden="1" customHeight="1">
      <c r="N99" s="180"/>
      <c r="AD99" s="167"/>
      <c r="CM99" s="168"/>
      <c r="CN99" s="168"/>
      <c r="CO99" s="187"/>
      <c r="CP99" s="168"/>
    </row>
    <row r="100" spans="14:94" s="166" customFormat="1" ht="15" hidden="1" customHeight="1">
      <c r="N100" s="180"/>
      <c r="AD100" s="167"/>
      <c r="CM100" s="168"/>
      <c r="CN100" s="168"/>
      <c r="CO100" s="187"/>
      <c r="CP100" s="168"/>
    </row>
    <row r="101" spans="14:94" s="166" customFormat="1" ht="15" hidden="1" customHeight="1">
      <c r="N101" s="180"/>
      <c r="AD101" s="167"/>
      <c r="CM101" s="168"/>
      <c r="CN101" s="168"/>
      <c r="CO101" s="187"/>
      <c r="CP101" s="168"/>
    </row>
    <row r="102" spans="14:94" s="166" customFormat="1" ht="15" hidden="1" customHeight="1">
      <c r="N102" s="180"/>
      <c r="AD102" s="167"/>
      <c r="CM102" s="168"/>
      <c r="CN102" s="168"/>
      <c r="CO102" s="187"/>
      <c r="CP102" s="168"/>
    </row>
    <row r="103" spans="14:94" s="166" customFormat="1" ht="15" hidden="1" customHeight="1">
      <c r="N103" s="180"/>
      <c r="AD103" s="167"/>
      <c r="CM103" s="168"/>
      <c r="CN103" s="168"/>
      <c r="CO103" s="187"/>
      <c r="CP103" s="168"/>
    </row>
    <row r="104" spans="14:94" s="166" customFormat="1" ht="15" hidden="1" customHeight="1">
      <c r="N104" s="180"/>
      <c r="AD104" s="167"/>
      <c r="CM104" s="168"/>
      <c r="CN104" s="168"/>
      <c r="CO104" s="187"/>
      <c r="CP104" s="168"/>
    </row>
    <row r="105" spans="14:94" s="166" customFormat="1" ht="15" hidden="1" customHeight="1">
      <c r="N105" s="180"/>
      <c r="AD105" s="167"/>
      <c r="CM105" s="168"/>
      <c r="CN105" s="168"/>
      <c r="CO105" s="187"/>
      <c r="CP105" s="168"/>
    </row>
    <row r="106" spans="14:94" s="166" customFormat="1" ht="15" hidden="1" customHeight="1">
      <c r="N106" s="180"/>
      <c r="AD106" s="167"/>
      <c r="CM106" s="168"/>
      <c r="CN106" s="168"/>
      <c r="CO106" s="187"/>
      <c r="CP106" s="168"/>
    </row>
    <row r="107" spans="14:94" s="166" customFormat="1" ht="15" hidden="1" customHeight="1">
      <c r="N107" s="180"/>
      <c r="AD107" s="167"/>
      <c r="CM107" s="168"/>
      <c r="CN107" s="168"/>
      <c r="CO107" s="187"/>
      <c r="CP107" s="168"/>
    </row>
    <row r="108" spans="14:94" s="166" customFormat="1" ht="15" hidden="1" customHeight="1">
      <c r="N108" s="180"/>
      <c r="AD108" s="167"/>
      <c r="CM108" s="168"/>
      <c r="CN108" s="168"/>
      <c r="CO108" s="187"/>
      <c r="CP108" s="168"/>
    </row>
    <row r="109" spans="14:94" s="166" customFormat="1" ht="15" hidden="1" customHeight="1">
      <c r="N109" s="180"/>
      <c r="AD109" s="167"/>
      <c r="CM109" s="168"/>
      <c r="CN109" s="168"/>
      <c r="CO109" s="187"/>
      <c r="CP109" s="168"/>
    </row>
    <row r="110" spans="14:94" s="166" customFormat="1" ht="15" hidden="1" customHeight="1">
      <c r="N110" s="180"/>
      <c r="AD110" s="167"/>
      <c r="CM110" s="168"/>
      <c r="CN110" s="168"/>
      <c r="CO110" s="187"/>
      <c r="CP110" s="168"/>
    </row>
    <row r="111" spans="14:94" s="166" customFormat="1" ht="15" hidden="1" customHeight="1">
      <c r="N111" s="180"/>
      <c r="AD111" s="167"/>
      <c r="CM111" s="168"/>
      <c r="CN111" s="168"/>
      <c r="CO111" s="187"/>
      <c r="CP111" s="168"/>
    </row>
    <row r="112" spans="14:94" s="166" customFormat="1" ht="15" hidden="1" customHeight="1">
      <c r="N112" s="180"/>
      <c r="AD112" s="167"/>
      <c r="CM112" s="168"/>
      <c r="CN112" s="168"/>
      <c r="CO112" s="187"/>
      <c r="CP112" s="168"/>
    </row>
    <row r="113" spans="2:94" s="166" customFormat="1" ht="15" hidden="1" customHeight="1">
      <c r="N113" s="180"/>
      <c r="AD113" s="167"/>
      <c r="CM113" s="168"/>
      <c r="CN113" s="168"/>
      <c r="CO113" s="187"/>
      <c r="CP113" s="168"/>
    </row>
    <row r="114" spans="2:94" s="166" customFormat="1" ht="15" hidden="1" customHeight="1">
      <c r="N114" s="180"/>
      <c r="AD114" s="167"/>
      <c r="CM114" s="168"/>
      <c r="CN114" s="168"/>
      <c r="CO114" s="187"/>
      <c r="CP114" s="168"/>
    </row>
    <row r="115" spans="2:94" s="166" customFormat="1" ht="15" hidden="1" customHeight="1">
      <c r="N115" s="180"/>
      <c r="AD115" s="167"/>
      <c r="CM115" s="168"/>
      <c r="CN115" s="168"/>
      <c r="CO115" s="187"/>
      <c r="CP115" s="168"/>
    </row>
    <row r="116" spans="2:94" s="166" customFormat="1" ht="15" hidden="1" customHeight="1">
      <c r="N116" s="180"/>
      <c r="AD116" s="167"/>
      <c r="CM116" s="168"/>
      <c r="CN116" s="168"/>
      <c r="CO116" s="187"/>
      <c r="CP116" s="168"/>
    </row>
    <row r="117" spans="2:94" s="166" customFormat="1" ht="15" hidden="1" customHeight="1">
      <c r="N117" s="180"/>
      <c r="AD117" s="167"/>
      <c r="CM117" s="168"/>
      <c r="CN117" s="168"/>
      <c r="CO117" s="187"/>
      <c r="CP117" s="168"/>
    </row>
    <row r="118" spans="2:94" s="166" customFormat="1" ht="15" hidden="1" customHeight="1">
      <c r="N118" s="180"/>
      <c r="AD118" s="167"/>
      <c r="CM118" s="168"/>
      <c r="CN118" s="168"/>
      <c r="CO118" s="187"/>
      <c r="CP118" s="168"/>
    </row>
    <row r="119" spans="2:94" s="166" customFormat="1" ht="15" hidden="1" customHeight="1">
      <c r="N119" s="180"/>
      <c r="AD119" s="167"/>
      <c r="CM119" s="168"/>
      <c r="CN119" s="168"/>
      <c r="CO119" s="187"/>
      <c r="CP119" s="168"/>
    </row>
    <row r="120" spans="2:94" s="166" customFormat="1" ht="15" hidden="1" customHeight="1">
      <c r="N120" s="180"/>
      <c r="AD120" s="167"/>
      <c r="CM120" s="168"/>
      <c r="CN120" s="168"/>
      <c r="CO120" s="187" t="s">
        <v>1404</v>
      </c>
      <c r="CP120" s="168"/>
    </row>
    <row r="121" spans="2:94" s="166" customFormat="1" ht="15" hidden="1" customHeight="1">
      <c r="N121" s="180"/>
      <c r="AD121" s="167"/>
      <c r="CM121" s="168"/>
      <c r="CN121" s="168"/>
      <c r="CO121" s="187" t="s">
        <v>1405</v>
      </c>
      <c r="CP121" s="168"/>
    </row>
    <row r="122" spans="2:94" s="166" customFormat="1" ht="15" hidden="1" customHeight="1">
      <c r="N122" s="180"/>
      <c r="AD122" s="167"/>
      <c r="CM122" s="168"/>
      <c r="CN122" s="168"/>
      <c r="CO122" s="187" t="s">
        <v>1406</v>
      </c>
      <c r="CP122" s="168"/>
    </row>
    <row r="123" spans="2:94" s="166" customFormat="1" ht="15" hidden="1" customHeight="1">
      <c r="N123" s="180"/>
      <c r="AD123" s="167"/>
      <c r="CM123" s="168"/>
      <c r="CN123" s="168"/>
      <c r="CO123" s="187" t="s">
        <v>1407</v>
      </c>
      <c r="CP123" s="168"/>
    </row>
    <row r="124" spans="2:94" s="166" customFormat="1" ht="15" hidden="1" customHeight="1">
      <c r="N124" s="180"/>
      <c r="AD124" s="167"/>
      <c r="CM124" s="168"/>
      <c r="CN124" s="168"/>
      <c r="CO124" s="187" t="s">
        <v>1408</v>
      </c>
      <c r="CP124" s="168"/>
    </row>
    <row r="125" spans="2:94" s="166" customFormat="1" ht="15" hidden="1" customHeight="1">
      <c r="B125" s="180"/>
      <c r="C125" s="180"/>
      <c r="D125" s="180"/>
      <c r="E125" s="180"/>
      <c r="F125" s="180"/>
      <c r="G125" s="180"/>
      <c r="H125" s="180"/>
      <c r="I125" s="180"/>
      <c r="J125" s="181"/>
      <c r="K125" s="180"/>
      <c r="L125" s="180"/>
      <c r="M125" s="180"/>
      <c r="N125" s="180"/>
      <c r="P125" s="180"/>
      <c r="Q125" s="180"/>
      <c r="R125" s="180"/>
      <c r="S125" s="181"/>
      <c r="T125" s="180"/>
      <c r="U125" s="180"/>
      <c r="V125" s="180"/>
      <c r="W125" s="180"/>
      <c r="X125" s="181"/>
      <c r="Y125" s="180"/>
      <c r="Z125" s="180"/>
      <c r="AA125" s="180"/>
      <c r="AB125" s="181"/>
      <c r="AC125" s="180"/>
      <c r="AD125" s="167"/>
      <c r="CM125" s="168"/>
      <c r="CN125" s="168"/>
      <c r="CO125" s="187" t="s">
        <v>1409</v>
      </c>
      <c r="CP125" s="168"/>
    </row>
    <row r="126" spans="2:94" s="166" customFormat="1" ht="15" hidden="1" customHeight="1">
      <c r="B126" s="180"/>
      <c r="C126" s="180"/>
      <c r="D126" s="180"/>
      <c r="E126" s="180"/>
      <c r="F126" s="180"/>
      <c r="G126" s="180"/>
      <c r="H126" s="180"/>
      <c r="I126" s="180"/>
      <c r="J126" s="181"/>
      <c r="K126" s="180"/>
      <c r="L126" s="180"/>
      <c r="M126" s="180"/>
      <c r="N126" s="180"/>
      <c r="P126" s="180"/>
      <c r="Q126" s="180"/>
      <c r="R126" s="180"/>
      <c r="S126" s="181"/>
      <c r="T126" s="180"/>
      <c r="U126" s="180"/>
      <c r="V126" s="180"/>
      <c r="W126" s="180"/>
      <c r="X126" s="181"/>
      <c r="Y126" s="180"/>
      <c r="Z126" s="180"/>
      <c r="AA126" s="180"/>
      <c r="AB126" s="181"/>
      <c r="AC126" s="180"/>
      <c r="AD126" s="167"/>
      <c r="CM126" s="168"/>
      <c r="CN126" s="168"/>
      <c r="CO126" s="187" t="s">
        <v>1410</v>
      </c>
      <c r="CP126" s="168"/>
    </row>
  </sheetData>
  <sheetProtection password="CE4F" sheet="1" objects="1" scenarios="1" formatCells="0" formatColumns="0" formatRows="0" insertColumns="0" insertRows="0" insertHyperlinks="0" sort="0" autoFilter="0" pivotTables="0"/>
  <mergeCells count="23">
    <mergeCell ref="B4:C4"/>
    <mergeCell ref="D4:M4"/>
    <mergeCell ref="H5:L5"/>
    <mergeCell ref="AC5:AE5"/>
    <mergeCell ref="B6:C7"/>
    <mergeCell ref="D6:F6"/>
    <mergeCell ref="H6:L6"/>
    <mergeCell ref="D7:F7"/>
    <mergeCell ref="H7:L7"/>
    <mergeCell ref="AC7:AE7"/>
    <mergeCell ref="B9:N9"/>
    <mergeCell ref="P9:AE9"/>
    <mergeCell ref="B11:N11"/>
    <mergeCell ref="P11:AE11"/>
    <mergeCell ref="I13:K13"/>
    <mergeCell ref="R13:T13"/>
    <mergeCell ref="W13:Y13"/>
    <mergeCell ref="AA13:AC13"/>
    <mergeCell ref="B64:N64"/>
    <mergeCell ref="P64:AE64"/>
    <mergeCell ref="R65:T65"/>
    <mergeCell ref="W65:Y65"/>
    <mergeCell ref="AA65:AC65"/>
  </mergeCells>
  <conditionalFormatting sqref="G15:G62 G66:G81">
    <cfRule type="expression" dxfId="323" priority="21" stopIfTrue="1">
      <formula>I15&gt;K15</formula>
    </cfRule>
    <cfRule type="expression" dxfId="322" priority="22" stopIfTrue="1">
      <formula>I15&lt;K15</formula>
    </cfRule>
  </conditionalFormatting>
  <conditionalFormatting sqref="M15:M62">
    <cfRule type="expression" dxfId="321" priority="23" stopIfTrue="1">
      <formula>K15&gt;I15</formula>
    </cfRule>
    <cfRule type="expression" dxfId="320" priority="24" stopIfTrue="1">
      <formula>K15&lt;I15</formula>
    </cfRule>
  </conditionalFormatting>
  <conditionalFormatting sqref="S15:S62 S66:S81">
    <cfRule type="expression" dxfId="319" priority="25" stopIfTrue="1">
      <formula>AND($R15&lt;&gt;"",$T15&lt;&gt;"")</formula>
    </cfRule>
  </conditionalFormatting>
  <conditionalFormatting sqref="P15:R62 P66:R81 T66:T81">
    <cfRule type="expression" dxfId="318" priority="26" stopIfTrue="1">
      <formula>AND($R15&gt;$T15,$R15&lt;&gt;"",$T15&lt;&gt;"")</formula>
    </cfRule>
    <cfRule type="expression" dxfId="317" priority="27" stopIfTrue="1">
      <formula>AND($R15&lt;$T15,$R15&lt;&gt;"",$T15&lt;&gt;"")</formula>
    </cfRule>
    <cfRule type="expression" dxfId="316" priority="28" stopIfTrue="1">
      <formula>AND($R15&lt;&gt;"",$T15&lt;&gt;"")</formula>
    </cfRule>
  </conditionalFormatting>
  <conditionalFormatting sqref="U66:V81 T15:V62">
    <cfRule type="expression" dxfId="315" priority="29" stopIfTrue="1">
      <formula>AND($T15&gt;$R15,$R15&lt;&gt;"",$T15&lt;&gt;"")</formula>
    </cfRule>
    <cfRule type="expression" dxfId="314" priority="30" stopIfTrue="1">
      <formula>AND($T15&lt;$R15,$R15&lt;&gt;"",$T15&lt;&gt;"")</formula>
    </cfRule>
    <cfRule type="expression" dxfId="313" priority="31" stopIfTrue="1">
      <formula>AND($R15&lt;&gt;"",$T15&lt;&gt;"")</formula>
    </cfRule>
  </conditionalFormatting>
  <conditionalFormatting sqref="O15">
    <cfRule type="expression" dxfId="312" priority="32" stopIfTrue="1">
      <formula>#REF!&gt;#REF!</formula>
    </cfRule>
    <cfRule type="expression" dxfId="311" priority="33" stopIfTrue="1">
      <formula>#REF!&lt;#REF!</formula>
    </cfRule>
  </conditionalFormatting>
  <conditionalFormatting sqref="I15:I62 K15:K62 K66:K81 I66:I81">
    <cfRule type="expression" dxfId="310" priority="34" stopIfTrue="1">
      <formula>ISBLANK(I15)</formula>
    </cfRule>
  </conditionalFormatting>
  <conditionalFormatting sqref="X15:X61">
    <cfRule type="expression" dxfId="309" priority="14" stopIfTrue="1">
      <formula>AND($R15&lt;&gt;"",$T15&lt;&gt;"")</formula>
    </cfRule>
  </conditionalFormatting>
  <conditionalFormatting sqref="W15:W61">
    <cfRule type="expression" dxfId="308" priority="15" stopIfTrue="1">
      <formula>AND($R15&gt;$T15,$R15&lt;&gt;"",$T15&lt;&gt;"")</formula>
    </cfRule>
    <cfRule type="expression" dxfId="307" priority="16" stopIfTrue="1">
      <formula>AND($R15&lt;$T15,$R15&lt;&gt;"",$T15&lt;&gt;"")</formula>
    </cfRule>
    <cfRule type="expression" dxfId="306" priority="17" stopIfTrue="1">
      <formula>AND($R15&lt;&gt;"",$T15&lt;&gt;"")</formula>
    </cfRule>
  </conditionalFormatting>
  <conditionalFormatting sqref="Y15:Z61">
    <cfRule type="expression" dxfId="305" priority="18" stopIfTrue="1">
      <formula>AND($T15&gt;$R15,$R15&lt;&gt;"",$T15&lt;&gt;"")</formula>
    </cfRule>
    <cfRule type="expression" dxfId="304" priority="19" stopIfTrue="1">
      <formula>AND($T15&lt;$R15,$R15&lt;&gt;"",$T15&lt;&gt;"")</formula>
    </cfRule>
    <cfRule type="expression" dxfId="303" priority="20" stopIfTrue="1">
      <formula>AND($R15&lt;&gt;"",$T15&lt;&gt;"")</formula>
    </cfRule>
  </conditionalFormatting>
  <conditionalFormatting sqref="AB15:AB61">
    <cfRule type="expression" dxfId="302" priority="7" stopIfTrue="1">
      <formula>AND($R15&lt;&gt;"",$T15&lt;&gt;"")</formula>
    </cfRule>
  </conditionalFormatting>
  <conditionalFormatting sqref="AA15:AA61">
    <cfRule type="expression" dxfId="301" priority="8" stopIfTrue="1">
      <formula>AND($R15&gt;$T15,$R15&lt;&gt;"",$T15&lt;&gt;"")</formula>
    </cfRule>
    <cfRule type="expression" dxfId="300" priority="9" stopIfTrue="1">
      <formula>AND($R15&lt;$T15,$R15&lt;&gt;"",$T15&lt;&gt;"")</formula>
    </cfRule>
    <cfRule type="expression" dxfId="299" priority="10" stopIfTrue="1">
      <formula>AND($R15&lt;&gt;"",$T15&lt;&gt;"")</formula>
    </cfRule>
  </conditionalFormatting>
  <conditionalFormatting sqref="AC15:AC61">
    <cfRule type="expression" dxfId="298" priority="11" stopIfTrue="1">
      <formula>AND($T15&gt;$R15,$R15&lt;&gt;"",$T15&lt;&gt;"")</formula>
    </cfRule>
    <cfRule type="expression" dxfId="297" priority="12" stopIfTrue="1">
      <formula>AND($T15&lt;$R15,$R15&lt;&gt;"",$T15&lt;&gt;"")</formula>
    </cfRule>
    <cfRule type="expression" dxfId="296" priority="13" stopIfTrue="1">
      <formula>AND($R15&lt;&gt;"",$T15&lt;&gt;"")</formula>
    </cfRule>
  </conditionalFormatting>
  <conditionalFormatting sqref="M66:M81">
    <cfRule type="expression" dxfId="295" priority="35">
      <formula>K66&gt;I66</formula>
    </cfRule>
    <cfRule type="expression" dxfId="294" priority="36">
      <formula>$K66&lt;$I66</formula>
    </cfRule>
  </conditionalFormatting>
  <conditionalFormatting sqref="X66:X81">
    <cfRule type="expression" dxfId="293" priority="6">
      <formula>AND($W66&lt;&gt;"",$Y66&lt;&gt;"")</formula>
    </cfRule>
  </conditionalFormatting>
  <conditionalFormatting sqref="AB66:AB81">
    <cfRule type="expression" dxfId="292" priority="5">
      <formula>AND($AA66&lt;&gt;"",$AC66&lt;&gt;"")</formula>
    </cfRule>
  </conditionalFormatting>
  <conditionalFormatting sqref="AA65:AC65">
    <cfRule type="expression" dxfId="291" priority="4">
      <formula>$Z$67=1</formula>
    </cfRule>
  </conditionalFormatting>
  <conditionalFormatting sqref="W65:Y65">
    <cfRule type="expression" dxfId="290" priority="3">
      <formula>OR($Z$66=1,$Z$67=1)</formula>
    </cfRule>
  </conditionalFormatting>
  <conditionalFormatting sqref="W66:Y81">
    <cfRule type="expression" dxfId="289" priority="2">
      <formula>OR($Z$66=1,$Z$67=1)</formula>
    </cfRule>
  </conditionalFormatting>
  <conditionalFormatting sqref="AA66:AC81">
    <cfRule type="expression" dxfId="288" priority="1">
      <formula>$Z$67=1</formula>
    </cfRule>
  </conditionalFormatting>
  <printOptions horizontalCentered="1" verticalCentered="1"/>
  <pageMargins left="0.39" right="0.32" top="0.28999999999999998" bottom="0.39" header="0.21" footer="0.26"/>
  <pageSetup scale="59" orientation="portrait" horizontalDpi="300" verticalDpi="300" r:id="rId1"/>
  <headerFooter alignWithMargins="0">
    <oddFooter xml:space="preserve">&amp;C
</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S126"/>
  <sheetViews>
    <sheetView showGridLines="0" zoomScaleNormal="100" workbookViewId="0">
      <selection activeCell="C82" sqref="C82"/>
    </sheetView>
  </sheetViews>
  <sheetFormatPr defaultColWidth="0" defaultRowHeight="14.4" customHeight="1" zeroHeight="1"/>
  <cols>
    <col min="1" max="1" width="2.44140625" style="204" customWidth="1"/>
    <col min="2" max="2" width="3.6640625" style="204" customWidth="1"/>
    <col min="3" max="3" width="4.109375" style="204" customWidth="1"/>
    <col min="4" max="4" width="6.33203125" style="204" customWidth="1"/>
    <col min="5" max="5" width="8.21875" style="204" customWidth="1"/>
    <col min="6" max="6" width="6.88671875" style="205" customWidth="1"/>
    <col min="7" max="7" width="20.6640625" style="204" customWidth="1"/>
    <col min="8" max="8" width="1.77734375" style="204" customWidth="1"/>
    <col min="9" max="9" width="3.44140625" style="204" customWidth="1"/>
    <col min="10" max="10" width="1.77734375" style="206" customWidth="1"/>
    <col min="11" max="11" width="3.44140625" style="204" customWidth="1"/>
    <col min="12" max="12" width="1.6640625" style="204" customWidth="1"/>
    <col min="13" max="13" width="20.6640625" style="204" customWidth="1"/>
    <col min="14" max="14" width="2.44140625" style="204" customWidth="1"/>
    <col min="15" max="15" width="1.77734375" style="204" customWidth="1"/>
    <col min="16" max="16" width="20.6640625" style="204" customWidth="1"/>
    <col min="17" max="17" width="1.6640625" style="204" customWidth="1"/>
    <col min="18" max="18" width="3.44140625" style="204" customWidth="1"/>
    <col min="19" max="19" width="1.77734375" style="206" customWidth="1"/>
    <col min="20" max="20" width="3.44140625" style="204" customWidth="1"/>
    <col min="21" max="21" width="1.6640625" style="204" customWidth="1"/>
    <col min="22" max="22" width="17.5546875" style="204" customWidth="1"/>
    <col min="23" max="23" width="3.44140625" style="204" customWidth="1"/>
    <col min="24" max="24" width="1.77734375" style="206" customWidth="1"/>
    <col min="25" max="25" width="3.44140625" style="204" customWidth="1"/>
    <col min="26" max="26" width="1.77734375" style="204" customWidth="1"/>
    <col min="27" max="27" width="3.44140625" style="204" customWidth="1"/>
    <col min="28" max="28" width="1.77734375" style="206" customWidth="1"/>
    <col min="29" max="29" width="3.44140625" style="204" customWidth="1"/>
    <col min="30" max="30" width="5.77734375" style="206" customWidth="1"/>
    <col min="31" max="31" width="9.109375" style="204" customWidth="1"/>
    <col min="32" max="32" width="2.6640625" style="204" customWidth="1"/>
    <col min="33" max="33" width="9.109375" style="204" hidden="1" customWidth="1"/>
    <col min="34" max="90" width="0" style="204" hidden="1" customWidth="1"/>
    <col min="91" max="94" width="0" style="207" hidden="1" customWidth="1"/>
    <col min="95" max="97" width="0" style="204" hidden="1" customWidth="1"/>
    <col min="98" max="16384" width="9.109375" style="204" hidden="1"/>
  </cols>
  <sheetData>
    <row r="1" spans="2:97" s="166" customFormat="1" ht="15" customHeight="1">
      <c r="J1" s="167"/>
      <c r="S1" s="167"/>
      <c r="X1" s="167"/>
      <c r="AB1" s="167"/>
      <c r="AD1" s="167"/>
      <c r="CM1" s="168"/>
      <c r="CN1" s="168"/>
      <c r="CO1" s="168"/>
      <c r="CP1" s="168"/>
    </row>
    <row r="2" spans="2:97" s="166" customFormat="1" ht="15" customHeight="1">
      <c r="J2" s="167"/>
      <c r="S2" s="167"/>
      <c r="X2" s="167"/>
      <c r="AB2" s="167"/>
      <c r="AD2" s="167"/>
      <c r="CM2" s="168"/>
      <c r="CN2" s="168"/>
      <c r="CO2" s="168"/>
      <c r="CP2" s="168"/>
    </row>
    <row r="3" spans="2:97" s="166" customFormat="1" ht="15" customHeight="1">
      <c r="J3" s="167"/>
      <c r="S3" s="167"/>
      <c r="X3" s="167"/>
      <c r="AB3" s="167"/>
      <c r="AD3" s="167"/>
      <c r="CM3" s="168"/>
      <c r="CN3" s="168"/>
      <c r="CO3" s="168"/>
      <c r="CP3" s="168"/>
    </row>
    <row r="4" spans="2:97" s="166" customFormat="1" ht="25.05" customHeight="1">
      <c r="B4" s="297" t="s">
        <v>3871</v>
      </c>
      <c r="C4" s="298"/>
      <c r="D4" s="307" t="str">
        <f ca="1">IF(INDIRECT("'Player Name'!"&amp;"$c"&amp;B8)&lt;&gt;"",INDIRECT("'Player Name'!"&amp;"$c"&amp;B8),"")</f>
        <v>John 8</v>
      </c>
      <c r="E4" s="308"/>
      <c r="F4" s="308"/>
      <c r="G4" s="308"/>
      <c r="H4" s="308"/>
      <c r="I4" s="308"/>
      <c r="J4" s="308"/>
      <c r="K4" s="308"/>
      <c r="L4" s="308"/>
      <c r="M4" s="309"/>
      <c r="S4" s="167"/>
      <c r="X4" s="167"/>
      <c r="AB4" s="167"/>
      <c r="CM4" s="168"/>
      <c r="CN4" s="168"/>
      <c r="CO4" s="168"/>
      <c r="CP4" s="168"/>
    </row>
    <row r="5" spans="2:97" s="173" customFormat="1" ht="15" customHeight="1">
      <c r="B5" s="169"/>
      <c r="C5" s="169"/>
      <c r="D5" s="170"/>
      <c r="E5" s="170"/>
      <c r="F5" s="170"/>
      <c r="G5" s="171" t="s">
        <v>848</v>
      </c>
      <c r="H5" s="294" t="s">
        <v>3872</v>
      </c>
      <c r="I5" s="294"/>
      <c r="J5" s="294"/>
      <c r="K5" s="294"/>
      <c r="L5" s="295"/>
      <c r="M5" s="171" t="s">
        <v>3870</v>
      </c>
      <c r="N5" s="166"/>
      <c r="O5" s="166"/>
      <c r="P5" s="172"/>
      <c r="Q5" s="166"/>
      <c r="R5" s="166"/>
      <c r="S5" s="167"/>
      <c r="T5" s="166"/>
      <c r="U5" s="166"/>
      <c r="V5" s="166"/>
      <c r="W5" s="166"/>
      <c r="X5" s="167"/>
      <c r="Y5" s="166"/>
      <c r="Z5" s="166"/>
      <c r="AA5" s="166"/>
      <c r="AB5" s="167"/>
      <c r="AC5" s="296"/>
      <c r="AD5" s="296"/>
      <c r="AE5" s="296"/>
      <c r="CM5" s="174"/>
      <c r="CN5" s="174"/>
      <c r="CO5" s="174"/>
      <c r="CP5" s="174"/>
    </row>
    <row r="6" spans="2:97" s="166" customFormat="1" ht="15" customHeight="1">
      <c r="B6" s="318">
        <f>B8-5</f>
        <v>8</v>
      </c>
      <c r="C6" s="318"/>
      <c r="D6" s="315" t="s">
        <v>3868</v>
      </c>
      <c r="E6" s="315"/>
      <c r="F6" s="315"/>
      <c r="G6" s="175">
        <f>SUM(AD15:AD62)</f>
        <v>0</v>
      </c>
      <c r="H6" s="310">
        <f>SUM(AD66:AD81)</f>
        <v>0</v>
      </c>
      <c r="I6" s="311"/>
      <c r="J6" s="311"/>
      <c r="K6" s="311"/>
      <c r="L6" s="311"/>
      <c r="M6" s="176">
        <f>H6+G6</f>
        <v>0</v>
      </c>
      <c r="X6" s="167"/>
      <c r="AB6" s="167"/>
      <c r="CM6" s="168"/>
      <c r="CN6" s="168"/>
      <c r="CO6" s="168"/>
      <c r="CP6" s="168"/>
    </row>
    <row r="7" spans="2:97" s="166" customFormat="1" ht="15" customHeight="1">
      <c r="B7" s="318"/>
      <c r="C7" s="319"/>
      <c r="D7" s="316" t="s">
        <v>3869</v>
      </c>
      <c r="E7" s="317"/>
      <c r="F7" s="317"/>
      <c r="G7" s="177"/>
      <c r="H7" s="312"/>
      <c r="I7" s="312"/>
      <c r="J7" s="312"/>
      <c r="K7" s="312"/>
      <c r="L7" s="313"/>
      <c r="M7" s="178">
        <f ca="1">INDEX('Player Leaderboard'!$A$9:$A$23,MATCH($D4,'Player Leaderboard'!$B$9:$B$23,0),0)</f>
        <v>8</v>
      </c>
      <c r="P7" s="210" t="str">
        <f>HYPERLINK("["&amp;Setup!$C$5&amp;"]'Player ("&amp;B8-6&amp;")'!B6","&lt;&lt; Previous Player ("&amp;B8-6&amp;")")</f>
        <v>&lt;&lt; Previous Player (7)</v>
      </c>
      <c r="S7" s="167"/>
      <c r="X7" s="167"/>
      <c r="AB7" s="167"/>
      <c r="AC7" s="320" t="str">
        <f>HYPERLINK("["&amp;Setup!$C$5&amp;"]'Player ("&amp;B8-4&amp;")'!B6","Next Player ("&amp;B8-4&amp;") &gt;&gt;")</f>
        <v>Next Player (9) &gt;&gt;</v>
      </c>
      <c r="AD7" s="320"/>
      <c r="AE7" s="320"/>
      <c r="CM7" s="168"/>
      <c r="CN7" s="168"/>
      <c r="CO7" s="168"/>
      <c r="CP7" s="168"/>
    </row>
    <row r="8" spans="2:97" s="166" customFormat="1" ht="15" customHeight="1">
      <c r="B8" s="208">
        <v>13</v>
      </c>
      <c r="J8" s="167"/>
      <c r="S8" s="167"/>
      <c r="X8" s="167"/>
      <c r="AB8" s="167"/>
      <c r="AD8" s="167"/>
      <c r="CM8" s="168"/>
      <c r="CN8" s="168"/>
      <c r="CO8" s="168"/>
      <c r="CP8" s="168"/>
    </row>
    <row r="9" spans="2:97" s="166" customFormat="1" ht="15" customHeight="1">
      <c r="B9" s="314" t="s">
        <v>491</v>
      </c>
      <c r="C9" s="314"/>
      <c r="D9" s="314"/>
      <c r="E9" s="314"/>
      <c r="F9" s="314"/>
      <c r="G9" s="314"/>
      <c r="H9" s="314"/>
      <c r="I9" s="314"/>
      <c r="J9" s="314"/>
      <c r="K9" s="314"/>
      <c r="L9" s="314"/>
      <c r="M9" s="314"/>
      <c r="N9" s="314"/>
      <c r="P9" s="303" t="s">
        <v>492</v>
      </c>
      <c r="Q9" s="304"/>
      <c r="R9" s="304"/>
      <c r="S9" s="304"/>
      <c r="T9" s="304"/>
      <c r="U9" s="304"/>
      <c r="V9" s="304"/>
      <c r="W9" s="304"/>
      <c r="X9" s="304"/>
      <c r="Y9" s="304"/>
      <c r="Z9" s="304"/>
      <c r="AA9" s="304"/>
      <c r="AB9" s="304"/>
      <c r="AC9" s="304"/>
      <c r="AD9" s="304"/>
      <c r="AE9" s="305"/>
      <c r="CM9" s="168"/>
      <c r="CN9" s="168"/>
      <c r="CO9" s="168"/>
      <c r="CP9" s="168"/>
    </row>
    <row r="10" spans="2:97" s="166" customFormat="1" ht="15" customHeight="1">
      <c r="B10" s="180"/>
      <c r="C10" s="180"/>
      <c r="D10" s="180"/>
      <c r="E10" s="180"/>
      <c r="F10" s="180"/>
      <c r="G10" s="180"/>
      <c r="H10" s="180"/>
      <c r="I10" s="180"/>
      <c r="J10" s="181"/>
      <c r="K10" s="180"/>
      <c r="L10" s="180"/>
      <c r="M10" s="180"/>
      <c r="N10" s="180"/>
      <c r="O10" s="180"/>
      <c r="P10" s="180"/>
      <c r="Q10" s="180"/>
      <c r="R10" s="180"/>
      <c r="S10" s="180"/>
      <c r="T10" s="180"/>
      <c r="U10" s="180"/>
      <c r="V10" s="180"/>
      <c r="W10" s="180"/>
      <c r="X10" s="180"/>
      <c r="Y10" s="180"/>
      <c r="Z10" s="180"/>
      <c r="AA10" s="180"/>
      <c r="AB10" s="180"/>
      <c r="AC10" s="180"/>
      <c r="AD10" s="180"/>
      <c r="AE10" s="180"/>
      <c r="AF10" s="180"/>
      <c r="AG10" s="180"/>
      <c r="CM10" s="168"/>
      <c r="CN10" s="168"/>
      <c r="CO10" s="168"/>
      <c r="CP10" s="168"/>
    </row>
    <row r="11" spans="2:97" s="166" customFormat="1" ht="15" customHeight="1">
      <c r="B11" s="300" t="str">
        <f>Tournament!B10</f>
        <v>Group Stages</v>
      </c>
      <c r="C11" s="301"/>
      <c r="D11" s="301"/>
      <c r="E11" s="301"/>
      <c r="F11" s="301"/>
      <c r="G11" s="301"/>
      <c r="H11" s="301"/>
      <c r="I11" s="301"/>
      <c r="J11" s="301"/>
      <c r="K11" s="301"/>
      <c r="L11" s="301"/>
      <c r="M11" s="301"/>
      <c r="N11" s="302"/>
      <c r="P11" s="303" t="str">
        <f>B11</f>
        <v>Group Stages</v>
      </c>
      <c r="Q11" s="304"/>
      <c r="R11" s="304"/>
      <c r="S11" s="304"/>
      <c r="T11" s="304"/>
      <c r="U11" s="304"/>
      <c r="V11" s="304"/>
      <c r="W11" s="304"/>
      <c r="X11" s="304"/>
      <c r="Y11" s="304"/>
      <c r="Z11" s="304"/>
      <c r="AA11" s="304"/>
      <c r="AB11" s="304"/>
      <c r="AC11" s="304"/>
      <c r="AD11" s="304"/>
      <c r="AE11" s="305"/>
      <c r="CM11" s="168"/>
      <c r="CN11" s="168"/>
      <c r="CO11" s="168"/>
      <c r="CP11" s="168"/>
    </row>
    <row r="12" spans="2:97" s="166" customFormat="1" ht="15" customHeight="1">
      <c r="B12" s="182"/>
      <c r="C12" s="180"/>
      <c r="D12" s="180"/>
      <c r="E12" s="180"/>
      <c r="F12" s="180"/>
      <c r="G12" s="180"/>
      <c r="H12" s="180"/>
      <c r="I12" s="180"/>
      <c r="J12" s="181"/>
      <c r="K12" s="180"/>
      <c r="L12" s="180"/>
      <c r="M12" s="180"/>
      <c r="N12" s="183"/>
      <c r="P12" s="182"/>
      <c r="Q12" s="180"/>
      <c r="R12" s="180"/>
      <c r="S12" s="180"/>
      <c r="T12" s="180"/>
      <c r="U12" s="180"/>
      <c r="V12" s="180"/>
      <c r="W12" s="180"/>
      <c r="X12" s="180"/>
      <c r="Y12" s="180"/>
      <c r="Z12" s="180"/>
      <c r="AA12" s="180"/>
      <c r="AB12" s="180"/>
      <c r="AC12" s="180"/>
      <c r="AD12" s="180"/>
      <c r="AE12" s="183"/>
      <c r="CM12" s="168"/>
      <c r="CN12" s="168"/>
      <c r="CO12" s="168"/>
      <c r="CP12" s="168"/>
    </row>
    <row r="13" spans="2:97" s="166" customFormat="1" ht="15" customHeight="1">
      <c r="B13" s="182"/>
      <c r="C13" s="184" t="str">
        <f>Tournament!D14</f>
        <v>Match #</v>
      </c>
      <c r="D13" s="184" t="str">
        <f>Tournament!E14</f>
        <v>Group</v>
      </c>
      <c r="E13" s="184" t="str">
        <f>Tournament!F14</f>
        <v>Date</v>
      </c>
      <c r="F13" s="184" t="str">
        <f>Tournament!G14</f>
        <v>Time</v>
      </c>
      <c r="G13" s="184" t="str">
        <f>Tournament!H14</f>
        <v>Country</v>
      </c>
      <c r="H13" s="184"/>
      <c r="I13" s="306" t="str">
        <f>Tournament!J14</f>
        <v>Score</v>
      </c>
      <c r="J13" s="306"/>
      <c r="K13" s="306"/>
      <c r="L13" s="184"/>
      <c r="M13" s="184" t="str">
        <f>Tournament!N14</f>
        <v>Country</v>
      </c>
      <c r="N13" s="183"/>
      <c r="P13" s="185" t="str">
        <f>G13</f>
        <v>Country</v>
      </c>
      <c r="Q13" s="184"/>
      <c r="R13" s="306" t="str">
        <f>I13</f>
        <v>Score</v>
      </c>
      <c r="S13" s="306"/>
      <c r="T13" s="306"/>
      <c r="U13" s="184"/>
      <c r="V13" s="184" t="str">
        <f>M13</f>
        <v>Country</v>
      </c>
      <c r="W13" s="306"/>
      <c r="X13" s="306"/>
      <c r="Y13" s="306"/>
      <c r="Z13" s="184"/>
      <c r="AA13" s="306"/>
      <c r="AB13" s="306"/>
      <c r="AC13" s="306"/>
      <c r="AD13" s="184" t="s">
        <v>3277</v>
      </c>
      <c r="AE13" s="183"/>
      <c r="CP13" s="168"/>
      <c r="CQ13" s="186"/>
      <c r="CR13" s="187"/>
      <c r="CS13" s="168"/>
    </row>
    <row r="14" spans="2:97" s="166" customFormat="1" ht="15" customHeight="1">
      <c r="B14" s="182"/>
      <c r="C14" s="180"/>
      <c r="D14" s="180"/>
      <c r="E14" s="180"/>
      <c r="F14" s="180"/>
      <c r="G14" s="180"/>
      <c r="H14" s="180"/>
      <c r="I14" s="180"/>
      <c r="J14" s="180"/>
      <c r="K14" s="180"/>
      <c r="L14" s="180"/>
      <c r="M14" s="180"/>
      <c r="N14" s="183"/>
      <c r="P14" s="182"/>
      <c r="Q14" s="180"/>
      <c r="R14" s="180"/>
      <c r="S14" s="180"/>
      <c r="T14" s="180"/>
      <c r="U14" s="180"/>
      <c r="V14" s="180"/>
      <c r="W14" s="180"/>
      <c r="X14" s="180"/>
      <c r="Y14" s="180"/>
      <c r="Z14" s="180"/>
      <c r="AA14" s="180"/>
      <c r="AB14" s="180"/>
      <c r="AC14" s="180"/>
      <c r="AD14" s="181"/>
      <c r="AE14" s="183"/>
      <c r="CP14" s="168"/>
      <c r="CQ14" s="186"/>
      <c r="CR14" s="187"/>
      <c r="CS14" s="168"/>
    </row>
    <row r="15" spans="2:97" s="166" customFormat="1" ht="15" customHeight="1">
      <c r="B15" s="182"/>
      <c r="C15" s="181">
        <f>Tournament!D16</f>
        <v>1</v>
      </c>
      <c r="D15" s="181" t="str">
        <f>Tournament!E16</f>
        <v>A</v>
      </c>
      <c r="E15" s="188">
        <f>Tournament!F16</f>
        <v>41802.708333333336</v>
      </c>
      <c r="F15" s="189">
        <f>Tournament!G16</f>
        <v>41802.708333333336</v>
      </c>
      <c r="G15" s="190" t="str">
        <f>Tournament!H16</f>
        <v>Brazil</v>
      </c>
      <c r="H15" s="180"/>
      <c r="I15" s="9"/>
      <c r="J15" s="191" t="s">
        <v>3088</v>
      </c>
      <c r="K15" s="9"/>
      <c r="L15" s="180"/>
      <c r="M15" s="180" t="str">
        <f>Tournament!N16</f>
        <v>Croatia</v>
      </c>
      <c r="N15" s="183"/>
      <c r="O15" s="180"/>
      <c r="P15" s="192" t="str">
        <f>G15</f>
        <v>Brazil</v>
      </c>
      <c r="Q15" s="193"/>
      <c r="R15" s="194">
        <f>IF(Tournament!J16&lt;&gt;"",Tournament!J16,"")</f>
        <v>3</v>
      </c>
      <c r="S15" s="194" t="s">
        <v>3088</v>
      </c>
      <c r="T15" s="194">
        <f>IF(Tournament!L16&lt;&gt;"",Tournament!L16,"")</f>
        <v>1</v>
      </c>
      <c r="U15" s="193"/>
      <c r="V15" s="193" t="str">
        <f>M15</f>
        <v>Croatia</v>
      </c>
      <c r="W15" s="194"/>
      <c r="X15" s="194"/>
      <c r="Y15" s="194"/>
      <c r="Z15" s="194"/>
      <c r="AA15" s="194"/>
      <c r="AB15" s="194"/>
      <c r="AC15" s="194"/>
      <c r="AD15" s="195" t="str">
        <f>IF(AND(I15&lt;&gt;"",K15&lt;&gt;"",R15&lt;&gt;"",T15&lt;&gt;""),IF(AND(I15=R15,K15=T15),Setup!$D$10,IF((I15-K15)=(R15-T15),Setup!$D$11,IF(AND((I15&gt;K15),(R15&gt;T15)),Setup!$D$12,IF(AND((K15&gt;I15),(T15&gt;R15)),Setup!$D$12,0)))),"")</f>
        <v/>
      </c>
      <c r="AE15" s="183"/>
      <c r="CP15" s="168"/>
      <c r="CQ15" s="186"/>
      <c r="CR15" s="187"/>
      <c r="CS15" s="168"/>
    </row>
    <row r="16" spans="2:97" s="166" customFormat="1" ht="15" customHeight="1">
      <c r="B16" s="182"/>
      <c r="C16" s="181">
        <f>Tournament!D17</f>
        <v>2</v>
      </c>
      <c r="D16" s="181" t="str">
        <f>Tournament!E17</f>
        <v>A</v>
      </c>
      <c r="E16" s="188">
        <f>Tournament!F17</f>
        <v>41803.541666666664</v>
      </c>
      <c r="F16" s="189">
        <f>Tournament!G17</f>
        <v>41803.541666666664</v>
      </c>
      <c r="G16" s="190" t="str">
        <f>Tournament!H17</f>
        <v>Mexico</v>
      </c>
      <c r="H16" s="180"/>
      <c r="I16" s="9"/>
      <c r="J16" s="191" t="s">
        <v>3088</v>
      </c>
      <c r="K16" s="9"/>
      <c r="L16" s="180"/>
      <c r="M16" s="180" t="str">
        <f>Tournament!N17</f>
        <v>Cameroon</v>
      </c>
      <c r="N16" s="183"/>
      <c r="P16" s="192" t="str">
        <f t="shared" ref="P16:P62" si="0">G16</f>
        <v>Mexico</v>
      </c>
      <c r="Q16" s="193"/>
      <c r="R16" s="194">
        <f>IF(Tournament!J17&lt;&gt;"",Tournament!J17,"")</f>
        <v>1</v>
      </c>
      <c r="S16" s="194" t="s">
        <v>3088</v>
      </c>
      <c r="T16" s="194">
        <f>IF(Tournament!L17&lt;&gt;"",Tournament!L17,"")</f>
        <v>0</v>
      </c>
      <c r="U16" s="193"/>
      <c r="V16" s="193" t="str">
        <f t="shared" ref="V16:V62" si="1">M16</f>
        <v>Cameroon</v>
      </c>
      <c r="W16" s="194"/>
      <c r="X16" s="194"/>
      <c r="Y16" s="194"/>
      <c r="Z16" s="194"/>
      <c r="AA16" s="194"/>
      <c r="AB16" s="194"/>
      <c r="AC16" s="194"/>
      <c r="AD16" s="195" t="str">
        <f>IF(AND(I16&lt;&gt;"",K16&lt;&gt;"",R16&lt;&gt;"",T16&lt;&gt;""),IF(AND(I16=R16,K16=T16),Setup!$D$10,IF((I16-K16)=(R16-T16),Setup!$D$11,IF(AND((I16&gt;K16),(R16&gt;T16)),Setup!$D$12,IF(AND((K16&gt;I16),(T16&gt;R16)),Setup!$D$12,0)))),"")</f>
        <v/>
      </c>
      <c r="AE16" s="183"/>
      <c r="AI16" s="179" t="s">
        <v>3904</v>
      </c>
      <c r="CP16" s="168"/>
      <c r="CQ16" s="186"/>
      <c r="CR16" s="187"/>
      <c r="CS16" s="168"/>
    </row>
    <row r="17" spans="2:97" s="166" customFormat="1" ht="15" customHeight="1">
      <c r="B17" s="182"/>
      <c r="C17" s="181">
        <f>Tournament!D18</f>
        <v>3</v>
      </c>
      <c r="D17" s="181" t="str">
        <f>Tournament!E18</f>
        <v>B</v>
      </c>
      <c r="E17" s="188">
        <f>Tournament!F18</f>
        <v>41803.666666666664</v>
      </c>
      <c r="F17" s="189">
        <f>Tournament!G18</f>
        <v>41803.666666666664</v>
      </c>
      <c r="G17" s="190" t="str">
        <f>Tournament!H18</f>
        <v>Spain</v>
      </c>
      <c r="H17" s="180"/>
      <c r="I17" s="9"/>
      <c r="J17" s="191" t="s">
        <v>3088</v>
      </c>
      <c r="K17" s="9"/>
      <c r="L17" s="180"/>
      <c r="M17" s="180" t="str">
        <f>Tournament!N18</f>
        <v>Netherlands</v>
      </c>
      <c r="N17" s="183"/>
      <c r="P17" s="192" t="str">
        <f t="shared" si="0"/>
        <v>Spain</v>
      </c>
      <c r="Q17" s="193"/>
      <c r="R17" s="194">
        <f>IF(Tournament!J18&lt;&gt;"",Tournament!J18,"")</f>
        <v>1</v>
      </c>
      <c r="S17" s="194" t="s">
        <v>3088</v>
      </c>
      <c r="T17" s="194">
        <f>IF(Tournament!L18&lt;&gt;"",Tournament!L18,"")</f>
        <v>5</v>
      </c>
      <c r="U17" s="193"/>
      <c r="V17" s="193" t="str">
        <f t="shared" si="1"/>
        <v>Netherlands</v>
      </c>
      <c r="W17" s="194"/>
      <c r="X17" s="194"/>
      <c r="Y17" s="194"/>
      <c r="Z17" s="194"/>
      <c r="AA17" s="194"/>
      <c r="AB17" s="194"/>
      <c r="AC17" s="194"/>
      <c r="AD17" s="195" t="str">
        <f>IF(AND(I17&lt;&gt;"",K17&lt;&gt;"",R17&lt;&gt;"",T17&lt;&gt;""),IF(AND(I17=R17,K17=T17),Setup!$D$10,IF((I17-K17)=(R17-T17),Setup!$D$11,IF(AND((I17&gt;K17),(R17&gt;T17)),Setup!$D$12,IF(AND((K17&gt;I17),(T17&gt;R17)),Setup!$D$12,0)))),"")</f>
        <v/>
      </c>
      <c r="AE17" s="183"/>
      <c r="CP17" s="168"/>
      <c r="CQ17" s="186"/>
      <c r="CR17" s="187"/>
      <c r="CS17" s="168"/>
    </row>
    <row r="18" spans="2:97" s="166" customFormat="1" ht="15" customHeight="1">
      <c r="B18" s="182"/>
      <c r="C18" s="181">
        <f>Tournament!D19</f>
        <v>4</v>
      </c>
      <c r="D18" s="181" t="str">
        <f>Tournament!E19</f>
        <v>B</v>
      </c>
      <c r="E18" s="188">
        <f>Tournament!F19</f>
        <v>41803.791666666664</v>
      </c>
      <c r="F18" s="189">
        <f>Tournament!G19</f>
        <v>41803.791666666664</v>
      </c>
      <c r="G18" s="190" t="str">
        <f>Tournament!H19</f>
        <v>Chile</v>
      </c>
      <c r="H18" s="180"/>
      <c r="I18" s="9"/>
      <c r="J18" s="191" t="s">
        <v>3088</v>
      </c>
      <c r="K18" s="9"/>
      <c r="L18" s="180"/>
      <c r="M18" s="180" t="str">
        <f>Tournament!N19</f>
        <v>Australia</v>
      </c>
      <c r="N18" s="183"/>
      <c r="P18" s="192" t="str">
        <f t="shared" si="0"/>
        <v>Chile</v>
      </c>
      <c r="Q18" s="193"/>
      <c r="R18" s="194">
        <f>IF(Tournament!J19&lt;&gt;"",Tournament!J19,"")</f>
        <v>3</v>
      </c>
      <c r="S18" s="194" t="s">
        <v>3088</v>
      </c>
      <c r="T18" s="194">
        <f>IF(Tournament!L19&lt;&gt;"",Tournament!L19,"")</f>
        <v>1</v>
      </c>
      <c r="U18" s="193"/>
      <c r="V18" s="193" t="str">
        <f t="shared" si="1"/>
        <v>Australia</v>
      </c>
      <c r="W18" s="194"/>
      <c r="X18" s="194"/>
      <c r="Y18" s="194"/>
      <c r="Z18" s="194"/>
      <c r="AA18" s="194"/>
      <c r="AB18" s="194"/>
      <c r="AC18" s="194"/>
      <c r="AD18" s="195" t="str">
        <f>IF(AND(I18&lt;&gt;"",K18&lt;&gt;"",R18&lt;&gt;"",T18&lt;&gt;""),IF(AND(I18=R18,K18=T18),Setup!$D$10,IF((I18-K18)=(R18-T18),Setup!$D$11,IF(AND((I18&gt;K18),(R18&gt;T18)),Setup!$D$12,IF(AND((K18&gt;I18),(T18&gt;R18)),Setup!$D$12,0)))),"")</f>
        <v/>
      </c>
      <c r="AE18" s="183"/>
      <c r="CP18" s="168"/>
      <c r="CQ18" s="186"/>
      <c r="CR18" s="187"/>
      <c r="CS18" s="168"/>
    </row>
    <row r="19" spans="2:97" s="166" customFormat="1" ht="15" customHeight="1">
      <c r="B19" s="182"/>
      <c r="C19" s="181">
        <f>Tournament!D20</f>
        <v>5</v>
      </c>
      <c r="D19" s="181" t="str">
        <f>Tournament!E20</f>
        <v>C</v>
      </c>
      <c r="E19" s="188">
        <f>Tournament!F20</f>
        <v>41804.541666666664</v>
      </c>
      <c r="F19" s="189">
        <f>Tournament!G20</f>
        <v>41804.541666666664</v>
      </c>
      <c r="G19" s="190" t="str">
        <f>Tournament!H20</f>
        <v>Colombia</v>
      </c>
      <c r="H19" s="180"/>
      <c r="I19" s="9"/>
      <c r="J19" s="191" t="s">
        <v>3088</v>
      </c>
      <c r="K19" s="9"/>
      <c r="L19" s="180"/>
      <c r="M19" s="180" t="str">
        <f>Tournament!N20</f>
        <v>Greece</v>
      </c>
      <c r="N19" s="183"/>
      <c r="P19" s="192" t="str">
        <f t="shared" si="0"/>
        <v>Colombia</v>
      </c>
      <c r="Q19" s="193"/>
      <c r="R19" s="194" t="str">
        <f>IF(Tournament!J20&lt;&gt;"",Tournament!J20,"")</f>
        <v/>
      </c>
      <c r="S19" s="194" t="s">
        <v>3088</v>
      </c>
      <c r="T19" s="194" t="str">
        <f>IF(Tournament!L20&lt;&gt;"",Tournament!L20,"")</f>
        <v/>
      </c>
      <c r="U19" s="193"/>
      <c r="V19" s="193" t="str">
        <f t="shared" si="1"/>
        <v>Greece</v>
      </c>
      <c r="W19" s="194"/>
      <c r="X19" s="194"/>
      <c r="Y19" s="194"/>
      <c r="Z19" s="194"/>
      <c r="AA19" s="194"/>
      <c r="AB19" s="194"/>
      <c r="AC19" s="194"/>
      <c r="AD19" s="195" t="str">
        <f>IF(AND(I19&lt;&gt;"",K19&lt;&gt;"",R19&lt;&gt;"",T19&lt;&gt;""),IF(AND(I19=R19,K19=T19),Setup!$D$10,IF((I19-K19)=(R19-T19),Setup!$D$11,IF(AND((I19&gt;K19),(R19&gt;T19)),Setup!$D$12,IF(AND((K19&gt;I19),(T19&gt;R19)),Setup!$D$12,0)))),"")</f>
        <v/>
      </c>
      <c r="AE19" s="183"/>
      <c r="CP19" s="168"/>
      <c r="CQ19" s="186"/>
      <c r="CR19" s="187"/>
      <c r="CS19" s="168"/>
    </row>
    <row r="20" spans="2:97" s="166" customFormat="1" ht="15" customHeight="1">
      <c r="B20" s="182"/>
      <c r="C20" s="181">
        <f>Tournament!D21</f>
        <v>6</v>
      </c>
      <c r="D20" s="181" t="str">
        <f>Tournament!E21</f>
        <v>C</v>
      </c>
      <c r="E20" s="188">
        <f>Tournament!F21</f>
        <v>41804.916666666664</v>
      </c>
      <c r="F20" s="189">
        <f>Tournament!G21</f>
        <v>41804.916666666664</v>
      </c>
      <c r="G20" s="190" t="str">
        <f>Tournament!H21</f>
        <v>Ivory Coast</v>
      </c>
      <c r="H20" s="180"/>
      <c r="I20" s="9"/>
      <c r="J20" s="191" t="s">
        <v>3088</v>
      </c>
      <c r="K20" s="9"/>
      <c r="L20" s="180"/>
      <c r="M20" s="180" t="str">
        <f>Tournament!N21</f>
        <v>Japan</v>
      </c>
      <c r="N20" s="183"/>
      <c r="P20" s="192" t="str">
        <f t="shared" si="0"/>
        <v>Ivory Coast</v>
      </c>
      <c r="Q20" s="193"/>
      <c r="R20" s="194" t="str">
        <f>IF(Tournament!J21&lt;&gt;"",Tournament!J21,"")</f>
        <v/>
      </c>
      <c r="S20" s="194" t="s">
        <v>3088</v>
      </c>
      <c r="T20" s="194" t="str">
        <f>IF(Tournament!L21&lt;&gt;"",Tournament!L21,"")</f>
        <v/>
      </c>
      <c r="U20" s="193"/>
      <c r="V20" s="193" t="str">
        <f t="shared" si="1"/>
        <v>Japan</v>
      </c>
      <c r="W20" s="194"/>
      <c r="X20" s="194"/>
      <c r="Y20" s="194"/>
      <c r="Z20" s="194"/>
      <c r="AA20" s="194"/>
      <c r="AB20" s="194"/>
      <c r="AC20" s="194"/>
      <c r="AD20" s="195" t="str">
        <f>IF(AND(I20&lt;&gt;"",K20&lt;&gt;"",R20&lt;&gt;"",T20&lt;&gt;""),IF(AND(I20=R20,K20=T20),Setup!$D$10,IF((I20-K20)=(R20-T20),Setup!$D$11,IF(AND((I20&gt;K20),(R20&gt;T20)),Setup!$D$12,IF(AND((K20&gt;I20),(T20&gt;R20)),Setup!$D$12,0)))),"")</f>
        <v/>
      </c>
      <c r="AE20" s="183"/>
      <c r="CP20" s="168"/>
      <c r="CQ20" s="186"/>
      <c r="CR20" s="187"/>
      <c r="CS20" s="168"/>
    </row>
    <row r="21" spans="2:97" s="166" customFormat="1" ht="15" customHeight="1">
      <c r="B21" s="182"/>
      <c r="C21" s="181">
        <f>Tournament!D22</f>
        <v>7</v>
      </c>
      <c r="D21" s="181" t="str">
        <f>Tournament!E22</f>
        <v>D</v>
      </c>
      <c r="E21" s="188">
        <f>Tournament!F22</f>
        <v>41804.666666666664</v>
      </c>
      <c r="F21" s="189">
        <f>Tournament!G22</f>
        <v>41804.666666666664</v>
      </c>
      <c r="G21" s="190" t="str">
        <f>Tournament!H22</f>
        <v>Uruguay</v>
      </c>
      <c r="H21" s="180"/>
      <c r="I21" s="9"/>
      <c r="J21" s="191" t="s">
        <v>3088</v>
      </c>
      <c r="K21" s="9"/>
      <c r="L21" s="180"/>
      <c r="M21" s="180" t="str">
        <f>Tournament!N22</f>
        <v>Costa Rica</v>
      </c>
      <c r="N21" s="183"/>
      <c r="P21" s="192" t="str">
        <f t="shared" si="0"/>
        <v>Uruguay</v>
      </c>
      <c r="Q21" s="193"/>
      <c r="R21" s="194" t="str">
        <f>IF(Tournament!J22&lt;&gt;"",Tournament!J22,"")</f>
        <v/>
      </c>
      <c r="S21" s="194" t="s">
        <v>3088</v>
      </c>
      <c r="T21" s="194" t="str">
        <f>IF(Tournament!L22&lt;&gt;"",Tournament!L22,"")</f>
        <v/>
      </c>
      <c r="U21" s="193"/>
      <c r="V21" s="193" t="str">
        <f t="shared" si="1"/>
        <v>Costa Rica</v>
      </c>
      <c r="W21" s="194"/>
      <c r="X21" s="194"/>
      <c r="Y21" s="194"/>
      <c r="Z21" s="194"/>
      <c r="AA21" s="194"/>
      <c r="AB21" s="194"/>
      <c r="AC21" s="194"/>
      <c r="AD21" s="195" t="str">
        <f>IF(AND(I21&lt;&gt;"",K21&lt;&gt;"",R21&lt;&gt;"",T21&lt;&gt;""),IF(AND(I21=R21,K21=T21),Setup!$D$10,IF((I21-K21)=(R21-T21),Setup!$D$11,IF(AND((I21&gt;K21),(R21&gt;T21)),Setup!$D$12,IF(AND((K21&gt;I21),(T21&gt;R21)),Setup!$D$12,0)))),"")</f>
        <v/>
      </c>
      <c r="AE21" s="183"/>
      <c r="CP21" s="168"/>
      <c r="CQ21" s="196"/>
      <c r="CR21" s="187"/>
      <c r="CS21" s="168"/>
    </row>
    <row r="22" spans="2:97" s="166" customFormat="1" ht="15" customHeight="1">
      <c r="B22" s="182"/>
      <c r="C22" s="181">
        <f>Tournament!D23</f>
        <v>8</v>
      </c>
      <c r="D22" s="181" t="str">
        <f>Tournament!E23</f>
        <v>D</v>
      </c>
      <c r="E22" s="188">
        <f>Tournament!F23</f>
        <v>41804.791666666664</v>
      </c>
      <c r="F22" s="189">
        <f>Tournament!G23</f>
        <v>41804.791666666664</v>
      </c>
      <c r="G22" s="190" t="str">
        <f>Tournament!H23</f>
        <v>England</v>
      </c>
      <c r="H22" s="180"/>
      <c r="I22" s="9"/>
      <c r="J22" s="191" t="s">
        <v>3088</v>
      </c>
      <c r="K22" s="9"/>
      <c r="L22" s="180"/>
      <c r="M22" s="180" t="str">
        <f>Tournament!N23</f>
        <v>Italy</v>
      </c>
      <c r="N22" s="183"/>
      <c r="P22" s="192" t="str">
        <f t="shared" si="0"/>
        <v>England</v>
      </c>
      <c r="Q22" s="193"/>
      <c r="R22" s="194" t="str">
        <f>IF(Tournament!J23&lt;&gt;"",Tournament!J23,"")</f>
        <v/>
      </c>
      <c r="S22" s="194" t="s">
        <v>3088</v>
      </c>
      <c r="T22" s="194" t="str">
        <f>IF(Tournament!L23&lt;&gt;"",Tournament!L23,"")</f>
        <v/>
      </c>
      <c r="U22" s="193"/>
      <c r="V22" s="193" t="str">
        <f t="shared" si="1"/>
        <v>Italy</v>
      </c>
      <c r="W22" s="194"/>
      <c r="X22" s="194"/>
      <c r="Y22" s="194"/>
      <c r="Z22" s="194"/>
      <c r="AA22" s="194"/>
      <c r="AB22" s="194"/>
      <c r="AC22" s="194"/>
      <c r="AD22" s="195" t="str">
        <f>IF(AND(I22&lt;&gt;"",K22&lt;&gt;"",R22&lt;&gt;"",T22&lt;&gt;""),IF(AND(I22=R22,K22=T22),Setup!$D$10,IF((I22-K22)=(R22-T22),Setup!$D$11,IF(AND((I22&gt;K22),(R22&gt;T22)),Setup!$D$12,IF(AND((K22&gt;I22),(T22&gt;R22)),Setup!$D$12,0)))),"")</f>
        <v/>
      </c>
      <c r="AE22" s="183"/>
      <c r="CP22" s="168"/>
      <c r="CQ22" s="186"/>
      <c r="CR22" s="187"/>
      <c r="CS22" s="168"/>
    </row>
    <row r="23" spans="2:97" s="166" customFormat="1" ht="15" customHeight="1">
      <c r="B23" s="182"/>
      <c r="C23" s="181">
        <f>Tournament!D24</f>
        <v>9</v>
      </c>
      <c r="D23" s="181" t="str">
        <f>Tournament!E24</f>
        <v>E</v>
      </c>
      <c r="E23" s="188">
        <f>Tournament!F24</f>
        <v>41805.541666666664</v>
      </c>
      <c r="F23" s="189">
        <f>Tournament!G24</f>
        <v>41805.541666666664</v>
      </c>
      <c r="G23" s="190" t="str">
        <f>Tournament!H24</f>
        <v>Switzerland</v>
      </c>
      <c r="H23" s="180"/>
      <c r="I23" s="9"/>
      <c r="J23" s="191" t="s">
        <v>3088</v>
      </c>
      <c r="K23" s="9"/>
      <c r="L23" s="180"/>
      <c r="M23" s="180" t="str">
        <f>Tournament!N24</f>
        <v>Ecuador</v>
      </c>
      <c r="N23" s="183"/>
      <c r="P23" s="192" t="str">
        <f t="shared" si="0"/>
        <v>Switzerland</v>
      </c>
      <c r="Q23" s="193"/>
      <c r="R23" s="194" t="str">
        <f>IF(Tournament!J24&lt;&gt;"",Tournament!J24,"")</f>
        <v/>
      </c>
      <c r="S23" s="194" t="s">
        <v>3088</v>
      </c>
      <c r="T23" s="194" t="str">
        <f>IF(Tournament!L24&lt;&gt;"",Tournament!L24,"")</f>
        <v/>
      </c>
      <c r="U23" s="193"/>
      <c r="V23" s="193" t="str">
        <f t="shared" si="1"/>
        <v>Ecuador</v>
      </c>
      <c r="W23" s="194"/>
      <c r="X23" s="194"/>
      <c r="Y23" s="194"/>
      <c r="Z23" s="194"/>
      <c r="AA23" s="194"/>
      <c r="AB23" s="194"/>
      <c r="AC23" s="194"/>
      <c r="AD23" s="195" t="str">
        <f>IF(AND(I23&lt;&gt;"",K23&lt;&gt;"",R23&lt;&gt;"",T23&lt;&gt;""),IF(AND(I23=R23,K23=T23),Setup!$D$10,IF((I23-K23)=(R23-T23),Setup!$D$11,IF(AND((I23&gt;K23),(R23&gt;T23)),Setup!$D$12,IF(AND((K23&gt;I23),(T23&gt;R23)),Setup!$D$12,0)))),"")</f>
        <v/>
      </c>
      <c r="AE23" s="183"/>
      <c r="CP23" s="168"/>
      <c r="CQ23" s="186"/>
      <c r="CR23" s="187"/>
      <c r="CS23" s="168"/>
    </row>
    <row r="24" spans="2:97" s="166" customFormat="1" ht="15" customHeight="1">
      <c r="B24" s="182"/>
      <c r="C24" s="181">
        <f>Tournament!D25</f>
        <v>10</v>
      </c>
      <c r="D24" s="181" t="str">
        <f>Tournament!E25</f>
        <v>E</v>
      </c>
      <c r="E24" s="188">
        <f>Tournament!F25</f>
        <v>41805.666666666664</v>
      </c>
      <c r="F24" s="189">
        <f>Tournament!G25</f>
        <v>41805.666666666664</v>
      </c>
      <c r="G24" s="190" t="str">
        <f>Tournament!H25</f>
        <v>France</v>
      </c>
      <c r="H24" s="180"/>
      <c r="I24" s="9"/>
      <c r="J24" s="191" t="s">
        <v>3088</v>
      </c>
      <c r="K24" s="9"/>
      <c r="L24" s="180"/>
      <c r="M24" s="180" t="str">
        <f>Tournament!N25</f>
        <v>Honduras</v>
      </c>
      <c r="N24" s="183"/>
      <c r="P24" s="192" t="str">
        <f t="shared" si="0"/>
        <v>France</v>
      </c>
      <c r="Q24" s="193"/>
      <c r="R24" s="194" t="str">
        <f>IF(Tournament!J25&lt;&gt;"",Tournament!J25,"")</f>
        <v/>
      </c>
      <c r="S24" s="194" t="s">
        <v>3088</v>
      </c>
      <c r="T24" s="194" t="str">
        <f>IF(Tournament!L25&lt;&gt;"",Tournament!L25,"")</f>
        <v/>
      </c>
      <c r="U24" s="193"/>
      <c r="V24" s="193" t="str">
        <f t="shared" si="1"/>
        <v>Honduras</v>
      </c>
      <c r="W24" s="194"/>
      <c r="X24" s="194"/>
      <c r="Y24" s="194"/>
      <c r="Z24" s="194"/>
      <c r="AA24" s="194"/>
      <c r="AB24" s="194"/>
      <c r="AC24" s="194"/>
      <c r="AD24" s="195" t="str">
        <f>IF(AND(I24&lt;&gt;"",K24&lt;&gt;"",R24&lt;&gt;"",T24&lt;&gt;""),IF(AND(I24=R24,K24=T24),Setup!$D$10,IF((I24-K24)=(R24-T24),Setup!$D$11,IF(AND((I24&gt;K24),(R24&gt;T24)),Setup!$D$12,IF(AND((K24&gt;I24),(T24&gt;R24)),Setup!$D$12,0)))),"")</f>
        <v/>
      </c>
      <c r="AE24" s="183"/>
      <c r="CP24" s="168"/>
      <c r="CQ24" s="186"/>
      <c r="CR24" s="187"/>
      <c r="CS24" s="168"/>
    </row>
    <row r="25" spans="2:97" s="166" customFormat="1" ht="15" customHeight="1">
      <c r="B25" s="182"/>
      <c r="C25" s="181">
        <f>Tournament!D26</f>
        <v>11</v>
      </c>
      <c r="D25" s="181" t="str">
        <f>Tournament!E26</f>
        <v>F</v>
      </c>
      <c r="E25" s="188">
        <f>Tournament!F26</f>
        <v>41805.791666666664</v>
      </c>
      <c r="F25" s="189">
        <f>Tournament!G26</f>
        <v>41805.791666666664</v>
      </c>
      <c r="G25" s="190" t="str">
        <f>Tournament!H26</f>
        <v>Argentina</v>
      </c>
      <c r="H25" s="180"/>
      <c r="I25" s="9"/>
      <c r="J25" s="191" t="s">
        <v>3088</v>
      </c>
      <c r="K25" s="9"/>
      <c r="L25" s="180"/>
      <c r="M25" s="180" t="str">
        <f>Tournament!N26</f>
        <v>Bosnia-Herzegovina</v>
      </c>
      <c r="N25" s="183"/>
      <c r="P25" s="192" t="str">
        <f t="shared" si="0"/>
        <v>Argentina</v>
      </c>
      <c r="Q25" s="193"/>
      <c r="R25" s="194" t="str">
        <f>IF(Tournament!J26&lt;&gt;"",Tournament!J26,"")</f>
        <v/>
      </c>
      <c r="S25" s="194" t="s">
        <v>3088</v>
      </c>
      <c r="T25" s="194" t="str">
        <f>IF(Tournament!L26&lt;&gt;"",Tournament!L26,"")</f>
        <v/>
      </c>
      <c r="U25" s="193"/>
      <c r="V25" s="193" t="str">
        <f t="shared" si="1"/>
        <v>Bosnia-Herzegovina</v>
      </c>
      <c r="W25" s="194"/>
      <c r="X25" s="194"/>
      <c r="Y25" s="194"/>
      <c r="Z25" s="194"/>
      <c r="AA25" s="194"/>
      <c r="AB25" s="194"/>
      <c r="AC25" s="194"/>
      <c r="AD25" s="195" t="str">
        <f>IF(AND(I25&lt;&gt;"",K25&lt;&gt;"",R25&lt;&gt;"",T25&lt;&gt;""),IF(AND(I25=R25,K25=T25),Setup!$D$10,IF((I25-K25)=(R25-T25),Setup!$D$11,IF(AND((I25&gt;K25),(R25&gt;T25)),Setup!$D$12,IF(AND((K25&gt;I25),(T25&gt;R25)),Setup!$D$12,0)))),"")</f>
        <v/>
      </c>
      <c r="AE25" s="183"/>
      <c r="CP25" s="168"/>
      <c r="CQ25" s="186"/>
      <c r="CR25" s="187"/>
      <c r="CS25" s="168"/>
    </row>
    <row r="26" spans="2:97" s="166" customFormat="1" ht="15" customHeight="1">
      <c r="B26" s="182"/>
      <c r="C26" s="181">
        <f>Tournament!D27</f>
        <v>12</v>
      </c>
      <c r="D26" s="181" t="str">
        <f>Tournament!E27</f>
        <v>F</v>
      </c>
      <c r="E26" s="188">
        <f>Tournament!F27</f>
        <v>41806.666666666664</v>
      </c>
      <c r="F26" s="189">
        <f>Tournament!G27</f>
        <v>41806.666666666664</v>
      </c>
      <c r="G26" s="190" t="str">
        <f>Tournament!H27</f>
        <v>Iran</v>
      </c>
      <c r="H26" s="180"/>
      <c r="I26" s="9"/>
      <c r="J26" s="191" t="s">
        <v>3088</v>
      </c>
      <c r="K26" s="9"/>
      <c r="L26" s="180"/>
      <c r="M26" s="180" t="str">
        <f>Tournament!N27</f>
        <v>Nigeria</v>
      </c>
      <c r="N26" s="183"/>
      <c r="P26" s="192" t="str">
        <f t="shared" si="0"/>
        <v>Iran</v>
      </c>
      <c r="Q26" s="193"/>
      <c r="R26" s="194" t="str">
        <f>IF(Tournament!J27&lt;&gt;"",Tournament!J27,"")</f>
        <v/>
      </c>
      <c r="S26" s="194" t="s">
        <v>3088</v>
      </c>
      <c r="T26" s="194" t="str">
        <f>IF(Tournament!L27&lt;&gt;"",Tournament!L27,"")</f>
        <v/>
      </c>
      <c r="U26" s="193"/>
      <c r="V26" s="193" t="str">
        <f t="shared" si="1"/>
        <v>Nigeria</v>
      </c>
      <c r="W26" s="194"/>
      <c r="X26" s="194"/>
      <c r="Y26" s="194"/>
      <c r="Z26" s="194"/>
      <c r="AA26" s="194"/>
      <c r="AB26" s="194"/>
      <c r="AC26" s="194"/>
      <c r="AD26" s="195" t="str">
        <f>IF(AND(I26&lt;&gt;"",K26&lt;&gt;"",R26&lt;&gt;"",T26&lt;&gt;""),IF(AND(I26=R26,K26=T26),Setup!$D$10,IF((I26-K26)=(R26-T26),Setup!$D$11,IF(AND((I26&gt;K26),(R26&gt;T26)),Setup!$D$12,IF(AND((K26&gt;I26),(T26&gt;R26)),Setup!$D$12,0)))),"")</f>
        <v/>
      </c>
      <c r="AE26" s="183"/>
      <c r="CP26" s="168"/>
      <c r="CQ26" s="186"/>
      <c r="CR26" s="187"/>
      <c r="CS26" s="168"/>
    </row>
    <row r="27" spans="2:97" s="166" customFormat="1" ht="15" customHeight="1">
      <c r="B27" s="182"/>
      <c r="C27" s="181">
        <f>Tournament!D28</f>
        <v>13</v>
      </c>
      <c r="D27" s="181" t="str">
        <f>Tournament!E28</f>
        <v>G</v>
      </c>
      <c r="E27" s="188">
        <f>Tournament!F28</f>
        <v>41806.541666666664</v>
      </c>
      <c r="F27" s="189">
        <f>Tournament!G28</f>
        <v>41806.541666666664</v>
      </c>
      <c r="G27" s="190" t="str">
        <f>Tournament!H28</f>
        <v>Germany</v>
      </c>
      <c r="H27" s="180"/>
      <c r="I27" s="9"/>
      <c r="J27" s="191" t="s">
        <v>3088</v>
      </c>
      <c r="K27" s="9"/>
      <c r="L27" s="180"/>
      <c r="M27" s="180" t="str">
        <f>Tournament!N28</f>
        <v>Portugal</v>
      </c>
      <c r="N27" s="183"/>
      <c r="P27" s="192" t="str">
        <f t="shared" si="0"/>
        <v>Germany</v>
      </c>
      <c r="Q27" s="193"/>
      <c r="R27" s="194" t="str">
        <f>IF(Tournament!J28&lt;&gt;"",Tournament!J28,"")</f>
        <v/>
      </c>
      <c r="S27" s="194" t="s">
        <v>3088</v>
      </c>
      <c r="T27" s="194" t="str">
        <f>IF(Tournament!L28&lt;&gt;"",Tournament!L28,"")</f>
        <v/>
      </c>
      <c r="U27" s="193"/>
      <c r="V27" s="193" t="str">
        <f t="shared" si="1"/>
        <v>Portugal</v>
      </c>
      <c r="W27" s="194"/>
      <c r="X27" s="194"/>
      <c r="Y27" s="194"/>
      <c r="Z27" s="194"/>
      <c r="AA27" s="194"/>
      <c r="AB27" s="194"/>
      <c r="AC27" s="194"/>
      <c r="AD27" s="195" t="str">
        <f>IF(AND(I27&lt;&gt;"",K27&lt;&gt;"",R27&lt;&gt;"",T27&lt;&gt;""),IF(AND(I27=R27,K27=T27),Setup!$D$10,IF((I27-K27)=(R27-T27),Setup!$D$11,IF(AND((I27&gt;K27),(R27&gt;T27)),Setup!$D$12,IF(AND((K27&gt;I27),(T27&gt;R27)),Setup!$D$12,0)))),"")</f>
        <v/>
      </c>
      <c r="AE27" s="183"/>
      <c r="CP27" s="168"/>
      <c r="CQ27" s="186"/>
      <c r="CR27" s="187"/>
      <c r="CS27" s="168"/>
    </row>
    <row r="28" spans="2:97" s="166" customFormat="1" ht="15" customHeight="1">
      <c r="B28" s="182"/>
      <c r="C28" s="181">
        <f>Tournament!D29</f>
        <v>14</v>
      </c>
      <c r="D28" s="181" t="str">
        <f>Tournament!E29</f>
        <v>G</v>
      </c>
      <c r="E28" s="188">
        <f>Tournament!F29</f>
        <v>41806.791666666664</v>
      </c>
      <c r="F28" s="189">
        <f>Tournament!G29</f>
        <v>41806.791666666664</v>
      </c>
      <c r="G28" s="190" t="str">
        <f>Tournament!H29</f>
        <v>Ghana</v>
      </c>
      <c r="H28" s="180"/>
      <c r="I28" s="9"/>
      <c r="J28" s="191" t="s">
        <v>3088</v>
      </c>
      <c r="K28" s="9"/>
      <c r="L28" s="180"/>
      <c r="M28" s="180" t="str">
        <f>Tournament!N29</f>
        <v>USA</v>
      </c>
      <c r="N28" s="183"/>
      <c r="P28" s="192" t="str">
        <f t="shared" si="0"/>
        <v>Ghana</v>
      </c>
      <c r="Q28" s="193"/>
      <c r="R28" s="194" t="str">
        <f>IF(Tournament!J29&lt;&gt;"",Tournament!J29,"")</f>
        <v/>
      </c>
      <c r="S28" s="194" t="s">
        <v>3088</v>
      </c>
      <c r="T28" s="194" t="str">
        <f>IF(Tournament!L29&lt;&gt;"",Tournament!L29,"")</f>
        <v/>
      </c>
      <c r="U28" s="193"/>
      <c r="V28" s="193" t="str">
        <f t="shared" si="1"/>
        <v>USA</v>
      </c>
      <c r="W28" s="194"/>
      <c r="X28" s="194"/>
      <c r="Y28" s="194"/>
      <c r="Z28" s="194"/>
      <c r="AA28" s="194"/>
      <c r="AB28" s="194"/>
      <c r="AC28" s="194"/>
      <c r="AD28" s="195" t="str">
        <f>IF(AND(I28&lt;&gt;"",K28&lt;&gt;"",R28&lt;&gt;"",T28&lt;&gt;""),IF(AND(I28=R28,K28=T28),Setup!$D$10,IF((I28-K28)=(R28-T28),Setup!$D$11,IF(AND((I28&gt;K28),(R28&gt;T28)),Setup!$D$12,IF(AND((K28&gt;I28),(T28&gt;R28)),Setup!$D$12,0)))),"")</f>
        <v/>
      </c>
      <c r="AE28" s="183"/>
      <c r="CP28" s="168"/>
      <c r="CQ28" s="186"/>
      <c r="CR28" s="187"/>
      <c r="CS28" s="168"/>
    </row>
    <row r="29" spans="2:97" s="166" customFormat="1" ht="15" customHeight="1">
      <c r="B29" s="182"/>
      <c r="C29" s="181">
        <f>Tournament!D30</f>
        <v>15</v>
      </c>
      <c r="D29" s="181" t="str">
        <f>Tournament!E30</f>
        <v>H</v>
      </c>
      <c r="E29" s="188">
        <f>Tournament!F30</f>
        <v>41807.541666666664</v>
      </c>
      <c r="F29" s="189">
        <f>Tournament!G30</f>
        <v>41807.541666666664</v>
      </c>
      <c r="G29" s="190" t="str">
        <f>Tournament!H30</f>
        <v>Belgium</v>
      </c>
      <c r="H29" s="180"/>
      <c r="I29" s="9"/>
      <c r="J29" s="191" t="s">
        <v>3088</v>
      </c>
      <c r="K29" s="9"/>
      <c r="L29" s="180"/>
      <c r="M29" s="180" t="str">
        <f>Tournament!N30</f>
        <v>Algeria</v>
      </c>
      <c r="N29" s="183"/>
      <c r="P29" s="192" t="str">
        <f t="shared" si="0"/>
        <v>Belgium</v>
      </c>
      <c r="Q29" s="193"/>
      <c r="R29" s="194" t="str">
        <f>IF(Tournament!J30&lt;&gt;"",Tournament!J30,"")</f>
        <v/>
      </c>
      <c r="S29" s="194" t="s">
        <v>3088</v>
      </c>
      <c r="T29" s="194" t="str">
        <f>IF(Tournament!L30&lt;&gt;"",Tournament!L30,"")</f>
        <v/>
      </c>
      <c r="U29" s="193"/>
      <c r="V29" s="193" t="str">
        <f t="shared" si="1"/>
        <v>Algeria</v>
      </c>
      <c r="W29" s="194"/>
      <c r="X29" s="194"/>
      <c r="Y29" s="194"/>
      <c r="Z29" s="194"/>
      <c r="AA29" s="194"/>
      <c r="AB29" s="194"/>
      <c r="AC29" s="194"/>
      <c r="AD29" s="195" t="str">
        <f>IF(AND(I29&lt;&gt;"",K29&lt;&gt;"",R29&lt;&gt;"",T29&lt;&gt;""),IF(AND(I29=R29,K29=T29),Setup!$D$10,IF((I29-K29)=(R29-T29),Setup!$D$11,IF(AND((I29&gt;K29),(R29&gt;T29)),Setup!$D$12,IF(AND((K29&gt;I29),(T29&gt;R29)),Setup!$D$12,0)))),"")</f>
        <v/>
      </c>
      <c r="AE29" s="183"/>
      <c r="CP29" s="168"/>
      <c r="CQ29" s="186"/>
      <c r="CR29" s="187"/>
      <c r="CS29" s="168"/>
    </row>
    <row r="30" spans="2:97" s="166" customFormat="1" ht="15" customHeight="1">
      <c r="B30" s="182"/>
      <c r="C30" s="181">
        <f>Tournament!D31</f>
        <v>16</v>
      </c>
      <c r="D30" s="181" t="str">
        <f>Tournament!E31</f>
        <v>H</v>
      </c>
      <c r="E30" s="188">
        <f>Tournament!F31</f>
        <v>41807.791666666664</v>
      </c>
      <c r="F30" s="189">
        <f>Tournament!G31</f>
        <v>41807.791666666664</v>
      </c>
      <c r="G30" s="190" t="str">
        <f>Tournament!H31</f>
        <v>Russia</v>
      </c>
      <c r="H30" s="180"/>
      <c r="I30" s="9"/>
      <c r="J30" s="191" t="s">
        <v>3088</v>
      </c>
      <c r="K30" s="9"/>
      <c r="L30" s="180"/>
      <c r="M30" s="180" t="str">
        <f>Tournament!N31</f>
        <v>South Korea</v>
      </c>
      <c r="N30" s="183"/>
      <c r="P30" s="192" t="str">
        <f t="shared" si="0"/>
        <v>Russia</v>
      </c>
      <c r="Q30" s="193"/>
      <c r="R30" s="194" t="str">
        <f>IF(Tournament!J31&lt;&gt;"",Tournament!J31,"")</f>
        <v/>
      </c>
      <c r="S30" s="194" t="s">
        <v>3088</v>
      </c>
      <c r="T30" s="194" t="str">
        <f>IF(Tournament!L31&lt;&gt;"",Tournament!L31,"")</f>
        <v/>
      </c>
      <c r="U30" s="193"/>
      <c r="V30" s="193" t="str">
        <f t="shared" si="1"/>
        <v>South Korea</v>
      </c>
      <c r="W30" s="194"/>
      <c r="X30" s="194"/>
      <c r="Y30" s="194"/>
      <c r="Z30" s="194"/>
      <c r="AA30" s="194"/>
      <c r="AB30" s="194"/>
      <c r="AC30" s="194"/>
      <c r="AD30" s="195" t="str">
        <f>IF(AND(I30&lt;&gt;"",K30&lt;&gt;"",R30&lt;&gt;"",T30&lt;&gt;""),IF(AND(I30=R30,K30=T30),Setup!$D$10,IF((I30-K30)=(R30-T30),Setup!$D$11,IF(AND((I30&gt;K30),(R30&gt;T30)),Setup!$D$12,IF(AND((K30&gt;I30),(T30&gt;R30)),Setup!$D$12,0)))),"")</f>
        <v/>
      </c>
      <c r="AE30" s="183"/>
      <c r="CP30" s="168"/>
      <c r="CQ30" s="186"/>
      <c r="CR30" s="187"/>
      <c r="CS30" s="168"/>
    </row>
    <row r="31" spans="2:97" s="166" customFormat="1" ht="15" customHeight="1">
      <c r="B31" s="182"/>
      <c r="C31" s="181">
        <f>Tournament!D32</f>
        <v>17</v>
      </c>
      <c r="D31" s="181" t="str">
        <f>Tournament!E32</f>
        <v>A</v>
      </c>
      <c r="E31" s="188">
        <f>Tournament!F32</f>
        <v>41807.666666666664</v>
      </c>
      <c r="F31" s="189">
        <f>Tournament!G32</f>
        <v>41807.666666666664</v>
      </c>
      <c r="G31" s="190" t="str">
        <f>Tournament!H32</f>
        <v>Brazil</v>
      </c>
      <c r="H31" s="180"/>
      <c r="I31" s="9"/>
      <c r="J31" s="191" t="s">
        <v>3088</v>
      </c>
      <c r="K31" s="9"/>
      <c r="L31" s="180"/>
      <c r="M31" s="180" t="str">
        <f>Tournament!N32</f>
        <v>Mexico</v>
      </c>
      <c r="N31" s="183"/>
      <c r="P31" s="192" t="str">
        <f t="shared" si="0"/>
        <v>Brazil</v>
      </c>
      <c r="Q31" s="193"/>
      <c r="R31" s="194" t="str">
        <f>IF(Tournament!J32&lt;&gt;"",Tournament!J32,"")</f>
        <v/>
      </c>
      <c r="S31" s="194" t="s">
        <v>3088</v>
      </c>
      <c r="T31" s="194" t="str">
        <f>IF(Tournament!L32&lt;&gt;"",Tournament!L32,"")</f>
        <v/>
      </c>
      <c r="U31" s="193"/>
      <c r="V31" s="193" t="str">
        <f t="shared" si="1"/>
        <v>Mexico</v>
      </c>
      <c r="W31" s="194"/>
      <c r="X31" s="194"/>
      <c r="Y31" s="194"/>
      <c r="Z31" s="194"/>
      <c r="AA31" s="194"/>
      <c r="AB31" s="194"/>
      <c r="AC31" s="194"/>
      <c r="AD31" s="195" t="str">
        <f>IF(AND(I31&lt;&gt;"",K31&lt;&gt;"",R31&lt;&gt;"",T31&lt;&gt;""),IF(AND(I31=R31,K31=T31),Setup!$D$10,IF((I31-K31)=(R31-T31),Setup!$D$11,IF(AND((I31&gt;K31),(R31&gt;T31)),Setup!$D$12,IF(AND((K31&gt;I31),(T31&gt;R31)),Setup!$D$12,0)))),"")</f>
        <v/>
      </c>
      <c r="AE31" s="183"/>
      <c r="CP31" s="168"/>
      <c r="CQ31" s="186"/>
      <c r="CR31" s="187"/>
      <c r="CS31" s="168"/>
    </row>
    <row r="32" spans="2:97" s="166" customFormat="1" ht="15" customHeight="1">
      <c r="B32" s="182"/>
      <c r="C32" s="181">
        <f>Tournament!D33</f>
        <v>18</v>
      </c>
      <c r="D32" s="181" t="str">
        <f>Tournament!E33</f>
        <v>A</v>
      </c>
      <c r="E32" s="188">
        <f>Tournament!F33</f>
        <v>41808.791666666664</v>
      </c>
      <c r="F32" s="189">
        <f>Tournament!G33</f>
        <v>41808.791666666664</v>
      </c>
      <c r="G32" s="190" t="str">
        <f>Tournament!H33</f>
        <v>Cameroon</v>
      </c>
      <c r="H32" s="180"/>
      <c r="I32" s="9"/>
      <c r="J32" s="191" t="s">
        <v>3088</v>
      </c>
      <c r="K32" s="9"/>
      <c r="L32" s="180"/>
      <c r="M32" s="180" t="str">
        <f>Tournament!N33</f>
        <v>Croatia</v>
      </c>
      <c r="N32" s="183"/>
      <c r="P32" s="192" t="str">
        <f t="shared" si="0"/>
        <v>Cameroon</v>
      </c>
      <c r="Q32" s="193"/>
      <c r="R32" s="194" t="str">
        <f>IF(Tournament!J33&lt;&gt;"",Tournament!J33,"")</f>
        <v/>
      </c>
      <c r="S32" s="194" t="s">
        <v>3088</v>
      </c>
      <c r="T32" s="194" t="str">
        <f>IF(Tournament!L33&lt;&gt;"",Tournament!L33,"")</f>
        <v/>
      </c>
      <c r="U32" s="193"/>
      <c r="V32" s="193" t="str">
        <f t="shared" si="1"/>
        <v>Croatia</v>
      </c>
      <c r="W32" s="194"/>
      <c r="X32" s="194"/>
      <c r="Y32" s="194"/>
      <c r="Z32" s="194"/>
      <c r="AA32" s="194"/>
      <c r="AB32" s="194"/>
      <c r="AC32" s="194"/>
      <c r="AD32" s="195" t="str">
        <f>IF(AND(I32&lt;&gt;"",K32&lt;&gt;"",R32&lt;&gt;"",T32&lt;&gt;""),IF(AND(I32=R32,K32=T32),Setup!$D$10,IF((I32-K32)=(R32-T32),Setup!$D$11,IF(AND((I32&gt;K32),(R32&gt;T32)),Setup!$D$12,IF(AND((K32&gt;I32),(T32&gt;R32)),Setup!$D$12,0)))),"")</f>
        <v/>
      </c>
      <c r="AE32" s="183"/>
      <c r="CP32" s="168"/>
      <c r="CQ32" s="186"/>
      <c r="CR32" s="187"/>
      <c r="CS32" s="168"/>
    </row>
    <row r="33" spans="2:97" s="166" customFormat="1" ht="15" customHeight="1">
      <c r="B33" s="182"/>
      <c r="C33" s="181">
        <f>Tournament!D34</f>
        <v>19</v>
      </c>
      <c r="D33" s="181" t="str">
        <f>Tournament!E34</f>
        <v>B</v>
      </c>
      <c r="E33" s="188">
        <f>Tournament!F34</f>
        <v>41808.666666666664</v>
      </c>
      <c r="F33" s="189">
        <f>Tournament!G34</f>
        <v>41808.666666666664</v>
      </c>
      <c r="G33" s="190" t="str">
        <f>Tournament!H34</f>
        <v>Spain</v>
      </c>
      <c r="H33" s="180"/>
      <c r="I33" s="9"/>
      <c r="J33" s="191" t="s">
        <v>3088</v>
      </c>
      <c r="K33" s="9"/>
      <c r="L33" s="180"/>
      <c r="M33" s="180" t="str">
        <f>Tournament!N34</f>
        <v>Chile</v>
      </c>
      <c r="N33" s="183"/>
      <c r="P33" s="192" t="str">
        <f t="shared" si="0"/>
        <v>Spain</v>
      </c>
      <c r="Q33" s="193"/>
      <c r="R33" s="194" t="str">
        <f>IF(Tournament!J34&lt;&gt;"",Tournament!J34,"")</f>
        <v/>
      </c>
      <c r="S33" s="194" t="s">
        <v>3088</v>
      </c>
      <c r="T33" s="194" t="str">
        <f>IF(Tournament!L34&lt;&gt;"",Tournament!L34,"")</f>
        <v/>
      </c>
      <c r="U33" s="193"/>
      <c r="V33" s="193" t="str">
        <f t="shared" si="1"/>
        <v>Chile</v>
      </c>
      <c r="W33" s="194"/>
      <c r="X33" s="194"/>
      <c r="Y33" s="194"/>
      <c r="Z33" s="194"/>
      <c r="AA33" s="194"/>
      <c r="AB33" s="194"/>
      <c r="AC33" s="194"/>
      <c r="AD33" s="195" t="str">
        <f>IF(AND(I33&lt;&gt;"",K33&lt;&gt;"",R33&lt;&gt;"",T33&lt;&gt;""),IF(AND(I33=R33,K33=T33),Setup!$D$10,IF((I33-K33)=(R33-T33),Setup!$D$11,IF(AND((I33&gt;K33),(R33&gt;T33)),Setup!$D$12,IF(AND((K33&gt;I33),(T33&gt;R33)),Setup!$D$12,0)))),"")</f>
        <v/>
      </c>
      <c r="AE33" s="183"/>
      <c r="CP33" s="168"/>
      <c r="CQ33" s="186"/>
      <c r="CR33" s="187"/>
      <c r="CS33" s="168"/>
    </row>
    <row r="34" spans="2:97" s="166" customFormat="1" ht="15" customHeight="1">
      <c r="B34" s="182"/>
      <c r="C34" s="181">
        <f>Tournament!D35</f>
        <v>20</v>
      </c>
      <c r="D34" s="181" t="str">
        <f>Tournament!E35</f>
        <v>B</v>
      </c>
      <c r="E34" s="188">
        <f>Tournament!F35</f>
        <v>41808.541666666664</v>
      </c>
      <c r="F34" s="189">
        <f>Tournament!G35</f>
        <v>41808.541666666664</v>
      </c>
      <c r="G34" s="190" t="str">
        <f>Tournament!H35</f>
        <v>Australia</v>
      </c>
      <c r="H34" s="180"/>
      <c r="I34" s="9"/>
      <c r="J34" s="191" t="s">
        <v>3088</v>
      </c>
      <c r="K34" s="9"/>
      <c r="L34" s="180"/>
      <c r="M34" s="180" t="str">
        <f>Tournament!N35</f>
        <v>Netherlands</v>
      </c>
      <c r="N34" s="183"/>
      <c r="P34" s="192" t="str">
        <f t="shared" si="0"/>
        <v>Australia</v>
      </c>
      <c r="Q34" s="193"/>
      <c r="R34" s="194" t="str">
        <f>IF(Tournament!J35&lt;&gt;"",Tournament!J35,"")</f>
        <v/>
      </c>
      <c r="S34" s="194" t="s">
        <v>3088</v>
      </c>
      <c r="T34" s="194" t="str">
        <f>IF(Tournament!L35&lt;&gt;"",Tournament!L35,"")</f>
        <v/>
      </c>
      <c r="U34" s="193"/>
      <c r="V34" s="193" t="str">
        <f t="shared" si="1"/>
        <v>Netherlands</v>
      </c>
      <c r="W34" s="194"/>
      <c r="X34" s="194"/>
      <c r="Y34" s="194"/>
      <c r="Z34" s="194"/>
      <c r="AA34" s="194"/>
      <c r="AB34" s="194"/>
      <c r="AC34" s="194"/>
      <c r="AD34" s="195" t="str">
        <f>IF(AND(I34&lt;&gt;"",K34&lt;&gt;"",R34&lt;&gt;"",T34&lt;&gt;""),IF(AND(I34=R34,K34=T34),Setup!$D$10,IF((I34-K34)=(R34-T34),Setup!$D$11,IF(AND((I34&gt;K34),(R34&gt;T34)),Setup!$D$12,IF(AND((K34&gt;I34),(T34&gt;R34)),Setup!$D$12,0)))),"")</f>
        <v/>
      </c>
      <c r="AE34" s="183"/>
      <c r="CP34" s="168"/>
      <c r="CQ34" s="186"/>
      <c r="CR34" s="187"/>
      <c r="CS34" s="168"/>
    </row>
    <row r="35" spans="2:97" s="166" customFormat="1" ht="15" customHeight="1">
      <c r="B35" s="182"/>
      <c r="C35" s="181">
        <f>Tournament!D36</f>
        <v>21</v>
      </c>
      <c r="D35" s="181" t="str">
        <f>Tournament!E36</f>
        <v>C</v>
      </c>
      <c r="E35" s="188">
        <f>Tournament!F36</f>
        <v>41809.541666666664</v>
      </c>
      <c r="F35" s="189">
        <f>Tournament!G36</f>
        <v>41809.541666666664</v>
      </c>
      <c r="G35" s="190" t="str">
        <f>Tournament!H36</f>
        <v>Colombia</v>
      </c>
      <c r="H35" s="180"/>
      <c r="I35" s="9"/>
      <c r="J35" s="191" t="s">
        <v>3088</v>
      </c>
      <c r="K35" s="9"/>
      <c r="L35" s="180"/>
      <c r="M35" s="180" t="str">
        <f>Tournament!N36</f>
        <v>Ivory Coast</v>
      </c>
      <c r="N35" s="183"/>
      <c r="P35" s="192" t="str">
        <f t="shared" si="0"/>
        <v>Colombia</v>
      </c>
      <c r="Q35" s="193"/>
      <c r="R35" s="194" t="str">
        <f>IF(Tournament!J36&lt;&gt;"",Tournament!J36,"")</f>
        <v/>
      </c>
      <c r="S35" s="194" t="s">
        <v>3088</v>
      </c>
      <c r="T35" s="194" t="str">
        <f>IF(Tournament!L36&lt;&gt;"",Tournament!L36,"")</f>
        <v/>
      </c>
      <c r="U35" s="193"/>
      <c r="V35" s="193" t="str">
        <f t="shared" si="1"/>
        <v>Ivory Coast</v>
      </c>
      <c r="W35" s="194"/>
      <c r="X35" s="194"/>
      <c r="Y35" s="194"/>
      <c r="Z35" s="194"/>
      <c r="AA35" s="194"/>
      <c r="AB35" s="194"/>
      <c r="AC35" s="194"/>
      <c r="AD35" s="195" t="str">
        <f>IF(AND(I35&lt;&gt;"",K35&lt;&gt;"",R35&lt;&gt;"",T35&lt;&gt;""),IF(AND(I35=R35,K35=T35),Setup!$D$10,IF((I35-K35)=(R35-T35),Setup!$D$11,IF(AND((I35&gt;K35),(R35&gt;T35)),Setup!$D$12,IF(AND((K35&gt;I35),(T35&gt;R35)),Setup!$D$12,0)))),"")</f>
        <v/>
      </c>
      <c r="AE35" s="183"/>
      <c r="CP35" s="168"/>
      <c r="CQ35" s="186"/>
      <c r="CR35" s="187"/>
      <c r="CS35" s="168"/>
    </row>
    <row r="36" spans="2:97" s="166" customFormat="1" ht="15" customHeight="1">
      <c r="B36" s="182"/>
      <c r="C36" s="181">
        <f>Tournament!D37</f>
        <v>22</v>
      </c>
      <c r="D36" s="181" t="str">
        <f>Tournament!E37</f>
        <v>C</v>
      </c>
      <c r="E36" s="188">
        <f>Tournament!F37</f>
        <v>41809.791666666664</v>
      </c>
      <c r="F36" s="189">
        <f>Tournament!G37</f>
        <v>41809.791666666664</v>
      </c>
      <c r="G36" s="190" t="str">
        <f>Tournament!H37</f>
        <v>Japan</v>
      </c>
      <c r="H36" s="180"/>
      <c r="I36" s="9"/>
      <c r="J36" s="191" t="s">
        <v>3088</v>
      </c>
      <c r="K36" s="9"/>
      <c r="L36" s="180"/>
      <c r="M36" s="180" t="str">
        <f>Tournament!N37</f>
        <v>Greece</v>
      </c>
      <c r="N36" s="183"/>
      <c r="P36" s="192" t="str">
        <f t="shared" si="0"/>
        <v>Japan</v>
      </c>
      <c r="Q36" s="193"/>
      <c r="R36" s="194" t="str">
        <f>IF(Tournament!J37&lt;&gt;"",Tournament!J37,"")</f>
        <v/>
      </c>
      <c r="S36" s="194" t="s">
        <v>3088</v>
      </c>
      <c r="T36" s="194" t="str">
        <f>IF(Tournament!L37&lt;&gt;"",Tournament!L37,"")</f>
        <v/>
      </c>
      <c r="U36" s="193"/>
      <c r="V36" s="193" t="str">
        <f t="shared" si="1"/>
        <v>Greece</v>
      </c>
      <c r="W36" s="194"/>
      <c r="X36" s="194"/>
      <c r="Y36" s="194"/>
      <c r="Z36" s="194"/>
      <c r="AA36" s="194"/>
      <c r="AB36" s="194"/>
      <c r="AC36" s="194"/>
      <c r="AD36" s="195" t="str">
        <f>IF(AND(I36&lt;&gt;"",K36&lt;&gt;"",R36&lt;&gt;"",T36&lt;&gt;""),IF(AND(I36=R36,K36=T36),Setup!$D$10,IF((I36-K36)=(R36-T36),Setup!$D$11,IF(AND((I36&gt;K36),(R36&gt;T36)),Setup!$D$12,IF(AND((K36&gt;I36),(T36&gt;R36)),Setup!$D$12,0)))),"")</f>
        <v/>
      </c>
      <c r="AE36" s="183"/>
      <c r="CP36" s="168"/>
      <c r="CQ36" s="186"/>
      <c r="CR36" s="187"/>
      <c r="CS36" s="168"/>
    </row>
    <row r="37" spans="2:97" s="166" customFormat="1" ht="15" customHeight="1">
      <c r="B37" s="182"/>
      <c r="C37" s="181">
        <f>Tournament!D38</f>
        <v>23</v>
      </c>
      <c r="D37" s="181" t="str">
        <f>Tournament!E38</f>
        <v>D</v>
      </c>
      <c r="E37" s="188">
        <f>Tournament!F38</f>
        <v>41809.666666666664</v>
      </c>
      <c r="F37" s="189">
        <f>Tournament!G38</f>
        <v>41809.666666666664</v>
      </c>
      <c r="G37" s="190" t="str">
        <f>Tournament!H38</f>
        <v>Uruguay</v>
      </c>
      <c r="H37" s="180"/>
      <c r="I37" s="9"/>
      <c r="J37" s="191" t="s">
        <v>3088</v>
      </c>
      <c r="K37" s="9"/>
      <c r="L37" s="180"/>
      <c r="M37" s="180" t="str">
        <f>Tournament!N38</f>
        <v>England</v>
      </c>
      <c r="N37" s="183"/>
      <c r="P37" s="192" t="str">
        <f t="shared" si="0"/>
        <v>Uruguay</v>
      </c>
      <c r="Q37" s="193"/>
      <c r="R37" s="194" t="str">
        <f>IF(Tournament!J38&lt;&gt;"",Tournament!J38,"")</f>
        <v/>
      </c>
      <c r="S37" s="194" t="s">
        <v>3088</v>
      </c>
      <c r="T37" s="194" t="str">
        <f>IF(Tournament!L38&lt;&gt;"",Tournament!L38,"")</f>
        <v/>
      </c>
      <c r="U37" s="193"/>
      <c r="V37" s="193" t="str">
        <f t="shared" si="1"/>
        <v>England</v>
      </c>
      <c r="W37" s="194"/>
      <c r="X37" s="194"/>
      <c r="Y37" s="194"/>
      <c r="Z37" s="194"/>
      <c r="AA37" s="194"/>
      <c r="AB37" s="194"/>
      <c r="AC37" s="194"/>
      <c r="AD37" s="195" t="str">
        <f>IF(AND(I37&lt;&gt;"",K37&lt;&gt;"",R37&lt;&gt;"",T37&lt;&gt;""),IF(AND(I37=R37,K37=T37),Setup!$D$10,IF((I37-K37)=(R37-T37),Setup!$D$11,IF(AND((I37&gt;K37),(R37&gt;T37)),Setup!$D$12,IF(AND((K37&gt;I37),(T37&gt;R37)),Setup!$D$12,0)))),"")</f>
        <v/>
      </c>
      <c r="AE37" s="183"/>
      <c r="CP37" s="168"/>
      <c r="CQ37" s="186"/>
      <c r="CR37" s="187"/>
      <c r="CS37" s="168"/>
    </row>
    <row r="38" spans="2:97" s="166" customFormat="1" ht="15" customHeight="1">
      <c r="B38" s="182"/>
      <c r="C38" s="181">
        <f>Tournament!D39</f>
        <v>24</v>
      </c>
      <c r="D38" s="181" t="str">
        <f>Tournament!E39</f>
        <v>D</v>
      </c>
      <c r="E38" s="188">
        <f>Tournament!F39</f>
        <v>41810.541666666664</v>
      </c>
      <c r="F38" s="189">
        <f>Tournament!G39</f>
        <v>41810.541666666664</v>
      </c>
      <c r="G38" s="190" t="str">
        <f>Tournament!H39</f>
        <v>Italy</v>
      </c>
      <c r="H38" s="180"/>
      <c r="I38" s="9"/>
      <c r="J38" s="191" t="s">
        <v>3088</v>
      </c>
      <c r="K38" s="9"/>
      <c r="L38" s="180"/>
      <c r="M38" s="180" t="str">
        <f>Tournament!N39</f>
        <v>Costa Rica</v>
      </c>
      <c r="N38" s="183"/>
      <c r="P38" s="192" t="str">
        <f t="shared" si="0"/>
        <v>Italy</v>
      </c>
      <c r="Q38" s="193"/>
      <c r="R38" s="194" t="str">
        <f>IF(Tournament!J39&lt;&gt;"",Tournament!J39,"")</f>
        <v/>
      </c>
      <c r="S38" s="194" t="s">
        <v>3088</v>
      </c>
      <c r="T38" s="194" t="str">
        <f>IF(Tournament!L39&lt;&gt;"",Tournament!L39,"")</f>
        <v/>
      </c>
      <c r="U38" s="193"/>
      <c r="V38" s="193" t="str">
        <f t="shared" si="1"/>
        <v>Costa Rica</v>
      </c>
      <c r="W38" s="194"/>
      <c r="X38" s="194"/>
      <c r="Y38" s="194"/>
      <c r="Z38" s="194"/>
      <c r="AA38" s="194"/>
      <c r="AB38" s="194"/>
      <c r="AC38" s="194"/>
      <c r="AD38" s="195" t="str">
        <f>IF(AND(I38&lt;&gt;"",K38&lt;&gt;"",R38&lt;&gt;"",T38&lt;&gt;""),IF(AND(I38=R38,K38=T38),Setup!$D$10,IF((I38-K38)=(R38-T38),Setup!$D$11,IF(AND((I38&gt;K38),(R38&gt;T38)),Setup!$D$12,IF(AND((K38&gt;I38),(T38&gt;R38)),Setup!$D$12,0)))),"")</f>
        <v/>
      </c>
      <c r="AE38" s="183"/>
      <c r="CP38" s="168"/>
      <c r="CQ38" s="186"/>
      <c r="CR38" s="187"/>
      <c r="CS38" s="168"/>
    </row>
    <row r="39" spans="2:97" s="166" customFormat="1" ht="15" customHeight="1">
      <c r="B39" s="182"/>
      <c r="C39" s="181">
        <f>Tournament!D40</f>
        <v>25</v>
      </c>
      <c r="D39" s="181" t="str">
        <f>Tournament!E40</f>
        <v>E</v>
      </c>
      <c r="E39" s="188">
        <f>Tournament!F40</f>
        <v>41810.666666666664</v>
      </c>
      <c r="F39" s="189">
        <f>Tournament!G40</f>
        <v>41810.666666666664</v>
      </c>
      <c r="G39" s="190" t="str">
        <f>Tournament!H40</f>
        <v>Switzerland</v>
      </c>
      <c r="H39" s="180"/>
      <c r="I39" s="9"/>
      <c r="J39" s="191" t="s">
        <v>3088</v>
      </c>
      <c r="K39" s="9"/>
      <c r="L39" s="180"/>
      <c r="M39" s="180" t="str">
        <f>Tournament!N40</f>
        <v>France</v>
      </c>
      <c r="N39" s="183"/>
      <c r="P39" s="192" t="str">
        <f t="shared" si="0"/>
        <v>Switzerland</v>
      </c>
      <c r="Q39" s="193"/>
      <c r="R39" s="194" t="str">
        <f>IF(Tournament!J40&lt;&gt;"",Tournament!J40,"")</f>
        <v/>
      </c>
      <c r="S39" s="194" t="s">
        <v>3088</v>
      </c>
      <c r="T39" s="194" t="str">
        <f>IF(Tournament!L40&lt;&gt;"",Tournament!L40,"")</f>
        <v/>
      </c>
      <c r="U39" s="193"/>
      <c r="V39" s="193" t="str">
        <f t="shared" si="1"/>
        <v>France</v>
      </c>
      <c r="W39" s="194"/>
      <c r="X39" s="194"/>
      <c r="Y39" s="194"/>
      <c r="Z39" s="194"/>
      <c r="AA39" s="194"/>
      <c r="AB39" s="194"/>
      <c r="AC39" s="194"/>
      <c r="AD39" s="195" t="str">
        <f>IF(AND(I39&lt;&gt;"",K39&lt;&gt;"",R39&lt;&gt;"",T39&lt;&gt;""),IF(AND(I39=R39,K39=T39),Setup!$D$10,IF((I39-K39)=(R39-T39),Setup!$D$11,IF(AND((I39&gt;K39),(R39&gt;T39)),Setup!$D$12,IF(AND((K39&gt;I39),(T39&gt;R39)),Setup!$D$12,0)))),"")</f>
        <v/>
      </c>
      <c r="AE39" s="183"/>
      <c r="CP39" s="168"/>
      <c r="CQ39" s="186"/>
      <c r="CR39" s="187"/>
      <c r="CS39" s="168"/>
    </row>
    <row r="40" spans="2:97" s="166" customFormat="1" ht="15" customHeight="1">
      <c r="B40" s="182"/>
      <c r="C40" s="181">
        <f>Tournament!D41</f>
        <v>26</v>
      </c>
      <c r="D40" s="181" t="str">
        <f>Tournament!E41</f>
        <v>E</v>
      </c>
      <c r="E40" s="188">
        <f>Tournament!F41</f>
        <v>41810.791666666664</v>
      </c>
      <c r="F40" s="189">
        <f>Tournament!G41</f>
        <v>41810.791666666664</v>
      </c>
      <c r="G40" s="190" t="str">
        <f>Tournament!H41</f>
        <v>Honduras</v>
      </c>
      <c r="H40" s="180"/>
      <c r="I40" s="9"/>
      <c r="J40" s="191" t="s">
        <v>3088</v>
      </c>
      <c r="K40" s="9"/>
      <c r="L40" s="180"/>
      <c r="M40" s="180" t="str">
        <f>Tournament!N41</f>
        <v>Ecuador</v>
      </c>
      <c r="N40" s="183"/>
      <c r="P40" s="192" t="str">
        <f t="shared" si="0"/>
        <v>Honduras</v>
      </c>
      <c r="Q40" s="193"/>
      <c r="R40" s="194" t="str">
        <f>IF(Tournament!J41&lt;&gt;"",Tournament!J41,"")</f>
        <v/>
      </c>
      <c r="S40" s="194" t="s">
        <v>3088</v>
      </c>
      <c r="T40" s="194" t="str">
        <f>IF(Tournament!L41&lt;&gt;"",Tournament!L41,"")</f>
        <v/>
      </c>
      <c r="U40" s="193"/>
      <c r="V40" s="193" t="str">
        <f t="shared" si="1"/>
        <v>Ecuador</v>
      </c>
      <c r="W40" s="194"/>
      <c r="X40" s="194"/>
      <c r="Y40" s="194"/>
      <c r="Z40" s="194"/>
      <c r="AA40" s="194"/>
      <c r="AB40" s="194"/>
      <c r="AC40" s="194"/>
      <c r="AD40" s="195" t="str">
        <f>IF(AND(I40&lt;&gt;"",K40&lt;&gt;"",R40&lt;&gt;"",T40&lt;&gt;""),IF(AND(I40=R40,K40=T40),Setup!$D$10,IF((I40-K40)=(R40-T40),Setup!$D$11,IF(AND((I40&gt;K40),(R40&gt;T40)),Setup!$D$12,IF(AND((K40&gt;I40),(T40&gt;R40)),Setup!$D$12,0)))),"")</f>
        <v/>
      </c>
      <c r="AE40" s="183"/>
      <c r="CP40" s="168"/>
      <c r="CQ40" s="196"/>
      <c r="CR40" s="187"/>
      <c r="CS40" s="168"/>
    </row>
    <row r="41" spans="2:97" s="166" customFormat="1" ht="15" customHeight="1">
      <c r="B41" s="182"/>
      <c r="C41" s="181">
        <f>Tournament!D42</f>
        <v>27</v>
      </c>
      <c r="D41" s="181" t="str">
        <f>Tournament!E42</f>
        <v>F</v>
      </c>
      <c r="E41" s="188">
        <f>Tournament!F42</f>
        <v>41811.541666666664</v>
      </c>
      <c r="F41" s="189">
        <f>Tournament!G42</f>
        <v>41811.541666666664</v>
      </c>
      <c r="G41" s="190" t="str">
        <f>Tournament!H42</f>
        <v>Argentina</v>
      </c>
      <c r="H41" s="180"/>
      <c r="I41" s="9"/>
      <c r="J41" s="191" t="s">
        <v>3088</v>
      </c>
      <c r="K41" s="9"/>
      <c r="L41" s="180"/>
      <c r="M41" s="180" t="str">
        <f>Tournament!N42</f>
        <v>Iran</v>
      </c>
      <c r="N41" s="183"/>
      <c r="P41" s="192" t="str">
        <f t="shared" si="0"/>
        <v>Argentina</v>
      </c>
      <c r="Q41" s="193"/>
      <c r="R41" s="194" t="str">
        <f>IF(Tournament!J42&lt;&gt;"",Tournament!J42,"")</f>
        <v/>
      </c>
      <c r="S41" s="194" t="s">
        <v>3088</v>
      </c>
      <c r="T41" s="194" t="str">
        <f>IF(Tournament!L42&lt;&gt;"",Tournament!L42,"")</f>
        <v/>
      </c>
      <c r="U41" s="193"/>
      <c r="V41" s="193" t="str">
        <f t="shared" si="1"/>
        <v>Iran</v>
      </c>
      <c r="W41" s="194"/>
      <c r="X41" s="194"/>
      <c r="Y41" s="194"/>
      <c r="Z41" s="194"/>
      <c r="AA41" s="194"/>
      <c r="AB41" s="194"/>
      <c r="AC41" s="194"/>
      <c r="AD41" s="195" t="str">
        <f>IF(AND(I41&lt;&gt;"",K41&lt;&gt;"",R41&lt;&gt;"",T41&lt;&gt;""),IF(AND(I41=R41,K41=T41),Setup!$D$10,IF((I41-K41)=(R41-T41),Setup!$D$11,IF(AND((I41&gt;K41),(R41&gt;T41)),Setup!$D$12,IF(AND((K41&gt;I41),(T41&gt;R41)),Setup!$D$12,0)))),"")</f>
        <v/>
      </c>
      <c r="AE41" s="183"/>
      <c r="CP41" s="168"/>
      <c r="CQ41" s="196"/>
      <c r="CR41" s="187"/>
      <c r="CS41" s="168"/>
    </row>
    <row r="42" spans="2:97" s="166" customFormat="1" ht="15" customHeight="1">
      <c r="B42" s="182"/>
      <c r="C42" s="181">
        <f>Tournament!D43</f>
        <v>28</v>
      </c>
      <c r="D42" s="181" t="str">
        <f>Tournament!E43</f>
        <v>F</v>
      </c>
      <c r="E42" s="188">
        <f>Tournament!F43</f>
        <v>41811.791666666664</v>
      </c>
      <c r="F42" s="189">
        <f>Tournament!G43</f>
        <v>41811.791666666664</v>
      </c>
      <c r="G42" s="190" t="str">
        <f>Tournament!H43</f>
        <v>Nigeria</v>
      </c>
      <c r="H42" s="180"/>
      <c r="I42" s="9"/>
      <c r="J42" s="191" t="s">
        <v>3088</v>
      </c>
      <c r="K42" s="9"/>
      <c r="L42" s="180"/>
      <c r="M42" s="180" t="str">
        <f>Tournament!N43</f>
        <v>Bosnia-Herzegovina</v>
      </c>
      <c r="N42" s="183"/>
      <c r="P42" s="192" t="str">
        <f t="shared" si="0"/>
        <v>Nigeria</v>
      </c>
      <c r="Q42" s="193"/>
      <c r="R42" s="194" t="str">
        <f>IF(Tournament!J43&lt;&gt;"",Tournament!J43,"")</f>
        <v/>
      </c>
      <c r="S42" s="194" t="s">
        <v>3088</v>
      </c>
      <c r="T42" s="194" t="str">
        <f>IF(Tournament!L43&lt;&gt;"",Tournament!L43,"")</f>
        <v/>
      </c>
      <c r="U42" s="193"/>
      <c r="V42" s="193" t="str">
        <f t="shared" si="1"/>
        <v>Bosnia-Herzegovina</v>
      </c>
      <c r="W42" s="194"/>
      <c r="X42" s="194"/>
      <c r="Y42" s="194"/>
      <c r="Z42" s="194"/>
      <c r="AA42" s="194"/>
      <c r="AB42" s="194"/>
      <c r="AC42" s="194"/>
      <c r="AD42" s="195" t="str">
        <f>IF(AND(I42&lt;&gt;"",K42&lt;&gt;"",R42&lt;&gt;"",T42&lt;&gt;""),IF(AND(I42=R42,K42=T42),Setup!$D$10,IF((I42-K42)=(R42-T42),Setup!$D$11,IF(AND((I42&gt;K42),(R42&gt;T42)),Setup!$D$12,IF(AND((K42&gt;I42),(T42&gt;R42)),Setup!$D$12,0)))),"")</f>
        <v/>
      </c>
      <c r="AE42" s="183"/>
      <c r="CP42" s="168"/>
      <c r="CQ42" s="168"/>
      <c r="CR42" s="187"/>
      <c r="CS42" s="168"/>
    </row>
    <row r="43" spans="2:97" s="166" customFormat="1" ht="15" customHeight="1">
      <c r="B43" s="182"/>
      <c r="C43" s="181">
        <f>Tournament!D44</f>
        <v>29</v>
      </c>
      <c r="D43" s="181" t="str">
        <f>Tournament!E44</f>
        <v>G</v>
      </c>
      <c r="E43" s="188">
        <f>Tournament!F44</f>
        <v>41811.666666666664</v>
      </c>
      <c r="F43" s="189">
        <f>Tournament!G44</f>
        <v>41811.666666666664</v>
      </c>
      <c r="G43" s="190" t="str">
        <f>Tournament!H44</f>
        <v>Germany</v>
      </c>
      <c r="H43" s="180"/>
      <c r="I43" s="9"/>
      <c r="J43" s="191" t="s">
        <v>3088</v>
      </c>
      <c r="K43" s="9"/>
      <c r="L43" s="180"/>
      <c r="M43" s="180" t="str">
        <f>Tournament!N44</f>
        <v>Ghana</v>
      </c>
      <c r="N43" s="183"/>
      <c r="P43" s="192" t="str">
        <f t="shared" si="0"/>
        <v>Germany</v>
      </c>
      <c r="Q43" s="193"/>
      <c r="R43" s="194" t="str">
        <f>IF(Tournament!J44&lt;&gt;"",Tournament!J44,"")</f>
        <v/>
      </c>
      <c r="S43" s="194" t="s">
        <v>3088</v>
      </c>
      <c r="T43" s="194" t="str">
        <f>IF(Tournament!L44&lt;&gt;"",Tournament!L44,"")</f>
        <v/>
      </c>
      <c r="U43" s="193"/>
      <c r="V43" s="193" t="str">
        <f t="shared" si="1"/>
        <v>Ghana</v>
      </c>
      <c r="W43" s="194"/>
      <c r="X43" s="194"/>
      <c r="Y43" s="194"/>
      <c r="Z43" s="194"/>
      <c r="AA43" s="194"/>
      <c r="AB43" s="194"/>
      <c r="AC43" s="194"/>
      <c r="AD43" s="195" t="str">
        <f>IF(AND(I43&lt;&gt;"",K43&lt;&gt;"",R43&lt;&gt;"",T43&lt;&gt;""),IF(AND(I43=R43,K43=T43),Setup!$D$10,IF((I43-K43)=(R43-T43),Setup!$D$11,IF(AND((I43&gt;K43),(R43&gt;T43)),Setup!$D$12,IF(AND((K43&gt;I43),(T43&gt;R43)),Setup!$D$12,0)))),"")</f>
        <v/>
      </c>
      <c r="AE43" s="183"/>
      <c r="CP43" s="168"/>
      <c r="CQ43" s="168"/>
      <c r="CR43" s="187"/>
      <c r="CS43" s="168"/>
    </row>
    <row r="44" spans="2:97" s="166" customFormat="1" ht="15" customHeight="1">
      <c r="B44" s="182"/>
      <c r="C44" s="181">
        <f>Tournament!D45</f>
        <v>30</v>
      </c>
      <c r="D44" s="181" t="str">
        <f>Tournament!E45</f>
        <v>G</v>
      </c>
      <c r="E44" s="188">
        <f>Tournament!F45</f>
        <v>41812.791666666664</v>
      </c>
      <c r="F44" s="189">
        <f>Tournament!G45</f>
        <v>41812.791666666664</v>
      </c>
      <c r="G44" s="190" t="str">
        <f>Tournament!H45</f>
        <v>USA</v>
      </c>
      <c r="H44" s="180"/>
      <c r="I44" s="9"/>
      <c r="J44" s="191" t="s">
        <v>3088</v>
      </c>
      <c r="K44" s="9"/>
      <c r="L44" s="180"/>
      <c r="M44" s="180" t="str">
        <f>Tournament!N45</f>
        <v>Portugal</v>
      </c>
      <c r="N44" s="183"/>
      <c r="P44" s="192" t="str">
        <f t="shared" si="0"/>
        <v>USA</v>
      </c>
      <c r="Q44" s="193"/>
      <c r="R44" s="194" t="str">
        <f>IF(Tournament!J45&lt;&gt;"",Tournament!J45,"")</f>
        <v/>
      </c>
      <c r="S44" s="194" t="s">
        <v>3088</v>
      </c>
      <c r="T44" s="194" t="str">
        <f>IF(Tournament!L45&lt;&gt;"",Tournament!L45,"")</f>
        <v/>
      </c>
      <c r="U44" s="193"/>
      <c r="V44" s="193" t="str">
        <f t="shared" si="1"/>
        <v>Portugal</v>
      </c>
      <c r="W44" s="194"/>
      <c r="X44" s="194"/>
      <c r="Y44" s="194"/>
      <c r="Z44" s="194"/>
      <c r="AA44" s="194"/>
      <c r="AB44" s="194"/>
      <c r="AC44" s="194"/>
      <c r="AD44" s="195" t="str">
        <f>IF(AND(I44&lt;&gt;"",K44&lt;&gt;"",R44&lt;&gt;"",T44&lt;&gt;""),IF(AND(I44=R44,K44=T44),Setup!$D$10,IF((I44-K44)=(R44-T44),Setup!$D$11,IF(AND((I44&gt;K44),(R44&gt;T44)),Setup!$D$12,IF(AND((K44&gt;I44),(T44&gt;R44)),Setup!$D$12,0)))),"")</f>
        <v/>
      </c>
      <c r="AE44" s="183"/>
      <c r="CP44" s="168"/>
      <c r="CQ44" s="168"/>
      <c r="CR44" s="187"/>
      <c r="CS44" s="168"/>
    </row>
    <row r="45" spans="2:97" s="166" customFormat="1" ht="15" customHeight="1">
      <c r="B45" s="182"/>
      <c r="C45" s="181">
        <f>Tournament!D46</f>
        <v>31</v>
      </c>
      <c r="D45" s="181" t="str">
        <f>Tournament!E46</f>
        <v>H</v>
      </c>
      <c r="E45" s="188">
        <f>Tournament!F46</f>
        <v>41812.541666666664</v>
      </c>
      <c r="F45" s="189">
        <f>Tournament!G46</f>
        <v>41812.541666666664</v>
      </c>
      <c r="G45" s="190" t="str">
        <f>Tournament!H46</f>
        <v>Belgium</v>
      </c>
      <c r="H45" s="180"/>
      <c r="I45" s="9"/>
      <c r="J45" s="191" t="s">
        <v>3088</v>
      </c>
      <c r="K45" s="9"/>
      <c r="L45" s="180"/>
      <c r="M45" s="180" t="str">
        <f>Tournament!N46</f>
        <v>Russia</v>
      </c>
      <c r="N45" s="183"/>
      <c r="P45" s="192" t="str">
        <f t="shared" si="0"/>
        <v>Belgium</v>
      </c>
      <c r="Q45" s="193"/>
      <c r="R45" s="194" t="str">
        <f>IF(Tournament!J46&lt;&gt;"",Tournament!J46,"")</f>
        <v/>
      </c>
      <c r="S45" s="194" t="s">
        <v>3088</v>
      </c>
      <c r="T45" s="194" t="str">
        <f>IF(Tournament!L46&lt;&gt;"",Tournament!L46,"")</f>
        <v/>
      </c>
      <c r="U45" s="193"/>
      <c r="V45" s="193" t="str">
        <f t="shared" si="1"/>
        <v>Russia</v>
      </c>
      <c r="W45" s="194"/>
      <c r="X45" s="194"/>
      <c r="Y45" s="194"/>
      <c r="Z45" s="194"/>
      <c r="AA45" s="194"/>
      <c r="AB45" s="194"/>
      <c r="AC45" s="194"/>
      <c r="AD45" s="195" t="str">
        <f>IF(AND(I45&lt;&gt;"",K45&lt;&gt;"",R45&lt;&gt;"",T45&lt;&gt;""),IF(AND(I45=R45,K45=T45),Setup!$D$10,IF((I45-K45)=(R45-T45),Setup!$D$11,IF(AND((I45&gt;K45),(R45&gt;T45)),Setup!$D$12,IF(AND((K45&gt;I45),(T45&gt;R45)),Setup!$D$12,0)))),"")</f>
        <v/>
      </c>
      <c r="AE45" s="183"/>
      <c r="CP45" s="168"/>
      <c r="CQ45" s="168"/>
      <c r="CR45" s="187"/>
      <c r="CS45" s="168"/>
    </row>
    <row r="46" spans="2:97" s="166" customFormat="1" ht="15" customHeight="1">
      <c r="B46" s="182"/>
      <c r="C46" s="181">
        <f>Tournament!D47</f>
        <v>32</v>
      </c>
      <c r="D46" s="181" t="str">
        <f>Tournament!E47</f>
        <v>H</v>
      </c>
      <c r="E46" s="188">
        <f>Tournament!F47</f>
        <v>41812.666666666664</v>
      </c>
      <c r="F46" s="189">
        <f>Tournament!G47</f>
        <v>41812.666666666664</v>
      </c>
      <c r="G46" s="190" t="str">
        <f>Tournament!H47</f>
        <v>South Korea</v>
      </c>
      <c r="H46" s="180"/>
      <c r="I46" s="9"/>
      <c r="J46" s="191" t="s">
        <v>3088</v>
      </c>
      <c r="K46" s="9"/>
      <c r="L46" s="180"/>
      <c r="M46" s="180" t="str">
        <f>Tournament!N47</f>
        <v>Algeria</v>
      </c>
      <c r="N46" s="183"/>
      <c r="P46" s="192" t="str">
        <f t="shared" si="0"/>
        <v>South Korea</v>
      </c>
      <c r="Q46" s="193"/>
      <c r="R46" s="194" t="str">
        <f>IF(Tournament!J47&lt;&gt;"",Tournament!J47,"")</f>
        <v/>
      </c>
      <c r="S46" s="194" t="s">
        <v>3088</v>
      </c>
      <c r="T46" s="194" t="str">
        <f>IF(Tournament!L47&lt;&gt;"",Tournament!L47,"")</f>
        <v/>
      </c>
      <c r="U46" s="193"/>
      <c r="V46" s="193" t="str">
        <f t="shared" si="1"/>
        <v>Algeria</v>
      </c>
      <c r="W46" s="194"/>
      <c r="X46" s="194"/>
      <c r="Y46" s="194"/>
      <c r="Z46" s="194"/>
      <c r="AA46" s="194"/>
      <c r="AB46" s="194"/>
      <c r="AC46" s="194"/>
      <c r="AD46" s="195" t="str">
        <f>IF(AND(I46&lt;&gt;"",K46&lt;&gt;"",R46&lt;&gt;"",T46&lt;&gt;""),IF(AND(I46=R46,K46=T46),Setup!$D$10,IF((I46-K46)=(R46-T46),Setup!$D$11,IF(AND((I46&gt;K46),(R46&gt;T46)),Setup!$D$12,IF(AND((K46&gt;I46),(T46&gt;R46)),Setup!$D$12,0)))),"")</f>
        <v/>
      </c>
      <c r="AE46" s="183"/>
      <c r="CP46" s="168"/>
      <c r="CQ46" s="168"/>
      <c r="CR46" s="187"/>
      <c r="CS46" s="168"/>
    </row>
    <row r="47" spans="2:97" s="166" customFormat="1" ht="15" customHeight="1">
      <c r="B47" s="182"/>
      <c r="C47" s="181">
        <f>Tournament!D48</f>
        <v>33</v>
      </c>
      <c r="D47" s="181" t="str">
        <f>Tournament!E48</f>
        <v>A</v>
      </c>
      <c r="E47" s="188">
        <f>Tournament!F48</f>
        <v>41813.708333333336</v>
      </c>
      <c r="F47" s="189">
        <f>Tournament!G48</f>
        <v>41813.708333333336</v>
      </c>
      <c r="G47" s="190" t="str">
        <f>Tournament!H48</f>
        <v>Cameroon</v>
      </c>
      <c r="H47" s="180"/>
      <c r="I47" s="9"/>
      <c r="J47" s="191" t="s">
        <v>3088</v>
      </c>
      <c r="K47" s="9"/>
      <c r="L47" s="180"/>
      <c r="M47" s="180" t="str">
        <f>Tournament!N48</f>
        <v>Brazil</v>
      </c>
      <c r="N47" s="183"/>
      <c r="P47" s="192" t="str">
        <f t="shared" si="0"/>
        <v>Cameroon</v>
      </c>
      <c r="Q47" s="193"/>
      <c r="R47" s="194" t="str">
        <f>IF(Tournament!J48&lt;&gt;"",Tournament!J48,"")</f>
        <v/>
      </c>
      <c r="S47" s="194" t="s">
        <v>3088</v>
      </c>
      <c r="T47" s="194" t="str">
        <f>IF(Tournament!L48&lt;&gt;"",Tournament!L48,"")</f>
        <v/>
      </c>
      <c r="U47" s="193"/>
      <c r="V47" s="193" t="str">
        <f t="shared" si="1"/>
        <v>Brazil</v>
      </c>
      <c r="W47" s="194"/>
      <c r="X47" s="194"/>
      <c r="Y47" s="194"/>
      <c r="Z47" s="194"/>
      <c r="AA47" s="194"/>
      <c r="AB47" s="194"/>
      <c r="AC47" s="194"/>
      <c r="AD47" s="195" t="str">
        <f>IF(AND(I47&lt;&gt;"",K47&lt;&gt;"",R47&lt;&gt;"",T47&lt;&gt;""),IF(AND(I47=R47,K47=T47),Setup!$D$10,IF((I47-K47)=(R47-T47),Setup!$D$11,IF(AND((I47&gt;K47),(R47&gt;T47)),Setup!$D$12,IF(AND((K47&gt;I47),(T47&gt;R47)),Setup!$D$12,0)))),"")</f>
        <v/>
      </c>
      <c r="AE47" s="183"/>
      <c r="CP47" s="168"/>
      <c r="CQ47" s="168"/>
      <c r="CR47" s="187"/>
      <c r="CS47" s="168"/>
    </row>
    <row r="48" spans="2:97" s="166" customFormat="1" ht="15" customHeight="1">
      <c r="B48" s="182"/>
      <c r="C48" s="181">
        <f>Tournament!D49</f>
        <v>34</v>
      </c>
      <c r="D48" s="181" t="str">
        <f>Tournament!E49</f>
        <v>A</v>
      </c>
      <c r="E48" s="188">
        <f>Tournament!F49</f>
        <v>41813.708333333336</v>
      </c>
      <c r="F48" s="189">
        <f>Tournament!G49</f>
        <v>41813.708333333336</v>
      </c>
      <c r="G48" s="190" t="str">
        <f>Tournament!H49</f>
        <v>Croatia</v>
      </c>
      <c r="H48" s="180"/>
      <c r="I48" s="9"/>
      <c r="J48" s="191" t="s">
        <v>3088</v>
      </c>
      <c r="K48" s="9"/>
      <c r="L48" s="180"/>
      <c r="M48" s="180" t="str">
        <f>Tournament!N49</f>
        <v>Mexico</v>
      </c>
      <c r="N48" s="183"/>
      <c r="P48" s="192" t="str">
        <f t="shared" si="0"/>
        <v>Croatia</v>
      </c>
      <c r="Q48" s="193"/>
      <c r="R48" s="194" t="str">
        <f>IF(Tournament!J49&lt;&gt;"",Tournament!J49,"")</f>
        <v/>
      </c>
      <c r="S48" s="194" t="s">
        <v>3088</v>
      </c>
      <c r="T48" s="194" t="str">
        <f>IF(Tournament!L49&lt;&gt;"",Tournament!L49,"")</f>
        <v/>
      </c>
      <c r="U48" s="193"/>
      <c r="V48" s="193" t="str">
        <f t="shared" si="1"/>
        <v>Mexico</v>
      </c>
      <c r="W48" s="194"/>
      <c r="X48" s="194"/>
      <c r="Y48" s="194"/>
      <c r="Z48" s="194"/>
      <c r="AA48" s="194"/>
      <c r="AB48" s="194"/>
      <c r="AC48" s="194"/>
      <c r="AD48" s="195" t="str">
        <f>IF(AND(I48&lt;&gt;"",K48&lt;&gt;"",R48&lt;&gt;"",T48&lt;&gt;""),IF(AND(I48=R48,K48=T48),Setup!$D$10,IF((I48-K48)=(R48-T48),Setup!$D$11,IF(AND((I48&gt;K48),(R48&gt;T48)),Setup!$D$12,IF(AND((K48&gt;I48),(T48&gt;R48)),Setup!$D$12,0)))),"")</f>
        <v/>
      </c>
      <c r="AE48" s="183"/>
      <c r="CP48" s="168"/>
      <c r="CQ48" s="168"/>
      <c r="CR48" s="187"/>
      <c r="CS48" s="168"/>
    </row>
    <row r="49" spans="2:97" s="166" customFormat="1" ht="15" customHeight="1">
      <c r="B49" s="182"/>
      <c r="C49" s="181">
        <f>Tournament!D50</f>
        <v>35</v>
      </c>
      <c r="D49" s="181" t="str">
        <f>Tournament!E50</f>
        <v>B</v>
      </c>
      <c r="E49" s="188">
        <f>Tournament!F50</f>
        <v>41813.541666666664</v>
      </c>
      <c r="F49" s="189">
        <f>Tournament!G50</f>
        <v>41813.541666666664</v>
      </c>
      <c r="G49" s="190" t="str">
        <f>Tournament!H50</f>
        <v>Australia</v>
      </c>
      <c r="H49" s="180"/>
      <c r="I49" s="9"/>
      <c r="J49" s="191" t="s">
        <v>3088</v>
      </c>
      <c r="K49" s="9"/>
      <c r="L49" s="180"/>
      <c r="M49" s="180" t="str">
        <f>Tournament!N50</f>
        <v>Spain</v>
      </c>
      <c r="N49" s="183"/>
      <c r="P49" s="192" t="str">
        <f t="shared" si="0"/>
        <v>Australia</v>
      </c>
      <c r="Q49" s="193"/>
      <c r="R49" s="194" t="str">
        <f>IF(Tournament!J50&lt;&gt;"",Tournament!J50,"")</f>
        <v/>
      </c>
      <c r="S49" s="194" t="s">
        <v>3088</v>
      </c>
      <c r="T49" s="194" t="str">
        <f>IF(Tournament!L50&lt;&gt;"",Tournament!L50,"")</f>
        <v/>
      </c>
      <c r="U49" s="193"/>
      <c r="V49" s="193" t="str">
        <f t="shared" si="1"/>
        <v>Spain</v>
      </c>
      <c r="W49" s="194"/>
      <c r="X49" s="194"/>
      <c r="Y49" s="194"/>
      <c r="Z49" s="194"/>
      <c r="AA49" s="194"/>
      <c r="AB49" s="194"/>
      <c r="AC49" s="194"/>
      <c r="AD49" s="195" t="str">
        <f>IF(AND(I49&lt;&gt;"",K49&lt;&gt;"",R49&lt;&gt;"",T49&lt;&gt;""),IF(AND(I49=R49,K49=T49),Setup!$D$10,IF((I49-K49)=(R49-T49),Setup!$D$11,IF(AND((I49&gt;K49),(R49&gt;T49)),Setup!$D$12,IF(AND((K49&gt;I49),(T49&gt;R49)),Setup!$D$12,0)))),"")</f>
        <v/>
      </c>
      <c r="AE49" s="183"/>
      <c r="CP49" s="168"/>
      <c r="CQ49" s="168"/>
      <c r="CR49" s="187"/>
      <c r="CS49" s="168"/>
    </row>
    <row r="50" spans="2:97" s="166" customFormat="1" ht="15" customHeight="1">
      <c r="B50" s="182"/>
      <c r="C50" s="181">
        <f>Tournament!D51</f>
        <v>36</v>
      </c>
      <c r="D50" s="181" t="str">
        <f>Tournament!E51</f>
        <v>B</v>
      </c>
      <c r="E50" s="188">
        <f>Tournament!F51</f>
        <v>41813.541666666664</v>
      </c>
      <c r="F50" s="189">
        <f>Tournament!G51</f>
        <v>41813.541666666664</v>
      </c>
      <c r="G50" s="190" t="str">
        <f>Tournament!H51</f>
        <v>Netherlands</v>
      </c>
      <c r="H50" s="180"/>
      <c r="I50" s="9"/>
      <c r="J50" s="191" t="s">
        <v>3088</v>
      </c>
      <c r="K50" s="9"/>
      <c r="L50" s="180"/>
      <c r="M50" s="180" t="str">
        <f>Tournament!N51</f>
        <v>Chile</v>
      </c>
      <c r="N50" s="183"/>
      <c r="P50" s="192" t="str">
        <f t="shared" si="0"/>
        <v>Netherlands</v>
      </c>
      <c r="Q50" s="193"/>
      <c r="R50" s="194" t="str">
        <f>IF(Tournament!J51&lt;&gt;"",Tournament!J51,"")</f>
        <v/>
      </c>
      <c r="S50" s="194" t="s">
        <v>3088</v>
      </c>
      <c r="T50" s="194" t="str">
        <f>IF(Tournament!L51&lt;&gt;"",Tournament!L51,"")</f>
        <v/>
      </c>
      <c r="U50" s="193"/>
      <c r="V50" s="193" t="str">
        <f t="shared" si="1"/>
        <v>Chile</v>
      </c>
      <c r="W50" s="194"/>
      <c r="X50" s="194"/>
      <c r="Y50" s="194"/>
      <c r="Z50" s="194"/>
      <c r="AA50" s="194"/>
      <c r="AB50" s="194"/>
      <c r="AC50" s="194"/>
      <c r="AD50" s="195" t="str">
        <f>IF(AND(I50&lt;&gt;"",K50&lt;&gt;"",R50&lt;&gt;"",T50&lt;&gt;""),IF(AND(I50=R50,K50=T50),Setup!$D$10,IF((I50-K50)=(R50-T50),Setup!$D$11,IF(AND((I50&gt;K50),(R50&gt;T50)),Setup!$D$12,IF(AND((K50&gt;I50),(T50&gt;R50)),Setup!$D$12,0)))),"")</f>
        <v/>
      </c>
      <c r="AE50" s="183"/>
      <c r="CP50" s="168"/>
      <c r="CQ50" s="168"/>
      <c r="CR50" s="187"/>
      <c r="CS50" s="168"/>
    </row>
    <row r="51" spans="2:97" s="166" customFormat="1" ht="15" customHeight="1">
      <c r="B51" s="182"/>
      <c r="C51" s="181">
        <f>Tournament!D52</f>
        <v>37</v>
      </c>
      <c r="D51" s="181" t="str">
        <f>Tournament!E52</f>
        <v>C</v>
      </c>
      <c r="E51" s="188">
        <f>Tournament!F52</f>
        <v>41814.708333333336</v>
      </c>
      <c r="F51" s="189">
        <f>Tournament!G52</f>
        <v>41814.708333333336</v>
      </c>
      <c r="G51" s="190" t="str">
        <f>Tournament!H52</f>
        <v>Japan</v>
      </c>
      <c r="H51" s="180"/>
      <c r="I51" s="9"/>
      <c r="J51" s="191" t="s">
        <v>3088</v>
      </c>
      <c r="K51" s="9"/>
      <c r="L51" s="180"/>
      <c r="M51" s="180" t="str">
        <f>Tournament!N52</f>
        <v>Colombia</v>
      </c>
      <c r="N51" s="183"/>
      <c r="P51" s="192" t="str">
        <f t="shared" si="0"/>
        <v>Japan</v>
      </c>
      <c r="Q51" s="193"/>
      <c r="R51" s="194" t="str">
        <f>IF(Tournament!J52&lt;&gt;"",Tournament!J52,"")</f>
        <v/>
      </c>
      <c r="S51" s="194" t="s">
        <v>3088</v>
      </c>
      <c r="T51" s="194" t="str">
        <f>IF(Tournament!L52&lt;&gt;"",Tournament!L52,"")</f>
        <v/>
      </c>
      <c r="U51" s="193"/>
      <c r="V51" s="193" t="str">
        <f t="shared" si="1"/>
        <v>Colombia</v>
      </c>
      <c r="W51" s="194"/>
      <c r="X51" s="194"/>
      <c r="Y51" s="194"/>
      <c r="Z51" s="194"/>
      <c r="AA51" s="194"/>
      <c r="AB51" s="194"/>
      <c r="AC51" s="194"/>
      <c r="AD51" s="195" t="str">
        <f>IF(AND(I51&lt;&gt;"",K51&lt;&gt;"",R51&lt;&gt;"",T51&lt;&gt;""),IF(AND(I51=R51,K51=T51),Setup!$D$10,IF((I51-K51)=(R51-T51),Setup!$D$11,IF(AND((I51&gt;K51),(R51&gt;T51)),Setup!$D$12,IF(AND((K51&gt;I51),(T51&gt;R51)),Setup!$D$12,0)))),"")</f>
        <v/>
      </c>
      <c r="AE51" s="183"/>
      <c r="CP51" s="168"/>
      <c r="CQ51" s="168"/>
      <c r="CR51" s="187"/>
      <c r="CS51" s="168"/>
    </row>
    <row r="52" spans="2:97" s="166" customFormat="1" ht="15" customHeight="1">
      <c r="B52" s="182"/>
      <c r="C52" s="181">
        <f>Tournament!D53</f>
        <v>38</v>
      </c>
      <c r="D52" s="181" t="str">
        <f>Tournament!E53</f>
        <v>C</v>
      </c>
      <c r="E52" s="188">
        <f>Tournament!F53</f>
        <v>41814.708333333336</v>
      </c>
      <c r="F52" s="189">
        <f>Tournament!G53</f>
        <v>41814.708333333336</v>
      </c>
      <c r="G52" s="190" t="str">
        <f>Tournament!H53</f>
        <v>Greece</v>
      </c>
      <c r="H52" s="180"/>
      <c r="I52" s="9"/>
      <c r="J52" s="191" t="s">
        <v>3088</v>
      </c>
      <c r="K52" s="9"/>
      <c r="L52" s="180"/>
      <c r="M52" s="180" t="str">
        <f>Tournament!N53</f>
        <v>Ivory Coast</v>
      </c>
      <c r="N52" s="183"/>
      <c r="P52" s="192" t="str">
        <f t="shared" si="0"/>
        <v>Greece</v>
      </c>
      <c r="Q52" s="193"/>
      <c r="R52" s="194" t="str">
        <f>IF(Tournament!J53&lt;&gt;"",Tournament!J53,"")</f>
        <v/>
      </c>
      <c r="S52" s="194" t="s">
        <v>3088</v>
      </c>
      <c r="T52" s="194" t="str">
        <f>IF(Tournament!L53&lt;&gt;"",Tournament!L53,"")</f>
        <v/>
      </c>
      <c r="U52" s="193"/>
      <c r="V52" s="193" t="str">
        <f t="shared" si="1"/>
        <v>Ivory Coast</v>
      </c>
      <c r="W52" s="194"/>
      <c r="X52" s="194"/>
      <c r="Y52" s="194"/>
      <c r="Z52" s="194"/>
      <c r="AA52" s="194"/>
      <c r="AB52" s="194"/>
      <c r="AC52" s="194"/>
      <c r="AD52" s="195" t="str">
        <f>IF(AND(I52&lt;&gt;"",K52&lt;&gt;"",R52&lt;&gt;"",T52&lt;&gt;""),IF(AND(I52=R52,K52=T52),Setup!$D$10,IF((I52-K52)=(R52-T52),Setup!$D$11,IF(AND((I52&gt;K52),(R52&gt;T52)),Setup!$D$12,IF(AND((K52&gt;I52),(T52&gt;R52)),Setup!$D$12,0)))),"")</f>
        <v/>
      </c>
      <c r="AE52" s="183"/>
      <c r="CP52" s="168"/>
      <c r="CQ52" s="168"/>
      <c r="CR52" s="187"/>
      <c r="CS52" s="168"/>
    </row>
    <row r="53" spans="2:97" s="166" customFormat="1" ht="15" customHeight="1">
      <c r="B53" s="182"/>
      <c r="C53" s="181">
        <f>Tournament!D54</f>
        <v>39</v>
      </c>
      <c r="D53" s="181" t="str">
        <f>Tournament!E54</f>
        <v>D</v>
      </c>
      <c r="E53" s="188">
        <f>Tournament!F54</f>
        <v>41814.541666666664</v>
      </c>
      <c r="F53" s="189">
        <f>Tournament!G54</f>
        <v>41814.541666666664</v>
      </c>
      <c r="G53" s="190" t="str">
        <f>Tournament!H54</f>
        <v>Italy</v>
      </c>
      <c r="H53" s="180"/>
      <c r="I53" s="9"/>
      <c r="J53" s="191" t="s">
        <v>3088</v>
      </c>
      <c r="K53" s="9"/>
      <c r="L53" s="180"/>
      <c r="M53" s="180" t="str">
        <f>Tournament!N54</f>
        <v>Uruguay</v>
      </c>
      <c r="N53" s="183"/>
      <c r="P53" s="192" t="str">
        <f t="shared" si="0"/>
        <v>Italy</v>
      </c>
      <c r="Q53" s="193"/>
      <c r="R53" s="194" t="str">
        <f>IF(Tournament!J54&lt;&gt;"",Tournament!J54,"")</f>
        <v/>
      </c>
      <c r="S53" s="194" t="s">
        <v>3088</v>
      </c>
      <c r="T53" s="194" t="str">
        <f>IF(Tournament!L54&lt;&gt;"",Tournament!L54,"")</f>
        <v/>
      </c>
      <c r="U53" s="193"/>
      <c r="V53" s="193" t="str">
        <f t="shared" si="1"/>
        <v>Uruguay</v>
      </c>
      <c r="W53" s="194"/>
      <c r="X53" s="194"/>
      <c r="Y53" s="194"/>
      <c r="Z53" s="194"/>
      <c r="AA53" s="194"/>
      <c r="AB53" s="194"/>
      <c r="AC53" s="194"/>
      <c r="AD53" s="195" t="str">
        <f>IF(AND(I53&lt;&gt;"",K53&lt;&gt;"",R53&lt;&gt;"",T53&lt;&gt;""),IF(AND(I53=R53,K53=T53),Setup!$D$10,IF((I53-K53)=(R53-T53),Setup!$D$11,IF(AND((I53&gt;K53),(R53&gt;T53)),Setup!$D$12,IF(AND((K53&gt;I53),(T53&gt;R53)),Setup!$D$12,0)))),"")</f>
        <v/>
      </c>
      <c r="AE53" s="183"/>
      <c r="CP53" s="168"/>
      <c r="CQ53" s="168"/>
      <c r="CR53" s="187"/>
      <c r="CS53" s="168"/>
    </row>
    <row r="54" spans="2:97" s="166" customFormat="1" ht="15" customHeight="1">
      <c r="B54" s="182"/>
      <c r="C54" s="181">
        <f>Tournament!D55</f>
        <v>40</v>
      </c>
      <c r="D54" s="181" t="str">
        <f>Tournament!E55</f>
        <v>D</v>
      </c>
      <c r="E54" s="188">
        <f>Tournament!F55</f>
        <v>41814.541666666664</v>
      </c>
      <c r="F54" s="189">
        <f>Tournament!G55</f>
        <v>41814.541666666664</v>
      </c>
      <c r="G54" s="190" t="str">
        <f>Tournament!H55</f>
        <v>Costa Rica</v>
      </c>
      <c r="H54" s="180"/>
      <c r="I54" s="9"/>
      <c r="J54" s="191" t="s">
        <v>3088</v>
      </c>
      <c r="K54" s="9"/>
      <c r="L54" s="180"/>
      <c r="M54" s="180" t="str">
        <f>Tournament!N55</f>
        <v>England</v>
      </c>
      <c r="N54" s="183"/>
      <c r="P54" s="192" t="str">
        <f t="shared" si="0"/>
        <v>Costa Rica</v>
      </c>
      <c r="Q54" s="193"/>
      <c r="R54" s="194" t="str">
        <f>IF(Tournament!J55&lt;&gt;"",Tournament!J55,"")</f>
        <v/>
      </c>
      <c r="S54" s="194" t="s">
        <v>3088</v>
      </c>
      <c r="T54" s="194" t="str">
        <f>IF(Tournament!L55&lt;&gt;"",Tournament!L55,"")</f>
        <v/>
      </c>
      <c r="U54" s="193"/>
      <c r="V54" s="193" t="str">
        <f t="shared" si="1"/>
        <v>England</v>
      </c>
      <c r="W54" s="194"/>
      <c r="X54" s="194"/>
      <c r="Y54" s="194"/>
      <c r="Z54" s="194"/>
      <c r="AA54" s="194"/>
      <c r="AB54" s="194"/>
      <c r="AC54" s="194"/>
      <c r="AD54" s="195" t="str">
        <f>IF(AND(I54&lt;&gt;"",K54&lt;&gt;"",R54&lt;&gt;"",T54&lt;&gt;""),IF(AND(I54=R54,K54=T54),Setup!$D$10,IF((I54-K54)=(R54-T54),Setup!$D$11,IF(AND((I54&gt;K54),(R54&gt;T54)),Setup!$D$12,IF(AND((K54&gt;I54),(T54&gt;R54)),Setup!$D$12,0)))),"")</f>
        <v/>
      </c>
      <c r="AE54" s="183"/>
      <c r="CP54" s="168"/>
      <c r="CQ54" s="168"/>
      <c r="CR54" s="187"/>
      <c r="CS54" s="168"/>
    </row>
    <row r="55" spans="2:97" s="166" customFormat="1" ht="15" customHeight="1">
      <c r="B55" s="182"/>
      <c r="C55" s="181">
        <f>Tournament!D56</f>
        <v>41</v>
      </c>
      <c r="D55" s="181" t="str">
        <f>Tournament!E56</f>
        <v>E</v>
      </c>
      <c r="E55" s="188">
        <f>Tournament!F56</f>
        <v>41815.708333333336</v>
      </c>
      <c r="F55" s="189">
        <f>Tournament!G56</f>
        <v>41815.708333333336</v>
      </c>
      <c r="G55" s="190" t="str">
        <f>Tournament!H56</f>
        <v>Honduras</v>
      </c>
      <c r="H55" s="180"/>
      <c r="I55" s="9"/>
      <c r="J55" s="191" t="s">
        <v>3088</v>
      </c>
      <c r="K55" s="9"/>
      <c r="L55" s="180"/>
      <c r="M55" s="180" t="str">
        <f>Tournament!N56</f>
        <v>Switzerland</v>
      </c>
      <c r="N55" s="183"/>
      <c r="P55" s="192" t="str">
        <f t="shared" si="0"/>
        <v>Honduras</v>
      </c>
      <c r="Q55" s="193"/>
      <c r="R55" s="194" t="str">
        <f>IF(Tournament!J56&lt;&gt;"",Tournament!J56,"")</f>
        <v/>
      </c>
      <c r="S55" s="194" t="s">
        <v>3088</v>
      </c>
      <c r="T55" s="194" t="str">
        <f>IF(Tournament!L56&lt;&gt;"",Tournament!L56,"")</f>
        <v/>
      </c>
      <c r="U55" s="193"/>
      <c r="V55" s="193" t="str">
        <f t="shared" si="1"/>
        <v>Switzerland</v>
      </c>
      <c r="W55" s="194"/>
      <c r="X55" s="194"/>
      <c r="Y55" s="194"/>
      <c r="Z55" s="194"/>
      <c r="AA55" s="194"/>
      <c r="AB55" s="194"/>
      <c r="AC55" s="194"/>
      <c r="AD55" s="195" t="str">
        <f>IF(AND(I55&lt;&gt;"",K55&lt;&gt;"",R55&lt;&gt;"",T55&lt;&gt;""),IF(AND(I55=R55,K55=T55),Setup!$D$10,IF((I55-K55)=(R55-T55),Setup!$D$11,IF(AND((I55&gt;K55),(R55&gt;T55)),Setup!$D$12,IF(AND((K55&gt;I55),(T55&gt;R55)),Setup!$D$12,0)))),"")</f>
        <v/>
      </c>
      <c r="AE55" s="183"/>
      <c r="CP55" s="168"/>
      <c r="CQ55" s="168"/>
      <c r="CR55" s="187"/>
      <c r="CS55" s="168"/>
    </row>
    <row r="56" spans="2:97" s="166" customFormat="1" ht="15" customHeight="1">
      <c r="B56" s="182"/>
      <c r="C56" s="181">
        <f>Tournament!D57</f>
        <v>42</v>
      </c>
      <c r="D56" s="181" t="str">
        <f>Tournament!E57</f>
        <v>E</v>
      </c>
      <c r="E56" s="188">
        <f>Tournament!F57</f>
        <v>41815.708333333336</v>
      </c>
      <c r="F56" s="189">
        <f>Tournament!G57</f>
        <v>41815.708333333336</v>
      </c>
      <c r="G56" s="190" t="str">
        <f>Tournament!H57</f>
        <v>Ecuador</v>
      </c>
      <c r="H56" s="180"/>
      <c r="I56" s="9"/>
      <c r="J56" s="191" t="s">
        <v>3088</v>
      </c>
      <c r="K56" s="9"/>
      <c r="L56" s="180"/>
      <c r="M56" s="180" t="str">
        <f>Tournament!N57</f>
        <v>France</v>
      </c>
      <c r="N56" s="183"/>
      <c r="P56" s="192" t="str">
        <f t="shared" si="0"/>
        <v>Ecuador</v>
      </c>
      <c r="Q56" s="193"/>
      <c r="R56" s="194" t="str">
        <f>IF(Tournament!J57&lt;&gt;"",Tournament!J57,"")</f>
        <v/>
      </c>
      <c r="S56" s="194" t="s">
        <v>3088</v>
      </c>
      <c r="T56" s="194" t="str">
        <f>IF(Tournament!L57&lt;&gt;"",Tournament!L57,"")</f>
        <v/>
      </c>
      <c r="U56" s="193"/>
      <c r="V56" s="193" t="str">
        <f t="shared" si="1"/>
        <v>France</v>
      </c>
      <c r="W56" s="194"/>
      <c r="X56" s="194"/>
      <c r="Y56" s="194"/>
      <c r="Z56" s="194"/>
      <c r="AA56" s="194"/>
      <c r="AB56" s="194"/>
      <c r="AC56" s="194"/>
      <c r="AD56" s="195" t="str">
        <f>IF(AND(I56&lt;&gt;"",K56&lt;&gt;"",R56&lt;&gt;"",T56&lt;&gt;""),IF(AND(I56=R56,K56=T56),Setup!$D$10,IF((I56-K56)=(R56-T56),Setup!$D$11,IF(AND((I56&gt;K56),(R56&gt;T56)),Setup!$D$12,IF(AND((K56&gt;I56),(T56&gt;R56)),Setup!$D$12,0)))),"")</f>
        <v/>
      </c>
      <c r="AE56" s="183"/>
      <c r="CP56" s="168"/>
      <c r="CQ56" s="168"/>
      <c r="CR56" s="187"/>
      <c r="CS56" s="168"/>
    </row>
    <row r="57" spans="2:97" s="166" customFormat="1" ht="15" customHeight="1">
      <c r="B57" s="182"/>
      <c r="C57" s="181">
        <f>Tournament!D58</f>
        <v>43</v>
      </c>
      <c r="D57" s="181" t="str">
        <f>Tournament!E58</f>
        <v>F</v>
      </c>
      <c r="E57" s="188">
        <f>Tournament!F58</f>
        <v>41815.541666666664</v>
      </c>
      <c r="F57" s="189">
        <f>Tournament!G58</f>
        <v>41815.541666666664</v>
      </c>
      <c r="G57" s="190" t="str">
        <f>Tournament!H58</f>
        <v>Nigeria</v>
      </c>
      <c r="H57" s="180"/>
      <c r="I57" s="9"/>
      <c r="J57" s="191" t="s">
        <v>3088</v>
      </c>
      <c r="K57" s="9"/>
      <c r="L57" s="180"/>
      <c r="M57" s="180" t="str">
        <f>Tournament!N58</f>
        <v>Argentina</v>
      </c>
      <c r="N57" s="183"/>
      <c r="P57" s="192" t="str">
        <f t="shared" si="0"/>
        <v>Nigeria</v>
      </c>
      <c r="Q57" s="193"/>
      <c r="R57" s="194" t="str">
        <f>IF(Tournament!J58&lt;&gt;"",Tournament!J58,"")</f>
        <v/>
      </c>
      <c r="S57" s="194" t="s">
        <v>3088</v>
      </c>
      <c r="T57" s="194" t="str">
        <f>IF(Tournament!L58&lt;&gt;"",Tournament!L58,"")</f>
        <v/>
      </c>
      <c r="U57" s="193"/>
      <c r="V57" s="193" t="str">
        <f t="shared" si="1"/>
        <v>Argentina</v>
      </c>
      <c r="W57" s="194"/>
      <c r="X57" s="194"/>
      <c r="Y57" s="194"/>
      <c r="Z57" s="194"/>
      <c r="AA57" s="194"/>
      <c r="AB57" s="194"/>
      <c r="AC57" s="194"/>
      <c r="AD57" s="195" t="str">
        <f>IF(AND(I57&lt;&gt;"",K57&lt;&gt;"",R57&lt;&gt;"",T57&lt;&gt;""),IF(AND(I57=R57,K57=T57),Setup!$D$10,IF((I57-K57)=(R57-T57),Setup!$D$11,IF(AND((I57&gt;K57),(R57&gt;T57)),Setup!$D$12,IF(AND((K57&gt;I57),(T57&gt;R57)),Setup!$D$12,0)))),"")</f>
        <v/>
      </c>
      <c r="AE57" s="183"/>
      <c r="CP57" s="168"/>
      <c r="CQ57" s="168"/>
      <c r="CR57" s="187"/>
      <c r="CS57" s="168"/>
    </row>
    <row r="58" spans="2:97" s="166" customFormat="1" ht="15" customHeight="1">
      <c r="B58" s="182"/>
      <c r="C58" s="181">
        <f>Tournament!D59</f>
        <v>44</v>
      </c>
      <c r="D58" s="181" t="str">
        <f>Tournament!E59</f>
        <v>F</v>
      </c>
      <c r="E58" s="188">
        <f>Tournament!F59</f>
        <v>41815.541666666664</v>
      </c>
      <c r="F58" s="189">
        <f>Tournament!G59</f>
        <v>41815.541666666664</v>
      </c>
      <c r="G58" s="190" t="str">
        <f>Tournament!H59</f>
        <v>Bosnia-Herzegovina</v>
      </c>
      <c r="H58" s="180"/>
      <c r="I58" s="9"/>
      <c r="J58" s="191" t="s">
        <v>3088</v>
      </c>
      <c r="K58" s="9"/>
      <c r="L58" s="180"/>
      <c r="M58" s="180" t="str">
        <f>Tournament!N59</f>
        <v>Iran</v>
      </c>
      <c r="N58" s="183"/>
      <c r="P58" s="192" t="str">
        <f t="shared" si="0"/>
        <v>Bosnia-Herzegovina</v>
      </c>
      <c r="Q58" s="193"/>
      <c r="R58" s="194" t="str">
        <f>IF(Tournament!J59&lt;&gt;"",Tournament!J59,"")</f>
        <v/>
      </c>
      <c r="S58" s="194" t="s">
        <v>3088</v>
      </c>
      <c r="T58" s="194" t="str">
        <f>IF(Tournament!L59&lt;&gt;"",Tournament!L59,"")</f>
        <v/>
      </c>
      <c r="U58" s="193"/>
      <c r="V58" s="193" t="str">
        <f t="shared" si="1"/>
        <v>Iran</v>
      </c>
      <c r="W58" s="194"/>
      <c r="X58" s="194"/>
      <c r="Y58" s="194"/>
      <c r="Z58" s="194"/>
      <c r="AA58" s="194"/>
      <c r="AB58" s="194"/>
      <c r="AC58" s="194"/>
      <c r="AD58" s="195" t="str">
        <f>IF(AND(I58&lt;&gt;"",K58&lt;&gt;"",R58&lt;&gt;"",T58&lt;&gt;""),IF(AND(I58=R58,K58=T58),Setup!$D$10,IF((I58-K58)=(R58-T58),Setup!$D$11,IF(AND((I58&gt;K58),(R58&gt;T58)),Setup!$D$12,IF(AND((K58&gt;I58),(T58&gt;R58)),Setup!$D$12,0)))),"")</f>
        <v/>
      </c>
      <c r="AE58" s="183"/>
      <c r="CP58" s="168"/>
      <c r="CQ58" s="168"/>
      <c r="CR58" s="187"/>
      <c r="CS58" s="168"/>
    </row>
    <row r="59" spans="2:97" s="166" customFormat="1" ht="15" customHeight="1">
      <c r="B59" s="182"/>
      <c r="C59" s="181">
        <f>Tournament!D60</f>
        <v>45</v>
      </c>
      <c r="D59" s="181" t="str">
        <f>Tournament!E60</f>
        <v>G</v>
      </c>
      <c r="E59" s="188">
        <f>Tournament!F60</f>
        <v>41816.541666666664</v>
      </c>
      <c r="F59" s="189">
        <f>Tournament!G60</f>
        <v>41816.541666666664</v>
      </c>
      <c r="G59" s="190" t="str">
        <f>Tournament!H60</f>
        <v>USA</v>
      </c>
      <c r="H59" s="180"/>
      <c r="I59" s="9"/>
      <c r="J59" s="191" t="s">
        <v>3088</v>
      </c>
      <c r="K59" s="9"/>
      <c r="L59" s="180"/>
      <c r="M59" s="180" t="str">
        <f>Tournament!N60</f>
        <v>Germany</v>
      </c>
      <c r="N59" s="183"/>
      <c r="P59" s="192" t="str">
        <f t="shared" si="0"/>
        <v>USA</v>
      </c>
      <c r="Q59" s="193"/>
      <c r="R59" s="194" t="str">
        <f>IF(Tournament!J60&lt;&gt;"",Tournament!J60,"")</f>
        <v/>
      </c>
      <c r="S59" s="194" t="s">
        <v>3088</v>
      </c>
      <c r="T59" s="194" t="str">
        <f>IF(Tournament!L60&lt;&gt;"",Tournament!L60,"")</f>
        <v/>
      </c>
      <c r="U59" s="193"/>
      <c r="V59" s="193" t="str">
        <f t="shared" si="1"/>
        <v>Germany</v>
      </c>
      <c r="W59" s="194"/>
      <c r="X59" s="194"/>
      <c r="Y59" s="194"/>
      <c r="Z59" s="194"/>
      <c r="AA59" s="194"/>
      <c r="AB59" s="194"/>
      <c r="AC59" s="194"/>
      <c r="AD59" s="195" t="str">
        <f>IF(AND(I59&lt;&gt;"",K59&lt;&gt;"",R59&lt;&gt;"",T59&lt;&gt;""),IF(AND(I59=R59,K59=T59),Setup!$D$10,IF((I59-K59)=(R59-T59),Setup!$D$11,IF(AND((I59&gt;K59),(R59&gt;T59)),Setup!$D$12,IF(AND((K59&gt;I59),(T59&gt;R59)),Setup!$D$12,0)))),"")</f>
        <v/>
      </c>
      <c r="AE59" s="183"/>
      <c r="CP59" s="168"/>
      <c r="CQ59" s="168"/>
      <c r="CR59" s="187"/>
      <c r="CS59" s="168"/>
    </row>
    <row r="60" spans="2:97" s="166" customFormat="1" ht="15" customHeight="1">
      <c r="B60" s="182"/>
      <c r="C60" s="181">
        <f>Tournament!D61</f>
        <v>46</v>
      </c>
      <c r="D60" s="181" t="str">
        <f>Tournament!E61</f>
        <v>G</v>
      </c>
      <c r="E60" s="188">
        <f>Tournament!F61</f>
        <v>41816.541666666664</v>
      </c>
      <c r="F60" s="189">
        <f>Tournament!G61</f>
        <v>41816.541666666664</v>
      </c>
      <c r="G60" s="190" t="str">
        <f>Tournament!H61</f>
        <v>Portugal</v>
      </c>
      <c r="H60" s="180"/>
      <c r="I60" s="9"/>
      <c r="J60" s="191" t="s">
        <v>3088</v>
      </c>
      <c r="K60" s="9"/>
      <c r="L60" s="180"/>
      <c r="M60" s="180" t="str">
        <f>Tournament!N61</f>
        <v>Ghana</v>
      </c>
      <c r="N60" s="183"/>
      <c r="P60" s="192" t="str">
        <f t="shared" si="0"/>
        <v>Portugal</v>
      </c>
      <c r="Q60" s="193"/>
      <c r="R60" s="194" t="str">
        <f>IF(Tournament!J61&lt;&gt;"",Tournament!J61,"")</f>
        <v/>
      </c>
      <c r="S60" s="194" t="s">
        <v>3088</v>
      </c>
      <c r="T60" s="194" t="str">
        <f>IF(Tournament!L61&lt;&gt;"",Tournament!L61,"")</f>
        <v/>
      </c>
      <c r="U60" s="193"/>
      <c r="V60" s="193" t="str">
        <f t="shared" si="1"/>
        <v>Ghana</v>
      </c>
      <c r="W60" s="194"/>
      <c r="X60" s="194"/>
      <c r="Y60" s="194"/>
      <c r="Z60" s="194"/>
      <c r="AA60" s="194"/>
      <c r="AB60" s="194"/>
      <c r="AC60" s="194"/>
      <c r="AD60" s="195" t="str">
        <f>IF(AND(I60&lt;&gt;"",K60&lt;&gt;"",R60&lt;&gt;"",T60&lt;&gt;""),IF(AND(I60=R60,K60=T60),Setup!$D$10,IF((I60-K60)=(R60-T60),Setup!$D$11,IF(AND((I60&gt;K60),(R60&gt;T60)),Setup!$D$12,IF(AND((K60&gt;I60),(T60&gt;R60)),Setup!$D$12,0)))),"")</f>
        <v/>
      </c>
      <c r="AE60" s="183"/>
      <c r="CN60" s="168"/>
      <c r="CO60" s="168"/>
      <c r="CP60" s="187"/>
      <c r="CQ60" s="168"/>
    </row>
    <row r="61" spans="2:97" s="166" customFormat="1" ht="15" customHeight="1">
      <c r="B61" s="182"/>
      <c r="C61" s="181">
        <f>Tournament!D62</f>
        <v>47</v>
      </c>
      <c r="D61" s="181" t="str">
        <f>Tournament!E62</f>
        <v>H</v>
      </c>
      <c r="E61" s="188">
        <f>Tournament!F62</f>
        <v>41816.708333333336</v>
      </c>
      <c r="F61" s="189">
        <f>Tournament!G62</f>
        <v>41816.708333333336</v>
      </c>
      <c r="G61" s="190" t="str">
        <f>Tournament!H62</f>
        <v>South Korea</v>
      </c>
      <c r="H61" s="180"/>
      <c r="I61" s="9"/>
      <c r="J61" s="191" t="s">
        <v>3088</v>
      </c>
      <c r="K61" s="9"/>
      <c r="L61" s="180"/>
      <c r="M61" s="180" t="str">
        <f>Tournament!N62</f>
        <v>Belgium</v>
      </c>
      <c r="N61" s="183"/>
      <c r="P61" s="192" t="str">
        <f t="shared" si="0"/>
        <v>South Korea</v>
      </c>
      <c r="Q61" s="193"/>
      <c r="R61" s="194" t="str">
        <f>IF(Tournament!J62&lt;&gt;"",Tournament!J62,"")</f>
        <v/>
      </c>
      <c r="S61" s="194" t="s">
        <v>3088</v>
      </c>
      <c r="T61" s="194" t="str">
        <f>IF(Tournament!L62&lt;&gt;"",Tournament!L62,"")</f>
        <v/>
      </c>
      <c r="U61" s="193"/>
      <c r="V61" s="193" t="str">
        <f t="shared" si="1"/>
        <v>Belgium</v>
      </c>
      <c r="W61" s="194"/>
      <c r="X61" s="194"/>
      <c r="Y61" s="194"/>
      <c r="Z61" s="194"/>
      <c r="AA61" s="194"/>
      <c r="AB61" s="194"/>
      <c r="AC61" s="194"/>
      <c r="AD61" s="195" t="str">
        <f>IF(AND(I61&lt;&gt;"",K61&lt;&gt;"",R61&lt;&gt;"",T61&lt;&gt;""),IF(AND(I61=R61,K61=T61),Setup!$D$10,IF((I61-K61)=(R61-T61),Setup!$D$11,IF(AND((I61&gt;K61),(R61&gt;T61)),Setup!$D$12,IF(AND((K61&gt;I61),(T61&gt;R61)),Setup!$D$12,0)))),"")</f>
        <v/>
      </c>
      <c r="AE61" s="183"/>
      <c r="CM61" s="168"/>
      <c r="CN61" s="168"/>
      <c r="CO61" s="187"/>
      <c r="CP61" s="168"/>
    </row>
    <row r="62" spans="2:97" s="166" customFormat="1" ht="15" customHeight="1">
      <c r="B62" s="182"/>
      <c r="C62" s="181">
        <f>Tournament!D63</f>
        <v>48</v>
      </c>
      <c r="D62" s="181" t="str">
        <f>Tournament!E63</f>
        <v>H</v>
      </c>
      <c r="E62" s="188">
        <f>Tournament!F63</f>
        <v>41816.708333333336</v>
      </c>
      <c r="F62" s="189">
        <f>Tournament!G63</f>
        <v>41816.708333333336</v>
      </c>
      <c r="G62" s="190" t="str">
        <f>Tournament!H63</f>
        <v>Algeria</v>
      </c>
      <c r="H62" s="180"/>
      <c r="I62" s="9"/>
      <c r="J62" s="191" t="s">
        <v>3088</v>
      </c>
      <c r="K62" s="9"/>
      <c r="L62" s="180"/>
      <c r="M62" s="180" t="str">
        <f>Tournament!N63</f>
        <v>Russia</v>
      </c>
      <c r="N62" s="183"/>
      <c r="P62" s="192" t="str">
        <f t="shared" si="0"/>
        <v>Algeria</v>
      </c>
      <c r="Q62" s="193"/>
      <c r="R62" s="194" t="str">
        <f>IF(Tournament!J63&lt;&gt;"",Tournament!J63,"")</f>
        <v/>
      </c>
      <c r="S62" s="194" t="s">
        <v>3088</v>
      </c>
      <c r="T62" s="194" t="str">
        <f>IF(Tournament!L63&lt;&gt;"",Tournament!L63,"")</f>
        <v/>
      </c>
      <c r="U62" s="193"/>
      <c r="V62" s="193" t="str">
        <f t="shared" si="1"/>
        <v>Russia</v>
      </c>
      <c r="AD62" s="195" t="str">
        <f>IF(AND(I62&lt;&gt;"",K62&lt;&gt;"",R62&lt;&gt;"",T62&lt;&gt;""),IF(AND(I62=R62,K62=T62),Setup!$D$10,IF((I62-K62)=(R62-T62),Setup!$D$11,IF(AND((I62&gt;K62),(R62&gt;T62)),Setup!$D$12,IF(AND((K62&gt;I62),(T62&gt;R62)),Setup!$D$12,0)))),"")</f>
        <v/>
      </c>
      <c r="AE62" s="183"/>
      <c r="CM62" s="168"/>
      <c r="CN62" s="168"/>
      <c r="CO62" s="187"/>
      <c r="CP62" s="168"/>
    </row>
    <row r="63" spans="2:97" s="166" customFormat="1" ht="15" customHeight="1">
      <c r="B63" s="182"/>
      <c r="C63" s="181"/>
      <c r="D63" s="181"/>
      <c r="E63" s="188"/>
      <c r="F63" s="189"/>
      <c r="G63" s="190"/>
      <c r="H63" s="180"/>
      <c r="I63" s="191"/>
      <c r="J63" s="191"/>
      <c r="K63" s="191"/>
      <c r="L63" s="180"/>
      <c r="M63" s="180"/>
      <c r="N63" s="183"/>
      <c r="P63" s="192"/>
      <c r="Q63" s="193"/>
      <c r="R63" s="194"/>
      <c r="S63" s="194"/>
      <c r="T63" s="194"/>
      <c r="U63" s="193"/>
      <c r="V63" s="193"/>
      <c r="AD63" s="181"/>
      <c r="AE63" s="183"/>
      <c r="CM63" s="168"/>
      <c r="CN63" s="168"/>
      <c r="CO63" s="187"/>
      <c r="CP63" s="168"/>
    </row>
    <row r="64" spans="2:97" s="166" customFormat="1" ht="15" customHeight="1">
      <c r="B64" s="300" t="s">
        <v>3544</v>
      </c>
      <c r="C64" s="301"/>
      <c r="D64" s="301"/>
      <c r="E64" s="301"/>
      <c r="F64" s="301"/>
      <c r="G64" s="301"/>
      <c r="H64" s="301"/>
      <c r="I64" s="301"/>
      <c r="J64" s="301"/>
      <c r="K64" s="301"/>
      <c r="L64" s="301"/>
      <c r="M64" s="301"/>
      <c r="N64" s="302"/>
      <c r="P64" s="303" t="str">
        <f>B64</f>
        <v>Knock Out Stages</v>
      </c>
      <c r="Q64" s="304"/>
      <c r="R64" s="304"/>
      <c r="S64" s="304"/>
      <c r="T64" s="304"/>
      <c r="U64" s="304"/>
      <c r="V64" s="304"/>
      <c r="W64" s="304"/>
      <c r="X64" s="304"/>
      <c r="Y64" s="304"/>
      <c r="Z64" s="304"/>
      <c r="AA64" s="304"/>
      <c r="AB64" s="304"/>
      <c r="AC64" s="304"/>
      <c r="AD64" s="304"/>
      <c r="AE64" s="305"/>
      <c r="CM64" s="168"/>
      <c r="CN64" s="168"/>
      <c r="CO64" s="187"/>
      <c r="CP64" s="168"/>
    </row>
    <row r="65" spans="2:94" s="166" customFormat="1" ht="15" customHeight="1">
      <c r="B65" s="182"/>
      <c r="C65" s="181"/>
      <c r="D65" s="181"/>
      <c r="E65" s="188"/>
      <c r="F65" s="189"/>
      <c r="G65" s="190"/>
      <c r="H65" s="180"/>
      <c r="I65" s="191"/>
      <c r="J65" s="191"/>
      <c r="K65" s="191"/>
      <c r="L65" s="180"/>
      <c r="M65" s="180"/>
      <c r="N65" s="183"/>
      <c r="P65" s="192"/>
      <c r="Q65" s="193"/>
      <c r="R65" s="299" t="s">
        <v>3554</v>
      </c>
      <c r="S65" s="299"/>
      <c r="T65" s="299"/>
      <c r="U65" s="193"/>
      <c r="V65" s="193"/>
      <c r="W65" s="299" t="s">
        <v>3546</v>
      </c>
      <c r="X65" s="299"/>
      <c r="Y65" s="299"/>
      <c r="Z65" s="197"/>
      <c r="AA65" s="299" t="s">
        <v>3547</v>
      </c>
      <c r="AB65" s="299"/>
      <c r="AC65" s="299"/>
      <c r="AD65" s="181"/>
      <c r="AE65" s="183"/>
      <c r="CM65" s="168"/>
      <c r="CN65" s="168"/>
      <c r="CO65" s="187"/>
      <c r="CP65" s="168"/>
    </row>
    <row r="66" spans="2:94" s="166" customFormat="1" ht="15" customHeight="1">
      <c r="B66" s="182"/>
      <c r="C66" s="181">
        <v>49</v>
      </c>
      <c r="D66" s="181" t="s">
        <v>3548</v>
      </c>
      <c r="E66" s="188">
        <f>Tournament!F69</f>
        <v>41818.541666666664</v>
      </c>
      <c r="F66" s="189">
        <f>Tournament!G69</f>
        <v>41818.541666666664</v>
      </c>
      <c r="G66" s="190" t="str">
        <f>Tournament!H69</f>
        <v>Group A Winner</v>
      </c>
      <c r="H66" s="180"/>
      <c r="I66" s="9"/>
      <c r="J66" s="191" t="s">
        <v>3088</v>
      </c>
      <c r="K66" s="9"/>
      <c r="L66" s="180"/>
      <c r="M66" s="198" t="str">
        <f>Tournament!N69</f>
        <v>Group B Runner Up</v>
      </c>
      <c r="N66" s="183"/>
      <c r="P66" s="192" t="str">
        <f t="shared" ref="P66:P81" si="2">G66</f>
        <v>Group A Winner</v>
      </c>
      <c r="Q66" s="193"/>
      <c r="R66" s="194" t="str">
        <f>IF($Z$67=0,IF($Z$66=0,IF(Tournament!J70&lt;&gt;"",Tournament!J70,""),IF(Tournament!J70&lt;&gt;"",Tournament!J70+Tournament!J71,"")),IF(Tournament!J69&lt;&gt;"",Tournament!J69,""))</f>
        <v/>
      </c>
      <c r="S66" s="194" t="s">
        <v>3088</v>
      </c>
      <c r="T66" s="194" t="str">
        <f>IF($Z$67=0,IF($Z$66=0,IF(Tournament!L70&lt;&gt;"",Tournament!L70,""),IF(Tournament!L70&lt;&gt;"",Tournament!L70+Tournament!L71,"")),IF(Tournament!L69&lt;&gt;"",Tournament!L69,""))</f>
        <v/>
      </c>
      <c r="U66" s="193"/>
      <c r="V66" s="193" t="str">
        <f t="shared" ref="V66:V81" si="3">M66</f>
        <v>Group B Runner Up</v>
      </c>
      <c r="W66" s="191" t="str">
        <f>IF(Tournament!J71&lt;&gt;"",Tournament!J71,"")</f>
        <v/>
      </c>
      <c r="X66" s="199" t="s">
        <v>3088</v>
      </c>
      <c r="Y66" s="191" t="str">
        <f>IF(Tournament!L71&lt;&gt;"",Tournament!L71,"")</f>
        <v/>
      </c>
      <c r="Z66" s="199">
        <f>Setup!E16</f>
        <v>1</v>
      </c>
      <c r="AA66" s="191" t="str">
        <f>IF(Tournament!J72&lt;&gt;"",Tournament!J72,"")</f>
        <v/>
      </c>
      <c r="AB66" s="194" t="s">
        <v>3088</v>
      </c>
      <c r="AC66" s="191" t="str">
        <f>IF(Tournament!L72&lt;&gt;"",Tournament!L72,"")</f>
        <v/>
      </c>
      <c r="AD66" s="195" t="str">
        <f>IF(AND(I66&lt;&gt;"",K66&lt;&gt;"",R66&lt;&gt;"",T66&lt;&gt;""),IF(AND(I66=R66,K66=T66),Setup!$D$20,IF((I66-K66)=(R66-T66),Setup!$D$21,IF(AND((I66&gt;K66),(R66&gt;T66)),Setup!$D$22,IF(AND((K66&gt;I66),(T66&gt;R66)),Setup!$D$22,0)))),"")</f>
        <v/>
      </c>
      <c r="AE66" s="183"/>
      <c r="CM66" s="168"/>
      <c r="CN66" s="168"/>
      <c r="CO66" s="187"/>
      <c r="CP66" s="168"/>
    </row>
    <row r="67" spans="2:94" s="166" customFormat="1" ht="15" customHeight="1">
      <c r="B67" s="182"/>
      <c r="C67" s="181">
        <v>50</v>
      </c>
      <c r="D67" s="181" t="str">
        <f>D66</f>
        <v>R16</v>
      </c>
      <c r="E67" s="188">
        <f>Tournament!F75</f>
        <v>41818.708333333336</v>
      </c>
      <c r="F67" s="189">
        <f>Tournament!G75</f>
        <v>41818.708333333336</v>
      </c>
      <c r="G67" s="190" t="str">
        <f>Tournament!H75</f>
        <v>Group C Winner</v>
      </c>
      <c r="H67" s="180"/>
      <c r="I67" s="9"/>
      <c r="J67" s="191" t="s">
        <v>3088</v>
      </c>
      <c r="K67" s="9"/>
      <c r="L67" s="180"/>
      <c r="M67" s="198" t="str">
        <f>Tournament!N75</f>
        <v>Group D Runner Up</v>
      </c>
      <c r="N67" s="183"/>
      <c r="P67" s="192" t="str">
        <f t="shared" si="2"/>
        <v>Group C Winner</v>
      </c>
      <c r="Q67" s="193"/>
      <c r="R67" s="194" t="str">
        <f>IF($Z$67=0,IF($Z$66=0,IF(Tournament!J76&lt;&gt;"",Tournament!J76,""),IF(Tournament!J76&lt;&gt;"",Tournament!J76+Tournament!J77,"")),IF(Tournament!J75&lt;&gt;"",Tournament!J75,""))</f>
        <v/>
      </c>
      <c r="S67" s="194" t="s">
        <v>3088</v>
      </c>
      <c r="T67" s="194" t="str">
        <f>IF($Z$67=0,IF($Z$66=0,IF(Tournament!L76&lt;&gt;"",Tournament!L76,""),IF(Tournament!L76&lt;&gt;"",Tournament!L76+Tournament!L77,"")),IF(Tournament!L75&lt;&gt;"",Tournament!L75,""))</f>
        <v/>
      </c>
      <c r="U67" s="193"/>
      <c r="V67" s="193" t="str">
        <f t="shared" si="3"/>
        <v>Group D Runner Up</v>
      </c>
      <c r="W67" s="191" t="str">
        <f>IF(Tournament!J77&lt;&gt;"",Tournament!J77,"")</f>
        <v/>
      </c>
      <c r="X67" s="199" t="s">
        <v>3088</v>
      </c>
      <c r="Y67" s="191" t="str">
        <f>IF(Tournament!L77&lt;&gt;"",Tournament!L77,"")</f>
        <v/>
      </c>
      <c r="Z67" s="199">
        <f>Setup!E17</f>
        <v>0</v>
      </c>
      <c r="AA67" s="191" t="str">
        <f>IF(Tournament!J78&lt;&gt;"",Tournament!J78,"")</f>
        <v/>
      </c>
      <c r="AB67" s="194" t="s">
        <v>3088</v>
      </c>
      <c r="AC67" s="191" t="str">
        <f>IF(Tournament!L78&lt;&gt;"",Tournament!L78,"")</f>
        <v/>
      </c>
      <c r="AD67" s="195" t="str">
        <f>IF(AND(I67&lt;&gt;"",K67&lt;&gt;"",R67&lt;&gt;"",T67&lt;&gt;""),IF(AND(I67=R67,K67=T67),Setup!$D$20,IF((I67-K67)=(R67-T67),Setup!$D$21,IF(AND((I67&gt;K67),(R67&gt;T67)),Setup!$D$22,IF(AND((K67&gt;I67),(T67&gt;R67)),Setup!$D$22,0)))),"")</f>
        <v/>
      </c>
      <c r="AE67" s="183"/>
      <c r="CM67" s="168"/>
      <c r="CN67" s="168"/>
      <c r="CO67" s="187"/>
      <c r="CP67" s="168"/>
    </row>
    <row r="68" spans="2:94" s="166" customFormat="1" ht="15" customHeight="1">
      <c r="B68" s="182"/>
      <c r="C68" s="181">
        <v>52</v>
      </c>
      <c r="D68" s="181" t="str">
        <f t="shared" ref="D68:D73" si="4">D67</f>
        <v>R16</v>
      </c>
      <c r="E68" s="188">
        <f>Tournament!F81</f>
        <v>41819.708333333336</v>
      </c>
      <c r="F68" s="189">
        <f>Tournament!G81</f>
        <v>41819.708333333336</v>
      </c>
      <c r="G68" s="190" t="str">
        <f>Tournament!H81</f>
        <v>Group D Winner</v>
      </c>
      <c r="H68" s="180"/>
      <c r="I68" s="9"/>
      <c r="J68" s="191" t="s">
        <v>3088</v>
      </c>
      <c r="K68" s="9"/>
      <c r="L68" s="180"/>
      <c r="M68" s="198" t="str">
        <f>Tournament!N81</f>
        <v>Group C Runner Up</v>
      </c>
      <c r="N68" s="183"/>
      <c r="P68" s="192" t="str">
        <f t="shared" si="2"/>
        <v>Group D Winner</v>
      </c>
      <c r="Q68" s="193"/>
      <c r="R68" s="194" t="str">
        <f>IF($Z$67=0,IF($Z$66=0,IF(Tournament!J82&lt;&gt;"",Tournament!J82,""),IF(Tournament!J82&lt;&gt;"",Tournament!J82+Tournament!J83,"")),IF(Tournament!J81&lt;&gt;"",Tournament!J81,""))</f>
        <v/>
      </c>
      <c r="S68" s="194" t="s">
        <v>3088</v>
      </c>
      <c r="T68" s="194" t="str">
        <f>IF($Z$67=0,IF($Z$66=0,IF(Tournament!L82&lt;&gt;"",Tournament!L82,""),IF(Tournament!L82&lt;&gt;"",Tournament!L82+Tournament!L83,"")),IF(Tournament!L81&lt;&gt;"",Tournament!L81,""))</f>
        <v/>
      </c>
      <c r="U68" s="193"/>
      <c r="V68" s="193" t="str">
        <f t="shared" si="3"/>
        <v>Group C Runner Up</v>
      </c>
      <c r="W68" s="191" t="str">
        <f>IF(Tournament!J83&lt;&gt;"",Tournament!J83,"")</f>
        <v/>
      </c>
      <c r="X68" s="199" t="s">
        <v>3088</v>
      </c>
      <c r="Y68" s="191" t="str">
        <f>IF(Tournament!L83&lt;&gt;"",Tournament!L83,"")</f>
        <v/>
      </c>
      <c r="Z68" s="191"/>
      <c r="AA68" s="191" t="str">
        <f>IF(Tournament!J84&lt;&gt;"",Tournament!J84,"")</f>
        <v/>
      </c>
      <c r="AB68" s="194" t="s">
        <v>3088</v>
      </c>
      <c r="AC68" s="191" t="str">
        <f>IF(Tournament!L84&lt;&gt;"",Tournament!L84,"")</f>
        <v/>
      </c>
      <c r="AD68" s="195" t="str">
        <f>IF(AND(I68&lt;&gt;"",K68&lt;&gt;"",R68&lt;&gt;"",T68&lt;&gt;""),IF(AND(I68=R68,K68=T68),Setup!$D$20,IF((I68-K68)=(R68-T68),Setup!$D$21,IF(AND((I68&gt;K68),(R68&gt;T68)),Setup!$D$22,IF(AND((K68&gt;I68),(T68&gt;R68)),Setup!$D$22,0)))),"")</f>
        <v/>
      </c>
      <c r="AE68" s="183"/>
      <c r="CM68" s="168"/>
      <c r="CN68" s="168"/>
      <c r="CO68" s="187"/>
      <c r="CP68" s="168"/>
    </row>
    <row r="69" spans="2:94" s="166" customFormat="1" ht="15" customHeight="1">
      <c r="B69" s="182"/>
      <c r="C69" s="181">
        <v>51</v>
      </c>
      <c r="D69" s="181" t="str">
        <f t="shared" si="4"/>
        <v>R16</v>
      </c>
      <c r="E69" s="188">
        <f>Tournament!F87</f>
        <v>41819.541666666664</v>
      </c>
      <c r="F69" s="189">
        <f>Tournament!G93</f>
        <v>41820.541666666664</v>
      </c>
      <c r="G69" s="190" t="str">
        <f>Tournament!H87</f>
        <v>Group B Winner</v>
      </c>
      <c r="H69" s="180"/>
      <c r="I69" s="9"/>
      <c r="J69" s="191" t="s">
        <v>3088</v>
      </c>
      <c r="K69" s="9"/>
      <c r="L69" s="180"/>
      <c r="M69" s="198" t="str">
        <f>Tournament!N87</f>
        <v>Group A Runner Up</v>
      </c>
      <c r="N69" s="183"/>
      <c r="P69" s="192" t="str">
        <f t="shared" si="2"/>
        <v>Group B Winner</v>
      </c>
      <c r="Q69" s="193"/>
      <c r="R69" s="194" t="str">
        <f>IF($Z$67=0,IF($Z$66=0,IF(Tournament!J88&lt;&gt;"",Tournament!J88,""),IF(Tournament!J88&lt;&gt;"",Tournament!J88+Tournament!J89,"")),IF(Tournament!J87&lt;&gt;"",Tournament!J87,""))</f>
        <v/>
      </c>
      <c r="S69" s="194" t="s">
        <v>3088</v>
      </c>
      <c r="T69" s="194" t="str">
        <f>IF($Z$67=0,IF($Z$66=0,IF(Tournament!L88&lt;&gt;"",Tournament!L88,""),IF(Tournament!L88&lt;&gt;"",Tournament!L88+Tournament!L89,"")),IF(Tournament!L87&lt;&gt;"",Tournament!L87,""))</f>
        <v/>
      </c>
      <c r="U69" s="193"/>
      <c r="V69" s="193" t="str">
        <f t="shared" si="3"/>
        <v>Group A Runner Up</v>
      </c>
      <c r="W69" s="191" t="str">
        <f>IF(Tournament!J89&lt;&gt;"",Tournament!J89,"")</f>
        <v/>
      </c>
      <c r="X69" s="199" t="s">
        <v>3088</v>
      </c>
      <c r="Y69" s="191" t="str">
        <f>IF(Tournament!L89&lt;&gt;"",Tournament!L89,"")</f>
        <v/>
      </c>
      <c r="Z69" s="191"/>
      <c r="AA69" s="191" t="str">
        <f>IF(Tournament!J90&lt;&gt;"",Tournament!J90,"")</f>
        <v/>
      </c>
      <c r="AB69" s="194" t="s">
        <v>3088</v>
      </c>
      <c r="AC69" s="191" t="str">
        <f>IF(Tournament!L90&lt;&gt;"",Tournament!L90,"")</f>
        <v/>
      </c>
      <c r="AD69" s="195" t="str">
        <f>IF(AND(I69&lt;&gt;"",K69&lt;&gt;"",R69&lt;&gt;"",T69&lt;&gt;""),IF(AND(I69=R69,K69=T69),Setup!$D$20,IF((I69-K69)=(R69-T69),Setup!$D$21,IF(AND((I69&gt;K69),(R69&gt;T69)),Setup!$D$22,IF(AND((K69&gt;I69),(T69&gt;R69)),Setup!$D$22,0)))),"")</f>
        <v/>
      </c>
      <c r="AE69" s="183"/>
      <c r="CM69" s="168"/>
      <c r="CN69" s="168"/>
      <c r="CO69" s="187"/>
      <c r="CP69" s="168"/>
    </row>
    <row r="70" spans="2:94" s="166" customFormat="1" ht="15" customHeight="1">
      <c r="B70" s="182"/>
      <c r="C70" s="181">
        <v>53</v>
      </c>
      <c r="D70" s="181" t="str">
        <f t="shared" si="4"/>
        <v>R16</v>
      </c>
      <c r="E70" s="188">
        <f>Tournament!F93</f>
        <v>41820.541666666664</v>
      </c>
      <c r="F70" s="189">
        <f>Tournament!G93</f>
        <v>41820.541666666664</v>
      </c>
      <c r="G70" s="190" t="str">
        <f>Tournament!H93</f>
        <v>Group E Winner</v>
      </c>
      <c r="H70" s="180"/>
      <c r="I70" s="9"/>
      <c r="J70" s="191" t="s">
        <v>3088</v>
      </c>
      <c r="K70" s="9"/>
      <c r="L70" s="180"/>
      <c r="M70" s="198" t="str">
        <f>Tournament!N93</f>
        <v>Group F Runner Up</v>
      </c>
      <c r="N70" s="183"/>
      <c r="P70" s="192" t="str">
        <f t="shared" si="2"/>
        <v>Group E Winner</v>
      </c>
      <c r="Q70" s="193"/>
      <c r="R70" s="194" t="str">
        <f>IF($Z$67=0,IF($Z$66=0,IF(Tournament!J94&lt;&gt;"",Tournament!J94,""),IF(Tournament!J94&lt;&gt;"",Tournament!J94+Tournament!J95,"")),IF(Tournament!J93&lt;&gt;"",Tournament!J93,""))</f>
        <v/>
      </c>
      <c r="S70" s="194" t="s">
        <v>3088</v>
      </c>
      <c r="T70" s="194" t="str">
        <f>IF($Z$67=0,IF($Z$66=0,IF(Tournament!L94&lt;&gt;"",Tournament!L94,""),IF(Tournament!L94&lt;&gt;"",Tournament!L94+Tournament!L95,"")),IF(Tournament!L93&lt;&gt;"",Tournament!L93,""))</f>
        <v/>
      </c>
      <c r="U70" s="193"/>
      <c r="V70" s="193" t="str">
        <f t="shared" si="3"/>
        <v>Group F Runner Up</v>
      </c>
      <c r="W70" s="191" t="str">
        <f>IF(Tournament!J95&lt;&gt;"",Tournament!J95,"")</f>
        <v/>
      </c>
      <c r="X70" s="199" t="s">
        <v>3088</v>
      </c>
      <c r="Y70" s="191" t="str">
        <f>IF(Tournament!L95&lt;&gt;"",Tournament!L95,"")</f>
        <v/>
      </c>
      <c r="Z70" s="191"/>
      <c r="AA70" s="191" t="str">
        <f>IF(Tournament!J96&lt;&gt;"",Tournament!J96,"")</f>
        <v/>
      </c>
      <c r="AB70" s="194" t="s">
        <v>3088</v>
      </c>
      <c r="AC70" s="191" t="str">
        <f>IF(Tournament!L96&lt;&gt;"",Tournament!L96,"")</f>
        <v/>
      </c>
      <c r="AD70" s="195" t="str">
        <f>IF(AND(I70&lt;&gt;"",K70&lt;&gt;"",R70&lt;&gt;"",T70&lt;&gt;""),IF(AND(I70=R70,K70=T70),Setup!$D$20,IF((I70-K70)=(R70-T70),Setup!$D$21,IF(AND((I70&gt;K70),(R70&gt;T70)),Setup!$D$22,IF(AND((K70&gt;I70),(T70&gt;R70)),Setup!$D$22,0)))),"")</f>
        <v/>
      </c>
      <c r="AE70" s="183"/>
      <c r="CM70" s="168"/>
      <c r="CN70" s="168"/>
      <c r="CO70" s="187"/>
      <c r="CP70" s="168"/>
    </row>
    <row r="71" spans="2:94" s="166" customFormat="1" ht="15" customHeight="1">
      <c r="B71" s="182"/>
      <c r="C71" s="181">
        <v>54</v>
      </c>
      <c r="D71" s="181" t="str">
        <f t="shared" si="4"/>
        <v>R16</v>
      </c>
      <c r="E71" s="188">
        <f>Tournament!F99</f>
        <v>41820.708333333336</v>
      </c>
      <c r="F71" s="189">
        <f>Tournament!G99</f>
        <v>41820.708333333336</v>
      </c>
      <c r="G71" s="190" t="str">
        <f>Tournament!H99</f>
        <v>Group G Winner</v>
      </c>
      <c r="H71" s="180"/>
      <c r="I71" s="9"/>
      <c r="J71" s="191" t="s">
        <v>3088</v>
      </c>
      <c r="K71" s="9"/>
      <c r="L71" s="180"/>
      <c r="M71" s="198" t="str">
        <f>Tournament!N99</f>
        <v>Group H Runner Up</v>
      </c>
      <c r="N71" s="183"/>
      <c r="P71" s="192" t="str">
        <f t="shared" si="2"/>
        <v>Group G Winner</v>
      </c>
      <c r="Q71" s="193"/>
      <c r="R71" s="194" t="str">
        <f>IF($Z$67=0,IF($Z$66=0,IF(Tournament!J100&lt;&gt;"",Tournament!J100,""),IF(Tournament!J100&lt;&gt;"",Tournament!J100+Tournament!J101,"")),IF(Tournament!J99&lt;&gt;"",Tournament!J99,""))</f>
        <v/>
      </c>
      <c r="S71" s="194" t="s">
        <v>3088</v>
      </c>
      <c r="T71" s="194" t="str">
        <f>IF($Z$67=0,IF($Z$66=0,IF(Tournament!L100&lt;&gt;"",Tournament!L100,""),IF(Tournament!L100&lt;&gt;"",Tournament!L100+Tournament!L101,"")),IF(Tournament!L99&lt;&gt;"",Tournament!L99,""))</f>
        <v/>
      </c>
      <c r="U71" s="193"/>
      <c r="V71" s="193" t="str">
        <f t="shared" si="3"/>
        <v>Group H Runner Up</v>
      </c>
      <c r="W71" s="191" t="str">
        <f>IF(Tournament!J101&lt;&gt;"",Tournament!J101,"")</f>
        <v/>
      </c>
      <c r="X71" s="199" t="s">
        <v>3088</v>
      </c>
      <c r="Y71" s="191" t="str">
        <f>IF(Tournament!L101&lt;&gt;"",Tournament!L101,"")</f>
        <v/>
      </c>
      <c r="Z71" s="191"/>
      <c r="AA71" s="191" t="str">
        <f>IF(Tournament!J102&lt;&gt;"",Tournament!J102,"")</f>
        <v/>
      </c>
      <c r="AB71" s="194" t="s">
        <v>3088</v>
      </c>
      <c r="AC71" s="191" t="str">
        <f>IF(Tournament!L102&lt;&gt;"",Tournament!L102,"")</f>
        <v/>
      </c>
      <c r="AD71" s="195" t="str">
        <f>IF(AND(I71&lt;&gt;"",K71&lt;&gt;"",R71&lt;&gt;"",T71&lt;&gt;""),IF(AND(I71=R71,K71=T71),Setup!$D$20,IF((I71-K71)=(R71-T71),Setup!$D$21,IF(AND((I71&gt;K71),(R71&gt;T71)),Setup!$D$22,IF(AND((K71&gt;I71),(T71&gt;R71)),Setup!$D$22,0)))),"")</f>
        <v/>
      </c>
      <c r="AE71" s="183"/>
      <c r="CM71" s="168"/>
      <c r="CN71" s="168"/>
      <c r="CO71" s="187"/>
      <c r="CP71" s="168"/>
    </row>
    <row r="72" spans="2:94" s="166" customFormat="1" ht="15" customHeight="1">
      <c r="B72" s="182"/>
      <c r="C72" s="181">
        <v>55</v>
      </c>
      <c r="D72" s="181" t="str">
        <f t="shared" si="4"/>
        <v>R16</v>
      </c>
      <c r="E72" s="188">
        <f>Tournament!F105</f>
        <v>41821.541666666664</v>
      </c>
      <c r="F72" s="189">
        <f>Tournament!G105</f>
        <v>41821.541666666664</v>
      </c>
      <c r="G72" s="190" t="str">
        <f>Tournament!H105</f>
        <v>Group F Winner</v>
      </c>
      <c r="H72" s="180"/>
      <c r="I72" s="9"/>
      <c r="J72" s="191" t="s">
        <v>3088</v>
      </c>
      <c r="K72" s="9"/>
      <c r="L72" s="180"/>
      <c r="M72" s="198" t="str">
        <f>Tournament!N105</f>
        <v>Group E Runner Up</v>
      </c>
      <c r="N72" s="183"/>
      <c r="P72" s="192" t="str">
        <f t="shared" si="2"/>
        <v>Group F Winner</v>
      </c>
      <c r="Q72" s="193"/>
      <c r="R72" s="194" t="str">
        <f>IF($Z$67=0,IF($Z$66=0,IF(Tournament!J106&lt;&gt;"",Tournament!J106,""),IF(Tournament!J106&lt;&gt;"",Tournament!J106+Tournament!J107,"")),IF(Tournament!J105&lt;&gt;"",Tournament!J105,""))</f>
        <v/>
      </c>
      <c r="S72" s="194" t="s">
        <v>3088</v>
      </c>
      <c r="T72" s="194" t="str">
        <f>IF($Z$67=0,IF($Z$66=0,IF(Tournament!L106&lt;&gt;"",Tournament!L106,""),IF(Tournament!L106&lt;&gt;"",Tournament!L106+Tournament!L107,"")),IF(Tournament!L105&lt;&gt;"",Tournament!L105,""))</f>
        <v/>
      </c>
      <c r="U72" s="193"/>
      <c r="V72" s="193" t="str">
        <f t="shared" si="3"/>
        <v>Group E Runner Up</v>
      </c>
      <c r="W72" s="191" t="str">
        <f>IF(Tournament!J107&lt;&gt;"",Tournament!J107,"")</f>
        <v/>
      </c>
      <c r="X72" s="199" t="s">
        <v>3088</v>
      </c>
      <c r="Y72" s="191" t="str">
        <f>IF(Tournament!L107&lt;&gt;"",Tournament!L107,"")</f>
        <v/>
      </c>
      <c r="Z72" s="191"/>
      <c r="AA72" s="191" t="str">
        <f>IF(Tournament!J108&lt;&gt;"",Tournament!J108,"")</f>
        <v/>
      </c>
      <c r="AB72" s="194" t="s">
        <v>3088</v>
      </c>
      <c r="AC72" s="191" t="str">
        <f>IF(Tournament!L108&lt;&gt;"",Tournament!L108,"")</f>
        <v/>
      </c>
      <c r="AD72" s="195" t="str">
        <f>IF(AND(I72&lt;&gt;"",K72&lt;&gt;"",R72&lt;&gt;"",T72&lt;&gt;""),IF(AND(I72=R72,K72=T72),Setup!$D$20,IF((I72-K72)=(R72-T72),Setup!$D$21,IF(AND((I72&gt;K72),(R72&gt;T72)),Setup!$D$22,IF(AND((K72&gt;I72),(T72&gt;R72)),Setup!$D$22,0)))),"")</f>
        <v/>
      </c>
      <c r="AE72" s="183"/>
      <c r="CM72" s="168"/>
      <c r="CN72" s="168"/>
      <c r="CO72" s="187"/>
      <c r="CP72" s="168"/>
    </row>
    <row r="73" spans="2:94" s="166" customFormat="1" ht="15" customHeight="1">
      <c r="B73" s="182"/>
      <c r="C73" s="181">
        <v>56</v>
      </c>
      <c r="D73" s="181" t="str">
        <f t="shared" si="4"/>
        <v>R16</v>
      </c>
      <c r="E73" s="188">
        <f>Tournament!F111</f>
        <v>41821.708333333336</v>
      </c>
      <c r="F73" s="189">
        <f>Tournament!G111</f>
        <v>41821.708333333336</v>
      </c>
      <c r="G73" s="190" t="str">
        <f>Tournament!H111</f>
        <v>Group H Winner</v>
      </c>
      <c r="H73" s="180"/>
      <c r="I73" s="9"/>
      <c r="J73" s="191" t="s">
        <v>3088</v>
      </c>
      <c r="K73" s="9"/>
      <c r="L73" s="180"/>
      <c r="M73" s="198" t="str">
        <f>Tournament!N111</f>
        <v>Group G Runner Up</v>
      </c>
      <c r="N73" s="183"/>
      <c r="P73" s="192" t="str">
        <f t="shared" si="2"/>
        <v>Group H Winner</v>
      </c>
      <c r="Q73" s="193"/>
      <c r="R73" s="194" t="str">
        <f>IF($Z$67=0,IF($Z$66=0,IF(Tournament!J112&lt;&gt;"",Tournament!J112,""),IF(Tournament!J112&lt;&gt;"",Tournament!J112+Tournament!J113,"")),IF(Tournament!J111&lt;&gt;"",Tournament!J111,""))</f>
        <v/>
      </c>
      <c r="S73" s="194" t="s">
        <v>3088</v>
      </c>
      <c r="T73" s="194" t="str">
        <f>IF($Z$67=0,IF($Z$66=0,IF(Tournament!L112&lt;&gt;"",Tournament!L112,""),IF(Tournament!L112&lt;&gt;"",Tournament!L112+Tournament!L113,"")),IF(Tournament!L111&lt;&gt;"",Tournament!L111,""))</f>
        <v/>
      </c>
      <c r="U73" s="193"/>
      <c r="V73" s="193" t="str">
        <f t="shared" si="3"/>
        <v>Group G Runner Up</v>
      </c>
      <c r="W73" s="191" t="str">
        <f>IF(Tournament!J113&lt;&gt;"",Tournament!J113,"")</f>
        <v/>
      </c>
      <c r="X73" s="199" t="s">
        <v>3088</v>
      </c>
      <c r="Y73" s="191" t="str">
        <f>IF(Tournament!L113&lt;&gt;"",Tournament!L113,"")</f>
        <v/>
      </c>
      <c r="Z73" s="191"/>
      <c r="AA73" s="191" t="str">
        <f>IF(Tournament!J114&lt;&gt;"",Tournament!J114,"")</f>
        <v/>
      </c>
      <c r="AB73" s="194" t="s">
        <v>3088</v>
      </c>
      <c r="AC73" s="191" t="str">
        <f>IF(Tournament!L114&lt;&gt;"",Tournament!L114,"")</f>
        <v/>
      </c>
      <c r="AD73" s="195" t="str">
        <f>IF(AND(I73&lt;&gt;"",K73&lt;&gt;"",R73&lt;&gt;"",T73&lt;&gt;""),IF(AND(I73=R73,K73=T73),Setup!$D$20,IF((I73-K73)=(R73-T73),Setup!$D$21,IF(AND((I73&gt;K73),(R73&gt;T73)),Setup!$D$22,IF(AND((K73&gt;I73),(T73&gt;R73)),Setup!$D$22,0)))),"")</f>
        <v/>
      </c>
      <c r="AE73" s="183"/>
      <c r="CM73" s="168"/>
      <c r="CN73" s="168"/>
      <c r="CO73" s="187"/>
      <c r="CP73" s="168"/>
    </row>
    <row r="74" spans="2:94" s="166" customFormat="1" ht="15" customHeight="1">
      <c r="B74" s="182"/>
      <c r="C74" s="181">
        <v>58</v>
      </c>
      <c r="D74" s="181" t="s">
        <v>3549</v>
      </c>
      <c r="E74" s="188">
        <f>Tournament!T69</f>
        <v>41824.541666666664</v>
      </c>
      <c r="F74" s="189">
        <f>Tournament!U69</f>
        <v>41824.541666666664</v>
      </c>
      <c r="G74" s="190" t="str">
        <f>Tournament!Y69</f>
        <v>Match 53 Winner</v>
      </c>
      <c r="H74" s="180"/>
      <c r="I74" s="9"/>
      <c r="J74" s="191" t="s">
        <v>3088</v>
      </c>
      <c r="K74" s="9"/>
      <c r="L74" s="180"/>
      <c r="M74" s="198" t="str">
        <f>Tournament!AE69</f>
        <v>Match 54 Winner</v>
      </c>
      <c r="N74" s="183"/>
      <c r="P74" s="192" t="str">
        <f t="shared" si="2"/>
        <v>Match 53 Winner</v>
      </c>
      <c r="Q74" s="193"/>
      <c r="R74" s="194" t="str">
        <f>IF($Z$67=0,IF($Z$66=0,IF(Tournament!AA70&lt;&gt;"",Tournament!AA70,""),IF(Tournament!AA70&lt;&gt;"",Tournament!AA70+Tournament!AA71,"")),IF(Tournament!AA69&lt;&gt;"",Tournament!AA69,""))</f>
        <v/>
      </c>
      <c r="S74" s="194" t="s">
        <v>3088</v>
      </c>
      <c r="T74" s="194" t="str">
        <f>IF($Z$67=0,IF($Z$66=0,IF(Tournament!AC70&lt;&gt;"",Tournament!AC70,""),IF(Tournament!AC70&lt;&gt;"",Tournament!AC70+Tournament!AC71,"")),IF(Tournament!AC69&lt;&gt;"",Tournament!AC69,""))</f>
        <v/>
      </c>
      <c r="U74" s="193"/>
      <c r="V74" s="193" t="str">
        <f t="shared" si="3"/>
        <v>Match 54 Winner</v>
      </c>
      <c r="W74" s="191" t="str">
        <f>IF(Tournament!AA71&lt;&gt;"",Tournament!AA71,"")</f>
        <v/>
      </c>
      <c r="X74" s="199" t="s">
        <v>3088</v>
      </c>
      <c r="Y74" s="191" t="str">
        <f>IF(Tournament!AC71&lt;&gt;"",Tournament!AC71,"")</f>
        <v/>
      </c>
      <c r="Z74" s="191"/>
      <c r="AA74" s="191" t="str">
        <f>IF(Tournament!AA72&lt;&gt;"",Tournament!AA72,"")</f>
        <v/>
      </c>
      <c r="AB74" s="194" t="s">
        <v>3088</v>
      </c>
      <c r="AC74" s="191" t="str">
        <f>IF(Tournament!AC72&lt;&gt;"",Tournament!AC72,"")</f>
        <v/>
      </c>
      <c r="AD74" s="195" t="str">
        <f>IF(AND(I74&lt;&gt;"",K74&lt;&gt;"",R74&lt;&gt;"",T74&lt;&gt;""),IF(AND(I74=R74,K74=T74),Setup!$E$20,IF((I74-K74)=(R74-T74),Setup!$E$21,IF(AND((I74&gt;K74),(R74&gt;T74)),Setup!$E$22,IF(AND((K74&gt;I74),(T74&gt;R74)),Setup!$E$22,0)))),"")</f>
        <v/>
      </c>
      <c r="AE74" s="183"/>
      <c r="CM74" s="168"/>
      <c r="CN74" s="168"/>
      <c r="CO74" s="187"/>
      <c r="CP74" s="168"/>
    </row>
    <row r="75" spans="2:94" s="166" customFormat="1" ht="15" customHeight="1">
      <c r="B75" s="182"/>
      <c r="C75" s="181">
        <v>57</v>
      </c>
      <c r="D75" s="181" t="str">
        <f>D74</f>
        <v>QF</v>
      </c>
      <c r="E75" s="188">
        <f>Tournament!T74</f>
        <v>41824.708333333336</v>
      </c>
      <c r="F75" s="189">
        <f>Tournament!U74</f>
        <v>41824.708333333336</v>
      </c>
      <c r="G75" s="190" t="str">
        <f>Tournament!Y74</f>
        <v>Match 49 Winner</v>
      </c>
      <c r="H75" s="180"/>
      <c r="I75" s="9"/>
      <c r="J75" s="191" t="s">
        <v>3088</v>
      </c>
      <c r="K75" s="9"/>
      <c r="L75" s="180"/>
      <c r="M75" s="198" t="str">
        <f>Tournament!AE74</f>
        <v>Match 50 Winner</v>
      </c>
      <c r="N75" s="183"/>
      <c r="P75" s="192" t="str">
        <f t="shared" si="2"/>
        <v>Match 49 Winner</v>
      </c>
      <c r="Q75" s="193"/>
      <c r="R75" s="194" t="str">
        <f>IF($Z$67=0,IF($Z$66=0,IF(Tournament!AA75&lt;&gt;"",Tournament!AA75,""),IF(Tournament!AA75&lt;&gt;"",Tournament!AA75+Tournament!AA76,"")),IF(Tournament!AA74&lt;&gt;"",Tournament!AA74,""))</f>
        <v/>
      </c>
      <c r="S75" s="194" t="s">
        <v>3088</v>
      </c>
      <c r="T75" s="194" t="str">
        <f>IF($Z$67=0,IF($Z$66=0,IF(Tournament!AC75&lt;&gt;"",Tournament!AC75,""),IF(Tournament!AC75&lt;&gt;"",Tournament!AC75+Tournament!AC76,"")),IF(Tournament!AC74&lt;&gt;"",Tournament!AC74,""))</f>
        <v/>
      </c>
      <c r="U75" s="193"/>
      <c r="V75" s="193" t="str">
        <f t="shared" si="3"/>
        <v>Match 50 Winner</v>
      </c>
      <c r="W75" s="191" t="str">
        <f>IF(Tournament!AA76&lt;&gt;"",Tournament!AA76,"")</f>
        <v/>
      </c>
      <c r="X75" s="199" t="s">
        <v>3088</v>
      </c>
      <c r="Y75" s="191" t="str">
        <f>IF(Tournament!AC76&lt;&gt;"",Tournament!AC76,"")</f>
        <v/>
      </c>
      <c r="Z75" s="191"/>
      <c r="AA75" s="191" t="str">
        <f>IF(Tournament!AA77&lt;&gt;"",Tournament!AA77,"")</f>
        <v/>
      </c>
      <c r="AB75" s="194" t="s">
        <v>3088</v>
      </c>
      <c r="AC75" s="191" t="str">
        <f>IF(Tournament!AC77&lt;&gt;"",Tournament!AC77,"")</f>
        <v/>
      </c>
      <c r="AD75" s="195" t="str">
        <f>IF(AND(I75&lt;&gt;"",K75&lt;&gt;"",R75&lt;&gt;"",T75&lt;&gt;""),IF(AND(I75=R75,K75=T75),Setup!$E$20,IF((I75-K75)=(R75-T75),Setup!$E$21,IF(AND((I75&gt;K75),(R75&gt;T75)),Setup!$E$22,IF(AND((K75&gt;I75),(T75&gt;R75)),Setup!$E$22,0)))),"")</f>
        <v/>
      </c>
      <c r="AE75" s="183"/>
      <c r="CM75" s="168"/>
      <c r="CN75" s="168"/>
      <c r="CO75" s="187"/>
      <c r="CP75" s="168"/>
    </row>
    <row r="76" spans="2:94" s="166" customFormat="1" ht="15" customHeight="1">
      <c r="B76" s="182"/>
      <c r="C76" s="181">
        <v>59</v>
      </c>
      <c r="D76" s="181" t="str">
        <f>D75</f>
        <v>QF</v>
      </c>
      <c r="E76" s="188">
        <f>Tournament!T79</f>
        <v>41825.708333333336</v>
      </c>
      <c r="F76" s="189">
        <f>Tournament!U79</f>
        <v>41825.708333333336</v>
      </c>
      <c r="G76" s="190" t="str">
        <f>Tournament!Y79</f>
        <v>Match 51 Winner</v>
      </c>
      <c r="H76" s="180"/>
      <c r="I76" s="9"/>
      <c r="J76" s="191" t="s">
        <v>3088</v>
      </c>
      <c r="K76" s="9"/>
      <c r="L76" s="180"/>
      <c r="M76" s="198" t="str">
        <f>Tournament!AE79</f>
        <v>Match 52 Winner</v>
      </c>
      <c r="N76" s="183"/>
      <c r="P76" s="192" t="str">
        <f t="shared" si="2"/>
        <v>Match 51 Winner</v>
      </c>
      <c r="Q76" s="193"/>
      <c r="R76" s="194" t="str">
        <f>IF($Z$67=0,IF($Z$66=0,IF(Tournament!AA80&lt;&gt;"",Tournament!AA80,""),IF(Tournament!AA80&lt;&gt;"",Tournament!AA80+Tournament!AA81,"")),IF(Tournament!AA79&lt;&gt;"",Tournament!AA79,""))</f>
        <v/>
      </c>
      <c r="S76" s="194" t="s">
        <v>3088</v>
      </c>
      <c r="T76" s="194" t="str">
        <f>IF($Z$67=0,IF($Z$66=0,IF(Tournament!AC80&lt;&gt;"",Tournament!AC80,""),IF(Tournament!AC80&lt;&gt;"",Tournament!AC80+Tournament!AC81,"")),IF(Tournament!AC79&lt;&gt;"",Tournament!AC79,""))</f>
        <v/>
      </c>
      <c r="U76" s="193"/>
      <c r="V76" s="193" t="str">
        <f t="shared" si="3"/>
        <v>Match 52 Winner</v>
      </c>
      <c r="W76" s="191" t="str">
        <f>IF(Tournament!AA81&lt;&gt;"",Tournament!AA81,"")</f>
        <v/>
      </c>
      <c r="X76" s="199" t="s">
        <v>3088</v>
      </c>
      <c r="Y76" s="191" t="str">
        <f>IF(Tournament!AC81&lt;&gt;"",Tournament!AC81,"")</f>
        <v/>
      </c>
      <c r="Z76" s="191"/>
      <c r="AA76" s="191" t="str">
        <f>IF(Tournament!AA82&lt;&gt;"",Tournament!AA82,"")</f>
        <v/>
      </c>
      <c r="AB76" s="194" t="s">
        <v>3088</v>
      </c>
      <c r="AC76" s="191" t="str">
        <f>IF(Tournament!AC82&lt;&gt;"",Tournament!AC82,"")</f>
        <v/>
      </c>
      <c r="AD76" s="195" t="str">
        <f>IF(AND(I76&lt;&gt;"",K76&lt;&gt;"",R76&lt;&gt;"",T76&lt;&gt;""),IF(AND(I76=R76,K76=T76),Setup!$E$20,IF((I76-K76)=(R76-T76),Setup!$E$21,IF(AND((I76&gt;K76),(R76&gt;T76)),Setup!$E$22,IF(AND((K76&gt;I76),(T76&gt;R76)),Setup!$E$22,0)))),"")</f>
        <v/>
      </c>
      <c r="AE76" s="183"/>
      <c r="CM76" s="168"/>
      <c r="CN76" s="168"/>
      <c r="CO76" s="187"/>
      <c r="CP76" s="168"/>
    </row>
    <row r="77" spans="2:94" s="166" customFormat="1" ht="15" customHeight="1">
      <c r="B77" s="182"/>
      <c r="C77" s="181">
        <v>60</v>
      </c>
      <c r="D77" s="181" t="str">
        <f>D76</f>
        <v>QF</v>
      </c>
      <c r="E77" s="188">
        <f>Tournament!T84</f>
        <v>41825.541666666664</v>
      </c>
      <c r="F77" s="189">
        <f>Tournament!U84</f>
        <v>41825.541666666664</v>
      </c>
      <c r="G77" s="190" t="str">
        <f>Tournament!Y84</f>
        <v>Match 55 Winner</v>
      </c>
      <c r="H77" s="180"/>
      <c r="I77" s="9"/>
      <c r="J77" s="191" t="s">
        <v>3088</v>
      </c>
      <c r="K77" s="9"/>
      <c r="L77" s="180"/>
      <c r="M77" s="198" t="str">
        <f>Tournament!AE84</f>
        <v>Match 56 Winner</v>
      </c>
      <c r="N77" s="183"/>
      <c r="P77" s="192" t="str">
        <f t="shared" si="2"/>
        <v>Match 55 Winner</v>
      </c>
      <c r="Q77" s="193"/>
      <c r="R77" s="194" t="str">
        <f>IF($Z$67=0,IF($Z$66=0,IF(Tournament!AA85&lt;&gt;"",Tournament!AA85,""),IF(Tournament!AA85&lt;&gt;"",Tournament!AA85+Tournament!AA86,"")),IF(Tournament!AA84&lt;&gt;"",Tournament!AA84,""))</f>
        <v/>
      </c>
      <c r="S77" s="194" t="s">
        <v>3088</v>
      </c>
      <c r="T77" s="194" t="str">
        <f>IF($Z$67=0,IF($Z$66=0,IF(Tournament!AC85&lt;&gt;"",Tournament!AC85,""),IF(Tournament!AC85&lt;&gt;"",Tournament!AC85+Tournament!AC86,"")),IF(Tournament!AC84&lt;&gt;"",Tournament!AC84,""))</f>
        <v/>
      </c>
      <c r="U77" s="193"/>
      <c r="V77" s="193" t="str">
        <f t="shared" si="3"/>
        <v>Match 56 Winner</v>
      </c>
      <c r="W77" s="191" t="str">
        <f>IF(Tournament!AA86&lt;&gt;"",Tournament!AA86,"")</f>
        <v/>
      </c>
      <c r="X77" s="199" t="s">
        <v>3088</v>
      </c>
      <c r="Y77" s="191" t="str">
        <f>IF(Tournament!AC86&lt;&gt;"",Tournament!AC86,"")</f>
        <v/>
      </c>
      <c r="Z77" s="191"/>
      <c r="AA77" s="191" t="str">
        <f>IF(Tournament!AA87&lt;&gt;"",Tournament!AA87,"")</f>
        <v/>
      </c>
      <c r="AB77" s="194" t="s">
        <v>3088</v>
      </c>
      <c r="AC77" s="191" t="str">
        <f>IF(Tournament!AC87&lt;&gt;"",Tournament!AC87,"")</f>
        <v/>
      </c>
      <c r="AD77" s="195" t="str">
        <f>IF(AND(I77&lt;&gt;"",K77&lt;&gt;"",R77&lt;&gt;"",T77&lt;&gt;""),IF(AND(I77=R77,K77=T77),Setup!$E$20,IF((I77-K77)=(R77-T77),Setup!$E$21,IF(AND((I77&gt;K77),(R77&gt;T77)),Setup!$E$22,IF(AND((K77&gt;I77),(T77&gt;R77)),Setup!$E$22,0)))),"")</f>
        <v/>
      </c>
      <c r="AE77" s="183"/>
      <c r="CM77" s="168"/>
      <c r="CN77" s="168"/>
      <c r="CO77" s="187"/>
      <c r="CP77" s="168"/>
    </row>
    <row r="78" spans="2:94" s="166" customFormat="1" ht="15" customHeight="1">
      <c r="B78" s="182"/>
      <c r="C78" s="181">
        <v>61</v>
      </c>
      <c r="D78" s="181" t="s">
        <v>3550</v>
      </c>
      <c r="E78" s="188">
        <f>Tournament!T92</f>
        <v>41828.708333333336</v>
      </c>
      <c r="F78" s="189">
        <f>Tournament!U92</f>
        <v>41828.708333333336</v>
      </c>
      <c r="G78" s="190" t="str">
        <f>Tournament!Y92</f>
        <v>Match 57 Winner</v>
      </c>
      <c r="H78" s="180"/>
      <c r="I78" s="9"/>
      <c r="J78" s="191" t="s">
        <v>3088</v>
      </c>
      <c r="K78" s="9"/>
      <c r="L78" s="180"/>
      <c r="M78" s="198" t="str">
        <f>Tournament!AE92</f>
        <v>Match 58 Winner</v>
      </c>
      <c r="N78" s="183"/>
      <c r="P78" s="192" t="str">
        <f t="shared" si="2"/>
        <v>Match 57 Winner</v>
      </c>
      <c r="Q78" s="193"/>
      <c r="R78" s="194" t="str">
        <f>IF($Z$67=0,IF($Z$66=0,IF(Tournament!AA93&lt;&gt;"",Tournament!AA93,""),IF(Tournament!AA93&lt;&gt;"",Tournament!AA93+Tournament!AA94,"")),IF(Tournament!AA92&lt;&gt;"",Tournament!AA92,""))</f>
        <v/>
      </c>
      <c r="S78" s="194" t="s">
        <v>3088</v>
      </c>
      <c r="T78" s="194" t="str">
        <f>IF($Z$67=0,IF($Z$66=0,IF(Tournament!AC93&lt;&gt;"",Tournament!AC93,""),IF(Tournament!AC93&lt;&gt;"",Tournament!AC93+Tournament!AC94,"")),IF(Tournament!AC92&lt;&gt;"",Tournament!AC92,""))</f>
        <v/>
      </c>
      <c r="U78" s="193"/>
      <c r="V78" s="193" t="str">
        <f t="shared" si="3"/>
        <v>Match 58 Winner</v>
      </c>
      <c r="W78" s="191" t="str">
        <f>IF(Tournament!AA94&lt;&gt;"",Tournament!AA94,"")</f>
        <v/>
      </c>
      <c r="X78" s="199" t="s">
        <v>3088</v>
      </c>
      <c r="Y78" s="191" t="str">
        <f>IF(Tournament!AC94&lt;&gt;"",Tournament!AC94,"")</f>
        <v/>
      </c>
      <c r="Z78" s="191"/>
      <c r="AA78" s="191" t="str">
        <f>IF(Tournament!AA95&lt;&gt;"",Tournament!AA95,"")</f>
        <v/>
      </c>
      <c r="AB78" s="194" t="s">
        <v>3088</v>
      </c>
      <c r="AC78" s="191" t="str">
        <f>IF(Tournament!AC95&lt;&gt;"",Tournament!AC95,"")</f>
        <v/>
      </c>
      <c r="AD78" s="195" t="str">
        <f>IF(AND(I78&lt;&gt;"",K78&lt;&gt;"",R78&lt;&gt;"",T78&lt;&gt;""),IF(AND(I78=R78,K78=T78),Setup!$F$20,IF((I78-K78)=(R78-T78),Setup!$F$21,IF(AND((I78&gt;K78),(R78&gt;T78)),Setup!$F$22,IF(AND((K78&gt;I78),(T78&gt;R78)),Setup!$F$22,0)))),"")</f>
        <v/>
      </c>
      <c r="AE78" s="183"/>
      <c r="CM78" s="168"/>
      <c r="CN78" s="168"/>
      <c r="CO78" s="187"/>
      <c r="CP78" s="168"/>
    </row>
    <row r="79" spans="2:94" s="166" customFormat="1" ht="15" customHeight="1">
      <c r="B79" s="182"/>
      <c r="C79" s="181">
        <v>62</v>
      </c>
      <c r="D79" s="181" t="str">
        <f>D78</f>
        <v>SF</v>
      </c>
      <c r="E79" s="188">
        <f>Tournament!T97</f>
        <v>41829.708333333336</v>
      </c>
      <c r="F79" s="189">
        <f>Tournament!U97</f>
        <v>41829.708333333336</v>
      </c>
      <c r="G79" s="190" t="str">
        <f>Tournament!Y97</f>
        <v>Match 59 Winner</v>
      </c>
      <c r="H79" s="180"/>
      <c r="I79" s="9"/>
      <c r="J79" s="191" t="s">
        <v>3088</v>
      </c>
      <c r="K79" s="9"/>
      <c r="L79" s="180"/>
      <c r="M79" s="198" t="str">
        <f>Tournament!AE97</f>
        <v>Match 60 Winner</v>
      </c>
      <c r="N79" s="183"/>
      <c r="P79" s="192" t="str">
        <f t="shared" si="2"/>
        <v>Match 59 Winner</v>
      </c>
      <c r="Q79" s="193"/>
      <c r="R79" s="194" t="str">
        <f>IF($Z$67=0,IF($Z$66=0,IF(Tournament!AA98&lt;&gt;"",Tournament!AA98,""),IF(Tournament!AA98&lt;&gt;"",Tournament!AA98+Tournament!AA99,"")),IF(Tournament!AA97&lt;&gt;"",Tournament!AA97,""))</f>
        <v/>
      </c>
      <c r="S79" s="194" t="s">
        <v>3088</v>
      </c>
      <c r="T79" s="194" t="str">
        <f>IF($Z$67=0,IF($Z$66=0,IF(Tournament!AC98&lt;&gt;"",Tournament!AC98,""),IF(Tournament!AC98&lt;&gt;"",Tournament!AC98+Tournament!AC99,"")),IF(Tournament!AC97&lt;&gt;"",Tournament!AC97,""))</f>
        <v/>
      </c>
      <c r="U79" s="193"/>
      <c r="V79" s="193" t="str">
        <f t="shared" si="3"/>
        <v>Match 60 Winner</v>
      </c>
      <c r="W79" s="191" t="str">
        <f>IF(Tournament!AA99&lt;&gt;"",Tournament!AA99,"")</f>
        <v/>
      </c>
      <c r="X79" s="199" t="s">
        <v>3088</v>
      </c>
      <c r="Y79" s="191" t="str">
        <f>IF(Tournament!AC99&lt;&gt;"",Tournament!AC99,"")</f>
        <v/>
      </c>
      <c r="Z79" s="191"/>
      <c r="AA79" s="191" t="str">
        <f>IF(Tournament!AA100&lt;&gt;"",Tournament!AA100,"")</f>
        <v/>
      </c>
      <c r="AB79" s="194" t="s">
        <v>3088</v>
      </c>
      <c r="AC79" s="191" t="str">
        <f>IF(Tournament!AC100&lt;&gt;"",Tournament!AC100,"")</f>
        <v/>
      </c>
      <c r="AD79" s="195" t="str">
        <f>IF(AND(I79&lt;&gt;"",K79&lt;&gt;"",R79&lt;&gt;"",T79&lt;&gt;""),IF(AND(I79=R79,K79=T79),Setup!$F$20,IF((I79-K79)=(R79-T79),Setup!$F$21,IF(AND((I79&gt;K79),(R79&gt;T79)),Setup!$F$22,IF(AND((K79&gt;I79),(T79&gt;R79)),Setup!$F$22,0)))),"")</f>
        <v/>
      </c>
      <c r="AE79" s="183"/>
      <c r="CM79" s="168"/>
      <c r="CN79" s="168"/>
      <c r="CO79" s="187"/>
      <c r="CP79" s="168"/>
    </row>
    <row r="80" spans="2:94" s="166" customFormat="1" ht="15" customHeight="1">
      <c r="B80" s="182"/>
      <c r="C80" s="181">
        <v>63</v>
      </c>
      <c r="D80" s="181" t="s">
        <v>3551</v>
      </c>
      <c r="E80" s="188">
        <f>Tournament!T105</f>
        <v>41832.708333333336</v>
      </c>
      <c r="F80" s="189">
        <f>Tournament!U105</f>
        <v>41832.708333333336</v>
      </c>
      <c r="G80" s="190" t="str">
        <f>Tournament!Y105</f>
        <v>Match 61 Loser</v>
      </c>
      <c r="H80" s="180"/>
      <c r="I80" s="9"/>
      <c r="J80" s="191" t="s">
        <v>3088</v>
      </c>
      <c r="K80" s="9"/>
      <c r="L80" s="180"/>
      <c r="M80" s="198" t="str">
        <f>Tournament!AE105</f>
        <v>Match 62 Loser</v>
      </c>
      <c r="N80" s="183"/>
      <c r="P80" s="192" t="str">
        <f t="shared" si="2"/>
        <v>Match 61 Loser</v>
      </c>
      <c r="Q80" s="193"/>
      <c r="R80" s="194" t="str">
        <f>IF($Z$67=0,IF($Z$66=0,IF(Tournament!AA106&lt;&gt;"",Tournament!AA106,""),IF(Tournament!AA106&lt;&gt;"",Tournament!AA106+Tournament!AA107,"")),IF(Tournament!AA105&lt;&gt;"",Tournament!AA105,""))</f>
        <v/>
      </c>
      <c r="S80" s="194" t="s">
        <v>3088</v>
      </c>
      <c r="T80" s="194" t="str">
        <f>IF($Z$67=0,IF($Z$66=0,IF(Tournament!AC106&lt;&gt;"",Tournament!AC106,""),IF(Tournament!AC106&lt;&gt;"",Tournament!AC106+Tournament!AC107,"")),IF(Tournament!AC105&lt;&gt;"",Tournament!AC105,""))</f>
        <v/>
      </c>
      <c r="U80" s="193"/>
      <c r="V80" s="193" t="str">
        <f t="shared" si="3"/>
        <v>Match 62 Loser</v>
      </c>
      <c r="W80" s="191" t="str">
        <f>IF(Tournament!AA107&lt;&gt;"",Tournament!AA107,"")</f>
        <v/>
      </c>
      <c r="X80" s="199" t="s">
        <v>3088</v>
      </c>
      <c r="Y80" s="191" t="str">
        <f>IF(Tournament!AC107&lt;&gt;"",Tournament!AC107,"")</f>
        <v/>
      </c>
      <c r="Z80" s="191"/>
      <c r="AA80" s="191" t="str">
        <f>IF(Tournament!AA108&lt;&gt;"",Tournament!AA108,"")</f>
        <v/>
      </c>
      <c r="AB80" s="194" t="s">
        <v>3088</v>
      </c>
      <c r="AC80" s="191" t="str">
        <f>IF(Tournament!AC108&lt;&gt;"",Tournament!AC108,"")</f>
        <v/>
      </c>
      <c r="AD80" s="195" t="str">
        <f>IF(AND(I80&lt;&gt;"",K80&lt;&gt;"",R80&lt;&gt;"",T80&lt;&gt;""),IF(AND(I80=R80,K80=T80),Setup!$G$20,IF((I80-K80)=(R80-T80),Setup!$G$21,IF(AND((I80&gt;K80),(R80&gt;T80)),Setup!$G$22,IF(AND((K80&gt;I80),(T80&gt;R80)),Setup!$G$22,0)))),"")</f>
        <v/>
      </c>
      <c r="AE80" s="183"/>
      <c r="CM80" s="168"/>
      <c r="CN80" s="168"/>
      <c r="CO80" s="187"/>
      <c r="CP80" s="168"/>
    </row>
    <row r="81" spans="2:94" s="166" customFormat="1" ht="15" customHeight="1">
      <c r="B81" s="182"/>
      <c r="C81" s="181">
        <v>64</v>
      </c>
      <c r="D81" s="181" t="s">
        <v>3105</v>
      </c>
      <c r="E81" s="188">
        <f>Tournament!T113</f>
        <v>41833.666666666664</v>
      </c>
      <c r="F81" s="189">
        <f>Tournament!U113</f>
        <v>41833.666666666664</v>
      </c>
      <c r="G81" s="190" t="str">
        <f>Tournament!Y113</f>
        <v>Match 61 Winner</v>
      </c>
      <c r="H81" s="180"/>
      <c r="I81" s="9"/>
      <c r="J81" s="191" t="s">
        <v>3088</v>
      </c>
      <c r="K81" s="9"/>
      <c r="L81" s="180"/>
      <c r="M81" s="198" t="str">
        <f>Tournament!AE113</f>
        <v>Match 62 Winner</v>
      </c>
      <c r="N81" s="183"/>
      <c r="P81" s="192" t="str">
        <f t="shared" si="2"/>
        <v>Match 61 Winner</v>
      </c>
      <c r="Q81" s="193"/>
      <c r="R81" s="194" t="str">
        <f>IF($Z$67=0,IF($Z$66=0,IF(Tournament!AA114&lt;&gt;"",Tournament!AA114,""),IF(Tournament!AA114&lt;&gt;"",Tournament!AA114+Tournament!AA115,"")),IF(Tournament!AA113&lt;&gt;"",Tournament!AA113,""))</f>
        <v/>
      </c>
      <c r="S81" s="194" t="s">
        <v>3088</v>
      </c>
      <c r="T81" s="194" t="str">
        <f>IF($Z$67=0,IF($Z$66=0,IF(Tournament!AC114&lt;&gt;"",Tournament!AC114,""),IF(Tournament!AC114&lt;&gt;"",Tournament!AC114+Tournament!AC115,"")),IF(Tournament!AC113&lt;&gt;"",Tournament!AC113,""))</f>
        <v/>
      </c>
      <c r="U81" s="193"/>
      <c r="V81" s="193" t="str">
        <f t="shared" si="3"/>
        <v>Match 62 Winner</v>
      </c>
      <c r="W81" s="191" t="str">
        <f>IF(Tournament!AA115&lt;&gt;"",Tournament!AA115,"")</f>
        <v/>
      </c>
      <c r="X81" s="199" t="s">
        <v>3088</v>
      </c>
      <c r="Y81" s="191" t="str">
        <f>IF(Tournament!AC115&lt;&gt;"",Tournament!AC115,"")</f>
        <v/>
      </c>
      <c r="Z81" s="191"/>
      <c r="AA81" s="191" t="str">
        <f>IF(Tournament!AA116&lt;&gt;"",Tournament!AA116,"")</f>
        <v/>
      </c>
      <c r="AB81" s="194" t="s">
        <v>3088</v>
      </c>
      <c r="AC81" s="191" t="str">
        <f>IF(Tournament!AC116&lt;&gt;"",Tournament!AC116,"")</f>
        <v/>
      </c>
      <c r="AD81" s="195" t="str">
        <f>IF(AND(I81&lt;&gt;"",K81&lt;&gt;"",R81&lt;&gt;"",T81&lt;&gt;""),IF(AND(I81=R81,K81=T81),Setup!$H$20,IF((I81-K81)=(R81-T81),Setup!$H$21,IF(AND((I81&gt;K81),(R81&gt;T81)),Setup!$H$22,IF(AND((K81&gt;I81),(T81&gt;R81)),Setup!$H$22,0)))),"")</f>
        <v/>
      </c>
      <c r="AE81" s="183"/>
      <c r="CM81" s="168"/>
      <c r="CN81" s="168"/>
      <c r="CO81" s="187"/>
      <c r="CP81" s="168"/>
    </row>
    <row r="82" spans="2:94" s="166" customFormat="1" ht="15" customHeight="1">
      <c r="B82" s="200"/>
      <c r="C82" s="201"/>
      <c r="D82" s="201"/>
      <c r="E82" s="201"/>
      <c r="F82" s="201"/>
      <c r="G82" s="201"/>
      <c r="H82" s="201"/>
      <c r="I82" s="201"/>
      <c r="J82" s="202"/>
      <c r="K82" s="201"/>
      <c r="L82" s="201"/>
      <c r="M82" s="201"/>
      <c r="N82" s="203"/>
      <c r="P82" s="200"/>
      <c r="Q82" s="201"/>
      <c r="R82" s="201"/>
      <c r="S82" s="202"/>
      <c r="T82" s="201"/>
      <c r="U82" s="201"/>
      <c r="V82" s="201"/>
      <c r="W82" s="201"/>
      <c r="X82" s="202"/>
      <c r="Y82" s="201"/>
      <c r="Z82" s="201"/>
      <c r="AA82" s="201"/>
      <c r="AB82" s="202"/>
      <c r="AC82" s="201"/>
      <c r="AD82" s="202"/>
      <c r="AE82" s="203"/>
      <c r="CM82" s="168"/>
      <c r="CN82" s="168"/>
      <c r="CO82" s="187"/>
      <c r="CP82" s="168"/>
    </row>
    <row r="83" spans="2:94" s="166" customFormat="1" ht="15" customHeight="1">
      <c r="B83" s="166" t="s">
        <v>3905</v>
      </c>
      <c r="N83" s="180"/>
      <c r="AD83" s="167"/>
      <c r="CM83" s="168"/>
      <c r="CN83" s="168"/>
      <c r="CO83" s="187"/>
      <c r="CP83" s="168"/>
    </row>
    <row r="84" spans="2:94" s="166" customFormat="1" ht="15" hidden="1" customHeight="1">
      <c r="N84" s="180"/>
      <c r="AD84" s="167"/>
      <c r="CM84" s="168"/>
      <c r="CN84" s="168"/>
      <c r="CO84" s="187"/>
      <c r="CP84" s="168"/>
    </row>
    <row r="85" spans="2:94" s="166" customFormat="1" ht="15" hidden="1" customHeight="1">
      <c r="N85" s="180"/>
      <c r="AD85" s="167"/>
      <c r="CM85" s="168"/>
      <c r="CN85" s="168"/>
      <c r="CO85" s="187"/>
      <c r="CP85" s="168"/>
    </row>
    <row r="86" spans="2:94" s="166" customFormat="1" ht="15" hidden="1" customHeight="1">
      <c r="N86" s="180"/>
      <c r="AD86" s="167"/>
      <c r="CM86" s="168"/>
      <c r="CN86" s="168"/>
      <c r="CO86" s="187"/>
      <c r="CP86" s="168"/>
    </row>
    <row r="87" spans="2:94" s="166" customFormat="1" ht="15" hidden="1" customHeight="1">
      <c r="N87" s="180"/>
      <c r="AD87" s="167"/>
      <c r="CM87" s="168"/>
      <c r="CN87" s="168"/>
      <c r="CO87" s="187"/>
      <c r="CP87" s="168"/>
    </row>
    <row r="88" spans="2:94" s="166" customFormat="1" ht="15" hidden="1" customHeight="1">
      <c r="N88" s="180"/>
      <c r="AD88" s="167"/>
      <c r="CM88" s="168"/>
      <c r="CN88" s="168"/>
      <c r="CO88" s="187"/>
      <c r="CP88" s="168"/>
    </row>
    <row r="89" spans="2:94" s="166" customFormat="1" ht="15" hidden="1" customHeight="1">
      <c r="N89" s="180"/>
      <c r="AD89" s="167"/>
      <c r="CM89" s="168"/>
      <c r="CN89" s="168"/>
      <c r="CO89" s="187"/>
      <c r="CP89" s="168"/>
    </row>
    <row r="90" spans="2:94" s="166" customFormat="1" ht="15" hidden="1" customHeight="1">
      <c r="N90" s="180"/>
      <c r="AD90" s="167"/>
      <c r="CM90" s="168"/>
      <c r="CN90" s="168"/>
      <c r="CO90" s="187"/>
      <c r="CP90" s="168"/>
    </row>
    <row r="91" spans="2:94" s="166" customFormat="1" ht="15" hidden="1" customHeight="1">
      <c r="N91" s="180"/>
      <c r="AD91" s="167"/>
      <c r="CM91" s="168"/>
      <c r="CN91" s="168"/>
      <c r="CO91" s="187"/>
      <c r="CP91" s="168"/>
    </row>
    <row r="92" spans="2:94" s="166" customFormat="1" ht="15" hidden="1" customHeight="1">
      <c r="N92" s="180"/>
      <c r="AD92" s="167"/>
      <c r="CM92" s="168"/>
      <c r="CN92" s="168"/>
      <c r="CO92" s="187"/>
      <c r="CP92" s="168"/>
    </row>
    <row r="93" spans="2:94" s="166" customFormat="1" ht="15" hidden="1" customHeight="1">
      <c r="N93" s="180"/>
      <c r="AD93" s="167"/>
      <c r="CM93" s="168"/>
      <c r="CN93" s="168"/>
      <c r="CO93" s="187"/>
      <c r="CP93" s="168"/>
    </row>
    <row r="94" spans="2:94" s="166" customFormat="1" ht="15" hidden="1" customHeight="1">
      <c r="N94" s="180"/>
      <c r="AD94" s="167"/>
      <c r="CM94" s="168"/>
      <c r="CN94" s="168"/>
      <c r="CO94" s="187"/>
      <c r="CP94" s="168"/>
    </row>
    <row r="95" spans="2:94" s="166" customFormat="1" ht="15" hidden="1" customHeight="1">
      <c r="N95" s="180"/>
      <c r="AD95" s="167"/>
      <c r="CM95" s="168"/>
      <c r="CN95" s="168"/>
      <c r="CO95" s="187"/>
      <c r="CP95" s="168"/>
    </row>
    <row r="96" spans="2:94" s="166" customFormat="1" ht="15" hidden="1" customHeight="1">
      <c r="N96" s="180"/>
      <c r="AD96" s="167"/>
      <c r="CM96" s="168"/>
      <c r="CN96" s="168"/>
      <c r="CO96" s="187"/>
      <c r="CP96" s="168"/>
    </row>
    <row r="97" spans="14:94" s="166" customFormat="1" ht="15" hidden="1" customHeight="1">
      <c r="N97" s="180"/>
      <c r="AD97" s="167"/>
      <c r="CM97" s="168"/>
      <c r="CN97" s="168"/>
      <c r="CO97" s="187"/>
      <c r="CP97" s="168"/>
    </row>
    <row r="98" spans="14:94" s="166" customFormat="1" ht="15" hidden="1" customHeight="1">
      <c r="N98" s="180"/>
      <c r="AD98" s="167"/>
      <c r="CM98" s="168"/>
      <c r="CN98" s="168"/>
      <c r="CO98" s="187"/>
      <c r="CP98" s="168"/>
    </row>
    <row r="99" spans="14:94" s="166" customFormat="1" ht="15" hidden="1" customHeight="1">
      <c r="N99" s="180"/>
      <c r="AD99" s="167"/>
      <c r="CM99" s="168"/>
      <c r="CN99" s="168"/>
      <c r="CO99" s="187"/>
      <c r="CP99" s="168"/>
    </row>
    <row r="100" spans="14:94" s="166" customFormat="1" ht="15" hidden="1" customHeight="1">
      <c r="N100" s="180"/>
      <c r="AD100" s="167"/>
      <c r="CM100" s="168"/>
      <c r="CN100" s="168"/>
      <c r="CO100" s="187"/>
      <c r="CP100" s="168"/>
    </row>
    <row r="101" spans="14:94" s="166" customFormat="1" ht="15" hidden="1" customHeight="1">
      <c r="N101" s="180"/>
      <c r="AD101" s="167"/>
      <c r="CM101" s="168"/>
      <c r="CN101" s="168"/>
      <c r="CO101" s="187"/>
      <c r="CP101" s="168"/>
    </row>
    <row r="102" spans="14:94" s="166" customFormat="1" ht="15" hidden="1" customHeight="1">
      <c r="N102" s="180"/>
      <c r="AD102" s="167"/>
      <c r="CM102" s="168"/>
      <c r="CN102" s="168"/>
      <c r="CO102" s="187"/>
      <c r="CP102" s="168"/>
    </row>
    <row r="103" spans="14:94" s="166" customFormat="1" ht="15" hidden="1" customHeight="1">
      <c r="N103" s="180"/>
      <c r="AD103" s="167"/>
      <c r="CM103" s="168"/>
      <c r="CN103" s="168"/>
      <c r="CO103" s="187"/>
      <c r="CP103" s="168"/>
    </row>
    <row r="104" spans="14:94" s="166" customFormat="1" ht="15" hidden="1" customHeight="1">
      <c r="N104" s="180"/>
      <c r="AD104" s="167"/>
      <c r="CM104" s="168"/>
      <c r="CN104" s="168"/>
      <c r="CO104" s="187"/>
      <c r="CP104" s="168"/>
    </row>
    <row r="105" spans="14:94" s="166" customFormat="1" ht="15" hidden="1" customHeight="1">
      <c r="N105" s="180"/>
      <c r="AD105" s="167"/>
      <c r="CM105" s="168"/>
      <c r="CN105" s="168"/>
      <c r="CO105" s="187"/>
      <c r="CP105" s="168"/>
    </row>
    <row r="106" spans="14:94" s="166" customFormat="1" ht="15" hidden="1" customHeight="1">
      <c r="N106" s="180"/>
      <c r="AD106" s="167"/>
      <c r="CM106" s="168"/>
      <c r="CN106" s="168"/>
      <c r="CO106" s="187"/>
      <c r="CP106" s="168"/>
    </row>
    <row r="107" spans="14:94" s="166" customFormat="1" ht="15" hidden="1" customHeight="1">
      <c r="N107" s="180"/>
      <c r="AD107" s="167"/>
      <c r="CM107" s="168"/>
      <c r="CN107" s="168"/>
      <c r="CO107" s="187"/>
      <c r="CP107" s="168"/>
    </row>
    <row r="108" spans="14:94" s="166" customFormat="1" ht="15" hidden="1" customHeight="1">
      <c r="N108" s="180"/>
      <c r="AD108" s="167"/>
      <c r="CM108" s="168"/>
      <c r="CN108" s="168"/>
      <c r="CO108" s="187"/>
      <c r="CP108" s="168"/>
    </row>
    <row r="109" spans="14:94" s="166" customFormat="1" ht="15" hidden="1" customHeight="1">
      <c r="N109" s="180"/>
      <c r="AD109" s="167"/>
      <c r="CM109" s="168"/>
      <c r="CN109" s="168"/>
      <c r="CO109" s="187"/>
      <c r="CP109" s="168"/>
    </row>
    <row r="110" spans="14:94" s="166" customFormat="1" ht="15" hidden="1" customHeight="1">
      <c r="N110" s="180"/>
      <c r="AD110" s="167"/>
      <c r="CM110" s="168"/>
      <c r="CN110" s="168"/>
      <c r="CO110" s="187"/>
      <c r="CP110" s="168"/>
    </row>
    <row r="111" spans="14:94" s="166" customFormat="1" ht="15" hidden="1" customHeight="1">
      <c r="N111" s="180"/>
      <c r="AD111" s="167"/>
      <c r="CM111" s="168"/>
      <c r="CN111" s="168"/>
      <c r="CO111" s="187"/>
      <c r="CP111" s="168"/>
    </row>
    <row r="112" spans="14:94" s="166" customFormat="1" ht="15" hidden="1" customHeight="1">
      <c r="N112" s="180"/>
      <c r="AD112" s="167"/>
      <c r="CM112" s="168"/>
      <c r="CN112" s="168"/>
      <c r="CO112" s="187"/>
      <c r="CP112" s="168"/>
    </row>
    <row r="113" spans="2:94" s="166" customFormat="1" ht="15" hidden="1" customHeight="1">
      <c r="N113" s="180"/>
      <c r="AD113" s="167"/>
      <c r="CM113" s="168"/>
      <c r="CN113" s="168"/>
      <c r="CO113" s="187"/>
      <c r="CP113" s="168"/>
    </row>
    <row r="114" spans="2:94" s="166" customFormat="1" ht="15" hidden="1" customHeight="1">
      <c r="N114" s="180"/>
      <c r="AD114" s="167"/>
      <c r="CM114" s="168"/>
      <c r="CN114" s="168"/>
      <c r="CO114" s="187"/>
      <c r="CP114" s="168"/>
    </row>
    <row r="115" spans="2:94" s="166" customFormat="1" ht="15" hidden="1" customHeight="1">
      <c r="N115" s="180"/>
      <c r="AD115" s="167"/>
      <c r="CM115" s="168"/>
      <c r="CN115" s="168"/>
      <c r="CO115" s="187"/>
      <c r="CP115" s="168"/>
    </row>
    <row r="116" spans="2:94" s="166" customFormat="1" ht="15" hidden="1" customHeight="1">
      <c r="N116" s="180"/>
      <c r="AD116" s="167"/>
      <c r="CM116" s="168"/>
      <c r="CN116" s="168"/>
      <c r="CO116" s="187"/>
      <c r="CP116" s="168"/>
    </row>
    <row r="117" spans="2:94" s="166" customFormat="1" ht="15" hidden="1" customHeight="1">
      <c r="N117" s="180"/>
      <c r="AD117" s="167"/>
      <c r="CM117" s="168"/>
      <c r="CN117" s="168"/>
      <c r="CO117" s="187"/>
      <c r="CP117" s="168"/>
    </row>
    <row r="118" spans="2:94" s="166" customFormat="1" ht="15" hidden="1" customHeight="1">
      <c r="N118" s="180"/>
      <c r="AD118" s="167"/>
      <c r="CM118" s="168"/>
      <c r="CN118" s="168"/>
      <c r="CO118" s="187"/>
      <c r="CP118" s="168"/>
    </row>
    <row r="119" spans="2:94" s="166" customFormat="1" ht="15" hidden="1" customHeight="1">
      <c r="N119" s="180"/>
      <c r="AD119" s="167"/>
      <c r="CM119" s="168"/>
      <c r="CN119" s="168"/>
      <c r="CO119" s="187"/>
      <c r="CP119" s="168"/>
    </row>
    <row r="120" spans="2:94" s="166" customFormat="1" ht="15" hidden="1" customHeight="1">
      <c r="N120" s="180"/>
      <c r="AD120" s="167"/>
      <c r="CM120" s="168"/>
      <c r="CN120" s="168"/>
      <c r="CO120" s="187" t="s">
        <v>1404</v>
      </c>
      <c r="CP120" s="168"/>
    </row>
    <row r="121" spans="2:94" s="166" customFormat="1" ht="15" hidden="1" customHeight="1">
      <c r="N121" s="180"/>
      <c r="AD121" s="167"/>
      <c r="CM121" s="168"/>
      <c r="CN121" s="168"/>
      <c r="CO121" s="187" t="s">
        <v>1405</v>
      </c>
      <c r="CP121" s="168"/>
    </row>
    <row r="122" spans="2:94" s="166" customFormat="1" ht="15" hidden="1" customHeight="1">
      <c r="N122" s="180"/>
      <c r="AD122" s="167"/>
      <c r="CM122" s="168"/>
      <c r="CN122" s="168"/>
      <c r="CO122" s="187" t="s">
        <v>1406</v>
      </c>
      <c r="CP122" s="168"/>
    </row>
    <row r="123" spans="2:94" s="166" customFormat="1" ht="15" hidden="1" customHeight="1">
      <c r="N123" s="180"/>
      <c r="AD123" s="167"/>
      <c r="CM123" s="168"/>
      <c r="CN123" s="168"/>
      <c r="CO123" s="187" t="s">
        <v>1407</v>
      </c>
      <c r="CP123" s="168"/>
    </row>
    <row r="124" spans="2:94" s="166" customFormat="1" ht="15" hidden="1" customHeight="1">
      <c r="N124" s="180"/>
      <c r="AD124" s="167"/>
      <c r="CM124" s="168"/>
      <c r="CN124" s="168"/>
      <c r="CO124" s="187" t="s">
        <v>1408</v>
      </c>
      <c r="CP124" s="168"/>
    </row>
    <row r="125" spans="2:94" s="166" customFormat="1" ht="15" hidden="1" customHeight="1">
      <c r="B125" s="180"/>
      <c r="C125" s="180"/>
      <c r="D125" s="180"/>
      <c r="E125" s="180"/>
      <c r="F125" s="180"/>
      <c r="G125" s="180"/>
      <c r="H125" s="180"/>
      <c r="I125" s="180"/>
      <c r="J125" s="181"/>
      <c r="K125" s="180"/>
      <c r="L125" s="180"/>
      <c r="M125" s="180"/>
      <c r="N125" s="180"/>
      <c r="P125" s="180"/>
      <c r="Q125" s="180"/>
      <c r="R125" s="180"/>
      <c r="S125" s="181"/>
      <c r="T125" s="180"/>
      <c r="U125" s="180"/>
      <c r="V125" s="180"/>
      <c r="W125" s="180"/>
      <c r="X125" s="181"/>
      <c r="Y125" s="180"/>
      <c r="Z125" s="180"/>
      <c r="AA125" s="180"/>
      <c r="AB125" s="181"/>
      <c r="AC125" s="180"/>
      <c r="AD125" s="167"/>
      <c r="CM125" s="168"/>
      <c r="CN125" s="168"/>
      <c r="CO125" s="187" t="s">
        <v>1409</v>
      </c>
      <c r="CP125" s="168"/>
    </row>
    <row r="126" spans="2:94" s="166" customFormat="1" ht="15" hidden="1" customHeight="1">
      <c r="B126" s="180"/>
      <c r="C126" s="180"/>
      <c r="D126" s="180"/>
      <c r="E126" s="180"/>
      <c r="F126" s="180"/>
      <c r="G126" s="180"/>
      <c r="H126" s="180"/>
      <c r="I126" s="180"/>
      <c r="J126" s="181"/>
      <c r="K126" s="180"/>
      <c r="L126" s="180"/>
      <c r="M126" s="180"/>
      <c r="N126" s="180"/>
      <c r="P126" s="180"/>
      <c r="Q126" s="180"/>
      <c r="R126" s="180"/>
      <c r="S126" s="181"/>
      <c r="T126" s="180"/>
      <c r="U126" s="180"/>
      <c r="V126" s="180"/>
      <c r="W126" s="180"/>
      <c r="X126" s="181"/>
      <c r="Y126" s="180"/>
      <c r="Z126" s="180"/>
      <c r="AA126" s="180"/>
      <c r="AB126" s="181"/>
      <c r="AC126" s="180"/>
      <c r="AD126" s="167"/>
      <c r="CM126" s="168"/>
      <c r="CN126" s="168"/>
      <c r="CO126" s="187" t="s">
        <v>1410</v>
      </c>
      <c r="CP126" s="168"/>
    </row>
  </sheetData>
  <sheetProtection password="CE4F" sheet="1" objects="1" scenarios="1" formatCells="0" formatColumns="0" formatRows="0" insertColumns="0" insertRows="0" insertHyperlinks="0" sort="0" autoFilter="0" pivotTables="0"/>
  <mergeCells count="23">
    <mergeCell ref="B4:C4"/>
    <mergeCell ref="D4:M4"/>
    <mergeCell ref="H5:L5"/>
    <mergeCell ref="AC5:AE5"/>
    <mergeCell ref="B6:C7"/>
    <mergeCell ref="D6:F6"/>
    <mergeCell ref="H6:L6"/>
    <mergeCell ref="D7:F7"/>
    <mergeCell ref="H7:L7"/>
    <mergeCell ref="AC7:AE7"/>
    <mergeCell ref="B9:N9"/>
    <mergeCell ref="P9:AE9"/>
    <mergeCell ref="B11:N11"/>
    <mergeCell ref="P11:AE11"/>
    <mergeCell ref="I13:K13"/>
    <mergeCell ref="R13:T13"/>
    <mergeCell ref="W13:Y13"/>
    <mergeCell ref="AA13:AC13"/>
    <mergeCell ref="B64:N64"/>
    <mergeCell ref="P64:AE64"/>
    <mergeCell ref="R65:T65"/>
    <mergeCell ref="W65:Y65"/>
    <mergeCell ref="AA65:AC65"/>
  </mergeCells>
  <conditionalFormatting sqref="G15:G62 G66:G81">
    <cfRule type="expression" dxfId="287" priority="21" stopIfTrue="1">
      <formula>I15&gt;K15</formula>
    </cfRule>
    <cfRule type="expression" dxfId="286" priority="22" stopIfTrue="1">
      <formula>I15&lt;K15</formula>
    </cfRule>
  </conditionalFormatting>
  <conditionalFormatting sqref="M15:M62">
    <cfRule type="expression" dxfId="285" priority="23" stopIfTrue="1">
      <formula>K15&gt;I15</formula>
    </cfRule>
    <cfRule type="expression" dxfId="284" priority="24" stopIfTrue="1">
      <formula>K15&lt;I15</formula>
    </cfRule>
  </conditionalFormatting>
  <conditionalFormatting sqref="S15:S62 S66:S81">
    <cfRule type="expression" dxfId="283" priority="25" stopIfTrue="1">
      <formula>AND($R15&lt;&gt;"",$T15&lt;&gt;"")</formula>
    </cfRule>
  </conditionalFormatting>
  <conditionalFormatting sqref="P15:R62 P66:R81 T66:T81">
    <cfRule type="expression" dxfId="282" priority="26" stopIfTrue="1">
      <formula>AND($R15&gt;$T15,$R15&lt;&gt;"",$T15&lt;&gt;"")</formula>
    </cfRule>
    <cfRule type="expression" dxfId="281" priority="27" stopIfTrue="1">
      <formula>AND($R15&lt;$T15,$R15&lt;&gt;"",$T15&lt;&gt;"")</formula>
    </cfRule>
    <cfRule type="expression" dxfId="280" priority="28" stopIfTrue="1">
      <formula>AND($R15&lt;&gt;"",$T15&lt;&gt;"")</formula>
    </cfRule>
  </conditionalFormatting>
  <conditionalFormatting sqref="U66:V81 T15:V62">
    <cfRule type="expression" dxfId="279" priority="29" stopIfTrue="1">
      <formula>AND($T15&gt;$R15,$R15&lt;&gt;"",$T15&lt;&gt;"")</formula>
    </cfRule>
    <cfRule type="expression" dxfId="278" priority="30" stopIfTrue="1">
      <formula>AND($T15&lt;$R15,$R15&lt;&gt;"",$T15&lt;&gt;"")</formula>
    </cfRule>
    <cfRule type="expression" dxfId="277" priority="31" stopIfTrue="1">
      <formula>AND($R15&lt;&gt;"",$T15&lt;&gt;"")</formula>
    </cfRule>
  </conditionalFormatting>
  <conditionalFormatting sqref="O15">
    <cfRule type="expression" dxfId="276" priority="32" stopIfTrue="1">
      <formula>#REF!&gt;#REF!</formula>
    </cfRule>
    <cfRule type="expression" dxfId="275" priority="33" stopIfTrue="1">
      <formula>#REF!&lt;#REF!</formula>
    </cfRule>
  </conditionalFormatting>
  <conditionalFormatting sqref="I15:I62 K15:K62 K66:K81 I66:I81">
    <cfRule type="expression" dxfId="274" priority="34" stopIfTrue="1">
      <formula>ISBLANK(I15)</formula>
    </cfRule>
  </conditionalFormatting>
  <conditionalFormatting sqref="X15:X61">
    <cfRule type="expression" dxfId="273" priority="14" stopIfTrue="1">
      <formula>AND($R15&lt;&gt;"",$T15&lt;&gt;"")</formula>
    </cfRule>
  </conditionalFormatting>
  <conditionalFormatting sqref="W15:W61">
    <cfRule type="expression" dxfId="272" priority="15" stopIfTrue="1">
      <formula>AND($R15&gt;$T15,$R15&lt;&gt;"",$T15&lt;&gt;"")</formula>
    </cfRule>
    <cfRule type="expression" dxfId="271" priority="16" stopIfTrue="1">
      <formula>AND($R15&lt;$T15,$R15&lt;&gt;"",$T15&lt;&gt;"")</formula>
    </cfRule>
    <cfRule type="expression" dxfId="270" priority="17" stopIfTrue="1">
      <formula>AND($R15&lt;&gt;"",$T15&lt;&gt;"")</formula>
    </cfRule>
  </conditionalFormatting>
  <conditionalFormatting sqref="Y15:Z61">
    <cfRule type="expression" dxfId="269" priority="18" stopIfTrue="1">
      <formula>AND($T15&gt;$R15,$R15&lt;&gt;"",$T15&lt;&gt;"")</formula>
    </cfRule>
    <cfRule type="expression" dxfId="268" priority="19" stopIfTrue="1">
      <formula>AND($T15&lt;$R15,$R15&lt;&gt;"",$T15&lt;&gt;"")</formula>
    </cfRule>
    <cfRule type="expression" dxfId="267" priority="20" stopIfTrue="1">
      <formula>AND($R15&lt;&gt;"",$T15&lt;&gt;"")</formula>
    </cfRule>
  </conditionalFormatting>
  <conditionalFormatting sqref="AB15:AB61">
    <cfRule type="expression" dxfId="266" priority="7" stopIfTrue="1">
      <formula>AND($R15&lt;&gt;"",$T15&lt;&gt;"")</formula>
    </cfRule>
  </conditionalFormatting>
  <conditionalFormatting sqref="AA15:AA61">
    <cfRule type="expression" dxfId="265" priority="8" stopIfTrue="1">
      <formula>AND($R15&gt;$T15,$R15&lt;&gt;"",$T15&lt;&gt;"")</formula>
    </cfRule>
    <cfRule type="expression" dxfId="264" priority="9" stopIfTrue="1">
      <formula>AND($R15&lt;$T15,$R15&lt;&gt;"",$T15&lt;&gt;"")</formula>
    </cfRule>
    <cfRule type="expression" dxfId="263" priority="10" stopIfTrue="1">
      <formula>AND($R15&lt;&gt;"",$T15&lt;&gt;"")</formula>
    </cfRule>
  </conditionalFormatting>
  <conditionalFormatting sqref="AC15:AC61">
    <cfRule type="expression" dxfId="262" priority="11" stopIfTrue="1">
      <formula>AND($T15&gt;$R15,$R15&lt;&gt;"",$T15&lt;&gt;"")</formula>
    </cfRule>
    <cfRule type="expression" dxfId="261" priority="12" stopIfTrue="1">
      <formula>AND($T15&lt;$R15,$R15&lt;&gt;"",$T15&lt;&gt;"")</formula>
    </cfRule>
    <cfRule type="expression" dxfId="260" priority="13" stopIfTrue="1">
      <formula>AND($R15&lt;&gt;"",$T15&lt;&gt;"")</formula>
    </cfRule>
  </conditionalFormatting>
  <conditionalFormatting sqref="M66:M81">
    <cfRule type="expression" dxfId="259" priority="35">
      <formula>K66&gt;I66</formula>
    </cfRule>
    <cfRule type="expression" dxfId="258" priority="36">
      <formula>$K66&lt;$I66</formula>
    </cfRule>
  </conditionalFormatting>
  <conditionalFormatting sqref="X66:X81">
    <cfRule type="expression" dxfId="257" priority="6">
      <formula>AND($W66&lt;&gt;"",$Y66&lt;&gt;"")</formula>
    </cfRule>
  </conditionalFormatting>
  <conditionalFormatting sqref="AB66:AB81">
    <cfRule type="expression" dxfId="256" priority="5">
      <formula>AND($AA66&lt;&gt;"",$AC66&lt;&gt;"")</formula>
    </cfRule>
  </conditionalFormatting>
  <conditionalFormatting sqref="AA65:AC65">
    <cfRule type="expression" dxfId="255" priority="4">
      <formula>$Z$67=1</formula>
    </cfRule>
  </conditionalFormatting>
  <conditionalFormatting sqref="W65:Y65">
    <cfRule type="expression" dxfId="254" priority="3">
      <formula>OR($Z$66=1,$Z$67=1)</formula>
    </cfRule>
  </conditionalFormatting>
  <conditionalFormatting sqref="W66:Y81">
    <cfRule type="expression" dxfId="253" priority="2">
      <formula>OR($Z$66=1,$Z$67=1)</formula>
    </cfRule>
  </conditionalFormatting>
  <conditionalFormatting sqref="AA66:AC81">
    <cfRule type="expression" dxfId="252" priority="1">
      <formula>$Z$67=1</formula>
    </cfRule>
  </conditionalFormatting>
  <printOptions horizontalCentered="1" verticalCentered="1"/>
  <pageMargins left="0.39" right="0.32" top="0.28999999999999998" bottom="0.39" header="0.21" footer="0.26"/>
  <pageSetup scale="59" orientation="portrait" horizontalDpi="300" verticalDpi="300" r:id="rId1"/>
  <headerFooter alignWithMargins="0">
    <oddFooter xml:space="preserve">&amp;C
</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S126"/>
  <sheetViews>
    <sheetView showGridLines="0" zoomScaleNormal="100" workbookViewId="0">
      <selection activeCell="C82" sqref="C82"/>
    </sheetView>
  </sheetViews>
  <sheetFormatPr defaultColWidth="0" defaultRowHeight="14.4" customHeight="1" zeroHeight="1"/>
  <cols>
    <col min="1" max="1" width="2.44140625" style="204" customWidth="1"/>
    <col min="2" max="2" width="3.6640625" style="204" customWidth="1"/>
    <col min="3" max="3" width="4.109375" style="204" customWidth="1"/>
    <col min="4" max="4" width="6.33203125" style="204" customWidth="1"/>
    <col min="5" max="5" width="8.21875" style="204" customWidth="1"/>
    <col min="6" max="6" width="6.88671875" style="205" customWidth="1"/>
    <col min="7" max="7" width="20.6640625" style="204" customWidth="1"/>
    <col min="8" max="8" width="1.77734375" style="204" customWidth="1"/>
    <col min="9" max="9" width="3.44140625" style="204" customWidth="1"/>
    <col min="10" max="10" width="1.77734375" style="206" customWidth="1"/>
    <col min="11" max="11" width="3.44140625" style="204" customWidth="1"/>
    <col min="12" max="12" width="1.6640625" style="204" customWidth="1"/>
    <col min="13" max="13" width="20.6640625" style="204" customWidth="1"/>
    <col min="14" max="14" width="2.44140625" style="204" customWidth="1"/>
    <col min="15" max="15" width="1.77734375" style="204" customWidth="1"/>
    <col min="16" max="16" width="20.6640625" style="204" customWidth="1"/>
    <col min="17" max="17" width="1.6640625" style="204" customWidth="1"/>
    <col min="18" max="18" width="3.44140625" style="204" customWidth="1"/>
    <col min="19" max="19" width="1.77734375" style="206" customWidth="1"/>
    <col min="20" max="20" width="3.44140625" style="204" customWidth="1"/>
    <col min="21" max="21" width="1.6640625" style="204" customWidth="1"/>
    <col min="22" max="22" width="17.5546875" style="204" customWidth="1"/>
    <col min="23" max="23" width="3.44140625" style="204" customWidth="1"/>
    <col min="24" max="24" width="1.77734375" style="206" customWidth="1"/>
    <col min="25" max="25" width="3.44140625" style="204" customWidth="1"/>
    <col min="26" max="26" width="1.77734375" style="204" customWidth="1"/>
    <col min="27" max="27" width="3.44140625" style="204" customWidth="1"/>
    <col min="28" max="28" width="1.77734375" style="206" customWidth="1"/>
    <col min="29" max="29" width="3.44140625" style="204" customWidth="1"/>
    <col min="30" max="30" width="5.77734375" style="206" customWidth="1"/>
    <col min="31" max="31" width="9.109375" style="204" customWidth="1"/>
    <col min="32" max="32" width="2.6640625" style="204" customWidth="1"/>
    <col min="33" max="33" width="9.109375" style="204" hidden="1" customWidth="1"/>
    <col min="34" max="90" width="0" style="204" hidden="1" customWidth="1"/>
    <col min="91" max="94" width="0" style="207" hidden="1" customWidth="1"/>
    <col min="95" max="97" width="0" style="204" hidden="1" customWidth="1"/>
    <col min="98" max="16384" width="9.109375" style="204" hidden="1"/>
  </cols>
  <sheetData>
    <row r="1" spans="2:97" s="166" customFormat="1" ht="15" customHeight="1">
      <c r="J1" s="167"/>
      <c r="S1" s="167"/>
      <c r="X1" s="167"/>
      <c r="AB1" s="167"/>
      <c r="AD1" s="167"/>
      <c r="CM1" s="168"/>
      <c r="CN1" s="168"/>
      <c r="CO1" s="168"/>
      <c r="CP1" s="168"/>
    </row>
    <row r="2" spans="2:97" s="166" customFormat="1" ht="15" customHeight="1">
      <c r="J2" s="167"/>
      <c r="S2" s="167"/>
      <c r="X2" s="167"/>
      <c r="AB2" s="167"/>
      <c r="AD2" s="167"/>
      <c r="CM2" s="168"/>
      <c r="CN2" s="168"/>
      <c r="CO2" s="168"/>
      <c r="CP2" s="168"/>
    </row>
    <row r="3" spans="2:97" s="166" customFormat="1" ht="15" customHeight="1">
      <c r="J3" s="167"/>
      <c r="S3" s="167"/>
      <c r="X3" s="167"/>
      <c r="AB3" s="167"/>
      <c r="AD3" s="167"/>
      <c r="CM3" s="168"/>
      <c r="CN3" s="168"/>
      <c r="CO3" s="168"/>
      <c r="CP3" s="168"/>
    </row>
    <row r="4" spans="2:97" s="166" customFormat="1" ht="25.05" customHeight="1">
      <c r="B4" s="297" t="s">
        <v>3871</v>
      </c>
      <c r="C4" s="298"/>
      <c r="D4" s="307" t="str">
        <f ca="1">IF(INDIRECT("'Player Name'!"&amp;"$c"&amp;B8)&lt;&gt;"",INDIRECT("'Player Name'!"&amp;"$c"&amp;B8),"")</f>
        <v>John 9</v>
      </c>
      <c r="E4" s="308"/>
      <c r="F4" s="308"/>
      <c r="G4" s="308"/>
      <c r="H4" s="308"/>
      <c r="I4" s="308"/>
      <c r="J4" s="308"/>
      <c r="K4" s="308"/>
      <c r="L4" s="308"/>
      <c r="M4" s="309"/>
      <c r="S4" s="167"/>
      <c r="X4" s="167"/>
      <c r="AB4" s="167"/>
      <c r="CM4" s="168"/>
      <c r="CN4" s="168"/>
      <c r="CO4" s="168"/>
      <c r="CP4" s="168"/>
    </row>
    <row r="5" spans="2:97" s="173" customFormat="1" ht="15" customHeight="1">
      <c r="B5" s="169"/>
      <c r="C5" s="169"/>
      <c r="D5" s="170"/>
      <c r="E5" s="170"/>
      <c r="F5" s="170"/>
      <c r="G5" s="171" t="s">
        <v>848</v>
      </c>
      <c r="H5" s="294" t="s">
        <v>3872</v>
      </c>
      <c r="I5" s="294"/>
      <c r="J5" s="294"/>
      <c r="K5" s="294"/>
      <c r="L5" s="295"/>
      <c r="M5" s="171" t="s">
        <v>3870</v>
      </c>
      <c r="N5" s="166"/>
      <c r="O5" s="166"/>
      <c r="P5" s="172"/>
      <c r="Q5" s="166"/>
      <c r="R5" s="166"/>
      <c r="S5" s="167"/>
      <c r="T5" s="166"/>
      <c r="U5" s="166"/>
      <c r="V5" s="166"/>
      <c r="W5" s="166"/>
      <c r="X5" s="167"/>
      <c r="Y5" s="166"/>
      <c r="Z5" s="166"/>
      <c r="AA5" s="166"/>
      <c r="AB5" s="167"/>
      <c r="AC5" s="296"/>
      <c r="AD5" s="296"/>
      <c r="AE5" s="296"/>
      <c r="CM5" s="174"/>
      <c r="CN5" s="174"/>
      <c r="CO5" s="174"/>
      <c r="CP5" s="174"/>
    </row>
    <row r="6" spans="2:97" s="166" customFormat="1" ht="15" customHeight="1">
      <c r="B6" s="318">
        <f>B8-5</f>
        <v>9</v>
      </c>
      <c r="C6" s="318"/>
      <c r="D6" s="315" t="s">
        <v>3868</v>
      </c>
      <c r="E6" s="315"/>
      <c r="F6" s="315"/>
      <c r="G6" s="175">
        <f>SUM(AD15:AD62)</f>
        <v>0</v>
      </c>
      <c r="H6" s="310">
        <f>SUM(AD66:AD81)</f>
        <v>0</v>
      </c>
      <c r="I6" s="311"/>
      <c r="J6" s="311"/>
      <c r="K6" s="311"/>
      <c r="L6" s="311"/>
      <c r="M6" s="176">
        <f>H6+G6</f>
        <v>0</v>
      </c>
      <c r="X6" s="167"/>
      <c r="AB6" s="167"/>
      <c r="CM6" s="168"/>
      <c r="CN6" s="168"/>
      <c r="CO6" s="168"/>
      <c r="CP6" s="168"/>
    </row>
    <row r="7" spans="2:97" s="166" customFormat="1" ht="15" customHeight="1">
      <c r="B7" s="318"/>
      <c r="C7" s="319"/>
      <c r="D7" s="316" t="s">
        <v>3869</v>
      </c>
      <c r="E7" s="317"/>
      <c r="F7" s="317"/>
      <c r="G7" s="177"/>
      <c r="H7" s="312"/>
      <c r="I7" s="312"/>
      <c r="J7" s="312"/>
      <c r="K7" s="312"/>
      <c r="L7" s="313"/>
      <c r="M7" s="178">
        <f ca="1">INDEX('Player Leaderboard'!$A$9:$A$23,MATCH($D4,'Player Leaderboard'!$B$9:$B$23,0),0)</f>
        <v>9</v>
      </c>
      <c r="P7" s="210" t="str">
        <f>HYPERLINK("["&amp;Setup!$C$5&amp;"]'Player ("&amp;B8-6&amp;")'!B6","&lt;&lt; Previous Player ("&amp;B8-6&amp;")")</f>
        <v>&lt;&lt; Previous Player (8)</v>
      </c>
      <c r="S7" s="167"/>
      <c r="X7" s="167"/>
      <c r="AB7" s="167"/>
      <c r="AC7" s="320" t="str">
        <f>HYPERLINK("["&amp;Setup!$C$5&amp;"]'Player ("&amp;B8-4&amp;")'!B6","Next Player ("&amp;B8-4&amp;") &gt;&gt;")</f>
        <v>Next Player (10) &gt;&gt;</v>
      </c>
      <c r="AD7" s="320"/>
      <c r="AE7" s="320"/>
      <c r="CM7" s="168"/>
      <c r="CN7" s="168"/>
      <c r="CO7" s="168"/>
      <c r="CP7" s="168"/>
    </row>
    <row r="8" spans="2:97" s="166" customFormat="1" ht="15" customHeight="1">
      <c r="B8" s="208">
        <v>14</v>
      </c>
      <c r="J8" s="167"/>
      <c r="S8" s="167"/>
      <c r="X8" s="167"/>
      <c r="AB8" s="167"/>
      <c r="AD8" s="167"/>
      <c r="CM8" s="168"/>
      <c r="CN8" s="168"/>
      <c r="CO8" s="168"/>
      <c r="CP8" s="168"/>
    </row>
    <row r="9" spans="2:97" s="166" customFormat="1" ht="15" customHeight="1">
      <c r="B9" s="314" t="s">
        <v>491</v>
      </c>
      <c r="C9" s="314"/>
      <c r="D9" s="314"/>
      <c r="E9" s="314"/>
      <c r="F9" s="314"/>
      <c r="G9" s="314"/>
      <c r="H9" s="314"/>
      <c r="I9" s="314"/>
      <c r="J9" s="314"/>
      <c r="K9" s="314"/>
      <c r="L9" s="314"/>
      <c r="M9" s="314"/>
      <c r="N9" s="314"/>
      <c r="P9" s="303" t="s">
        <v>492</v>
      </c>
      <c r="Q9" s="304"/>
      <c r="R9" s="304"/>
      <c r="S9" s="304"/>
      <c r="T9" s="304"/>
      <c r="U9" s="304"/>
      <c r="V9" s="304"/>
      <c r="W9" s="304"/>
      <c r="X9" s="304"/>
      <c r="Y9" s="304"/>
      <c r="Z9" s="304"/>
      <c r="AA9" s="304"/>
      <c r="AB9" s="304"/>
      <c r="AC9" s="304"/>
      <c r="AD9" s="304"/>
      <c r="AE9" s="305"/>
      <c r="CM9" s="168"/>
      <c r="CN9" s="168"/>
      <c r="CO9" s="168"/>
      <c r="CP9" s="168"/>
    </row>
    <row r="10" spans="2:97" s="166" customFormat="1" ht="15" customHeight="1">
      <c r="B10" s="180"/>
      <c r="C10" s="180"/>
      <c r="D10" s="180"/>
      <c r="E10" s="180"/>
      <c r="F10" s="180"/>
      <c r="G10" s="180"/>
      <c r="H10" s="180"/>
      <c r="I10" s="180"/>
      <c r="J10" s="181"/>
      <c r="K10" s="180"/>
      <c r="L10" s="180"/>
      <c r="M10" s="180"/>
      <c r="N10" s="180"/>
      <c r="O10" s="180"/>
      <c r="P10" s="180"/>
      <c r="Q10" s="180"/>
      <c r="R10" s="180"/>
      <c r="S10" s="180"/>
      <c r="T10" s="180"/>
      <c r="U10" s="180"/>
      <c r="V10" s="180"/>
      <c r="W10" s="180"/>
      <c r="X10" s="180"/>
      <c r="Y10" s="180"/>
      <c r="Z10" s="180"/>
      <c r="AA10" s="180"/>
      <c r="AB10" s="180"/>
      <c r="AC10" s="180"/>
      <c r="AD10" s="180"/>
      <c r="AE10" s="180"/>
      <c r="AF10" s="180"/>
      <c r="AG10" s="180"/>
      <c r="CM10" s="168"/>
      <c r="CN10" s="168"/>
      <c r="CO10" s="168"/>
      <c r="CP10" s="168"/>
    </row>
    <row r="11" spans="2:97" s="166" customFormat="1" ht="15" customHeight="1">
      <c r="B11" s="300" t="str">
        <f>Tournament!B10</f>
        <v>Group Stages</v>
      </c>
      <c r="C11" s="301"/>
      <c r="D11" s="301"/>
      <c r="E11" s="301"/>
      <c r="F11" s="301"/>
      <c r="G11" s="301"/>
      <c r="H11" s="301"/>
      <c r="I11" s="301"/>
      <c r="J11" s="301"/>
      <c r="K11" s="301"/>
      <c r="L11" s="301"/>
      <c r="M11" s="301"/>
      <c r="N11" s="302"/>
      <c r="P11" s="303" t="str">
        <f>B11</f>
        <v>Group Stages</v>
      </c>
      <c r="Q11" s="304"/>
      <c r="R11" s="304"/>
      <c r="S11" s="304"/>
      <c r="T11" s="304"/>
      <c r="U11" s="304"/>
      <c r="V11" s="304"/>
      <c r="W11" s="304"/>
      <c r="X11" s="304"/>
      <c r="Y11" s="304"/>
      <c r="Z11" s="304"/>
      <c r="AA11" s="304"/>
      <c r="AB11" s="304"/>
      <c r="AC11" s="304"/>
      <c r="AD11" s="304"/>
      <c r="AE11" s="305"/>
      <c r="CM11" s="168"/>
      <c r="CN11" s="168"/>
      <c r="CO11" s="168"/>
      <c r="CP11" s="168"/>
    </row>
    <row r="12" spans="2:97" s="166" customFormat="1" ht="15" customHeight="1">
      <c r="B12" s="182"/>
      <c r="C12" s="180"/>
      <c r="D12" s="180"/>
      <c r="E12" s="180"/>
      <c r="F12" s="180"/>
      <c r="G12" s="180"/>
      <c r="H12" s="180"/>
      <c r="I12" s="180"/>
      <c r="J12" s="181"/>
      <c r="K12" s="180"/>
      <c r="L12" s="180"/>
      <c r="M12" s="180"/>
      <c r="N12" s="183"/>
      <c r="P12" s="182"/>
      <c r="Q12" s="180"/>
      <c r="R12" s="180"/>
      <c r="S12" s="180"/>
      <c r="T12" s="180"/>
      <c r="U12" s="180"/>
      <c r="V12" s="180"/>
      <c r="W12" s="180"/>
      <c r="X12" s="180"/>
      <c r="Y12" s="180"/>
      <c r="Z12" s="180"/>
      <c r="AA12" s="180"/>
      <c r="AB12" s="180"/>
      <c r="AC12" s="180"/>
      <c r="AD12" s="180"/>
      <c r="AE12" s="183"/>
      <c r="CM12" s="168"/>
      <c r="CN12" s="168"/>
      <c r="CO12" s="168"/>
      <c r="CP12" s="168"/>
    </row>
    <row r="13" spans="2:97" s="166" customFormat="1" ht="15" customHeight="1">
      <c r="B13" s="182"/>
      <c r="C13" s="184" t="str">
        <f>Tournament!D14</f>
        <v>Match #</v>
      </c>
      <c r="D13" s="184" t="str">
        <f>Tournament!E14</f>
        <v>Group</v>
      </c>
      <c r="E13" s="184" t="str">
        <f>Tournament!F14</f>
        <v>Date</v>
      </c>
      <c r="F13" s="184" t="str">
        <f>Tournament!G14</f>
        <v>Time</v>
      </c>
      <c r="G13" s="184" t="str">
        <f>Tournament!H14</f>
        <v>Country</v>
      </c>
      <c r="H13" s="184"/>
      <c r="I13" s="306" t="str">
        <f>Tournament!J14</f>
        <v>Score</v>
      </c>
      <c r="J13" s="306"/>
      <c r="K13" s="306"/>
      <c r="L13" s="184"/>
      <c r="M13" s="184" t="str">
        <f>Tournament!N14</f>
        <v>Country</v>
      </c>
      <c r="N13" s="183"/>
      <c r="P13" s="185" t="str">
        <f>G13</f>
        <v>Country</v>
      </c>
      <c r="Q13" s="184"/>
      <c r="R13" s="306" t="str">
        <f>I13</f>
        <v>Score</v>
      </c>
      <c r="S13" s="306"/>
      <c r="T13" s="306"/>
      <c r="U13" s="184"/>
      <c r="V13" s="184" t="str">
        <f>M13</f>
        <v>Country</v>
      </c>
      <c r="W13" s="306"/>
      <c r="X13" s="306"/>
      <c r="Y13" s="306"/>
      <c r="Z13" s="184"/>
      <c r="AA13" s="306"/>
      <c r="AB13" s="306"/>
      <c r="AC13" s="306"/>
      <c r="AD13" s="184" t="s">
        <v>3277</v>
      </c>
      <c r="AE13" s="183"/>
      <c r="CP13" s="168"/>
      <c r="CQ13" s="186"/>
      <c r="CR13" s="187"/>
      <c r="CS13" s="168"/>
    </row>
    <row r="14" spans="2:97" s="166" customFormat="1" ht="15" customHeight="1">
      <c r="B14" s="182"/>
      <c r="C14" s="180"/>
      <c r="D14" s="180"/>
      <c r="E14" s="180"/>
      <c r="F14" s="180"/>
      <c r="G14" s="180"/>
      <c r="H14" s="180"/>
      <c r="I14" s="180"/>
      <c r="J14" s="180"/>
      <c r="K14" s="180"/>
      <c r="L14" s="180"/>
      <c r="M14" s="180"/>
      <c r="N14" s="183"/>
      <c r="P14" s="182"/>
      <c r="Q14" s="180"/>
      <c r="R14" s="180"/>
      <c r="S14" s="180"/>
      <c r="T14" s="180"/>
      <c r="U14" s="180"/>
      <c r="V14" s="180"/>
      <c r="W14" s="180"/>
      <c r="X14" s="180"/>
      <c r="Y14" s="180"/>
      <c r="Z14" s="180"/>
      <c r="AA14" s="180"/>
      <c r="AB14" s="180"/>
      <c r="AC14" s="180"/>
      <c r="AD14" s="181"/>
      <c r="AE14" s="183"/>
      <c r="CP14" s="168"/>
      <c r="CQ14" s="186"/>
      <c r="CR14" s="187"/>
      <c r="CS14" s="168"/>
    </row>
    <row r="15" spans="2:97" s="166" customFormat="1" ht="15" customHeight="1">
      <c r="B15" s="182"/>
      <c r="C15" s="181">
        <f>Tournament!D16</f>
        <v>1</v>
      </c>
      <c r="D15" s="181" t="str">
        <f>Tournament!E16</f>
        <v>A</v>
      </c>
      <c r="E15" s="188">
        <f>Tournament!F16</f>
        <v>41802.708333333336</v>
      </c>
      <c r="F15" s="189">
        <f>Tournament!G16</f>
        <v>41802.708333333336</v>
      </c>
      <c r="G15" s="190" t="str">
        <f>Tournament!H16</f>
        <v>Brazil</v>
      </c>
      <c r="H15" s="180"/>
      <c r="I15" s="9"/>
      <c r="J15" s="191" t="s">
        <v>3088</v>
      </c>
      <c r="K15" s="9"/>
      <c r="L15" s="180"/>
      <c r="M15" s="180" t="str">
        <f>Tournament!N16</f>
        <v>Croatia</v>
      </c>
      <c r="N15" s="183"/>
      <c r="O15" s="180"/>
      <c r="P15" s="192" t="str">
        <f>G15</f>
        <v>Brazil</v>
      </c>
      <c r="Q15" s="193"/>
      <c r="R15" s="194">
        <f>IF(Tournament!J16&lt;&gt;"",Tournament!J16,"")</f>
        <v>3</v>
      </c>
      <c r="S15" s="194" t="s">
        <v>3088</v>
      </c>
      <c r="T15" s="194">
        <f>IF(Tournament!L16&lt;&gt;"",Tournament!L16,"")</f>
        <v>1</v>
      </c>
      <c r="U15" s="193"/>
      <c r="V15" s="193" t="str">
        <f>M15</f>
        <v>Croatia</v>
      </c>
      <c r="W15" s="194"/>
      <c r="X15" s="194"/>
      <c r="Y15" s="194"/>
      <c r="Z15" s="194"/>
      <c r="AA15" s="194"/>
      <c r="AB15" s="194"/>
      <c r="AC15" s="194"/>
      <c r="AD15" s="195" t="str">
        <f>IF(AND(I15&lt;&gt;"",K15&lt;&gt;"",R15&lt;&gt;"",T15&lt;&gt;""),IF(AND(I15=R15,K15=T15),Setup!$D$10,IF((I15-K15)=(R15-T15),Setup!$D$11,IF(AND((I15&gt;K15),(R15&gt;T15)),Setup!$D$12,IF(AND((K15&gt;I15),(T15&gt;R15)),Setup!$D$12,0)))),"")</f>
        <v/>
      </c>
      <c r="AE15" s="183"/>
      <c r="CP15" s="168"/>
      <c r="CQ15" s="186"/>
      <c r="CR15" s="187"/>
      <c r="CS15" s="168"/>
    </row>
    <row r="16" spans="2:97" s="166" customFormat="1" ht="15" customHeight="1">
      <c r="B16" s="182"/>
      <c r="C16" s="181">
        <f>Tournament!D17</f>
        <v>2</v>
      </c>
      <c r="D16" s="181" t="str">
        <f>Tournament!E17</f>
        <v>A</v>
      </c>
      <c r="E16" s="188">
        <f>Tournament!F17</f>
        <v>41803.541666666664</v>
      </c>
      <c r="F16" s="189">
        <f>Tournament!G17</f>
        <v>41803.541666666664</v>
      </c>
      <c r="G16" s="190" t="str">
        <f>Tournament!H17</f>
        <v>Mexico</v>
      </c>
      <c r="H16" s="180"/>
      <c r="I16" s="9"/>
      <c r="J16" s="191" t="s">
        <v>3088</v>
      </c>
      <c r="K16" s="9"/>
      <c r="L16" s="180"/>
      <c r="M16" s="180" t="str">
        <f>Tournament!N17</f>
        <v>Cameroon</v>
      </c>
      <c r="N16" s="183"/>
      <c r="P16" s="192" t="str">
        <f t="shared" ref="P16:P62" si="0">G16</f>
        <v>Mexico</v>
      </c>
      <c r="Q16" s="193"/>
      <c r="R16" s="194">
        <f>IF(Tournament!J17&lt;&gt;"",Tournament!J17,"")</f>
        <v>1</v>
      </c>
      <c r="S16" s="194" t="s">
        <v>3088</v>
      </c>
      <c r="T16" s="194">
        <f>IF(Tournament!L17&lt;&gt;"",Tournament!L17,"")</f>
        <v>0</v>
      </c>
      <c r="U16" s="193"/>
      <c r="V16" s="193" t="str">
        <f t="shared" ref="V16:V62" si="1">M16</f>
        <v>Cameroon</v>
      </c>
      <c r="W16" s="194"/>
      <c r="X16" s="194"/>
      <c r="Y16" s="194"/>
      <c r="Z16" s="194"/>
      <c r="AA16" s="194"/>
      <c r="AB16" s="194"/>
      <c r="AC16" s="194"/>
      <c r="AD16" s="195" t="str">
        <f>IF(AND(I16&lt;&gt;"",K16&lt;&gt;"",R16&lt;&gt;"",T16&lt;&gt;""),IF(AND(I16=R16,K16=T16),Setup!$D$10,IF((I16-K16)=(R16-T16),Setup!$D$11,IF(AND((I16&gt;K16),(R16&gt;T16)),Setup!$D$12,IF(AND((K16&gt;I16),(T16&gt;R16)),Setup!$D$12,0)))),"")</f>
        <v/>
      </c>
      <c r="AE16" s="183"/>
      <c r="AI16" s="179" t="s">
        <v>3904</v>
      </c>
      <c r="CP16" s="168"/>
      <c r="CQ16" s="186"/>
      <c r="CR16" s="187"/>
      <c r="CS16" s="168"/>
    </row>
    <row r="17" spans="2:97" s="166" customFormat="1" ht="15" customHeight="1">
      <c r="B17" s="182"/>
      <c r="C17" s="181">
        <f>Tournament!D18</f>
        <v>3</v>
      </c>
      <c r="D17" s="181" t="str">
        <f>Tournament!E18</f>
        <v>B</v>
      </c>
      <c r="E17" s="188">
        <f>Tournament!F18</f>
        <v>41803.666666666664</v>
      </c>
      <c r="F17" s="189">
        <f>Tournament!G18</f>
        <v>41803.666666666664</v>
      </c>
      <c r="G17" s="190" t="str">
        <f>Tournament!H18</f>
        <v>Spain</v>
      </c>
      <c r="H17" s="180"/>
      <c r="I17" s="9"/>
      <c r="J17" s="191" t="s">
        <v>3088</v>
      </c>
      <c r="K17" s="9"/>
      <c r="L17" s="180"/>
      <c r="M17" s="180" t="str">
        <f>Tournament!N18</f>
        <v>Netherlands</v>
      </c>
      <c r="N17" s="183"/>
      <c r="P17" s="192" t="str">
        <f t="shared" si="0"/>
        <v>Spain</v>
      </c>
      <c r="Q17" s="193"/>
      <c r="R17" s="194">
        <f>IF(Tournament!J18&lt;&gt;"",Tournament!J18,"")</f>
        <v>1</v>
      </c>
      <c r="S17" s="194" t="s">
        <v>3088</v>
      </c>
      <c r="T17" s="194">
        <f>IF(Tournament!L18&lt;&gt;"",Tournament!L18,"")</f>
        <v>5</v>
      </c>
      <c r="U17" s="193"/>
      <c r="V17" s="193" t="str">
        <f t="shared" si="1"/>
        <v>Netherlands</v>
      </c>
      <c r="W17" s="194"/>
      <c r="X17" s="194"/>
      <c r="Y17" s="194"/>
      <c r="Z17" s="194"/>
      <c r="AA17" s="194"/>
      <c r="AB17" s="194"/>
      <c r="AC17" s="194"/>
      <c r="AD17" s="195" t="str">
        <f>IF(AND(I17&lt;&gt;"",K17&lt;&gt;"",R17&lt;&gt;"",T17&lt;&gt;""),IF(AND(I17=R17,K17=T17),Setup!$D$10,IF((I17-K17)=(R17-T17),Setup!$D$11,IF(AND((I17&gt;K17),(R17&gt;T17)),Setup!$D$12,IF(AND((K17&gt;I17),(T17&gt;R17)),Setup!$D$12,0)))),"")</f>
        <v/>
      </c>
      <c r="AE17" s="183"/>
      <c r="CP17" s="168"/>
      <c r="CQ17" s="186"/>
      <c r="CR17" s="187"/>
      <c r="CS17" s="168"/>
    </row>
    <row r="18" spans="2:97" s="166" customFormat="1" ht="15" customHeight="1">
      <c r="B18" s="182"/>
      <c r="C18" s="181">
        <f>Tournament!D19</f>
        <v>4</v>
      </c>
      <c r="D18" s="181" t="str">
        <f>Tournament!E19</f>
        <v>B</v>
      </c>
      <c r="E18" s="188">
        <f>Tournament!F19</f>
        <v>41803.791666666664</v>
      </c>
      <c r="F18" s="189">
        <f>Tournament!G19</f>
        <v>41803.791666666664</v>
      </c>
      <c r="G18" s="190" t="str">
        <f>Tournament!H19</f>
        <v>Chile</v>
      </c>
      <c r="H18" s="180"/>
      <c r="I18" s="9"/>
      <c r="J18" s="191" t="s">
        <v>3088</v>
      </c>
      <c r="K18" s="9"/>
      <c r="L18" s="180"/>
      <c r="M18" s="180" t="str">
        <f>Tournament!N19</f>
        <v>Australia</v>
      </c>
      <c r="N18" s="183"/>
      <c r="P18" s="192" t="str">
        <f t="shared" si="0"/>
        <v>Chile</v>
      </c>
      <c r="Q18" s="193"/>
      <c r="R18" s="194">
        <f>IF(Tournament!J19&lt;&gt;"",Tournament!J19,"")</f>
        <v>3</v>
      </c>
      <c r="S18" s="194" t="s">
        <v>3088</v>
      </c>
      <c r="T18" s="194">
        <f>IF(Tournament!L19&lt;&gt;"",Tournament!L19,"")</f>
        <v>1</v>
      </c>
      <c r="U18" s="193"/>
      <c r="V18" s="193" t="str">
        <f t="shared" si="1"/>
        <v>Australia</v>
      </c>
      <c r="W18" s="194"/>
      <c r="X18" s="194"/>
      <c r="Y18" s="194"/>
      <c r="Z18" s="194"/>
      <c r="AA18" s="194"/>
      <c r="AB18" s="194"/>
      <c r="AC18" s="194"/>
      <c r="AD18" s="195" t="str">
        <f>IF(AND(I18&lt;&gt;"",K18&lt;&gt;"",R18&lt;&gt;"",T18&lt;&gt;""),IF(AND(I18=R18,K18=T18),Setup!$D$10,IF((I18-K18)=(R18-T18),Setup!$D$11,IF(AND((I18&gt;K18),(R18&gt;T18)),Setup!$D$12,IF(AND((K18&gt;I18),(T18&gt;R18)),Setup!$D$12,0)))),"")</f>
        <v/>
      </c>
      <c r="AE18" s="183"/>
      <c r="CP18" s="168"/>
      <c r="CQ18" s="186"/>
      <c r="CR18" s="187"/>
      <c r="CS18" s="168"/>
    </row>
    <row r="19" spans="2:97" s="166" customFormat="1" ht="15" customHeight="1">
      <c r="B19" s="182"/>
      <c r="C19" s="181">
        <f>Tournament!D20</f>
        <v>5</v>
      </c>
      <c r="D19" s="181" t="str">
        <f>Tournament!E20</f>
        <v>C</v>
      </c>
      <c r="E19" s="188">
        <f>Tournament!F20</f>
        <v>41804.541666666664</v>
      </c>
      <c r="F19" s="189">
        <f>Tournament!G20</f>
        <v>41804.541666666664</v>
      </c>
      <c r="G19" s="190" t="str">
        <f>Tournament!H20</f>
        <v>Colombia</v>
      </c>
      <c r="H19" s="180"/>
      <c r="I19" s="9"/>
      <c r="J19" s="191" t="s">
        <v>3088</v>
      </c>
      <c r="K19" s="9"/>
      <c r="L19" s="180"/>
      <c r="M19" s="180" t="str">
        <f>Tournament!N20</f>
        <v>Greece</v>
      </c>
      <c r="N19" s="183"/>
      <c r="P19" s="192" t="str">
        <f t="shared" si="0"/>
        <v>Colombia</v>
      </c>
      <c r="Q19" s="193"/>
      <c r="R19" s="194" t="str">
        <f>IF(Tournament!J20&lt;&gt;"",Tournament!J20,"")</f>
        <v/>
      </c>
      <c r="S19" s="194" t="s">
        <v>3088</v>
      </c>
      <c r="T19" s="194" t="str">
        <f>IF(Tournament!L20&lt;&gt;"",Tournament!L20,"")</f>
        <v/>
      </c>
      <c r="U19" s="193"/>
      <c r="V19" s="193" t="str">
        <f t="shared" si="1"/>
        <v>Greece</v>
      </c>
      <c r="W19" s="194"/>
      <c r="X19" s="194"/>
      <c r="Y19" s="194"/>
      <c r="Z19" s="194"/>
      <c r="AA19" s="194"/>
      <c r="AB19" s="194"/>
      <c r="AC19" s="194"/>
      <c r="AD19" s="195" t="str">
        <f>IF(AND(I19&lt;&gt;"",K19&lt;&gt;"",R19&lt;&gt;"",T19&lt;&gt;""),IF(AND(I19=R19,K19=T19),Setup!$D$10,IF((I19-K19)=(R19-T19),Setup!$D$11,IF(AND((I19&gt;K19),(R19&gt;T19)),Setup!$D$12,IF(AND((K19&gt;I19),(T19&gt;R19)),Setup!$D$12,0)))),"")</f>
        <v/>
      </c>
      <c r="AE19" s="183"/>
      <c r="CP19" s="168"/>
      <c r="CQ19" s="186"/>
      <c r="CR19" s="187"/>
      <c r="CS19" s="168"/>
    </row>
    <row r="20" spans="2:97" s="166" customFormat="1" ht="15" customHeight="1">
      <c r="B20" s="182"/>
      <c r="C20" s="181">
        <f>Tournament!D21</f>
        <v>6</v>
      </c>
      <c r="D20" s="181" t="str">
        <f>Tournament!E21</f>
        <v>C</v>
      </c>
      <c r="E20" s="188">
        <f>Tournament!F21</f>
        <v>41804.916666666664</v>
      </c>
      <c r="F20" s="189">
        <f>Tournament!G21</f>
        <v>41804.916666666664</v>
      </c>
      <c r="G20" s="190" t="str">
        <f>Tournament!H21</f>
        <v>Ivory Coast</v>
      </c>
      <c r="H20" s="180"/>
      <c r="I20" s="9"/>
      <c r="J20" s="191" t="s">
        <v>3088</v>
      </c>
      <c r="K20" s="9"/>
      <c r="L20" s="180"/>
      <c r="M20" s="180" t="str">
        <f>Tournament!N21</f>
        <v>Japan</v>
      </c>
      <c r="N20" s="183"/>
      <c r="P20" s="192" t="str">
        <f t="shared" si="0"/>
        <v>Ivory Coast</v>
      </c>
      <c r="Q20" s="193"/>
      <c r="R20" s="194" t="str">
        <f>IF(Tournament!J21&lt;&gt;"",Tournament!J21,"")</f>
        <v/>
      </c>
      <c r="S20" s="194" t="s">
        <v>3088</v>
      </c>
      <c r="T20" s="194" t="str">
        <f>IF(Tournament!L21&lt;&gt;"",Tournament!L21,"")</f>
        <v/>
      </c>
      <c r="U20" s="193"/>
      <c r="V20" s="193" t="str">
        <f t="shared" si="1"/>
        <v>Japan</v>
      </c>
      <c r="W20" s="194"/>
      <c r="X20" s="194"/>
      <c r="Y20" s="194"/>
      <c r="Z20" s="194"/>
      <c r="AA20" s="194"/>
      <c r="AB20" s="194"/>
      <c r="AC20" s="194"/>
      <c r="AD20" s="195" t="str">
        <f>IF(AND(I20&lt;&gt;"",K20&lt;&gt;"",R20&lt;&gt;"",T20&lt;&gt;""),IF(AND(I20=R20,K20=T20),Setup!$D$10,IF((I20-K20)=(R20-T20),Setup!$D$11,IF(AND((I20&gt;K20),(R20&gt;T20)),Setup!$D$12,IF(AND((K20&gt;I20),(T20&gt;R20)),Setup!$D$12,0)))),"")</f>
        <v/>
      </c>
      <c r="AE20" s="183"/>
      <c r="CP20" s="168"/>
      <c r="CQ20" s="186"/>
      <c r="CR20" s="187"/>
      <c r="CS20" s="168"/>
    </row>
    <row r="21" spans="2:97" s="166" customFormat="1" ht="15" customHeight="1">
      <c r="B21" s="182"/>
      <c r="C21" s="181">
        <f>Tournament!D22</f>
        <v>7</v>
      </c>
      <c r="D21" s="181" t="str">
        <f>Tournament!E22</f>
        <v>D</v>
      </c>
      <c r="E21" s="188">
        <f>Tournament!F22</f>
        <v>41804.666666666664</v>
      </c>
      <c r="F21" s="189">
        <f>Tournament!G22</f>
        <v>41804.666666666664</v>
      </c>
      <c r="G21" s="190" t="str">
        <f>Tournament!H22</f>
        <v>Uruguay</v>
      </c>
      <c r="H21" s="180"/>
      <c r="I21" s="9"/>
      <c r="J21" s="191" t="s">
        <v>3088</v>
      </c>
      <c r="K21" s="9"/>
      <c r="L21" s="180"/>
      <c r="M21" s="180" t="str">
        <f>Tournament!N22</f>
        <v>Costa Rica</v>
      </c>
      <c r="N21" s="183"/>
      <c r="P21" s="192" t="str">
        <f t="shared" si="0"/>
        <v>Uruguay</v>
      </c>
      <c r="Q21" s="193"/>
      <c r="R21" s="194" t="str">
        <f>IF(Tournament!J22&lt;&gt;"",Tournament!J22,"")</f>
        <v/>
      </c>
      <c r="S21" s="194" t="s">
        <v>3088</v>
      </c>
      <c r="T21" s="194" t="str">
        <f>IF(Tournament!L22&lt;&gt;"",Tournament!L22,"")</f>
        <v/>
      </c>
      <c r="U21" s="193"/>
      <c r="V21" s="193" t="str">
        <f t="shared" si="1"/>
        <v>Costa Rica</v>
      </c>
      <c r="W21" s="194"/>
      <c r="X21" s="194"/>
      <c r="Y21" s="194"/>
      <c r="Z21" s="194"/>
      <c r="AA21" s="194"/>
      <c r="AB21" s="194"/>
      <c r="AC21" s="194"/>
      <c r="AD21" s="195" t="str">
        <f>IF(AND(I21&lt;&gt;"",K21&lt;&gt;"",R21&lt;&gt;"",T21&lt;&gt;""),IF(AND(I21=R21,K21=T21),Setup!$D$10,IF((I21-K21)=(R21-T21),Setup!$D$11,IF(AND((I21&gt;K21),(R21&gt;T21)),Setup!$D$12,IF(AND((K21&gt;I21),(T21&gt;R21)),Setup!$D$12,0)))),"")</f>
        <v/>
      </c>
      <c r="AE21" s="183"/>
      <c r="CP21" s="168"/>
      <c r="CQ21" s="196"/>
      <c r="CR21" s="187"/>
      <c r="CS21" s="168"/>
    </row>
    <row r="22" spans="2:97" s="166" customFormat="1" ht="15" customHeight="1">
      <c r="B22" s="182"/>
      <c r="C22" s="181">
        <f>Tournament!D23</f>
        <v>8</v>
      </c>
      <c r="D22" s="181" t="str">
        <f>Tournament!E23</f>
        <v>D</v>
      </c>
      <c r="E22" s="188">
        <f>Tournament!F23</f>
        <v>41804.791666666664</v>
      </c>
      <c r="F22" s="189">
        <f>Tournament!G23</f>
        <v>41804.791666666664</v>
      </c>
      <c r="G22" s="190" t="str">
        <f>Tournament!H23</f>
        <v>England</v>
      </c>
      <c r="H22" s="180"/>
      <c r="I22" s="9"/>
      <c r="J22" s="191" t="s">
        <v>3088</v>
      </c>
      <c r="K22" s="9"/>
      <c r="L22" s="180"/>
      <c r="M22" s="180" t="str">
        <f>Tournament!N23</f>
        <v>Italy</v>
      </c>
      <c r="N22" s="183"/>
      <c r="P22" s="192" t="str">
        <f t="shared" si="0"/>
        <v>England</v>
      </c>
      <c r="Q22" s="193"/>
      <c r="R22" s="194" t="str">
        <f>IF(Tournament!J23&lt;&gt;"",Tournament!J23,"")</f>
        <v/>
      </c>
      <c r="S22" s="194" t="s">
        <v>3088</v>
      </c>
      <c r="T22" s="194" t="str">
        <f>IF(Tournament!L23&lt;&gt;"",Tournament!L23,"")</f>
        <v/>
      </c>
      <c r="U22" s="193"/>
      <c r="V22" s="193" t="str">
        <f t="shared" si="1"/>
        <v>Italy</v>
      </c>
      <c r="W22" s="194"/>
      <c r="X22" s="194"/>
      <c r="Y22" s="194"/>
      <c r="Z22" s="194"/>
      <c r="AA22" s="194"/>
      <c r="AB22" s="194"/>
      <c r="AC22" s="194"/>
      <c r="AD22" s="195" t="str">
        <f>IF(AND(I22&lt;&gt;"",K22&lt;&gt;"",R22&lt;&gt;"",T22&lt;&gt;""),IF(AND(I22=R22,K22=T22),Setup!$D$10,IF((I22-K22)=(R22-T22),Setup!$D$11,IF(AND((I22&gt;K22),(R22&gt;T22)),Setup!$D$12,IF(AND((K22&gt;I22),(T22&gt;R22)),Setup!$D$12,0)))),"")</f>
        <v/>
      </c>
      <c r="AE22" s="183"/>
      <c r="CP22" s="168"/>
      <c r="CQ22" s="186"/>
      <c r="CR22" s="187"/>
      <c r="CS22" s="168"/>
    </row>
    <row r="23" spans="2:97" s="166" customFormat="1" ht="15" customHeight="1">
      <c r="B23" s="182"/>
      <c r="C23" s="181">
        <f>Tournament!D24</f>
        <v>9</v>
      </c>
      <c r="D23" s="181" t="str">
        <f>Tournament!E24</f>
        <v>E</v>
      </c>
      <c r="E23" s="188">
        <f>Tournament!F24</f>
        <v>41805.541666666664</v>
      </c>
      <c r="F23" s="189">
        <f>Tournament!G24</f>
        <v>41805.541666666664</v>
      </c>
      <c r="G23" s="190" t="str">
        <f>Tournament!H24</f>
        <v>Switzerland</v>
      </c>
      <c r="H23" s="180"/>
      <c r="I23" s="9"/>
      <c r="J23" s="191" t="s">
        <v>3088</v>
      </c>
      <c r="K23" s="9"/>
      <c r="L23" s="180"/>
      <c r="M23" s="180" t="str">
        <f>Tournament!N24</f>
        <v>Ecuador</v>
      </c>
      <c r="N23" s="183"/>
      <c r="P23" s="192" t="str">
        <f t="shared" si="0"/>
        <v>Switzerland</v>
      </c>
      <c r="Q23" s="193"/>
      <c r="R23" s="194" t="str">
        <f>IF(Tournament!J24&lt;&gt;"",Tournament!J24,"")</f>
        <v/>
      </c>
      <c r="S23" s="194" t="s">
        <v>3088</v>
      </c>
      <c r="T23" s="194" t="str">
        <f>IF(Tournament!L24&lt;&gt;"",Tournament!L24,"")</f>
        <v/>
      </c>
      <c r="U23" s="193"/>
      <c r="V23" s="193" t="str">
        <f t="shared" si="1"/>
        <v>Ecuador</v>
      </c>
      <c r="W23" s="194"/>
      <c r="X23" s="194"/>
      <c r="Y23" s="194"/>
      <c r="Z23" s="194"/>
      <c r="AA23" s="194"/>
      <c r="AB23" s="194"/>
      <c r="AC23" s="194"/>
      <c r="AD23" s="195" t="str">
        <f>IF(AND(I23&lt;&gt;"",K23&lt;&gt;"",R23&lt;&gt;"",T23&lt;&gt;""),IF(AND(I23=R23,K23=T23),Setup!$D$10,IF((I23-K23)=(R23-T23),Setup!$D$11,IF(AND((I23&gt;K23),(R23&gt;T23)),Setup!$D$12,IF(AND((K23&gt;I23),(T23&gt;R23)),Setup!$D$12,0)))),"")</f>
        <v/>
      </c>
      <c r="AE23" s="183"/>
      <c r="CP23" s="168"/>
      <c r="CQ23" s="186"/>
      <c r="CR23" s="187"/>
      <c r="CS23" s="168"/>
    </row>
    <row r="24" spans="2:97" s="166" customFormat="1" ht="15" customHeight="1">
      <c r="B24" s="182"/>
      <c r="C24" s="181">
        <f>Tournament!D25</f>
        <v>10</v>
      </c>
      <c r="D24" s="181" t="str">
        <f>Tournament!E25</f>
        <v>E</v>
      </c>
      <c r="E24" s="188">
        <f>Tournament!F25</f>
        <v>41805.666666666664</v>
      </c>
      <c r="F24" s="189">
        <f>Tournament!G25</f>
        <v>41805.666666666664</v>
      </c>
      <c r="G24" s="190" t="str">
        <f>Tournament!H25</f>
        <v>France</v>
      </c>
      <c r="H24" s="180"/>
      <c r="I24" s="9"/>
      <c r="J24" s="191" t="s">
        <v>3088</v>
      </c>
      <c r="K24" s="9"/>
      <c r="L24" s="180"/>
      <c r="M24" s="180" t="str">
        <f>Tournament!N25</f>
        <v>Honduras</v>
      </c>
      <c r="N24" s="183"/>
      <c r="P24" s="192" t="str">
        <f t="shared" si="0"/>
        <v>France</v>
      </c>
      <c r="Q24" s="193"/>
      <c r="R24" s="194" t="str">
        <f>IF(Tournament!J25&lt;&gt;"",Tournament!J25,"")</f>
        <v/>
      </c>
      <c r="S24" s="194" t="s">
        <v>3088</v>
      </c>
      <c r="T24" s="194" t="str">
        <f>IF(Tournament!L25&lt;&gt;"",Tournament!L25,"")</f>
        <v/>
      </c>
      <c r="U24" s="193"/>
      <c r="V24" s="193" t="str">
        <f t="shared" si="1"/>
        <v>Honduras</v>
      </c>
      <c r="W24" s="194"/>
      <c r="X24" s="194"/>
      <c r="Y24" s="194"/>
      <c r="Z24" s="194"/>
      <c r="AA24" s="194"/>
      <c r="AB24" s="194"/>
      <c r="AC24" s="194"/>
      <c r="AD24" s="195" t="str">
        <f>IF(AND(I24&lt;&gt;"",K24&lt;&gt;"",R24&lt;&gt;"",T24&lt;&gt;""),IF(AND(I24=R24,K24=T24),Setup!$D$10,IF((I24-K24)=(R24-T24),Setup!$D$11,IF(AND((I24&gt;K24),(R24&gt;T24)),Setup!$D$12,IF(AND((K24&gt;I24),(T24&gt;R24)),Setup!$D$12,0)))),"")</f>
        <v/>
      </c>
      <c r="AE24" s="183"/>
      <c r="CP24" s="168"/>
      <c r="CQ24" s="186"/>
      <c r="CR24" s="187"/>
      <c r="CS24" s="168"/>
    </row>
    <row r="25" spans="2:97" s="166" customFormat="1" ht="15" customHeight="1">
      <c r="B25" s="182"/>
      <c r="C25" s="181">
        <f>Tournament!D26</f>
        <v>11</v>
      </c>
      <c r="D25" s="181" t="str">
        <f>Tournament!E26</f>
        <v>F</v>
      </c>
      <c r="E25" s="188">
        <f>Tournament!F26</f>
        <v>41805.791666666664</v>
      </c>
      <c r="F25" s="189">
        <f>Tournament!G26</f>
        <v>41805.791666666664</v>
      </c>
      <c r="G25" s="190" t="str">
        <f>Tournament!H26</f>
        <v>Argentina</v>
      </c>
      <c r="H25" s="180"/>
      <c r="I25" s="9"/>
      <c r="J25" s="191" t="s">
        <v>3088</v>
      </c>
      <c r="K25" s="9"/>
      <c r="L25" s="180"/>
      <c r="M25" s="180" t="str">
        <f>Tournament!N26</f>
        <v>Bosnia-Herzegovina</v>
      </c>
      <c r="N25" s="183"/>
      <c r="P25" s="192" t="str">
        <f t="shared" si="0"/>
        <v>Argentina</v>
      </c>
      <c r="Q25" s="193"/>
      <c r="R25" s="194" t="str">
        <f>IF(Tournament!J26&lt;&gt;"",Tournament!J26,"")</f>
        <v/>
      </c>
      <c r="S25" s="194" t="s">
        <v>3088</v>
      </c>
      <c r="T25" s="194" t="str">
        <f>IF(Tournament!L26&lt;&gt;"",Tournament!L26,"")</f>
        <v/>
      </c>
      <c r="U25" s="193"/>
      <c r="V25" s="193" t="str">
        <f t="shared" si="1"/>
        <v>Bosnia-Herzegovina</v>
      </c>
      <c r="W25" s="194"/>
      <c r="X25" s="194"/>
      <c r="Y25" s="194"/>
      <c r="Z25" s="194"/>
      <c r="AA25" s="194"/>
      <c r="AB25" s="194"/>
      <c r="AC25" s="194"/>
      <c r="AD25" s="195" t="str">
        <f>IF(AND(I25&lt;&gt;"",K25&lt;&gt;"",R25&lt;&gt;"",T25&lt;&gt;""),IF(AND(I25=R25,K25=T25),Setup!$D$10,IF((I25-K25)=(R25-T25),Setup!$D$11,IF(AND((I25&gt;K25),(R25&gt;T25)),Setup!$D$12,IF(AND((K25&gt;I25),(T25&gt;R25)),Setup!$D$12,0)))),"")</f>
        <v/>
      </c>
      <c r="AE25" s="183"/>
      <c r="CP25" s="168"/>
      <c r="CQ25" s="186"/>
      <c r="CR25" s="187"/>
      <c r="CS25" s="168"/>
    </row>
    <row r="26" spans="2:97" s="166" customFormat="1" ht="15" customHeight="1">
      <c r="B26" s="182"/>
      <c r="C26" s="181">
        <f>Tournament!D27</f>
        <v>12</v>
      </c>
      <c r="D26" s="181" t="str">
        <f>Tournament!E27</f>
        <v>F</v>
      </c>
      <c r="E26" s="188">
        <f>Tournament!F27</f>
        <v>41806.666666666664</v>
      </c>
      <c r="F26" s="189">
        <f>Tournament!G27</f>
        <v>41806.666666666664</v>
      </c>
      <c r="G26" s="190" t="str">
        <f>Tournament!H27</f>
        <v>Iran</v>
      </c>
      <c r="H26" s="180"/>
      <c r="I26" s="9"/>
      <c r="J26" s="191" t="s">
        <v>3088</v>
      </c>
      <c r="K26" s="9"/>
      <c r="L26" s="180"/>
      <c r="M26" s="180" t="str">
        <f>Tournament!N27</f>
        <v>Nigeria</v>
      </c>
      <c r="N26" s="183"/>
      <c r="P26" s="192" t="str">
        <f t="shared" si="0"/>
        <v>Iran</v>
      </c>
      <c r="Q26" s="193"/>
      <c r="R26" s="194" t="str">
        <f>IF(Tournament!J27&lt;&gt;"",Tournament!J27,"")</f>
        <v/>
      </c>
      <c r="S26" s="194" t="s">
        <v>3088</v>
      </c>
      <c r="T26" s="194" t="str">
        <f>IF(Tournament!L27&lt;&gt;"",Tournament!L27,"")</f>
        <v/>
      </c>
      <c r="U26" s="193"/>
      <c r="V26" s="193" t="str">
        <f t="shared" si="1"/>
        <v>Nigeria</v>
      </c>
      <c r="W26" s="194"/>
      <c r="X26" s="194"/>
      <c r="Y26" s="194"/>
      <c r="Z26" s="194"/>
      <c r="AA26" s="194"/>
      <c r="AB26" s="194"/>
      <c r="AC26" s="194"/>
      <c r="AD26" s="195" t="str">
        <f>IF(AND(I26&lt;&gt;"",K26&lt;&gt;"",R26&lt;&gt;"",T26&lt;&gt;""),IF(AND(I26=R26,K26=T26),Setup!$D$10,IF((I26-K26)=(R26-T26),Setup!$D$11,IF(AND((I26&gt;K26),(R26&gt;T26)),Setup!$D$12,IF(AND((K26&gt;I26),(T26&gt;R26)),Setup!$D$12,0)))),"")</f>
        <v/>
      </c>
      <c r="AE26" s="183"/>
      <c r="CP26" s="168"/>
      <c r="CQ26" s="186"/>
      <c r="CR26" s="187"/>
      <c r="CS26" s="168"/>
    </row>
    <row r="27" spans="2:97" s="166" customFormat="1" ht="15" customHeight="1">
      <c r="B27" s="182"/>
      <c r="C27" s="181">
        <f>Tournament!D28</f>
        <v>13</v>
      </c>
      <c r="D27" s="181" t="str">
        <f>Tournament!E28</f>
        <v>G</v>
      </c>
      <c r="E27" s="188">
        <f>Tournament!F28</f>
        <v>41806.541666666664</v>
      </c>
      <c r="F27" s="189">
        <f>Tournament!G28</f>
        <v>41806.541666666664</v>
      </c>
      <c r="G27" s="190" t="str">
        <f>Tournament!H28</f>
        <v>Germany</v>
      </c>
      <c r="H27" s="180"/>
      <c r="I27" s="9"/>
      <c r="J27" s="191" t="s">
        <v>3088</v>
      </c>
      <c r="K27" s="9"/>
      <c r="L27" s="180"/>
      <c r="M27" s="180" t="str">
        <f>Tournament!N28</f>
        <v>Portugal</v>
      </c>
      <c r="N27" s="183"/>
      <c r="P27" s="192" t="str">
        <f t="shared" si="0"/>
        <v>Germany</v>
      </c>
      <c r="Q27" s="193"/>
      <c r="R27" s="194" t="str">
        <f>IF(Tournament!J28&lt;&gt;"",Tournament!J28,"")</f>
        <v/>
      </c>
      <c r="S27" s="194" t="s">
        <v>3088</v>
      </c>
      <c r="T27" s="194" t="str">
        <f>IF(Tournament!L28&lt;&gt;"",Tournament!L28,"")</f>
        <v/>
      </c>
      <c r="U27" s="193"/>
      <c r="V27" s="193" t="str">
        <f t="shared" si="1"/>
        <v>Portugal</v>
      </c>
      <c r="W27" s="194"/>
      <c r="X27" s="194"/>
      <c r="Y27" s="194"/>
      <c r="Z27" s="194"/>
      <c r="AA27" s="194"/>
      <c r="AB27" s="194"/>
      <c r="AC27" s="194"/>
      <c r="AD27" s="195" t="str">
        <f>IF(AND(I27&lt;&gt;"",K27&lt;&gt;"",R27&lt;&gt;"",T27&lt;&gt;""),IF(AND(I27=R27,K27=T27),Setup!$D$10,IF((I27-K27)=(R27-T27),Setup!$D$11,IF(AND((I27&gt;K27),(R27&gt;T27)),Setup!$D$12,IF(AND((K27&gt;I27),(T27&gt;R27)),Setup!$D$12,0)))),"")</f>
        <v/>
      </c>
      <c r="AE27" s="183"/>
      <c r="CP27" s="168"/>
      <c r="CQ27" s="186"/>
      <c r="CR27" s="187"/>
      <c r="CS27" s="168"/>
    </row>
    <row r="28" spans="2:97" s="166" customFormat="1" ht="15" customHeight="1">
      <c r="B28" s="182"/>
      <c r="C28" s="181">
        <f>Tournament!D29</f>
        <v>14</v>
      </c>
      <c r="D28" s="181" t="str">
        <f>Tournament!E29</f>
        <v>G</v>
      </c>
      <c r="E28" s="188">
        <f>Tournament!F29</f>
        <v>41806.791666666664</v>
      </c>
      <c r="F28" s="189">
        <f>Tournament!G29</f>
        <v>41806.791666666664</v>
      </c>
      <c r="G28" s="190" t="str">
        <f>Tournament!H29</f>
        <v>Ghana</v>
      </c>
      <c r="H28" s="180"/>
      <c r="I28" s="9"/>
      <c r="J28" s="191" t="s">
        <v>3088</v>
      </c>
      <c r="K28" s="9"/>
      <c r="L28" s="180"/>
      <c r="M28" s="180" t="str">
        <f>Tournament!N29</f>
        <v>USA</v>
      </c>
      <c r="N28" s="183"/>
      <c r="P28" s="192" t="str">
        <f t="shared" si="0"/>
        <v>Ghana</v>
      </c>
      <c r="Q28" s="193"/>
      <c r="R28" s="194" t="str">
        <f>IF(Tournament!J29&lt;&gt;"",Tournament!J29,"")</f>
        <v/>
      </c>
      <c r="S28" s="194" t="s">
        <v>3088</v>
      </c>
      <c r="T28" s="194" t="str">
        <f>IF(Tournament!L29&lt;&gt;"",Tournament!L29,"")</f>
        <v/>
      </c>
      <c r="U28" s="193"/>
      <c r="V28" s="193" t="str">
        <f t="shared" si="1"/>
        <v>USA</v>
      </c>
      <c r="W28" s="194"/>
      <c r="X28" s="194"/>
      <c r="Y28" s="194"/>
      <c r="Z28" s="194"/>
      <c r="AA28" s="194"/>
      <c r="AB28" s="194"/>
      <c r="AC28" s="194"/>
      <c r="AD28" s="195" t="str">
        <f>IF(AND(I28&lt;&gt;"",K28&lt;&gt;"",R28&lt;&gt;"",T28&lt;&gt;""),IF(AND(I28=R28,K28=T28),Setup!$D$10,IF((I28-K28)=(R28-T28),Setup!$D$11,IF(AND((I28&gt;K28),(R28&gt;T28)),Setup!$D$12,IF(AND((K28&gt;I28),(T28&gt;R28)),Setup!$D$12,0)))),"")</f>
        <v/>
      </c>
      <c r="AE28" s="183"/>
      <c r="CP28" s="168"/>
      <c r="CQ28" s="186"/>
      <c r="CR28" s="187"/>
      <c r="CS28" s="168"/>
    </row>
    <row r="29" spans="2:97" s="166" customFormat="1" ht="15" customHeight="1">
      <c r="B29" s="182"/>
      <c r="C29" s="181">
        <f>Tournament!D30</f>
        <v>15</v>
      </c>
      <c r="D29" s="181" t="str">
        <f>Tournament!E30</f>
        <v>H</v>
      </c>
      <c r="E29" s="188">
        <f>Tournament!F30</f>
        <v>41807.541666666664</v>
      </c>
      <c r="F29" s="189">
        <f>Tournament!G30</f>
        <v>41807.541666666664</v>
      </c>
      <c r="G29" s="190" t="str">
        <f>Tournament!H30</f>
        <v>Belgium</v>
      </c>
      <c r="H29" s="180"/>
      <c r="I29" s="9"/>
      <c r="J29" s="191" t="s">
        <v>3088</v>
      </c>
      <c r="K29" s="9"/>
      <c r="L29" s="180"/>
      <c r="M29" s="180" t="str">
        <f>Tournament!N30</f>
        <v>Algeria</v>
      </c>
      <c r="N29" s="183"/>
      <c r="P29" s="192" t="str">
        <f t="shared" si="0"/>
        <v>Belgium</v>
      </c>
      <c r="Q29" s="193"/>
      <c r="R29" s="194" t="str">
        <f>IF(Tournament!J30&lt;&gt;"",Tournament!J30,"")</f>
        <v/>
      </c>
      <c r="S29" s="194" t="s">
        <v>3088</v>
      </c>
      <c r="T29" s="194" t="str">
        <f>IF(Tournament!L30&lt;&gt;"",Tournament!L30,"")</f>
        <v/>
      </c>
      <c r="U29" s="193"/>
      <c r="V29" s="193" t="str">
        <f t="shared" si="1"/>
        <v>Algeria</v>
      </c>
      <c r="W29" s="194"/>
      <c r="X29" s="194"/>
      <c r="Y29" s="194"/>
      <c r="Z29" s="194"/>
      <c r="AA29" s="194"/>
      <c r="AB29" s="194"/>
      <c r="AC29" s="194"/>
      <c r="AD29" s="195" t="str">
        <f>IF(AND(I29&lt;&gt;"",K29&lt;&gt;"",R29&lt;&gt;"",T29&lt;&gt;""),IF(AND(I29=R29,K29=T29),Setup!$D$10,IF((I29-K29)=(R29-T29),Setup!$D$11,IF(AND((I29&gt;K29),(R29&gt;T29)),Setup!$D$12,IF(AND((K29&gt;I29),(T29&gt;R29)),Setup!$D$12,0)))),"")</f>
        <v/>
      </c>
      <c r="AE29" s="183"/>
      <c r="CP29" s="168"/>
      <c r="CQ29" s="186"/>
      <c r="CR29" s="187"/>
      <c r="CS29" s="168"/>
    </row>
    <row r="30" spans="2:97" s="166" customFormat="1" ht="15" customHeight="1">
      <c r="B30" s="182"/>
      <c r="C30" s="181">
        <f>Tournament!D31</f>
        <v>16</v>
      </c>
      <c r="D30" s="181" t="str">
        <f>Tournament!E31</f>
        <v>H</v>
      </c>
      <c r="E30" s="188">
        <f>Tournament!F31</f>
        <v>41807.791666666664</v>
      </c>
      <c r="F30" s="189">
        <f>Tournament!G31</f>
        <v>41807.791666666664</v>
      </c>
      <c r="G30" s="190" t="str">
        <f>Tournament!H31</f>
        <v>Russia</v>
      </c>
      <c r="H30" s="180"/>
      <c r="I30" s="9"/>
      <c r="J30" s="191" t="s">
        <v>3088</v>
      </c>
      <c r="K30" s="9"/>
      <c r="L30" s="180"/>
      <c r="M30" s="180" t="str">
        <f>Tournament!N31</f>
        <v>South Korea</v>
      </c>
      <c r="N30" s="183"/>
      <c r="P30" s="192" t="str">
        <f t="shared" si="0"/>
        <v>Russia</v>
      </c>
      <c r="Q30" s="193"/>
      <c r="R30" s="194" t="str">
        <f>IF(Tournament!J31&lt;&gt;"",Tournament!J31,"")</f>
        <v/>
      </c>
      <c r="S30" s="194" t="s">
        <v>3088</v>
      </c>
      <c r="T30" s="194" t="str">
        <f>IF(Tournament!L31&lt;&gt;"",Tournament!L31,"")</f>
        <v/>
      </c>
      <c r="U30" s="193"/>
      <c r="V30" s="193" t="str">
        <f t="shared" si="1"/>
        <v>South Korea</v>
      </c>
      <c r="W30" s="194"/>
      <c r="X30" s="194"/>
      <c r="Y30" s="194"/>
      <c r="Z30" s="194"/>
      <c r="AA30" s="194"/>
      <c r="AB30" s="194"/>
      <c r="AC30" s="194"/>
      <c r="AD30" s="195" t="str">
        <f>IF(AND(I30&lt;&gt;"",K30&lt;&gt;"",R30&lt;&gt;"",T30&lt;&gt;""),IF(AND(I30=R30,K30=T30),Setup!$D$10,IF((I30-K30)=(R30-T30),Setup!$D$11,IF(AND((I30&gt;K30),(R30&gt;T30)),Setup!$D$12,IF(AND((K30&gt;I30),(T30&gt;R30)),Setup!$D$12,0)))),"")</f>
        <v/>
      </c>
      <c r="AE30" s="183"/>
      <c r="CP30" s="168"/>
      <c r="CQ30" s="186"/>
      <c r="CR30" s="187"/>
      <c r="CS30" s="168"/>
    </row>
    <row r="31" spans="2:97" s="166" customFormat="1" ht="15" customHeight="1">
      <c r="B31" s="182"/>
      <c r="C31" s="181">
        <f>Tournament!D32</f>
        <v>17</v>
      </c>
      <c r="D31" s="181" t="str">
        <f>Tournament!E32</f>
        <v>A</v>
      </c>
      <c r="E31" s="188">
        <f>Tournament!F32</f>
        <v>41807.666666666664</v>
      </c>
      <c r="F31" s="189">
        <f>Tournament!G32</f>
        <v>41807.666666666664</v>
      </c>
      <c r="G31" s="190" t="str">
        <f>Tournament!H32</f>
        <v>Brazil</v>
      </c>
      <c r="H31" s="180"/>
      <c r="I31" s="9"/>
      <c r="J31" s="191" t="s">
        <v>3088</v>
      </c>
      <c r="K31" s="9"/>
      <c r="L31" s="180"/>
      <c r="M31" s="180" t="str">
        <f>Tournament!N32</f>
        <v>Mexico</v>
      </c>
      <c r="N31" s="183"/>
      <c r="P31" s="192" t="str">
        <f t="shared" si="0"/>
        <v>Brazil</v>
      </c>
      <c r="Q31" s="193"/>
      <c r="R31" s="194" t="str">
        <f>IF(Tournament!J32&lt;&gt;"",Tournament!J32,"")</f>
        <v/>
      </c>
      <c r="S31" s="194" t="s">
        <v>3088</v>
      </c>
      <c r="T31" s="194" t="str">
        <f>IF(Tournament!L32&lt;&gt;"",Tournament!L32,"")</f>
        <v/>
      </c>
      <c r="U31" s="193"/>
      <c r="V31" s="193" t="str">
        <f t="shared" si="1"/>
        <v>Mexico</v>
      </c>
      <c r="W31" s="194"/>
      <c r="X31" s="194"/>
      <c r="Y31" s="194"/>
      <c r="Z31" s="194"/>
      <c r="AA31" s="194"/>
      <c r="AB31" s="194"/>
      <c r="AC31" s="194"/>
      <c r="AD31" s="195" t="str">
        <f>IF(AND(I31&lt;&gt;"",K31&lt;&gt;"",R31&lt;&gt;"",T31&lt;&gt;""),IF(AND(I31=R31,K31=T31),Setup!$D$10,IF((I31-K31)=(R31-T31),Setup!$D$11,IF(AND((I31&gt;K31),(R31&gt;T31)),Setup!$D$12,IF(AND((K31&gt;I31),(T31&gt;R31)),Setup!$D$12,0)))),"")</f>
        <v/>
      </c>
      <c r="AE31" s="183"/>
      <c r="CP31" s="168"/>
      <c r="CQ31" s="186"/>
      <c r="CR31" s="187"/>
      <c r="CS31" s="168"/>
    </row>
    <row r="32" spans="2:97" s="166" customFormat="1" ht="15" customHeight="1">
      <c r="B32" s="182"/>
      <c r="C32" s="181">
        <f>Tournament!D33</f>
        <v>18</v>
      </c>
      <c r="D32" s="181" t="str">
        <f>Tournament!E33</f>
        <v>A</v>
      </c>
      <c r="E32" s="188">
        <f>Tournament!F33</f>
        <v>41808.791666666664</v>
      </c>
      <c r="F32" s="189">
        <f>Tournament!G33</f>
        <v>41808.791666666664</v>
      </c>
      <c r="G32" s="190" t="str">
        <f>Tournament!H33</f>
        <v>Cameroon</v>
      </c>
      <c r="H32" s="180"/>
      <c r="I32" s="9"/>
      <c r="J32" s="191" t="s">
        <v>3088</v>
      </c>
      <c r="K32" s="9"/>
      <c r="L32" s="180"/>
      <c r="M32" s="180" t="str">
        <f>Tournament!N33</f>
        <v>Croatia</v>
      </c>
      <c r="N32" s="183"/>
      <c r="P32" s="192" t="str">
        <f t="shared" si="0"/>
        <v>Cameroon</v>
      </c>
      <c r="Q32" s="193"/>
      <c r="R32" s="194" t="str">
        <f>IF(Tournament!J33&lt;&gt;"",Tournament!J33,"")</f>
        <v/>
      </c>
      <c r="S32" s="194" t="s">
        <v>3088</v>
      </c>
      <c r="T32" s="194" t="str">
        <f>IF(Tournament!L33&lt;&gt;"",Tournament!L33,"")</f>
        <v/>
      </c>
      <c r="U32" s="193"/>
      <c r="V32" s="193" t="str">
        <f t="shared" si="1"/>
        <v>Croatia</v>
      </c>
      <c r="W32" s="194"/>
      <c r="X32" s="194"/>
      <c r="Y32" s="194"/>
      <c r="Z32" s="194"/>
      <c r="AA32" s="194"/>
      <c r="AB32" s="194"/>
      <c r="AC32" s="194"/>
      <c r="AD32" s="195" t="str">
        <f>IF(AND(I32&lt;&gt;"",K32&lt;&gt;"",R32&lt;&gt;"",T32&lt;&gt;""),IF(AND(I32=R32,K32=T32),Setup!$D$10,IF((I32-K32)=(R32-T32),Setup!$D$11,IF(AND((I32&gt;K32),(R32&gt;T32)),Setup!$D$12,IF(AND((K32&gt;I32),(T32&gt;R32)),Setup!$D$12,0)))),"")</f>
        <v/>
      </c>
      <c r="AE32" s="183"/>
      <c r="CP32" s="168"/>
      <c r="CQ32" s="186"/>
      <c r="CR32" s="187"/>
      <c r="CS32" s="168"/>
    </row>
    <row r="33" spans="2:97" s="166" customFormat="1" ht="15" customHeight="1">
      <c r="B33" s="182"/>
      <c r="C33" s="181">
        <f>Tournament!D34</f>
        <v>19</v>
      </c>
      <c r="D33" s="181" t="str">
        <f>Tournament!E34</f>
        <v>B</v>
      </c>
      <c r="E33" s="188">
        <f>Tournament!F34</f>
        <v>41808.666666666664</v>
      </c>
      <c r="F33" s="189">
        <f>Tournament!G34</f>
        <v>41808.666666666664</v>
      </c>
      <c r="G33" s="190" t="str">
        <f>Tournament!H34</f>
        <v>Spain</v>
      </c>
      <c r="H33" s="180"/>
      <c r="I33" s="9"/>
      <c r="J33" s="191" t="s">
        <v>3088</v>
      </c>
      <c r="K33" s="9"/>
      <c r="L33" s="180"/>
      <c r="M33" s="180" t="str">
        <f>Tournament!N34</f>
        <v>Chile</v>
      </c>
      <c r="N33" s="183"/>
      <c r="P33" s="192" t="str">
        <f t="shared" si="0"/>
        <v>Spain</v>
      </c>
      <c r="Q33" s="193"/>
      <c r="R33" s="194" t="str">
        <f>IF(Tournament!J34&lt;&gt;"",Tournament!J34,"")</f>
        <v/>
      </c>
      <c r="S33" s="194" t="s">
        <v>3088</v>
      </c>
      <c r="T33" s="194" t="str">
        <f>IF(Tournament!L34&lt;&gt;"",Tournament!L34,"")</f>
        <v/>
      </c>
      <c r="U33" s="193"/>
      <c r="V33" s="193" t="str">
        <f t="shared" si="1"/>
        <v>Chile</v>
      </c>
      <c r="W33" s="194"/>
      <c r="X33" s="194"/>
      <c r="Y33" s="194"/>
      <c r="Z33" s="194"/>
      <c r="AA33" s="194"/>
      <c r="AB33" s="194"/>
      <c r="AC33" s="194"/>
      <c r="AD33" s="195" t="str">
        <f>IF(AND(I33&lt;&gt;"",K33&lt;&gt;"",R33&lt;&gt;"",T33&lt;&gt;""),IF(AND(I33=R33,K33=T33),Setup!$D$10,IF((I33-K33)=(R33-T33),Setup!$D$11,IF(AND((I33&gt;K33),(R33&gt;T33)),Setup!$D$12,IF(AND((K33&gt;I33),(T33&gt;R33)),Setup!$D$12,0)))),"")</f>
        <v/>
      </c>
      <c r="AE33" s="183"/>
      <c r="CP33" s="168"/>
      <c r="CQ33" s="186"/>
      <c r="CR33" s="187"/>
      <c r="CS33" s="168"/>
    </row>
    <row r="34" spans="2:97" s="166" customFormat="1" ht="15" customHeight="1">
      <c r="B34" s="182"/>
      <c r="C34" s="181">
        <f>Tournament!D35</f>
        <v>20</v>
      </c>
      <c r="D34" s="181" t="str">
        <f>Tournament!E35</f>
        <v>B</v>
      </c>
      <c r="E34" s="188">
        <f>Tournament!F35</f>
        <v>41808.541666666664</v>
      </c>
      <c r="F34" s="189">
        <f>Tournament!G35</f>
        <v>41808.541666666664</v>
      </c>
      <c r="G34" s="190" t="str">
        <f>Tournament!H35</f>
        <v>Australia</v>
      </c>
      <c r="H34" s="180"/>
      <c r="I34" s="9"/>
      <c r="J34" s="191" t="s">
        <v>3088</v>
      </c>
      <c r="K34" s="9"/>
      <c r="L34" s="180"/>
      <c r="M34" s="180" t="str">
        <f>Tournament!N35</f>
        <v>Netherlands</v>
      </c>
      <c r="N34" s="183"/>
      <c r="P34" s="192" t="str">
        <f t="shared" si="0"/>
        <v>Australia</v>
      </c>
      <c r="Q34" s="193"/>
      <c r="R34" s="194" t="str">
        <f>IF(Tournament!J35&lt;&gt;"",Tournament!J35,"")</f>
        <v/>
      </c>
      <c r="S34" s="194" t="s">
        <v>3088</v>
      </c>
      <c r="T34" s="194" t="str">
        <f>IF(Tournament!L35&lt;&gt;"",Tournament!L35,"")</f>
        <v/>
      </c>
      <c r="U34" s="193"/>
      <c r="V34" s="193" t="str">
        <f t="shared" si="1"/>
        <v>Netherlands</v>
      </c>
      <c r="W34" s="194"/>
      <c r="X34" s="194"/>
      <c r="Y34" s="194"/>
      <c r="Z34" s="194"/>
      <c r="AA34" s="194"/>
      <c r="AB34" s="194"/>
      <c r="AC34" s="194"/>
      <c r="AD34" s="195" t="str">
        <f>IF(AND(I34&lt;&gt;"",K34&lt;&gt;"",R34&lt;&gt;"",T34&lt;&gt;""),IF(AND(I34=R34,K34=T34),Setup!$D$10,IF((I34-K34)=(R34-T34),Setup!$D$11,IF(AND((I34&gt;K34),(R34&gt;T34)),Setup!$D$12,IF(AND((K34&gt;I34),(T34&gt;R34)),Setup!$D$12,0)))),"")</f>
        <v/>
      </c>
      <c r="AE34" s="183"/>
      <c r="CP34" s="168"/>
      <c r="CQ34" s="186"/>
      <c r="CR34" s="187"/>
      <c r="CS34" s="168"/>
    </row>
    <row r="35" spans="2:97" s="166" customFormat="1" ht="15" customHeight="1">
      <c r="B35" s="182"/>
      <c r="C35" s="181">
        <f>Tournament!D36</f>
        <v>21</v>
      </c>
      <c r="D35" s="181" t="str">
        <f>Tournament!E36</f>
        <v>C</v>
      </c>
      <c r="E35" s="188">
        <f>Tournament!F36</f>
        <v>41809.541666666664</v>
      </c>
      <c r="F35" s="189">
        <f>Tournament!G36</f>
        <v>41809.541666666664</v>
      </c>
      <c r="G35" s="190" t="str">
        <f>Tournament!H36</f>
        <v>Colombia</v>
      </c>
      <c r="H35" s="180"/>
      <c r="I35" s="9"/>
      <c r="J35" s="191" t="s">
        <v>3088</v>
      </c>
      <c r="K35" s="9"/>
      <c r="L35" s="180"/>
      <c r="M35" s="180" t="str">
        <f>Tournament!N36</f>
        <v>Ivory Coast</v>
      </c>
      <c r="N35" s="183"/>
      <c r="P35" s="192" t="str">
        <f t="shared" si="0"/>
        <v>Colombia</v>
      </c>
      <c r="Q35" s="193"/>
      <c r="R35" s="194" t="str">
        <f>IF(Tournament!J36&lt;&gt;"",Tournament!J36,"")</f>
        <v/>
      </c>
      <c r="S35" s="194" t="s">
        <v>3088</v>
      </c>
      <c r="T35" s="194" t="str">
        <f>IF(Tournament!L36&lt;&gt;"",Tournament!L36,"")</f>
        <v/>
      </c>
      <c r="U35" s="193"/>
      <c r="V35" s="193" t="str">
        <f t="shared" si="1"/>
        <v>Ivory Coast</v>
      </c>
      <c r="W35" s="194"/>
      <c r="X35" s="194"/>
      <c r="Y35" s="194"/>
      <c r="Z35" s="194"/>
      <c r="AA35" s="194"/>
      <c r="AB35" s="194"/>
      <c r="AC35" s="194"/>
      <c r="AD35" s="195" t="str">
        <f>IF(AND(I35&lt;&gt;"",K35&lt;&gt;"",R35&lt;&gt;"",T35&lt;&gt;""),IF(AND(I35=R35,K35=T35),Setup!$D$10,IF((I35-K35)=(R35-T35),Setup!$D$11,IF(AND((I35&gt;K35),(R35&gt;T35)),Setup!$D$12,IF(AND((K35&gt;I35),(T35&gt;R35)),Setup!$D$12,0)))),"")</f>
        <v/>
      </c>
      <c r="AE35" s="183"/>
      <c r="CP35" s="168"/>
      <c r="CQ35" s="186"/>
      <c r="CR35" s="187"/>
      <c r="CS35" s="168"/>
    </row>
    <row r="36" spans="2:97" s="166" customFormat="1" ht="15" customHeight="1">
      <c r="B36" s="182"/>
      <c r="C36" s="181">
        <f>Tournament!D37</f>
        <v>22</v>
      </c>
      <c r="D36" s="181" t="str">
        <f>Tournament!E37</f>
        <v>C</v>
      </c>
      <c r="E36" s="188">
        <f>Tournament!F37</f>
        <v>41809.791666666664</v>
      </c>
      <c r="F36" s="189">
        <f>Tournament!G37</f>
        <v>41809.791666666664</v>
      </c>
      <c r="G36" s="190" t="str">
        <f>Tournament!H37</f>
        <v>Japan</v>
      </c>
      <c r="H36" s="180"/>
      <c r="I36" s="9"/>
      <c r="J36" s="191" t="s">
        <v>3088</v>
      </c>
      <c r="K36" s="9"/>
      <c r="L36" s="180"/>
      <c r="M36" s="180" t="str">
        <f>Tournament!N37</f>
        <v>Greece</v>
      </c>
      <c r="N36" s="183"/>
      <c r="P36" s="192" t="str">
        <f t="shared" si="0"/>
        <v>Japan</v>
      </c>
      <c r="Q36" s="193"/>
      <c r="R36" s="194" t="str">
        <f>IF(Tournament!J37&lt;&gt;"",Tournament!J37,"")</f>
        <v/>
      </c>
      <c r="S36" s="194" t="s">
        <v>3088</v>
      </c>
      <c r="T36" s="194" t="str">
        <f>IF(Tournament!L37&lt;&gt;"",Tournament!L37,"")</f>
        <v/>
      </c>
      <c r="U36" s="193"/>
      <c r="V36" s="193" t="str">
        <f t="shared" si="1"/>
        <v>Greece</v>
      </c>
      <c r="W36" s="194"/>
      <c r="X36" s="194"/>
      <c r="Y36" s="194"/>
      <c r="Z36" s="194"/>
      <c r="AA36" s="194"/>
      <c r="AB36" s="194"/>
      <c r="AC36" s="194"/>
      <c r="AD36" s="195" t="str">
        <f>IF(AND(I36&lt;&gt;"",K36&lt;&gt;"",R36&lt;&gt;"",T36&lt;&gt;""),IF(AND(I36=R36,K36=T36),Setup!$D$10,IF((I36-K36)=(R36-T36),Setup!$D$11,IF(AND((I36&gt;K36),(R36&gt;T36)),Setup!$D$12,IF(AND((K36&gt;I36),(T36&gt;R36)),Setup!$D$12,0)))),"")</f>
        <v/>
      </c>
      <c r="AE36" s="183"/>
      <c r="CP36" s="168"/>
      <c r="CQ36" s="186"/>
      <c r="CR36" s="187"/>
      <c r="CS36" s="168"/>
    </row>
    <row r="37" spans="2:97" s="166" customFormat="1" ht="15" customHeight="1">
      <c r="B37" s="182"/>
      <c r="C37" s="181">
        <f>Tournament!D38</f>
        <v>23</v>
      </c>
      <c r="D37" s="181" t="str">
        <f>Tournament!E38</f>
        <v>D</v>
      </c>
      <c r="E37" s="188">
        <f>Tournament!F38</f>
        <v>41809.666666666664</v>
      </c>
      <c r="F37" s="189">
        <f>Tournament!G38</f>
        <v>41809.666666666664</v>
      </c>
      <c r="G37" s="190" t="str">
        <f>Tournament!H38</f>
        <v>Uruguay</v>
      </c>
      <c r="H37" s="180"/>
      <c r="I37" s="9"/>
      <c r="J37" s="191" t="s">
        <v>3088</v>
      </c>
      <c r="K37" s="9"/>
      <c r="L37" s="180"/>
      <c r="M37" s="180" t="str">
        <f>Tournament!N38</f>
        <v>England</v>
      </c>
      <c r="N37" s="183"/>
      <c r="P37" s="192" t="str">
        <f t="shared" si="0"/>
        <v>Uruguay</v>
      </c>
      <c r="Q37" s="193"/>
      <c r="R37" s="194" t="str">
        <f>IF(Tournament!J38&lt;&gt;"",Tournament!J38,"")</f>
        <v/>
      </c>
      <c r="S37" s="194" t="s">
        <v>3088</v>
      </c>
      <c r="T37" s="194" t="str">
        <f>IF(Tournament!L38&lt;&gt;"",Tournament!L38,"")</f>
        <v/>
      </c>
      <c r="U37" s="193"/>
      <c r="V37" s="193" t="str">
        <f t="shared" si="1"/>
        <v>England</v>
      </c>
      <c r="W37" s="194"/>
      <c r="X37" s="194"/>
      <c r="Y37" s="194"/>
      <c r="Z37" s="194"/>
      <c r="AA37" s="194"/>
      <c r="AB37" s="194"/>
      <c r="AC37" s="194"/>
      <c r="AD37" s="195" t="str">
        <f>IF(AND(I37&lt;&gt;"",K37&lt;&gt;"",R37&lt;&gt;"",T37&lt;&gt;""),IF(AND(I37=R37,K37=T37),Setup!$D$10,IF((I37-K37)=(R37-T37),Setup!$D$11,IF(AND((I37&gt;K37),(R37&gt;T37)),Setup!$D$12,IF(AND((K37&gt;I37),(T37&gt;R37)),Setup!$D$12,0)))),"")</f>
        <v/>
      </c>
      <c r="AE37" s="183"/>
      <c r="CP37" s="168"/>
      <c r="CQ37" s="186"/>
      <c r="CR37" s="187"/>
      <c r="CS37" s="168"/>
    </row>
    <row r="38" spans="2:97" s="166" customFormat="1" ht="15" customHeight="1">
      <c r="B38" s="182"/>
      <c r="C38" s="181">
        <f>Tournament!D39</f>
        <v>24</v>
      </c>
      <c r="D38" s="181" t="str">
        <f>Tournament!E39</f>
        <v>D</v>
      </c>
      <c r="E38" s="188">
        <f>Tournament!F39</f>
        <v>41810.541666666664</v>
      </c>
      <c r="F38" s="189">
        <f>Tournament!G39</f>
        <v>41810.541666666664</v>
      </c>
      <c r="G38" s="190" t="str">
        <f>Tournament!H39</f>
        <v>Italy</v>
      </c>
      <c r="H38" s="180"/>
      <c r="I38" s="9"/>
      <c r="J38" s="191" t="s">
        <v>3088</v>
      </c>
      <c r="K38" s="9"/>
      <c r="L38" s="180"/>
      <c r="M38" s="180" t="str">
        <f>Tournament!N39</f>
        <v>Costa Rica</v>
      </c>
      <c r="N38" s="183"/>
      <c r="P38" s="192" t="str">
        <f t="shared" si="0"/>
        <v>Italy</v>
      </c>
      <c r="Q38" s="193"/>
      <c r="R38" s="194" t="str">
        <f>IF(Tournament!J39&lt;&gt;"",Tournament!J39,"")</f>
        <v/>
      </c>
      <c r="S38" s="194" t="s">
        <v>3088</v>
      </c>
      <c r="T38" s="194" t="str">
        <f>IF(Tournament!L39&lt;&gt;"",Tournament!L39,"")</f>
        <v/>
      </c>
      <c r="U38" s="193"/>
      <c r="V38" s="193" t="str">
        <f t="shared" si="1"/>
        <v>Costa Rica</v>
      </c>
      <c r="W38" s="194"/>
      <c r="X38" s="194"/>
      <c r="Y38" s="194"/>
      <c r="Z38" s="194"/>
      <c r="AA38" s="194"/>
      <c r="AB38" s="194"/>
      <c r="AC38" s="194"/>
      <c r="AD38" s="195" t="str">
        <f>IF(AND(I38&lt;&gt;"",K38&lt;&gt;"",R38&lt;&gt;"",T38&lt;&gt;""),IF(AND(I38=R38,K38=T38),Setup!$D$10,IF((I38-K38)=(R38-T38),Setup!$D$11,IF(AND((I38&gt;K38),(R38&gt;T38)),Setup!$D$12,IF(AND((K38&gt;I38),(T38&gt;R38)),Setup!$D$12,0)))),"")</f>
        <v/>
      </c>
      <c r="AE38" s="183"/>
      <c r="CP38" s="168"/>
      <c r="CQ38" s="186"/>
      <c r="CR38" s="187"/>
      <c r="CS38" s="168"/>
    </row>
    <row r="39" spans="2:97" s="166" customFormat="1" ht="15" customHeight="1">
      <c r="B39" s="182"/>
      <c r="C39" s="181">
        <f>Tournament!D40</f>
        <v>25</v>
      </c>
      <c r="D39" s="181" t="str">
        <f>Tournament!E40</f>
        <v>E</v>
      </c>
      <c r="E39" s="188">
        <f>Tournament!F40</f>
        <v>41810.666666666664</v>
      </c>
      <c r="F39" s="189">
        <f>Tournament!G40</f>
        <v>41810.666666666664</v>
      </c>
      <c r="G39" s="190" t="str">
        <f>Tournament!H40</f>
        <v>Switzerland</v>
      </c>
      <c r="H39" s="180"/>
      <c r="I39" s="9"/>
      <c r="J39" s="191" t="s">
        <v>3088</v>
      </c>
      <c r="K39" s="9"/>
      <c r="L39" s="180"/>
      <c r="M39" s="180" t="str">
        <f>Tournament!N40</f>
        <v>France</v>
      </c>
      <c r="N39" s="183"/>
      <c r="P39" s="192" t="str">
        <f t="shared" si="0"/>
        <v>Switzerland</v>
      </c>
      <c r="Q39" s="193"/>
      <c r="R39" s="194" t="str">
        <f>IF(Tournament!J40&lt;&gt;"",Tournament!J40,"")</f>
        <v/>
      </c>
      <c r="S39" s="194" t="s">
        <v>3088</v>
      </c>
      <c r="T39" s="194" t="str">
        <f>IF(Tournament!L40&lt;&gt;"",Tournament!L40,"")</f>
        <v/>
      </c>
      <c r="U39" s="193"/>
      <c r="V39" s="193" t="str">
        <f t="shared" si="1"/>
        <v>France</v>
      </c>
      <c r="W39" s="194"/>
      <c r="X39" s="194"/>
      <c r="Y39" s="194"/>
      <c r="Z39" s="194"/>
      <c r="AA39" s="194"/>
      <c r="AB39" s="194"/>
      <c r="AC39" s="194"/>
      <c r="AD39" s="195" t="str">
        <f>IF(AND(I39&lt;&gt;"",K39&lt;&gt;"",R39&lt;&gt;"",T39&lt;&gt;""),IF(AND(I39=R39,K39=T39),Setup!$D$10,IF((I39-K39)=(R39-T39),Setup!$D$11,IF(AND((I39&gt;K39),(R39&gt;T39)),Setup!$D$12,IF(AND((K39&gt;I39),(T39&gt;R39)),Setup!$D$12,0)))),"")</f>
        <v/>
      </c>
      <c r="AE39" s="183"/>
      <c r="CP39" s="168"/>
      <c r="CQ39" s="186"/>
      <c r="CR39" s="187"/>
      <c r="CS39" s="168"/>
    </row>
    <row r="40" spans="2:97" s="166" customFormat="1" ht="15" customHeight="1">
      <c r="B40" s="182"/>
      <c r="C40" s="181">
        <f>Tournament!D41</f>
        <v>26</v>
      </c>
      <c r="D40" s="181" t="str">
        <f>Tournament!E41</f>
        <v>E</v>
      </c>
      <c r="E40" s="188">
        <f>Tournament!F41</f>
        <v>41810.791666666664</v>
      </c>
      <c r="F40" s="189">
        <f>Tournament!G41</f>
        <v>41810.791666666664</v>
      </c>
      <c r="G40" s="190" t="str">
        <f>Tournament!H41</f>
        <v>Honduras</v>
      </c>
      <c r="H40" s="180"/>
      <c r="I40" s="9"/>
      <c r="J40" s="191" t="s">
        <v>3088</v>
      </c>
      <c r="K40" s="9"/>
      <c r="L40" s="180"/>
      <c r="M40" s="180" t="str">
        <f>Tournament!N41</f>
        <v>Ecuador</v>
      </c>
      <c r="N40" s="183"/>
      <c r="P40" s="192" t="str">
        <f t="shared" si="0"/>
        <v>Honduras</v>
      </c>
      <c r="Q40" s="193"/>
      <c r="R40" s="194" t="str">
        <f>IF(Tournament!J41&lt;&gt;"",Tournament!J41,"")</f>
        <v/>
      </c>
      <c r="S40" s="194" t="s">
        <v>3088</v>
      </c>
      <c r="T40" s="194" t="str">
        <f>IF(Tournament!L41&lt;&gt;"",Tournament!L41,"")</f>
        <v/>
      </c>
      <c r="U40" s="193"/>
      <c r="V40" s="193" t="str">
        <f t="shared" si="1"/>
        <v>Ecuador</v>
      </c>
      <c r="W40" s="194"/>
      <c r="X40" s="194"/>
      <c r="Y40" s="194"/>
      <c r="Z40" s="194"/>
      <c r="AA40" s="194"/>
      <c r="AB40" s="194"/>
      <c r="AC40" s="194"/>
      <c r="AD40" s="195" t="str">
        <f>IF(AND(I40&lt;&gt;"",K40&lt;&gt;"",R40&lt;&gt;"",T40&lt;&gt;""),IF(AND(I40=R40,K40=T40),Setup!$D$10,IF((I40-K40)=(R40-T40),Setup!$D$11,IF(AND((I40&gt;K40),(R40&gt;T40)),Setup!$D$12,IF(AND((K40&gt;I40),(T40&gt;R40)),Setup!$D$12,0)))),"")</f>
        <v/>
      </c>
      <c r="AE40" s="183"/>
      <c r="CP40" s="168"/>
      <c r="CQ40" s="196"/>
      <c r="CR40" s="187"/>
      <c r="CS40" s="168"/>
    </row>
    <row r="41" spans="2:97" s="166" customFormat="1" ht="15" customHeight="1">
      <c r="B41" s="182"/>
      <c r="C41" s="181">
        <f>Tournament!D42</f>
        <v>27</v>
      </c>
      <c r="D41" s="181" t="str">
        <f>Tournament!E42</f>
        <v>F</v>
      </c>
      <c r="E41" s="188">
        <f>Tournament!F42</f>
        <v>41811.541666666664</v>
      </c>
      <c r="F41" s="189">
        <f>Tournament!G42</f>
        <v>41811.541666666664</v>
      </c>
      <c r="G41" s="190" t="str">
        <f>Tournament!H42</f>
        <v>Argentina</v>
      </c>
      <c r="H41" s="180"/>
      <c r="I41" s="9"/>
      <c r="J41" s="191" t="s">
        <v>3088</v>
      </c>
      <c r="K41" s="9"/>
      <c r="L41" s="180"/>
      <c r="M41" s="180" t="str">
        <f>Tournament!N42</f>
        <v>Iran</v>
      </c>
      <c r="N41" s="183"/>
      <c r="P41" s="192" t="str">
        <f t="shared" si="0"/>
        <v>Argentina</v>
      </c>
      <c r="Q41" s="193"/>
      <c r="R41" s="194" t="str">
        <f>IF(Tournament!J42&lt;&gt;"",Tournament!J42,"")</f>
        <v/>
      </c>
      <c r="S41" s="194" t="s">
        <v>3088</v>
      </c>
      <c r="T41" s="194" t="str">
        <f>IF(Tournament!L42&lt;&gt;"",Tournament!L42,"")</f>
        <v/>
      </c>
      <c r="U41" s="193"/>
      <c r="V41" s="193" t="str">
        <f t="shared" si="1"/>
        <v>Iran</v>
      </c>
      <c r="W41" s="194"/>
      <c r="X41" s="194"/>
      <c r="Y41" s="194"/>
      <c r="Z41" s="194"/>
      <c r="AA41" s="194"/>
      <c r="AB41" s="194"/>
      <c r="AC41" s="194"/>
      <c r="AD41" s="195" t="str">
        <f>IF(AND(I41&lt;&gt;"",K41&lt;&gt;"",R41&lt;&gt;"",T41&lt;&gt;""),IF(AND(I41=R41,K41=T41),Setup!$D$10,IF((I41-K41)=(R41-T41),Setup!$D$11,IF(AND((I41&gt;K41),(R41&gt;T41)),Setup!$D$12,IF(AND((K41&gt;I41),(T41&gt;R41)),Setup!$D$12,0)))),"")</f>
        <v/>
      </c>
      <c r="AE41" s="183"/>
      <c r="CP41" s="168"/>
      <c r="CQ41" s="196"/>
      <c r="CR41" s="187"/>
      <c r="CS41" s="168"/>
    </row>
    <row r="42" spans="2:97" s="166" customFormat="1" ht="15" customHeight="1">
      <c r="B42" s="182"/>
      <c r="C42" s="181">
        <f>Tournament!D43</f>
        <v>28</v>
      </c>
      <c r="D42" s="181" t="str">
        <f>Tournament!E43</f>
        <v>F</v>
      </c>
      <c r="E42" s="188">
        <f>Tournament!F43</f>
        <v>41811.791666666664</v>
      </c>
      <c r="F42" s="189">
        <f>Tournament!G43</f>
        <v>41811.791666666664</v>
      </c>
      <c r="G42" s="190" t="str">
        <f>Tournament!H43</f>
        <v>Nigeria</v>
      </c>
      <c r="H42" s="180"/>
      <c r="I42" s="9"/>
      <c r="J42" s="191" t="s">
        <v>3088</v>
      </c>
      <c r="K42" s="9"/>
      <c r="L42" s="180"/>
      <c r="M42" s="180" t="str">
        <f>Tournament!N43</f>
        <v>Bosnia-Herzegovina</v>
      </c>
      <c r="N42" s="183"/>
      <c r="P42" s="192" t="str">
        <f t="shared" si="0"/>
        <v>Nigeria</v>
      </c>
      <c r="Q42" s="193"/>
      <c r="R42" s="194" t="str">
        <f>IF(Tournament!J43&lt;&gt;"",Tournament!J43,"")</f>
        <v/>
      </c>
      <c r="S42" s="194" t="s">
        <v>3088</v>
      </c>
      <c r="T42" s="194" t="str">
        <f>IF(Tournament!L43&lt;&gt;"",Tournament!L43,"")</f>
        <v/>
      </c>
      <c r="U42" s="193"/>
      <c r="V42" s="193" t="str">
        <f t="shared" si="1"/>
        <v>Bosnia-Herzegovina</v>
      </c>
      <c r="W42" s="194"/>
      <c r="X42" s="194"/>
      <c r="Y42" s="194"/>
      <c r="Z42" s="194"/>
      <c r="AA42" s="194"/>
      <c r="AB42" s="194"/>
      <c r="AC42" s="194"/>
      <c r="AD42" s="195" t="str">
        <f>IF(AND(I42&lt;&gt;"",K42&lt;&gt;"",R42&lt;&gt;"",T42&lt;&gt;""),IF(AND(I42=R42,K42=T42),Setup!$D$10,IF((I42-K42)=(R42-T42),Setup!$D$11,IF(AND((I42&gt;K42),(R42&gt;T42)),Setup!$D$12,IF(AND((K42&gt;I42),(T42&gt;R42)),Setup!$D$12,0)))),"")</f>
        <v/>
      </c>
      <c r="AE42" s="183"/>
      <c r="CP42" s="168"/>
      <c r="CQ42" s="168"/>
      <c r="CR42" s="187"/>
      <c r="CS42" s="168"/>
    </row>
    <row r="43" spans="2:97" s="166" customFormat="1" ht="15" customHeight="1">
      <c r="B43" s="182"/>
      <c r="C43" s="181">
        <f>Tournament!D44</f>
        <v>29</v>
      </c>
      <c r="D43" s="181" t="str">
        <f>Tournament!E44</f>
        <v>G</v>
      </c>
      <c r="E43" s="188">
        <f>Tournament!F44</f>
        <v>41811.666666666664</v>
      </c>
      <c r="F43" s="189">
        <f>Tournament!G44</f>
        <v>41811.666666666664</v>
      </c>
      <c r="G43" s="190" t="str">
        <f>Tournament!H44</f>
        <v>Germany</v>
      </c>
      <c r="H43" s="180"/>
      <c r="I43" s="9"/>
      <c r="J43" s="191" t="s">
        <v>3088</v>
      </c>
      <c r="K43" s="9"/>
      <c r="L43" s="180"/>
      <c r="M43" s="180" t="str">
        <f>Tournament!N44</f>
        <v>Ghana</v>
      </c>
      <c r="N43" s="183"/>
      <c r="P43" s="192" t="str">
        <f t="shared" si="0"/>
        <v>Germany</v>
      </c>
      <c r="Q43" s="193"/>
      <c r="R43" s="194" t="str">
        <f>IF(Tournament!J44&lt;&gt;"",Tournament!J44,"")</f>
        <v/>
      </c>
      <c r="S43" s="194" t="s">
        <v>3088</v>
      </c>
      <c r="T43" s="194" t="str">
        <f>IF(Tournament!L44&lt;&gt;"",Tournament!L44,"")</f>
        <v/>
      </c>
      <c r="U43" s="193"/>
      <c r="V43" s="193" t="str">
        <f t="shared" si="1"/>
        <v>Ghana</v>
      </c>
      <c r="W43" s="194"/>
      <c r="X43" s="194"/>
      <c r="Y43" s="194"/>
      <c r="Z43" s="194"/>
      <c r="AA43" s="194"/>
      <c r="AB43" s="194"/>
      <c r="AC43" s="194"/>
      <c r="AD43" s="195" t="str">
        <f>IF(AND(I43&lt;&gt;"",K43&lt;&gt;"",R43&lt;&gt;"",T43&lt;&gt;""),IF(AND(I43=R43,K43=T43),Setup!$D$10,IF((I43-K43)=(R43-T43),Setup!$D$11,IF(AND((I43&gt;K43),(R43&gt;T43)),Setup!$D$12,IF(AND((K43&gt;I43),(T43&gt;R43)),Setup!$D$12,0)))),"")</f>
        <v/>
      </c>
      <c r="AE43" s="183"/>
      <c r="CP43" s="168"/>
      <c r="CQ43" s="168"/>
      <c r="CR43" s="187"/>
      <c r="CS43" s="168"/>
    </row>
    <row r="44" spans="2:97" s="166" customFormat="1" ht="15" customHeight="1">
      <c r="B44" s="182"/>
      <c r="C44" s="181">
        <f>Tournament!D45</f>
        <v>30</v>
      </c>
      <c r="D44" s="181" t="str">
        <f>Tournament!E45</f>
        <v>G</v>
      </c>
      <c r="E44" s="188">
        <f>Tournament!F45</f>
        <v>41812.791666666664</v>
      </c>
      <c r="F44" s="189">
        <f>Tournament!G45</f>
        <v>41812.791666666664</v>
      </c>
      <c r="G44" s="190" t="str">
        <f>Tournament!H45</f>
        <v>USA</v>
      </c>
      <c r="H44" s="180"/>
      <c r="I44" s="9"/>
      <c r="J44" s="191" t="s">
        <v>3088</v>
      </c>
      <c r="K44" s="9"/>
      <c r="L44" s="180"/>
      <c r="M44" s="180" t="str">
        <f>Tournament!N45</f>
        <v>Portugal</v>
      </c>
      <c r="N44" s="183"/>
      <c r="P44" s="192" t="str">
        <f t="shared" si="0"/>
        <v>USA</v>
      </c>
      <c r="Q44" s="193"/>
      <c r="R44" s="194" t="str">
        <f>IF(Tournament!J45&lt;&gt;"",Tournament!J45,"")</f>
        <v/>
      </c>
      <c r="S44" s="194" t="s">
        <v>3088</v>
      </c>
      <c r="T44" s="194" t="str">
        <f>IF(Tournament!L45&lt;&gt;"",Tournament!L45,"")</f>
        <v/>
      </c>
      <c r="U44" s="193"/>
      <c r="V44" s="193" t="str">
        <f t="shared" si="1"/>
        <v>Portugal</v>
      </c>
      <c r="W44" s="194"/>
      <c r="X44" s="194"/>
      <c r="Y44" s="194"/>
      <c r="Z44" s="194"/>
      <c r="AA44" s="194"/>
      <c r="AB44" s="194"/>
      <c r="AC44" s="194"/>
      <c r="AD44" s="195" t="str">
        <f>IF(AND(I44&lt;&gt;"",K44&lt;&gt;"",R44&lt;&gt;"",T44&lt;&gt;""),IF(AND(I44=R44,K44=T44),Setup!$D$10,IF((I44-K44)=(R44-T44),Setup!$D$11,IF(AND((I44&gt;K44),(R44&gt;T44)),Setup!$D$12,IF(AND((K44&gt;I44),(T44&gt;R44)),Setup!$D$12,0)))),"")</f>
        <v/>
      </c>
      <c r="AE44" s="183"/>
      <c r="CP44" s="168"/>
      <c r="CQ44" s="168"/>
      <c r="CR44" s="187"/>
      <c r="CS44" s="168"/>
    </row>
    <row r="45" spans="2:97" s="166" customFormat="1" ht="15" customHeight="1">
      <c r="B45" s="182"/>
      <c r="C45" s="181">
        <f>Tournament!D46</f>
        <v>31</v>
      </c>
      <c r="D45" s="181" t="str">
        <f>Tournament!E46</f>
        <v>H</v>
      </c>
      <c r="E45" s="188">
        <f>Tournament!F46</f>
        <v>41812.541666666664</v>
      </c>
      <c r="F45" s="189">
        <f>Tournament!G46</f>
        <v>41812.541666666664</v>
      </c>
      <c r="G45" s="190" t="str">
        <f>Tournament!H46</f>
        <v>Belgium</v>
      </c>
      <c r="H45" s="180"/>
      <c r="I45" s="9"/>
      <c r="J45" s="191" t="s">
        <v>3088</v>
      </c>
      <c r="K45" s="9"/>
      <c r="L45" s="180"/>
      <c r="M45" s="180" t="str">
        <f>Tournament!N46</f>
        <v>Russia</v>
      </c>
      <c r="N45" s="183"/>
      <c r="P45" s="192" t="str">
        <f t="shared" si="0"/>
        <v>Belgium</v>
      </c>
      <c r="Q45" s="193"/>
      <c r="R45" s="194" t="str">
        <f>IF(Tournament!J46&lt;&gt;"",Tournament!J46,"")</f>
        <v/>
      </c>
      <c r="S45" s="194" t="s">
        <v>3088</v>
      </c>
      <c r="T45" s="194" t="str">
        <f>IF(Tournament!L46&lt;&gt;"",Tournament!L46,"")</f>
        <v/>
      </c>
      <c r="U45" s="193"/>
      <c r="V45" s="193" t="str">
        <f t="shared" si="1"/>
        <v>Russia</v>
      </c>
      <c r="W45" s="194"/>
      <c r="X45" s="194"/>
      <c r="Y45" s="194"/>
      <c r="Z45" s="194"/>
      <c r="AA45" s="194"/>
      <c r="AB45" s="194"/>
      <c r="AC45" s="194"/>
      <c r="AD45" s="195" t="str">
        <f>IF(AND(I45&lt;&gt;"",K45&lt;&gt;"",R45&lt;&gt;"",T45&lt;&gt;""),IF(AND(I45=R45,K45=T45),Setup!$D$10,IF((I45-K45)=(R45-T45),Setup!$D$11,IF(AND((I45&gt;K45),(R45&gt;T45)),Setup!$D$12,IF(AND((K45&gt;I45),(T45&gt;R45)),Setup!$D$12,0)))),"")</f>
        <v/>
      </c>
      <c r="AE45" s="183"/>
      <c r="CP45" s="168"/>
      <c r="CQ45" s="168"/>
      <c r="CR45" s="187"/>
      <c r="CS45" s="168"/>
    </row>
    <row r="46" spans="2:97" s="166" customFormat="1" ht="15" customHeight="1">
      <c r="B46" s="182"/>
      <c r="C46" s="181">
        <f>Tournament!D47</f>
        <v>32</v>
      </c>
      <c r="D46" s="181" t="str">
        <f>Tournament!E47</f>
        <v>H</v>
      </c>
      <c r="E46" s="188">
        <f>Tournament!F47</f>
        <v>41812.666666666664</v>
      </c>
      <c r="F46" s="189">
        <f>Tournament!G47</f>
        <v>41812.666666666664</v>
      </c>
      <c r="G46" s="190" t="str">
        <f>Tournament!H47</f>
        <v>South Korea</v>
      </c>
      <c r="H46" s="180"/>
      <c r="I46" s="9"/>
      <c r="J46" s="191" t="s">
        <v>3088</v>
      </c>
      <c r="K46" s="9"/>
      <c r="L46" s="180"/>
      <c r="M46" s="180" t="str">
        <f>Tournament!N47</f>
        <v>Algeria</v>
      </c>
      <c r="N46" s="183"/>
      <c r="P46" s="192" t="str">
        <f t="shared" si="0"/>
        <v>South Korea</v>
      </c>
      <c r="Q46" s="193"/>
      <c r="R46" s="194" t="str">
        <f>IF(Tournament!J47&lt;&gt;"",Tournament!J47,"")</f>
        <v/>
      </c>
      <c r="S46" s="194" t="s">
        <v>3088</v>
      </c>
      <c r="T46" s="194" t="str">
        <f>IF(Tournament!L47&lt;&gt;"",Tournament!L47,"")</f>
        <v/>
      </c>
      <c r="U46" s="193"/>
      <c r="V46" s="193" t="str">
        <f t="shared" si="1"/>
        <v>Algeria</v>
      </c>
      <c r="W46" s="194"/>
      <c r="X46" s="194"/>
      <c r="Y46" s="194"/>
      <c r="Z46" s="194"/>
      <c r="AA46" s="194"/>
      <c r="AB46" s="194"/>
      <c r="AC46" s="194"/>
      <c r="AD46" s="195" t="str">
        <f>IF(AND(I46&lt;&gt;"",K46&lt;&gt;"",R46&lt;&gt;"",T46&lt;&gt;""),IF(AND(I46=R46,K46=T46),Setup!$D$10,IF((I46-K46)=(R46-T46),Setup!$D$11,IF(AND((I46&gt;K46),(R46&gt;T46)),Setup!$D$12,IF(AND((K46&gt;I46),(T46&gt;R46)),Setup!$D$12,0)))),"")</f>
        <v/>
      </c>
      <c r="AE46" s="183"/>
      <c r="CP46" s="168"/>
      <c r="CQ46" s="168"/>
      <c r="CR46" s="187"/>
      <c r="CS46" s="168"/>
    </row>
    <row r="47" spans="2:97" s="166" customFormat="1" ht="15" customHeight="1">
      <c r="B47" s="182"/>
      <c r="C47" s="181">
        <f>Tournament!D48</f>
        <v>33</v>
      </c>
      <c r="D47" s="181" t="str">
        <f>Tournament!E48</f>
        <v>A</v>
      </c>
      <c r="E47" s="188">
        <f>Tournament!F48</f>
        <v>41813.708333333336</v>
      </c>
      <c r="F47" s="189">
        <f>Tournament!G48</f>
        <v>41813.708333333336</v>
      </c>
      <c r="G47" s="190" t="str">
        <f>Tournament!H48</f>
        <v>Cameroon</v>
      </c>
      <c r="H47" s="180"/>
      <c r="I47" s="9"/>
      <c r="J47" s="191" t="s">
        <v>3088</v>
      </c>
      <c r="K47" s="9"/>
      <c r="L47" s="180"/>
      <c r="M47" s="180" t="str">
        <f>Tournament!N48</f>
        <v>Brazil</v>
      </c>
      <c r="N47" s="183"/>
      <c r="P47" s="192" t="str">
        <f t="shared" si="0"/>
        <v>Cameroon</v>
      </c>
      <c r="Q47" s="193"/>
      <c r="R47" s="194" t="str">
        <f>IF(Tournament!J48&lt;&gt;"",Tournament!J48,"")</f>
        <v/>
      </c>
      <c r="S47" s="194" t="s">
        <v>3088</v>
      </c>
      <c r="T47" s="194" t="str">
        <f>IF(Tournament!L48&lt;&gt;"",Tournament!L48,"")</f>
        <v/>
      </c>
      <c r="U47" s="193"/>
      <c r="V47" s="193" t="str">
        <f t="shared" si="1"/>
        <v>Brazil</v>
      </c>
      <c r="W47" s="194"/>
      <c r="X47" s="194"/>
      <c r="Y47" s="194"/>
      <c r="Z47" s="194"/>
      <c r="AA47" s="194"/>
      <c r="AB47" s="194"/>
      <c r="AC47" s="194"/>
      <c r="AD47" s="195" t="str">
        <f>IF(AND(I47&lt;&gt;"",K47&lt;&gt;"",R47&lt;&gt;"",T47&lt;&gt;""),IF(AND(I47=R47,K47=T47),Setup!$D$10,IF((I47-K47)=(R47-T47),Setup!$D$11,IF(AND((I47&gt;K47),(R47&gt;T47)),Setup!$D$12,IF(AND((K47&gt;I47),(T47&gt;R47)),Setup!$D$12,0)))),"")</f>
        <v/>
      </c>
      <c r="AE47" s="183"/>
      <c r="CP47" s="168"/>
      <c r="CQ47" s="168"/>
      <c r="CR47" s="187"/>
      <c r="CS47" s="168"/>
    </row>
    <row r="48" spans="2:97" s="166" customFormat="1" ht="15" customHeight="1">
      <c r="B48" s="182"/>
      <c r="C48" s="181">
        <f>Tournament!D49</f>
        <v>34</v>
      </c>
      <c r="D48" s="181" t="str">
        <f>Tournament!E49</f>
        <v>A</v>
      </c>
      <c r="E48" s="188">
        <f>Tournament!F49</f>
        <v>41813.708333333336</v>
      </c>
      <c r="F48" s="189">
        <f>Tournament!G49</f>
        <v>41813.708333333336</v>
      </c>
      <c r="G48" s="190" t="str">
        <f>Tournament!H49</f>
        <v>Croatia</v>
      </c>
      <c r="H48" s="180"/>
      <c r="I48" s="9"/>
      <c r="J48" s="191" t="s">
        <v>3088</v>
      </c>
      <c r="K48" s="9"/>
      <c r="L48" s="180"/>
      <c r="M48" s="180" t="str">
        <f>Tournament!N49</f>
        <v>Mexico</v>
      </c>
      <c r="N48" s="183"/>
      <c r="P48" s="192" t="str">
        <f t="shared" si="0"/>
        <v>Croatia</v>
      </c>
      <c r="Q48" s="193"/>
      <c r="R48" s="194" t="str">
        <f>IF(Tournament!J49&lt;&gt;"",Tournament!J49,"")</f>
        <v/>
      </c>
      <c r="S48" s="194" t="s">
        <v>3088</v>
      </c>
      <c r="T48" s="194" t="str">
        <f>IF(Tournament!L49&lt;&gt;"",Tournament!L49,"")</f>
        <v/>
      </c>
      <c r="U48" s="193"/>
      <c r="V48" s="193" t="str">
        <f t="shared" si="1"/>
        <v>Mexico</v>
      </c>
      <c r="W48" s="194"/>
      <c r="X48" s="194"/>
      <c r="Y48" s="194"/>
      <c r="Z48" s="194"/>
      <c r="AA48" s="194"/>
      <c r="AB48" s="194"/>
      <c r="AC48" s="194"/>
      <c r="AD48" s="195" t="str">
        <f>IF(AND(I48&lt;&gt;"",K48&lt;&gt;"",R48&lt;&gt;"",T48&lt;&gt;""),IF(AND(I48=R48,K48=T48),Setup!$D$10,IF((I48-K48)=(R48-T48),Setup!$D$11,IF(AND((I48&gt;K48),(R48&gt;T48)),Setup!$D$12,IF(AND((K48&gt;I48),(T48&gt;R48)),Setup!$D$12,0)))),"")</f>
        <v/>
      </c>
      <c r="AE48" s="183"/>
      <c r="CP48" s="168"/>
      <c r="CQ48" s="168"/>
      <c r="CR48" s="187"/>
      <c r="CS48" s="168"/>
    </row>
    <row r="49" spans="2:97" s="166" customFormat="1" ht="15" customHeight="1">
      <c r="B49" s="182"/>
      <c r="C49" s="181">
        <f>Tournament!D50</f>
        <v>35</v>
      </c>
      <c r="D49" s="181" t="str">
        <f>Tournament!E50</f>
        <v>B</v>
      </c>
      <c r="E49" s="188">
        <f>Tournament!F50</f>
        <v>41813.541666666664</v>
      </c>
      <c r="F49" s="189">
        <f>Tournament!G50</f>
        <v>41813.541666666664</v>
      </c>
      <c r="G49" s="190" t="str">
        <f>Tournament!H50</f>
        <v>Australia</v>
      </c>
      <c r="H49" s="180"/>
      <c r="I49" s="9"/>
      <c r="J49" s="191" t="s">
        <v>3088</v>
      </c>
      <c r="K49" s="9"/>
      <c r="L49" s="180"/>
      <c r="M49" s="180" t="str">
        <f>Tournament!N50</f>
        <v>Spain</v>
      </c>
      <c r="N49" s="183"/>
      <c r="P49" s="192" t="str">
        <f t="shared" si="0"/>
        <v>Australia</v>
      </c>
      <c r="Q49" s="193"/>
      <c r="R49" s="194" t="str">
        <f>IF(Tournament!J50&lt;&gt;"",Tournament!J50,"")</f>
        <v/>
      </c>
      <c r="S49" s="194" t="s">
        <v>3088</v>
      </c>
      <c r="T49" s="194" t="str">
        <f>IF(Tournament!L50&lt;&gt;"",Tournament!L50,"")</f>
        <v/>
      </c>
      <c r="U49" s="193"/>
      <c r="V49" s="193" t="str">
        <f t="shared" si="1"/>
        <v>Spain</v>
      </c>
      <c r="W49" s="194"/>
      <c r="X49" s="194"/>
      <c r="Y49" s="194"/>
      <c r="Z49" s="194"/>
      <c r="AA49" s="194"/>
      <c r="AB49" s="194"/>
      <c r="AC49" s="194"/>
      <c r="AD49" s="195" t="str">
        <f>IF(AND(I49&lt;&gt;"",K49&lt;&gt;"",R49&lt;&gt;"",T49&lt;&gt;""),IF(AND(I49=R49,K49=T49),Setup!$D$10,IF((I49-K49)=(R49-T49),Setup!$D$11,IF(AND((I49&gt;K49),(R49&gt;T49)),Setup!$D$12,IF(AND((K49&gt;I49),(T49&gt;R49)),Setup!$D$12,0)))),"")</f>
        <v/>
      </c>
      <c r="AE49" s="183"/>
      <c r="CP49" s="168"/>
      <c r="CQ49" s="168"/>
      <c r="CR49" s="187"/>
      <c r="CS49" s="168"/>
    </row>
    <row r="50" spans="2:97" s="166" customFormat="1" ht="15" customHeight="1">
      <c r="B50" s="182"/>
      <c r="C50" s="181">
        <f>Tournament!D51</f>
        <v>36</v>
      </c>
      <c r="D50" s="181" t="str">
        <f>Tournament!E51</f>
        <v>B</v>
      </c>
      <c r="E50" s="188">
        <f>Tournament!F51</f>
        <v>41813.541666666664</v>
      </c>
      <c r="F50" s="189">
        <f>Tournament!G51</f>
        <v>41813.541666666664</v>
      </c>
      <c r="G50" s="190" t="str">
        <f>Tournament!H51</f>
        <v>Netherlands</v>
      </c>
      <c r="H50" s="180"/>
      <c r="I50" s="9"/>
      <c r="J50" s="191" t="s">
        <v>3088</v>
      </c>
      <c r="K50" s="9"/>
      <c r="L50" s="180"/>
      <c r="M50" s="180" t="str">
        <f>Tournament!N51</f>
        <v>Chile</v>
      </c>
      <c r="N50" s="183"/>
      <c r="P50" s="192" t="str">
        <f t="shared" si="0"/>
        <v>Netherlands</v>
      </c>
      <c r="Q50" s="193"/>
      <c r="R50" s="194" t="str">
        <f>IF(Tournament!J51&lt;&gt;"",Tournament!J51,"")</f>
        <v/>
      </c>
      <c r="S50" s="194" t="s">
        <v>3088</v>
      </c>
      <c r="T50" s="194" t="str">
        <f>IF(Tournament!L51&lt;&gt;"",Tournament!L51,"")</f>
        <v/>
      </c>
      <c r="U50" s="193"/>
      <c r="V50" s="193" t="str">
        <f t="shared" si="1"/>
        <v>Chile</v>
      </c>
      <c r="W50" s="194"/>
      <c r="X50" s="194"/>
      <c r="Y50" s="194"/>
      <c r="Z50" s="194"/>
      <c r="AA50" s="194"/>
      <c r="AB50" s="194"/>
      <c r="AC50" s="194"/>
      <c r="AD50" s="195" t="str">
        <f>IF(AND(I50&lt;&gt;"",K50&lt;&gt;"",R50&lt;&gt;"",T50&lt;&gt;""),IF(AND(I50=R50,K50=T50),Setup!$D$10,IF((I50-K50)=(R50-T50),Setup!$D$11,IF(AND((I50&gt;K50),(R50&gt;T50)),Setup!$D$12,IF(AND((K50&gt;I50),(T50&gt;R50)),Setup!$D$12,0)))),"")</f>
        <v/>
      </c>
      <c r="AE50" s="183"/>
      <c r="CP50" s="168"/>
      <c r="CQ50" s="168"/>
      <c r="CR50" s="187"/>
      <c r="CS50" s="168"/>
    </row>
    <row r="51" spans="2:97" s="166" customFormat="1" ht="15" customHeight="1">
      <c r="B51" s="182"/>
      <c r="C51" s="181">
        <f>Tournament!D52</f>
        <v>37</v>
      </c>
      <c r="D51" s="181" t="str">
        <f>Tournament!E52</f>
        <v>C</v>
      </c>
      <c r="E51" s="188">
        <f>Tournament!F52</f>
        <v>41814.708333333336</v>
      </c>
      <c r="F51" s="189">
        <f>Tournament!G52</f>
        <v>41814.708333333336</v>
      </c>
      <c r="G51" s="190" t="str">
        <f>Tournament!H52</f>
        <v>Japan</v>
      </c>
      <c r="H51" s="180"/>
      <c r="I51" s="9"/>
      <c r="J51" s="191" t="s">
        <v>3088</v>
      </c>
      <c r="K51" s="9"/>
      <c r="L51" s="180"/>
      <c r="M51" s="180" t="str">
        <f>Tournament!N52</f>
        <v>Colombia</v>
      </c>
      <c r="N51" s="183"/>
      <c r="P51" s="192" t="str">
        <f t="shared" si="0"/>
        <v>Japan</v>
      </c>
      <c r="Q51" s="193"/>
      <c r="R51" s="194" t="str">
        <f>IF(Tournament!J52&lt;&gt;"",Tournament!J52,"")</f>
        <v/>
      </c>
      <c r="S51" s="194" t="s">
        <v>3088</v>
      </c>
      <c r="T51" s="194" t="str">
        <f>IF(Tournament!L52&lt;&gt;"",Tournament!L52,"")</f>
        <v/>
      </c>
      <c r="U51" s="193"/>
      <c r="V51" s="193" t="str">
        <f t="shared" si="1"/>
        <v>Colombia</v>
      </c>
      <c r="W51" s="194"/>
      <c r="X51" s="194"/>
      <c r="Y51" s="194"/>
      <c r="Z51" s="194"/>
      <c r="AA51" s="194"/>
      <c r="AB51" s="194"/>
      <c r="AC51" s="194"/>
      <c r="AD51" s="195" t="str">
        <f>IF(AND(I51&lt;&gt;"",K51&lt;&gt;"",R51&lt;&gt;"",T51&lt;&gt;""),IF(AND(I51=R51,K51=T51),Setup!$D$10,IF((I51-K51)=(R51-T51),Setup!$D$11,IF(AND((I51&gt;K51),(R51&gt;T51)),Setup!$D$12,IF(AND((K51&gt;I51),(T51&gt;R51)),Setup!$D$12,0)))),"")</f>
        <v/>
      </c>
      <c r="AE51" s="183"/>
      <c r="CP51" s="168"/>
      <c r="CQ51" s="168"/>
      <c r="CR51" s="187"/>
      <c r="CS51" s="168"/>
    </row>
    <row r="52" spans="2:97" s="166" customFormat="1" ht="15" customHeight="1">
      <c r="B52" s="182"/>
      <c r="C52" s="181">
        <f>Tournament!D53</f>
        <v>38</v>
      </c>
      <c r="D52" s="181" t="str">
        <f>Tournament!E53</f>
        <v>C</v>
      </c>
      <c r="E52" s="188">
        <f>Tournament!F53</f>
        <v>41814.708333333336</v>
      </c>
      <c r="F52" s="189">
        <f>Tournament!G53</f>
        <v>41814.708333333336</v>
      </c>
      <c r="G52" s="190" t="str">
        <f>Tournament!H53</f>
        <v>Greece</v>
      </c>
      <c r="H52" s="180"/>
      <c r="I52" s="9"/>
      <c r="J52" s="191" t="s">
        <v>3088</v>
      </c>
      <c r="K52" s="9"/>
      <c r="L52" s="180"/>
      <c r="M52" s="180" t="str">
        <f>Tournament!N53</f>
        <v>Ivory Coast</v>
      </c>
      <c r="N52" s="183"/>
      <c r="P52" s="192" t="str">
        <f t="shared" si="0"/>
        <v>Greece</v>
      </c>
      <c r="Q52" s="193"/>
      <c r="R52" s="194" t="str">
        <f>IF(Tournament!J53&lt;&gt;"",Tournament!J53,"")</f>
        <v/>
      </c>
      <c r="S52" s="194" t="s">
        <v>3088</v>
      </c>
      <c r="T52" s="194" t="str">
        <f>IF(Tournament!L53&lt;&gt;"",Tournament!L53,"")</f>
        <v/>
      </c>
      <c r="U52" s="193"/>
      <c r="V52" s="193" t="str">
        <f t="shared" si="1"/>
        <v>Ivory Coast</v>
      </c>
      <c r="W52" s="194"/>
      <c r="X52" s="194"/>
      <c r="Y52" s="194"/>
      <c r="Z52" s="194"/>
      <c r="AA52" s="194"/>
      <c r="AB52" s="194"/>
      <c r="AC52" s="194"/>
      <c r="AD52" s="195" t="str">
        <f>IF(AND(I52&lt;&gt;"",K52&lt;&gt;"",R52&lt;&gt;"",T52&lt;&gt;""),IF(AND(I52=R52,K52=T52),Setup!$D$10,IF((I52-K52)=(R52-T52),Setup!$D$11,IF(AND((I52&gt;K52),(R52&gt;T52)),Setup!$D$12,IF(AND((K52&gt;I52),(T52&gt;R52)),Setup!$D$12,0)))),"")</f>
        <v/>
      </c>
      <c r="AE52" s="183"/>
      <c r="CP52" s="168"/>
      <c r="CQ52" s="168"/>
      <c r="CR52" s="187"/>
      <c r="CS52" s="168"/>
    </row>
    <row r="53" spans="2:97" s="166" customFormat="1" ht="15" customHeight="1">
      <c r="B53" s="182"/>
      <c r="C53" s="181">
        <f>Tournament!D54</f>
        <v>39</v>
      </c>
      <c r="D53" s="181" t="str">
        <f>Tournament!E54</f>
        <v>D</v>
      </c>
      <c r="E53" s="188">
        <f>Tournament!F54</f>
        <v>41814.541666666664</v>
      </c>
      <c r="F53" s="189">
        <f>Tournament!G54</f>
        <v>41814.541666666664</v>
      </c>
      <c r="G53" s="190" t="str">
        <f>Tournament!H54</f>
        <v>Italy</v>
      </c>
      <c r="H53" s="180"/>
      <c r="I53" s="9"/>
      <c r="J53" s="191" t="s">
        <v>3088</v>
      </c>
      <c r="K53" s="9"/>
      <c r="L53" s="180"/>
      <c r="M53" s="180" t="str">
        <f>Tournament!N54</f>
        <v>Uruguay</v>
      </c>
      <c r="N53" s="183"/>
      <c r="P53" s="192" t="str">
        <f t="shared" si="0"/>
        <v>Italy</v>
      </c>
      <c r="Q53" s="193"/>
      <c r="R53" s="194" t="str">
        <f>IF(Tournament!J54&lt;&gt;"",Tournament!J54,"")</f>
        <v/>
      </c>
      <c r="S53" s="194" t="s">
        <v>3088</v>
      </c>
      <c r="T53" s="194" t="str">
        <f>IF(Tournament!L54&lt;&gt;"",Tournament!L54,"")</f>
        <v/>
      </c>
      <c r="U53" s="193"/>
      <c r="V53" s="193" t="str">
        <f t="shared" si="1"/>
        <v>Uruguay</v>
      </c>
      <c r="W53" s="194"/>
      <c r="X53" s="194"/>
      <c r="Y53" s="194"/>
      <c r="Z53" s="194"/>
      <c r="AA53" s="194"/>
      <c r="AB53" s="194"/>
      <c r="AC53" s="194"/>
      <c r="AD53" s="195" t="str">
        <f>IF(AND(I53&lt;&gt;"",K53&lt;&gt;"",R53&lt;&gt;"",T53&lt;&gt;""),IF(AND(I53=R53,K53=T53),Setup!$D$10,IF((I53-K53)=(R53-T53),Setup!$D$11,IF(AND((I53&gt;K53),(R53&gt;T53)),Setup!$D$12,IF(AND((K53&gt;I53),(T53&gt;R53)),Setup!$D$12,0)))),"")</f>
        <v/>
      </c>
      <c r="AE53" s="183"/>
      <c r="CP53" s="168"/>
      <c r="CQ53" s="168"/>
      <c r="CR53" s="187"/>
      <c r="CS53" s="168"/>
    </row>
    <row r="54" spans="2:97" s="166" customFormat="1" ht="15" customHeight="1">
      <c r="B54" s="182"/>
      <c r="C54" s="181">
        <f>Tournament!D55</f>
        <v>40</v>
      </c>
      <c r="D54" s="181" t="str">
        <f>Tournament!E55</f>
        <v>D</v>
      </c>
      <c r="E54" s="188">
        <f>Tournament!F55</f>
        <v>41814.541666666664</v>
      </c>
      <c r="F54" s="189">
        <f>Tournament!G55</f>
        <v>41814.541666666664</v>
      </c>
      <c r="G54" s="190" t="str">
        <f>Tournament!H55</f>
        <v>Costa Rica</v>
      </c>
      <c r="H54" s="180"/>
      <c r="I54" s="9"/>
      <c r="J54" s="191" t="s">
        <v>3088</v>
      </c>
      <c r="K54" s="9"/>
      <c r="L54" s="180"/>
      <c r="M54" s="180" t="str">
        <f>Tournament!N55</f>
        <v>England</v>
      </c>
      <c r="N54" s="183"/>
      <c r="P54" s="192" t="str">
        <f t="shared" si="0"/>
        <v>Costa Rica</v>
      </c>
      <c r="Q54" s="193"/>
      <c r="R54" s="194" t="str">
        <f>IF(Tournament!J55&lt;&gt;"",Tournament!J55,"")</f>
        <v/>
      </c>
      <c r="S54" s="194" t="s">
        <v>3088</v>
      </c>
      <c r="T54" s="194" t="str">
        <f>IF(Tournament!L55&lt;&gt;"",Tournament!L55,"")</f>
        <v/>
      </c>
      <c r="U54" s="193"/>
      <c r="V54" s="193" t="str">
        <f t="shared" si="1"/>
        <v>England</v>
      </c>
      <c r="W54" s="194"/>
      <c r="X54" s="194"/>
      <c r="Y54" s="194"/>
      <c r="Z54" s="194"/>
      <c r="AA54" s="194"/>
      <c r="AB54" s="194"/>
      <c r="AC54" s="194"/>
      <c r="AD54" s="195" t="str">
        <f>IF(AND(I54&lt;&gt;"",K54&lt;&gt;"",R54&lt;&gt;"",T54&lt;&gt;""),IF(AND(I54=R54,K54=T54),Setup!$D$10,IF((I54-K54)=(R54-T54),Setup!$D$11,IF(AND((I54&gt;K54),(R54&gt;T54)),Setup!$D$12,IF(AND((K54&gt;I54),(T54&gt;R54)),Setup!$D$12,0)))),"")</f>
        <v/>
      </c>
      <c r="AE54" s="183"/>
      <c r="CP54" s="168"/>
      <c r="CQ54" s="168"/>
      <c r="CR54" s="187"/>
      <c r="CS54" s="168"/>
    </row>
    <row r="55" spans="2:97" s="166" customFormat="1" ht="15" customHeight="1">
      <c r="B55" s="182"/>
      <c r="C55" s="181">
        <f>Tournament!D56</f>
        <v>41</v>
      </c>
      <c r="D55" s="181" t="str">
        <f>Tournament!E56</f>
        <v>E</v>
      </c>
      <c r="E55" s="188">
        <f>Tournament!F56</f>
        <v>41815.708333333336</v>
      </c>
      <c r="F55" s="189">
        <f>Tournament!G56</f>
        <v>41815.708333333336</v>
      </c>
      <c r="G55" s="190" t="str">
        <f>Tournament!H56</f>
        <v>Honduras</v>
      </c>
      <c r="H55" s="180"/>
      <c r="I55" s="9"/>
      <c r="J55" s="191" t="s">
        <v>3088</v>
      </c>
      <c r="K55" s="9"/>
      <c r="L55" s="180"/>
      <c r="M55" s="180" t="str">
        <f>Tournament!N56</f>
        <v>Switzerland</v>
      </c>
      <c r="N55" s="183"/>
      <c r="P55" s="192" t="str">
        <f t="shared" si="0"/>
        <v>Honduras</v>
      </c>
      <c r="Q55" s="193"/>
      <c r="R55" s="194" t="str">
        <f>IF(Tournament!J56&lt;&gt;"",Tournament!J56,"")</f>
        <v/>
      </c>
      <c r="S55" s="194" t="s">
        <v>3088</v>
      </c>
      <c r="T55" s="194" t="str">
        <f>IF(Tournament!L56&lt;&gt;"",Tournament!L56,"")</f>
        <v/>
      </c>
      <c r="U55" s="193"/>
      <c r="V55" s="193" t="str">
        <f t="shared" si="1"/>
        <v>Switzerland</v>
      </c>
      <c r="W55" s="194"/>
      <c r="X55" s="194"/>
      <c r="Y55" s="194"/>
      <c r="Z55" s="194"/>
      <c r="AA55" s="194"/>
      <c r="AB55" s="194"/>
      <c r="AC55" s="194"/>
      <c r="AD55" s="195" t="str">
        <f>IF(AND(I55&lt;&gt;"",K55&lt;&gt;"",R55&lt;&gt;"",T55&lt;&gt;""),IF(AND(I55=R55,K55=T55),Setup!$D$10,IF((I55-K55)=(R55-T55),Setup!$D$11,IF(AND((I55&gt;K55),(R55&gt;T55)),Setup!$D$12,IF(AND((K55&gt;I55),(T55&gt;R55)),Setup!$D$12,0)))),"")</f>
        <v/>
      </c>
      <c r="AE55" s="183"/>
      <c r="CP55" s="168"/>
      <c r="CQ55" s="168"/>
      <c r="CR55" s="187"/>
      <c r="CS55" s="168"/>
    </row>
    <row r="56" spans="2:97" s="166" customFormat="1" ht="15" customHeight="1">
      <c r="B56" s="182"/>
      <c r="C56" s="181">
        <f>Tournament!D57</f>
        <v>42</v>
      </c>
      <c r="D56" s="181" t="str">
        <f>Tournament!E57</f>
        <v>E</v>
      </c>
      <c r="E56" s="188">
        <f>Tournament!F57</f>
        <v>41815.708333333336</v>
      </c>
      <c r="F56" s="189">
        <f>Tournament!G57</f>
        <v>41815.708333333336</v>
      </c>
      <c r="G56" s="190" t="str">
        <f>Tournament!H57</f>
        <v>Ecuador</v>
      </c>
      <c r="H56" s="180"/>
      <c r="I56" s="9"/>
      <c r="J56" s="191" t="s">
        <v>3088</v>
      </c>
      <c r="K56" s="9"/>
      <c r="L56" s="180"/>
      <c r="M56" s="180" t="str">
        <f>Tournament!N57</f>
        <v>France</v>
      </c>
      <c r="N56" s="183"/>
      <c r="P56" s="192" t="str">
        <f t="shared" si="0"/>
        <v>Ecuador</v>
      </c>
      <c r="Q56" s="193"/>
      <c r="R56" s="194" t="str">
        <f>IF(Tournament!J57&lt;&gt;"",Tournament!J57,"")</f>
        <v/>
      </c>
      <c r="S56" s="194" t="s">
        <v>3088</v>
      </c>
      <c r="T56" s="194" t="str">
        <f>IF(Tournament!L57&lt;&gt;"",Tournament!L57,"")</f>
        <v/>
      </c>
      <c r="U56" s="193"/>
      <c r="V56" s="193" t="str">
        <f t="shared" si="1"/>
        <v>France</v>
      </c>
      <c r="W56" s="194"/>
      <c r="X56" s="194"/>
      <c r="Y56" s="194"/>
      <c r="Z56" s="194"/>
      <c r="AA56" s="194"/>
      <c r="AB56" s="194"/>
      <c r="AC56" s="194"/>
      <c r="AD56" s="195" t="str">
        <f>IF(AND(I56&lt;&gt;"",K56&lt;&gt;"",R56&lt;&gt;"",T56&lt;&gt;""),IF(AND(I56=R56,K56=T56),Setup!$D$10,IF((I56-K56)=(R56-T56),Setup!$D$11,IF(AND((I56&gt;K56),(R56&gt;T56)),Setup!$D$12,IF(AND((K56&gt;I56),(T56&gt;R56)),Setup!$D$12,0)))),"")</f>
        <v/>
      </c>
      <c r="AE56" s="183"/>
      <c r="CP56" s="168"/>
      <c r="CQ56" s="168"/>
      <c r="CR56" s="187"/>
      <c r="CS56" s="168"/>
    </row>
    <row r="57" spans="2:97" s="166" customFormat="1" ht="15" customHeight="1">
      <c r="B57" s="182"/>
      <c r="C57" s="181">
        <f>Tournament!D58</f>
        <v>43</v>
      </c>
      <c r="D57" s="181" t="str">
        <f>Tournament!E58</f>
        <v>F</v>
      </c>
      <c r="E57" s="188">
        <f>Tournament!F58</f>
        <v>41815.541666666664</v>
      </c>
      <c r="F57" s="189">
        <f>Tournament!G58</f>
        <v>41815.541666666664</v>
      </c>
      <c r="G57" s="190" t="str">
        <f>Tournament!H58</f>
        <v>Nigeria</v>
      </c>
      <c r="H57" s="180"/>
      <c r="I57" s="9"/>
      <c r="J57" s="191" t="s">
        <v>3088</v>
      </c>
      <c r="K57" s="9"/>
      <c r="L57" s="180"/>
      <c r="M57" s="180" t="str">
        <f>Tournament!N58</f>
        <v>Argentina</v>
      </c>
      <c r="N57" s="183"/>
      <c r="P57" s="192" t="str">
        <f t="shared" si="0"/>
        <v>Nigeria</v>
      </c>
      <c r="Q57" s="193"/>
      <c r="R57" s="194" t="str">
        <f>IF(Tournament!J58&lt;&gt;"",Tournament!J58,"")</f>
        <v/>
      </c>
      <c r="S57" s="194" t="s">
        <v>3088</v>
      </c>
      <c r="T57" s="194" t="str">
        <f>IF(Tournament!L58&lt;&gt;"",Tournament!L58,"")</f>
        <v/>
      </c>
      <c r="U57" s="193"/>
      <c r="V57" s="193" t="str">
        <f t="shared" si="1"/>
        <v>Argentina</v>
      </c>
      <c r="W57" s="194"/>
      <c r="X57" s="194"/>
      <c r="Y57" s="194"/>
      <c r="Z57" s="194"/>
      <c r="AA57" s="194"/>
      <c r="AB57" s="194"/>
      <c r="AC57" s="194"/>
      <c r="AD57" s="195" t="str">
        <f>IF(AND(I57&lt;&gt;"",K57&lt;&gt;"",R57&lt;&gt;"",T57&lt;&gt;""),IF(AND(I57=R57,K57=T57),Setup!$D$10,IF((I57-K57)=(R57-T57),Setup!$D$11,IF(AND((I57&gt;K57),(R57&gt;T57)),Setup!$D$12,IF(AND((K57&gt;I57),(T57&gt;R57)),Setup!$D$12,0)))),"")</f>
        <v/>
      </c>
      <c r="AE57" s="183"/>
      <c r="CP57" s="168"/>
      <c r="CQ57" s="168"/>
      <c r="CR57" s="187"/>
      <c r="CS57" s="168"/>
    </row>
    <row r="58" spans="2:97" s="166" customFormat="1" ht="15" customHeight="1">
      <c r="B58" s="182"/>
      <c r="C58" s="181">
        <f>Tournament!D59</f>
        <v>44</v>
      </c>
      <c r="D58" s="181" t="str">
        <f>Tournament!E59</f>
        <v>F</v>
      </c>
      <c r="E58" s="188">
        <f>Tournament!F59</f>
        <v>41815.541666666664</v>
      </c>
      <c r="F58" s="189">
        <f>Tournament!G59</f>
        <v>41815.541666666664</v>
      </c>
      <c r="G58" s="190" t="str">
        <f>Tournament!H59</f>
        <v>Bosnia-Herzegovina</v>
      </c>
      <c r="H58" s="180"/>
      <c r="I58" s="9"/>
      <c r="J58" s="191" t="s">
        <v>3088</v>
      </c>
      <c r="K58" s="9"/>
      <c r="L58" s="180"/>
      <c r="M58" s="180" t="str">
        <f>Tournament!N59</f>
        <v>Iran</v>
      </c>
      <c r="N58" s="183"/>
      <c r="P58" s="192" t="str">
        <f t="shared" si="0"/>
        <v>Bosnia-Herzegovina</v>
      </c>
      <c r="Q58" s="193"/>
      <c r="R58" s="194" t="str">
        <f>IF(Tournament!J59&lt;&gt;"",Tournament!J59,"")</f>
        <v/>
      </c>
      <c r="S58" s="194" t="s">
        <v>3088</v>
      </c>
      <c r="T58" s="194" t="str">
        <f>IF(Tournament!L59&lt;&gt;"",Tournament!L59,"")</f>
        <v/>
      </c>
      <c r="U58" s="193"/>
      <c r="V58" s="193" t="str">
        <f t="shared" si="1"/>
        <v>Iran</v>
      </c>
      <c r="W58" s="194"/>
      <c r="X58" s="194"/>
      <c r="Y58" s="194"/>
      <c r="Z58" s="194"/>
      <c r="AA58" s="194"/>
      <c r="AB58" s="194"/>
      <c r="AC58" s="194"/>
      <c r="AD58" s="195" t="str">
        <f>IF(AND(I58&lt;&gt;"",K58&lt;&gt;"",R58&lt;&gt;"",T58&lt;&gt;""),IF(AND(I58=R58,K58=T58),Setup!$D$10,IF((I58-K58)=(R58-T58),Setup!$D$11,IF(AND((I58&gt;K58),(R58&gt;T58)),Setup!$D$12,IF(AND((K58&gt;I58),(T58&gt;R58)),Setup!$D$12,0)))),"")</f>
        <v/>
      </c>
      <c r="AE58" s="183"/>
      <c r="CP58" s="168"/>
      <c r="CQ58" s="168"/>
      <c r="CR58" s="187"/>
      <c r="CS58" s="168"/>
    </row>
    <row r="59" spans="2:97" s="166" customFormat="1" ht="15" customHeight="1">
      <c r="B59" s="182"/>
      <c r="C59" s="181">
        <f>Tournament!D60</f>
        <v>45</v>
      </c>
      <c r="D59" s="181" t="str">
        <f>Tournament!E60</f>
        <v>G</v>
      </c>
      <c r="E59" s="188">
        <f>Tournament!F60</f>
        <v>41816.541666666664</v>
      </c>
      <c r="F59" s="189">
        <f>Tournament!G60</f>
        <v>41816.541666666664</v>
      </c>
      <c r="G59" s="190" t="str">
        <f>Tournament!H60</f>
        <v>USA</v>
      </c>
      <c r="H59" s="180"/>
      <c r="I59" s="9"/>
      <c r="J59" s="191" t="s">
        <v>3088</v>
      </c>
      <c r="K59" s="9"/>
      <c r="L59" s="180"/>
      <c r="M59" s="180" t="str">
        <f>Tournament!N60</f>
        <v>Germany</v>
      </c>
      <c r="N59" s="183"/>
      <c r="P59" s="192" t="str">
        <f t="shared" si="0"/>
        <v>USA</v>
      </c>
      <c r="Q59" s="193"/>
      <c r="R59" s="194" t="str">
        <f>IF(Tournament!J60&lt;&gt;"",Tournament!J60,"")</f>
        <v/>
      </c>
      <c r="S59" s="194" t="s">
        <v>3088</v>
      </c>
      <c r="T59" s="194" t="str">
        <f>IF(Tournament!L60&lt;&gt;"",Tournament!L60,"")</f>
        <v/>
      </c>
      <c r="U59" s="193"/>
      <c r="V59" s="193" t="str">
        <f t="shared" si="1"/>
        <v>Germany</v>
      </c>
      <c r="W59" s="194"/>
      <c r="X59" s="194"/>
      <c r="Y59" s="194"/>
      <c r="Z59" s="194"/>
      <c r="AA59" s="194"/>
      <c r="AB59" s="194"/>
      <c r="AC59" s="194"/>
      <c r="AD59" s="195" t="str">
        <f>IF(AND(I59&lt;&gt;"",K59&lt;&gt;"",R59&lt;&gt;"",T59&lt;&gt;""),IF(AND(I59=R59,K59=T59),Setup!$D$10,IF((I59-K59)=(R59-T59),Setup!$D$11,IF(AND((I59&gt;K59),(R59&gt;T59)),Setup!$D$12,IF(AND((K59&gt;I59),(T59&gt;R59)),Setup!$D$12,0)))),"")</f>
        <v/>
      </c>
      <c r="AE59" s="183"/>
      <c r="CP59" s="168"/>
      <c r="CQ59" s="168"/>
      <c r="CR59" s="187"/>
      <c r="CS59" s="168"/>
    </row>
    <row r="60" spans="2:97" s="166" customFormat="1" ht="15" customHeight="1">
      <c r="B60" s="182"/>
      <c r="C60" s="181">
        <f>Tournament!D61</f>
        <v>46</v>
      </c>
      <c r="D60" s="181" t="str">
        <f>Tournament!E61</f>
        <v>G</v>
      </c>
      <c r="E60" s="188">
        <f>Tournament!F61</f>
        <v>41816.541666666664</v>
      </c>
      <c r="F60" s="189">
        <f>Tournament!G61</f>
        <v>41816.541666666664</v>
      </c>
      <c r="G60" s="190" t="str">
        <f>Tournament!H61</f>
        <v>Portugal</v>
      </c>
      <c r="H60" s="180"/>
      <c r="I60" s="9"/>
      <c r="J60" s="191" t="s">
        <v>3088</v>
      </c>
      <c r="K60" s="9"/>
      <c r="L60" s="180"/>
      <c r="M60" s="180" t="str">
        <f>Tournament!N61</f>
        <v>Ghana</v>
      </c>
      <c r="N60" s="183"/>
      <c r="P60" s="192" t="str">
        <f t="shared" si="0"/>
        <v>Portugal</v>
      </c>
      <c r="Q60" s="193"/>
      <c r="R60" s="194" t="str">
        <f>IF(Tournament!J61&lt;&gt;"",Tournament!J61,"")</f>
        <v/>
      </c>
      <c r="S60" s="194" t="s">
        <v>3088</v>
      </c>
      <c r="T60" s="194" t="str">
        <f>IF(Tournament!L61&lt;&gt;"",Tournament!L61,"")</f>
        <v/>
      </c>
      <c r="U60" s="193"/>
      <c r="V60" s="193" t="str">
        <f t="shared" si="1"/>
        <v>Ghana</v>
      </c>
      <c r="W60" s="194"/>
      <c r="X60" s="194"/>
      <c r="Y60" s="194"/>
      <c r="Z60" s="194"/>
      <c r="AA60" s="194"/>
      <c r="AB60" s="194"/>
      <c r="AC60" s="194"/>
      <c r="AD60" s="195" t="str">
        <f>IF(AND(I60&lt;&gt;"",K60&lt;&gt;"",R60&lt;&gt;"",T60&lt;&gt;""),IF(AND(I60=R60,K60=T60),Setup!$D$10,IF((I60-K60)=(R60-T60),Setup!$D$11,IF(AND((I60&gt;K60),(R60&gt;T60)),Setup!$D$12,IF(AND((K60&gt;I60),(T60&gt;R60)),Setup!$D$12,0)))),"")</f>
        <v/>
      </c>
      <c r="AE60" s="183"/>
      <c r="CN60" s="168"/>
      <c r="CO60" s="168"/>
      <c r="CP60" s="187"/>
      <c r="CQ60" s="168"/>
    </row>
    <row r="61" spans="2:97" s="166" customFormat="1" ht="15" customHeight="1">
      <c r="B61" s="182"/>
      <c r="C61" s="181">
        <f>Tournament!D62</f>
        <v>47</v>
      </c>
      <c r="D61" s="181" t="str">
        <f>Tournament!E62</f>
        <v>H</v>
      </c>
      <c r="E61" s="188">
        <f>Tournament!F62</f>
        <v>41816.708333333336</v>
      </c>
      <c r="F61" s="189">
        <f>Tournament!G62</f>
        <v>41816.708333333336</v>
      </c>
      <c r="G61" s="190" t="str">
        <f>Tournament!H62</f>
        <v>South Korea</v>
      </c>
      <c r="H61" s="180"/>
      <c r="I61" s="9"/>
      <c r="J61" s="191" t="s">
        <v>3088</v>
      </c>
      <c r="K61" s="9"/>
      <c r="L61" s="180"/>
      <c r="M61" s="180" t="str">
        <f>Tournament!N62</f>
        <v>Belgium</v>
      </c>
      <c r="N61" s="183"/>
      <c r="P61" s="192" t="str">
        <f t="shared" si="0"/>
        <v>South Korea</v>
      </c>
      <c r="Q61" s="193"/>
      <c r="R61" s="194" t="str">
        <f>IF(Tournament!J62&lt;&gt;"",Tournament!J62,"")</f>
        <v/>
      </c>
      <c r="S61" s="194" t="s">
        <v>3088</v>
      </c>
      <c r="T61" s="194" t="str">
        <f>IF(Tournament!L62&lt;&gt;"",Tournament!L62,"")</f>
        <v/>
      </c>
      <c r="U61" s="193"/>
      <c r="V61" s="193" t="str">
        <f t="shared" si="1"/>
        <v>Belgium</v>
      </c>
      <c r="W61" s="194"/>
      <c r="X61" s="194"/>
      <c r="Y61" s="194"/>
      <c r="Z61" s="194"/>
      <c r="AA61" s="194"/>
      <c r="AB61" s="194"/>
      <c r="AC61" s="194"/>
      <c r="AD61" s="195" t="str">
        <f>IF(AND(I61&lt;&gt;"",K61&lt;&gt;"",R61&lt;&gt;"",T61&lt;&gt;""),IF(AND(I61=R61,K61=T61),Setup!$D$10,IF((I61-K61)=(R61-T61),Setup!$D$11,IF(AND((I61&gt;K61),(R61&gt;T61)),Setup!$D$12,IF(AND((K61&gt;I61),(T61&gt;R61)),Setup!$D$12,0)))),"")</f>
        <v/>
      </c>
      <c r="AE61" s="183"/>
      <c r="CM61" s="168"/>
      <c r="CN61" s="168"/>
      <c r="CO61" s="187"/>
      <c r="CP61" s="168"/>
    </row>
    <row r="62" spans="2:97" s="166" customFormat="1" ht="15" customHeight="1">
      <c r="B62" s="182"/>
      <c r="C62" s="181">
        <f>Tournament!D63</f>
        <v>48</v>
      </c>
      <c r="D62" s="181" t="str">
        <f>Tournament!E63</f>
        <v>H</v>
      </c>
      <c r="E62" s="188">
        <f>Tournament!F63</f>
        <v>41816.708333333336</v>
      </c>
      <c r="F62" s="189">
        <f>Tournament!G63</f>
        <v>41816.708333333336</v>
      </c>
      <c r="G62" s="190" t="str">
        <f>Tournament!H63</f>
        <v>Algeria</v>
      </c>
      <c r="H62" s="180"/>
      <c r="I62" s="9"/>
      <c r="J62" s="191" t="s">
        <v>3088</v>
      </c>
      <c r="K62" s="9"/>
      <c r="L62" s="180"/>
      <c r="M62" s="180" t="str">
        <f>Tournament!N63</f>
        <v>Russia</v>
      </c>
      <c r="N62" s="183"/>
      <c r="P62" s="192" t="str">
        <f t="shared" si="0"/>
        <v>Algeria</v>
      </c>
      <c r="Q62" s="193"/>
      <c r="R62" s="194" t="str">
        <f>IF(Tournament!J63&lt;&gt;"",Tournament!J63,"")</f>
        <v/>
      </c>
      <c r="S62" s="194" t="s">
        <v>3088</v>
      </c>
      <c r="T62" s="194" t="str">
        <f>IF(Tournament!L63&lt;&gt;"",Tournament!L63,"")</f>
        <v/>
      </c>
      <c r="U62" s="193"/>
      <c r="V62" s="193" t="str">
        <f t="shared" si="1"/>
        <v>Russia</v>
      </c>
      <c r="AD62" s="195" t="str">
        <f>IF(AND(I62&lt;&gt;"",K62&lt;&gt;"",R62&lt;&gt;"",T62&lt;&gt;""),IF(AND(I62=R62,K62=T62),Setup!$D$10,IF((I62-K62)=(R62-T62),Setup!$D$11,IF(AND((I62&gt;K62),(R62&gt;T62)),Setup!$D$12,IF(AND((K62&gt;I62),(T62&gt;R62)),Setup!$D$12,0)))),"")</f>
        <v/>
      </c>
      <c r="AE62" s="183"/>
      <c r="CM62" s="168"/>
      <c r="CN62" s="168"/>
      <c r="CO62" s="187"/>
      <c r="CP62" s="168"/>
    </row>
    <row r="63" spans="2:97" s="166" customFormat="1" ht="15" customHeight="1">
      <c r="B63" s="182"/>
      <c r="C63" s="181"/>
      <c r="D63" s="181"/>
      <c r="E63" s="188"/>
      <c r="F63" s="189"/>
      <c r="G63" s="190"/>
      <c r="H63" s="180"/>
      <c r="I63" s="191"/>
      <c r="J63" s="191"/>
      <c r="K63" s="191"/>
      <c r="L63" s="180"/>
      <c r="M63" s="180"/>
      <c r="N63" s="183"/>
      <c r="P63" s="192"/>
      <c r="Q63" s="193"/>
      <c r="R63" s="194"/>
      <c r="S63" s="194"/>
      <c r="T63" s="194"/>
      <c r="U63" s="193"/>
      <c r="V63" s="193"/>
      <c r="AD63" s="181"/>
      <c r="AE63" s="183"/>
      <c r="CM63" s="168"/>
      <c r="CN63" s="168"/>
      <c r="CO63" s="187"/>
      <c r="CP63" s="168"/>
    </row>
    <row r="64" spans="2:97" s="166" customFormat="1" ht="15" customHeight="1">
      <c r="B64" s="300" t="s">
        <v>3544</v>
      </c>
      <c r="C64" s="301"/>
      <c r="D64" s="301"/>
      <c r="E64" s="301"/>
      <c r="F64" s="301"/>
      <c r="G64" s="301"/>
      <c r="H64" s="301"/>
      <c r="I64" s="301"/>
      <c r="J64" s="301"/>
      <c r="K64" s="301"/>
      <c r="L64" s="301"/>
      <c r="M64" s="301"/>
      <c r="N64" s="302"/>
      <c r="P64" s="303" t="str">
        <f>B64</f>
        <v>Knock Out Stages</v>
      </c>
      <c r="Q64" s="304"/>
      <c r="R64" s="304"/>
      <c r="S64" s="304"/>
      <c r="T64" s="304"/>
      <c r="U64" s="304"/>
      <c r="V64" s="304"/>
      <c r="W64" s="304"/>
      <c r="X64" s="304"/>
      <c r="Y64" s="304"/>
      <c r="Z64" s="304"/>
      <c r="AA64" s="304"/>
      <c r="AB64" s="304"/>
      <c r="AC64" s="304"/>
      <c r="AD64" s="304"/>
      <c r="AE64" s="305"/>
      <c r="CM64" s="168"/>
      <c r="CN64" s="168"/>
      <c r="CO64" s="187"/>
      <c r="CP64" s="168"/>
    </row>
    <row r="65" spans="2:94" s="166" customFormat="1" ht="15" customHeight="1">
      <c r="B65" s="182"/>
      <c r="C65" s="181"/>
      <c r="D65" s="181"/>
      <c r="E65" s="188"/>
      <c r="F65" s="189"/>
      <c r="G65" s="190"/>
      <c r="H65" s="180"/>
      <c r="I65" s="191"/>
      <c r="J65" s="191"/>
      <c r="K65" s="191"/>
      <c r="L65" s="180"/>
      <c r="M65" s="180"/>
      <c r="N65" s="183"/>
      <c r="P65" s="192"/>
      <c r="Q65" s="193"/>
      <c r="R65" s="299" t="s">
        <v>3554</v>
      </c>
      <c r="S65" s="299"/>
      <c r="T65" s="299"/>
      <c r="U65" s="193"/>
      <c r="V65" s="193"/>
      <c r="W65" s="299" t="s">
        <v>3546</v>
      </c>
      <c r="X65" s="299"/>
      <c r="Y65" s="299"/>
      <c r="Z65" s="197"/>
      <c r="AA65" s="299" t="s">
        <v>3547</v>
      </c>
      <c r="AB65" s="299"/>
      <c r="AC65" s="299"/>
      <c r="AD65" s="181"/>
      <c r="AE65" s="183"/>
      <c r="CM65" s="168"/>
      <c r="CN65" s="168"/>
      <c r="CO65" s="187"/>
      <c r="CP65" s="168"/>
    </row>
    <row r="66" spans="2:94" s="166" customFormat="1" ht="15" customHeight="1">
      <c r="B66" s="182"/>
      <c r="C66" s="181">
        <v>49</v>
      </c>
      <c r="D66" s="181" t="s">
        <v>3548</v>
      </c>
      <c r="E66" s="188">
        <f>Tournament!F69</f>
        <v>41818.541666666664</v>
      </c>
      <c r="F66" s="189">
        <f>Tournament!G69</f>
        <v>41818.541666666664</v>
      </c>
      <c r="G66" s="190" t="str">
        <f>Tournament!H69</f>
        <v>Group A Winner</v>
      </c>
      <c r="H66" s="180"/>
      <c r="I66" s="9"/>
      <c r="J66" s="191" t="s">
        <v>3088</v>
      </c>
      <c r="K66" s="9"/>
      <c r="L66" s="180"/>
      <c r="M66" s="198" t="str">
        <f>Tournament!N69</f>
        <v>Group B Runner Up</v>
      </c>
      <c r="N66" s="183"/>
      <c r="P66" s="192" t="str">
        <f t="shared" ref="P66:P81" si="2">G66</f>
        <v>Group A Winner</v>
      </c>
      <c r="Q66" s="193"/>
      <c r="R66" s="194" t="str">
        <f>IF($Z$67=0,IF($Z$66=0,IF(Tournament!J70&lt;&gt;"",Tournament!J70,""),IF(Tournament!J70&lt;&gt;"",Tournament!J70+Tournament!J71,"")),IF(Tournament!J69&lt;&gt;"",Tournament!J69,""))</f>
        <v/>
      </c>
      <c r="S66" s="194" t="s">
        <v>3088</v>
      </c>
      <c r="T66" s="194" t="str">
        <f>IF($Z$67=0,IF($Z$66=0,IF(Tournament!L70&lt;&gt;"",Tournament!L70,""),IF(Tournament!L70&lt;&gt;"",Tournament!L70+Tournament!L71,"")),IF(Tournament!L69&lt;&gt;"",Tournament!L69,""))</f>
        <v/>
      </c>
      <c r="U66" s="193"/>
      <c r="V66" s="193" t="str">
        <f t="shared" ref="V66:V81" si="3">M66</f>
        <v>Group B Runner Up</v>
      </c>
      <c r="W66" s="191" t="str">
        <f>IF(Tournament!J71&lt;&gt;"",Tournament!J71,"")</f>
        <v/>
      </c>
      <c r="X66" s="199" t="s">
        <v>3088</v>
      </c>
      <c r="Y66" s="191" t="str">
        <f>IF(Tournament!L71&lt;&gt;"",Tournament!L71,"")</f>
        <v/>
      </c>
      <c r="Z66" s="199">
        <f>Setup!E16</f>
        <v>1</v>
      </c>
      <c r="AA66" s="191" t="str">
        <f>IF(Tournament!J72&lt;&gt;"",Tournament!J72,"")</f>
        <v/>
      </c>
      <c r="AB66" s="194" t="s">
        <v>3088</v>
      </c>
      <c r="AC66" s="191" t="str">
        <f>IF(Tournament!L72&lt;&gt;"",Tournament!L72,"")</f>
        <v/>
      </c>
      <c r="AD66" s="195" t="str">
        <f>IF(AND(I66&lt;&gt;"",K66&lt;&gt;"",R66&lt;&gt;"",T66&lt;&gt;""),IF(AND(I66=R66,K66=T66),Setup!$D$20,IF((I66-K66)=(R66-T66),Setup!$D$21,IF(AND((I66&gt;K66),(R66&gt;T66)),Setup!$D$22,IF(AND((K66&gt;I66),(T66&gt;R66)),Setup!$D$22,0)))),"")</f>
        <v/>
      </c>
      <c r="AE66" s="183"/>
      <c r="CM66" s="168"/>
      <c r="CN66" s="168"/>
      <c r="CO66" s="187"/>
      <c r="CP66" s="168"/>
    </row>
    <row r="67" spans="2:94" s="166" customFormat="1" ht="15" customHeight="1">
      <c r="B67" s="182"/>
      <c r="C67" s="181">
        <v>50</v>
      </c>
      <c r="D67" s="181" t="str">
        <f>D66</f>
        <v>R16</v>
      </c>
      <c r="E67" s="188">
        <f>Tournament!F75</f>
        <v>41818.708333333336</v>
      </c>
      <c r="F67" s="189">
        <f>Tournament!G75</f>
        <v>41818.708333333336</v>
      </c>
      <c r="G67" s="190" t="str">
        <f>Tournament!H75</f>
        <v>Group C Winner</v>
      </c>
      <c r="H67" s="180"/>
      <c r="I67" s="9"/>
      <c r="J67" s="191" t="s">
        <v>3088</v>
      </c>
      <c r="K67" s="9"/>
      <c r="L67" s="180"/>
      <c r="M67" s="198" t="str">
        <f>Tournament!N75</f>
        <v>Group D Runner Up</v>
      </c>
      <c r="N67" s="183"/>
      <c r="P67" s="192" t="str">
        <f t="shared" si="2"/>
        <v>Group C Winner</v>
      </c>
      <c r="Q67" s="193"/>
      <c r="R67" s="194" t="str">
        <f>IF($Z$67=0,IF($Z$66=0,IF(Tournament!J76&lt;&gt;"",Tournament!J76,""),IF(Tournament!J76&lt;&gt;"",Tournament!J76+Tournament!J77,"")),IF(Tournament!J75&lt;&gt;"",Tournament!J75,""))</f>
        <v/>
      </c>
      <c r="S67" s="194" t="s">
        <v>3088</v>
      </c>
      <c r="T67" s="194" t="str">
        <f>IF($Z$67=0,IF($Z$66=0,IF(Tournament!L76&lt;&gt;"",Tournament!L76,""),IF(Tournament!L76&lt;&gt;"",Tournament!L76+Tournament!L77,"")),IF(Tournament!L75&lt;&gt;"",Tournament!L75,""))</f>
        <v/>
      </c>
      <c r="U67" s="193"/>
      <c r="V67" s="193" t="str">
        <f t="shared" si="3"/>
        <v>Group D Runner Up</v>
      </c>
      <c r="W67" s="191" t="str">
        <f>IF(Tournament!J77&lt;&gt;"",Tournament!J77,"")</f>
        <v/>
      </c>
      <c r="X67" s="199" t="s">
        <v>3088</v>
      </c>
      <c r="Y67" s="191" t="str">
        <f>IF(Tournament!L77&lt;&gt;"",Tournament!L77,"")</f>
        <v/>
      </c>
      <c r="Z67" s="199">
        <f>Setup!E17</f>
        <v>0</v>
      </c>
      <c r="AA67" s="191" t="str">
        <f>IF(Tournament!J78&lt;&gt;"",Tournament!J78,"")</f>
        <v/>
      </c>
      <c r="AB67" s="194" t="s">
        <v>3088</v>
      </c>
      <c r="AC67" s="191" t="str">
        <f>IF(Tournament!L78&lt;&gt;"",Tournament!L78,"")</f>
        <v/>
      </c>
      <c r="AD67" s="195" t="str">
        <f>IF(AND(I67&lt;&gt;"",K67&lt;&gt;"",R67&lt;&gt;"",T67&lt;&gt;""),IF(AND(I67=R67,K67=T67),Setup!$D$20,IF((I67-K67)=(R67-T67),Setup!$D$21,IF(AND((I67&gt;K67),(R67&gt;T67)),Setup!$D$22,IF(AND((K67&gt;I67),(T67&gt;R67)),Setup!$D$22,0)))),"")</f>
        <v/>
      </c>
      <c r="AE67" s="183"/>
      <c r="CM67" s="168"/>
      <c r="CN67" s="168"/>
      <c r="CO67" s="187"/>
      <c r="CP67" s="168"/>
    </row>
    <row r="68" spans="2:94" s="166" customFormat="1" ht="15" customHeight="1">
      <c r="B68" s="182"/>
      <c r="C68" s="181">
        <v>52</v>
      </c>
      <c r="D68" s="181" t="str">
        <f t="shared" ref="D68:D73" si="4">D67</f>
        <v>R16</v>
      </c>
      <c r="E68" s="188">
        <f>Tournament!F81</f>
        <v>41819.708333333336</v>
      </c>
      <c r="F68" s="189">
        <f>Tournament!G81</f>
        <v>41819.708333333336</v>
      </c>
      <c r="G68" s="190" t="str">
        <f>Tournament!H81</f>
        <v>Group D Winner</v>
      </c>
      <c r="H68" s="180"/>
      <c r="I68" s="9"/>
      <c r="J68" s="191" t="s">
        <v>3088</v>
      </c>
      <c r="K68" s="9"/>
      <c r="L68" s="180"/>
      <c r="M68" s="198" t="str">
        <f>Tournament!N81</f>
        <v>Group C Runner Up</v>
      </c>
      <c r="N68" s="183"/>
      <c r="P68" s="192" t="str">
        <f t="shared" si="2"/>
        <v>Group D Winner</v>
      </c>
      <c r="Q68" s="193"/>
      <c r="R68" s="194" t="str">
        <f>IF($Z$67=0,IF($Z$66=0,IF(Tournament!J82&lt;&gt;"",Tournament!J82,""),IF(Tournament!J82&lt;&gt;"",Tournament!J82+Tournament!J83,"")),IF(Tournament!J81&lt;&gt;"",Tournament!J81,""))</f>
        <v/>
      </c>
      <c r="S68" s="194" t="s">
        <v>3088</v>
      </c>
      <c r="T68" s="194" t="str">
        <f>IF($Z$67=0,IF($Z$66=0,IF(Tournament!L82&lt;&gt;"",Tournament!L82,""),IF(Tournament!L82&lt;&gt;"",Tournament!L82+Tournament!L83,"")),IF(Tournament!L81&lt;&gt;"",Tournament!L81,""))</f>
        <v/>
      </c>
      <c r="U68" s="193"/>
      <c r="V68" s="193" t="str">
        <f t="shared" si="3"/>
        <v>Group C Runner Up</v>
      </c>
      <c r="W68" s="191" t="str">
        <f>IF(Tournament!J83&lt;&gt;"",Tournament!J83,"")</f>
        <v/>
      </c>
      <c r="X68" s="199" t="s">
        <v>3088</v>
      </c>
      <c r="Y68" s="191" t="str">
        <f>IF(Tournament!L83&lt;&gt;"",Tournament!L83,"")</f>
        <v/>
      </c>
      <c r="Z68" s="191"/>
      <c r="AA68" s="191" t="str">
        <f>IF(Tournament!J84&lt;&gt;"",Tournament!J84,"")</f>
        <v/>
      </c>
      <c r="AB68" s="194" t="s">
        <v>3088</v>
      </c>
      <c r="AC68" s="191" t="str">
        <f>IF(Tournament!L84&lt;&gt;"",Tournament!L84,"")</f>
        <v/>
      </c>
      <c r="AD68" s="195" t="str">
        <f>IF(AND(I68&lt;&gt;"",K68&lt;&gt;"",R68&lt;&gt;"",T68&lt;&gt;""),IF(AND(I68=R68,K68=T68),Setup!$D$20,IF((I68-K68)=(R68-T68),Setup!$D$21,IF(AND((I68&gt;K68),(R68&gt;T68)),Setup!$D$22,IF(AND((K68&gt;I68),(T68&gt;R68)),Setup!$D$22,0)))),"")</f>
        <v/>
      </c>
      <c r="AE68" s="183"/>
      <c r="CM68" s="168"/>
      <c r="CN68" s="168"/>
      <c r="CO68" s="187"/>
      <c r="CP68" s="168"/>
    </row>
    <row r="69" spans="2:94" s="166" customFormat="1" ht="15" customHeight="1">
      <c r="B69" s="182"/>
      <c r="C69" s="181">
        <v>51</v>
      </c>
      <c r="D69" s="181" t="str">
        <f t="shared" si="4"/>
        <v>R16</v>
      </c>
      <c r="E69" s="188">
        <f>Tournament!F87</f>
        <v>41819.541666666664</v>
      </c>
      <c r="F69" s="189">
        <f>Tournament!G93</f>
        <v>41820.541666666664</v>
      </c>
      <c r="G69" s="190" t="str">
        <f>Tournament!H87</f>
        <v>Group B Winner</v>
      </c>
      <c r="H69" s="180"/>
      <c r="I69" s="9"/>
      <c r="J69" s="191" t="s">
        <v>3088</v>
      </c>
      <c r="K69" s="9"/>
      <c r="L69" s="180"/>
      <c r="M69" s="198" t="str">
        <f>Tournament!N87</f>
        <v>Group A Runner Up</v>
      </c>
      <c r="N69" s="183"/>
      <c r="P69" s="192" t="str">
        <f t="shared" si="2"/>
        <v>Group B Winner</v>
      </c>
      <c r="Q69" s="193"/>
      <c r="R69" s="194" t="str">
        <f>IF($Z$67=0,IF($Z$66=0,IF(Tournament!J88&lt;&gt;"",Tournament!J88,""),IF(Tournament!J88&lt;&gt;"",Tournament!J88+Tournament!J89,"")),IF(Tournament!J87&lt;&gt;"",Tournament!J87,""))</f>
        <v/>
      </c>
      <c r="S69" s="194" t="s">
        <v>3088</v>
      </c>
      <c r="T69" s="194" t="str">
        <f>IF($Z$67=0,IF($Z$66=0,IF(Tournament!L88&lt;&gt;"",Tournament!L88,""),IF(Tournament!L88&lt;&gt;"",Tournament!L88+Tournament!L89,"")),IF(Tournament!L87&lt;&gt;"",Tournament!L87,""))</f>
        <v/>
      </c>
      <c r="U69" s="193"/>
      <c r="V69" s="193" t="str">
        <f t="shared" si="3"/>
        <v>Group A Runner Up</v>
      </c>
      <c r="W69" s="191" t="str">
        <f>IF(Tournament!J89&lt;&gt;"",Tournament!J89,"")</f>
        <v/>
      </c>
      <c r="X69" s="199" t="s">
        <v>3088</v>
      </c>
      <c r="Y69" s="191" t="str">
        <f>IF(Tournament!L89&lt;&gt;"",Tournament!L89,"")</f>
        <v/>
      </c>
      <c r="Z69" s="191"/>
      <c r="AA69" s="191" t="str">
        <f>IF(Tournament!J90&lt;&gt;"",Tournament!J90,"")</f>
        <v/>
      </c>
      <c r="AB69" s="194" t="s">
        <v>3088</v>
      </c>
      <c r="AC69" s="191" t="str">
        <f>IF(Tournament!L90&lt;&gt;"",Tournament!L90,"")</f>
        <v/>
      </c>
      <c r="AD69" s="195" t="str">
        <f>IF(AND(I69&lt;&gt;"",K69&lt;&gt;"",R69&lt;&gt;"",T69&lt;&gt;""),IF(AND(I69=R69,K69=T69),Setup!$D$20,IF((I69-K69)=(R69-T69),Setup!$D$21,IF(AND((I69&gt;K69),(R69&gt;T69)),Setup!$D$22,IF(AND((K69&gt;I69),(T69&gt;R69)),Setup!$D$22,0)))),"")</f>
        <v/>
      </c>
      <c r="AE69" s="183"/>
      <c r="CM69" s="168"/>
      <c r="CN69" s="168"/>
      <c r="CO69" s="187"/>
      <c r="CP69" s="168"/>
    </row>
    <row r="70" spans="2:94" s="166" customFormat="1" ht="15" customHeight="1">
      <c r="B70" s="182"/>
      <c r="C70" s="181">
        <v>53</v>
      </c>
      <c r="D70" s="181" t="str">
        <f t="shared" si="4"/>
        <v>R16</v>
      </c>
      <c r="E70" s="188">
        <f>Tournament!F93</f>
        <v>41820.541666666664</v>
      </c>
      <c r="F70" s="189">
        <f>Tournament!G93</f>
        <v>41820.541666666664</v>
      </c>
      <c r="G70" s="190" t="str">
        <f>Tournament!H93</f>
        <v>Group E Winner</v>
      </c>
      <c r="H70" s="180"/>
      <c r="I70" s="9"/>
      <c r="J70" s="191" t="s">
        <v>3088</v>
      </c>
      <c r="K70" s="9"/>
      <c r="L70" s="180"/>
      <c r="M70" s="198" t="str">
        <f>Tournament!N93</f>
        <v>Group F Runner Up</v>
      </c>
      <c r="N70" s="183"/>
      <c r="P70" s="192" t="str">
        <f t="shared" si="2"/>
        <v>Group E Winner</v>
      </c>
      <c r="Q70" s="193"/>
      <c r="R70" s="194" t="str">
        <f>IF($Z$67=0,IF($Z$66=0,IF(Tournament!J94&lt;&gt;"",Tournament!J94,""),IF(Tournament!J94&lt;&gt;"",Tournament!J94+Tournament!J95,"")),IF(Tournament!J93&lt;&gt;"",Tournament!J93,""))</f>
        <v/>
      </c>
      <c r="S70" s="194" t="s">
        <v>3088</v>
      </c>
      <c r="T70" s="194" t="str">
        <f>IF($Z$67=0,IF($Z$66=0,IF(Tournament!L94&lt;&gt;"",Tournament!L94,""),IF(Tournament!L94&lt;&gt;"",Tournament!L94+Tournament!L95,"")),IF(Tournament!L93&lt;&gt;"",Tournament!L93,""))</f>
        <v/>
      </c>
      <c r="U70" s="193"/>
      <c r="V70" s="193" t="str">
        <f t="shared" si="3"/>
        <v>Group F Runner Up</v>
      </c>
      <c r="W70" s="191" t="str">
        <f>IF(Tournament!J95&lt;&gt;"",Tournament!J95,"")</f>
        <v/>
      </c>
      <c r="X70" s="199" t="s">
        <v>3088</v>
      </c>
      <c r="Y70" s="191" t="str">
        <f>IF(Tournament!L95&lt;&gt;"",Tournament!L95,"")</f>
        <v/>
      </c>
      <c r="Z70" s="191"/>
      <c r="AA70" s="191" t="str">
        <f>IF(Tournament!J96&lt;&gt;"",Tournament!J96,"")</f>
        <v/>
      </c>
      <c r="AB70" s="194" t="s">
        <v>3088</v>
      </c>
      <c r="AC70" s="191" t="str">
        <f>IF(Tournament!L96&lt;&gt;"",Tournament!L96,"")</f>
        <v/>
      </c>
      <c r="AD70" s="195" t="str">
        <f>IF(AND(I70&lt;&gt;"",K70&lt;&gt;"",R70&lt;&gt;"",T70&lt;&gt;""),IF(AND(I70=R70,K70=T70),Setup!$D$20,IF((I70-K70)=(R70-T70),Setup!$D$21,IF(AND((I70&gt;K70),(R70&gt;T70)),Setup!$D$22,IF(AND((K70&gt;I70),(T70&gt;R70)),Setup!$D$22,0)))),"")</f>
        <v/>
      </c>
      <c r="AE70" s="183"/>
      <c r="CM70" s="168"/>
      <c r="CN70" s="168"/>
      <c r="CO70" s="187"/>
      <c r="CP70" s="168"/>
    </row>
    <row r="71" spans="2:94" s="166" customFormat="1" ht="15" customHeight="1">
      <c r="B71" s="182"/>
      <c r="C71" s="181">
        <v>54</v>
      </c>
      <c r="D71" s="181" t="str">
        <f t="shared" si="4"/>
        <v>R16</v>
      </c>
      <c r="E71" s="188">
        <f>Tournament!F99</f>
        <v>41820.708333333336</v>
      </c>
      <c r="F71" s="189">
        <f>Tournament!G99</f>
        <v>41820.708333333336</v>
      </c>
      <c r="G71" s="190" t="str">
        <f>Tournament!H99</f>
        <v>Group G Winner</v>
      </c>
      <c r="H71" s="180"/>
      <c r="I71" s="9"/>
      <c r="J71" s="191" t="s">
        <v>3088</v>
      </c>
      <c r="K71" s="9"/>
      <c r="L71" s="180"/>
      <c r="M71" s="198" t="str">
        <f>Tournament!N99</f>
        <v>Group H Runner Up</v>
      </c>
      <c r="N71" s="183"/>
      <c r="P71" s="192" t="str">
        <f t="shared" si="2"/>
        <v>Group G Winner</v>
      </c>
      <c r="Q71" s="193"/>
      <c r="R71" s="194" t="str">
        <f>IF($Z$67=0,IF($Z$66=0,IF(Tournament!J100&lt;&gt;"",Tournament!J100,""),IF(Tournament!J100&lt;&gt;"",Tournament!J100+Tournament!J101,"")),IF(Tournament!J99&lt;&gt;"",Tournament!J99,""))</f>
        <v/>
      </c>
      <c r="S71" s="194" t="s">
        <v>3088</v>
      </c>
      <c r="T71" s="194" t="str">
        <f>IF($Z$67=0,IF($Z$66=0,IF(Tournament!L100&lt;&gt;"",Tournament!L100,""),IF(Tournament!L100&lt;&gt;"",Tournament!L100+Tournament!L101,"")),IF(Tournament!L99&lt;&gt;"",Tournament!L99,""))</f>
        <v/>
      </c>
      <c r="U71" s="193"/>
      <c r="V71" s="193" t="str">
        <f t="shared" si="3"/>
        <v>Group H Runner Up</v>
      </c>
      <c r="W71" s="191" t="str">
        <f>IF(Tournament!J101&lt;&gt;"",Tournament!J101,"")</f>
        <v/>
      </c>
      <c r="X71" s="199" t="s">
        <v>3088</v>
      </c>
      <c r="Y71" s="191" t="str">
        <f>IF(Tournament!L101&lt;&gt;"",Tournament!L101,"")</f>
        <v/>
      </c>
      <c r="Z71" s="191"/>
      <c r="AA71" s="191" t="str">
        <f>IF(Tournament!J102&lt;&gt;"",Tournament!J102,"")</f>
        <v/>
      </c>
      <c r="AB71" s="194" t="s">
        <v>3088</v>
      </c>
      <c r="AC71" s="191" t="str">
        <f>IF(Tournament!L102&lt;&gt;"",Tournament!L102,"")</f>
        <v/>
      </c>
      <c r="AD71" s="195" t="str">
        <f>IF(AND(I71&lt;&gt;"",K71&lt;&gt;"",R71&lt;&gt;"",T71&lt;&gt;""),IF(AND(I71=R71,K71=T71),Setup!$D$20,IF((I71-K71)=(R71-T71),Setup!$D$21,IF(AND((I71&gt;K71),(R71&gt;T71)),Setup!$D$22,IF(AND((K71&gt;I71),(T71&gt;R71)),Setup!$D$22,0)))),"")</f>
        <v/>
      </c>
      <c r="AE71" s="183"/>
      <c r="CM71" s="168"/>
      <c r="CN71" s="168"/>
      <c r="CO71" s="187"/>
      <c r="CP71" s="168"/>
    </row>
    <row r="72" spans="2:94" s="166" customFormat="1" ht="15" customHeight="1">
      <c r="B72" s="182"/>
      <c r="C72" s="181">
        <v>55</v>
      </c>
      <c r="D72" s="181" t="str">
        <f t="shared" si="4"/>
        <v>R16</v>
      </c>
      <c r="E72" s="188">
        <f>Tournament!F105</f>
        <v>41821.541666666664</v>
      </c>
      <c r="F72" s="189">
        <f>Tournament!G105</f>
        <v>41821.541666666664</v>
      </c>
      <c r="G72" s="190" t="str">
        <f>Tournament!H105</f>
        <v>Group F Winner</v>
      </c>
      <c r="H72" s="180"/>
      <c r="I72" s="9"/>
      <c r="J72" s="191" t="s">
        <v>3088</v>
      </c>
      <c r="K72" s="9"/>
      <c r="L72" s="180"/>
      <c r="M72" s="198" t="str">
        <f>Tournament!N105</f>
        <v>Group E Runner Up</v>
      </c>
      <c r="N72" s="183"/>
      <c r="P72" s="192" t="str">
        <f t="shared" si="2"/>
        <v>Group F Winner</v>
      </c>
      <c r="Q72" s="193"/>
      <c r="R72" s="194" t="str">
        <f>IF($Z$67=0,IF($Z$66=0,IF(Tournament!J106&lt;&gt;"",Tournament!J106,""),IF(Tournament!J106&lt;&gt;"",Tournament!J106+Tournament!J107,"")),IF(Tournament!J105&lt;&gt;"",Tournament!J105,""))</f>
        <v/>
      </c>
      <c r="S72" s="194" t="s">
        <v>3088</v>
      </c>
      <c r="T72" s="194" t="str">
        <f>IF($Z$67=0,IF($Z$66=0,IF(Tournament!L106&lt;&gt;"",Tournament!L106,""),IF(Tournament!L106&lt;&gt;"",Tournament!L106+Tournament!L107,"")),IF(Tournament!L105&lt;&gt;"",Tournament!L105,""))</f>
        <v/>
      </c>
      <c r="U72" s="193"/>
      <c r="V72" s="193" t="str">
        <f t="shared" si="3"/>
        <v>Group E Runner Up</v>
      </c>
      <c r="W72" s="191" t="str">
        <f>IF(Tournament!J107&lt;&gt;"",Tournament!J107,"")</f>
        <v/>
      </c>
      <c r="X72" s="199" t="s">
        <v>3088</v>
      </c>
      <c r="Y72" s="191" t="str">
        <f>IF(Tournament!L107&lt;&gt;"",Tournament!L107,"")</f>
        <v/>
      </c>
      <c r="Z72" s="191"/>
      <c r="AA72" s="191" t="str">
        <f>IF(Tournament!J108&lt;&gt;"",Tournament!J108,"")</f>
        <v/>
      </c>
      <c r="AB72" s="194" t="s">
        <v>3088</v>
      </c>
      <c r="AC72" s="191" t="str">
        <f>IF(Tournament!L108&lt;&gt;"",Tournament!L108,"")</f>
        <v/>
      </c>
      <c r="AD72" s="195" t="str">
        <f>IF(AND(I72&lt;&gt;"",K72&lt;&gt;"",R72&lt;&gt;"",T72&lt;&gt;""),IF(AND(I72=R72,K72=T72),Setup!$D$20,IF((I72-K72)=(R72-T72),Setup!$D$21,IF(AND((I72&gt;K72),(R72&gt;T72)),Setup!$D$22,IF(AND((K72&gt;I72),(T72&gt;R72)),Setup!$D$22,0)))),"")</f>
        <v/>
      </c>
      <c r="AE72" s="183"/>
      <c r="CM72" s="168"/>
      <c r="CN72" s="168"/>
      <c r="CO72" s="187"/>
      <c r="CP72" s="168"/>
    </row>
    <row r="73" spans="2:94" s="166" customFormat="1" ht="15" customHeight="1">
      <c r="B73" s="182"/>
      <c r="C73" s="181">
        <v>56</v>
      </c>
      <c r="D73" s="181" t="str">
        <f t="shared" si="4"/>
        <v>R16</v>
      </c>
      <c r="E73" s="188">
        <f>Tournament!F111</f>
        <v>41821.708333333336</v>
      </c>
      <c r="F73" s="189">
        <f>Tournament!G111</f>
        <v>41821.708333333336</v>
      </c>
      <c r="G73" s="190" t="str">
        <f>Tournament!H111</f>
        <v>Group H Winner</v>
      </c>
      <c r="H73" s="180"/>
      <c r="I73" s="9"/>
      <c r="J73" s="191" t="s">
        <v>3088</v>
      </c>
      <c r="K73" s="9"/>
      <c r="L73" s="180"/>
      <c r="M73" s="198" t="str">
        <f>Tournament!N111</f>
        <v>Group G Runner Up</v>
      </c>
      <c r="N73" s="183"/>
      <c r="P73" s="192" t="str">
        <f t="shared" si="2"/>
        <v>Group H Winner</v>
      </c>
      <c r="Q73" s="193"/>
      <c r="R73" s="194" t="str">
        <f>IF($Z$67=0,IF($Z$66=0,IF(Tournament!J112&lt;&gt;"",Tournament!J112,""),IF(Tournament!J112&lt;&gt;"",Tournament!J112+Tournament!J113,"")),IF(Tournament!J111&lt;&gt;"",Tournament!J111,""))</f>
        <v/>
      </c>
      <c r="S73" s="194" t="s">
        <v>3088</v>
      </c>
      <c r="T73" s="194" t="str">
        <f>IF($Z$67=0,IF($Z$66=0,IF(Tournament!L112&lt;&gt;"",Tournament!L112,""),IF(Tournament!L112&lt;&gt;"",Tournament!L112+Tournament!L113,"")),IF(Tournament!L111&lt;&gt;"",Tournament!L111,""))</f>
        <v/>
      </c>
      <c r="U73" s="193"/>
      <c r="V73" s="193" t="str">
        <f t="shared" si="3"/>
        <v>Group G Runner Up</v>
      </c>
      <c r="W73" s="191" t="str">
        <f>IF(Tournament!J113&lt;&gt;"",Tournament!J113,"")</f>
        <v/>
      </c>
      <c r="X73" s="199" t="s">
        <v>3088</v>
      </c>
      <c r="Y73" s="191" t="str">
        <f>IF(Tournament!L113&lt;&gt;"",Tournament!L113,"")</f>
        <v/>
      </c>
      <c r="Z73" s="191"/>
      <c r="AA73" s="191" t="str">
        <f>IF(Tournament!J114&lt;&gt;"",Tournament!J114,"")</f>
        <v/>
      </c>
      <c r="AB73" s="194" t="s">
        <v>3088</v>
      </c>
      <c r="AC73" s="191" t="str">
        <f>IF(Tournament!L114&lt;&gt;"",Tournament!L114,"")</f>
        <v/>
      </c>
      <c r="AD73" s="195" t="str">
        <f>IF(AND(I73&lt;&gt;"",K73&lt;&gt;"",R73&lt;&gt;"",T73&lt;&gt;""),IF(AND(I73=R73,K73=T73),Setup!$D$20,IF((I73-K73)=(R73-T73),Setup!$D$21,IF(AND((I73&gt;K73),(R73&gt;T73)),Setup!$D$22,IF(AND((K73&gt;I73),(T73&gt;R73)),Setup!$D$22,0)))),"")</f>
        <v/>
      </c>
      <c r="AE73" s="183"/>
      <c r="CM73" s="168"/>
      <c r="CN73" s="168"/>
      <c r="CO73" s="187"/>
      <c r="CP73" s="168"/>
    </row>
    <row r="74" spans="2:94" s="166" customFormat="1" ht="15" customHeight="1">
      <c r="B74" s="182"/>
      <c r="C74" s="181">
        <v>58</v>
      </c>
      <c r="D74" s="181" t="s">
        <v>3549</v>
      </c>
      <c r="E74" s="188">
        <f>Tournament!T69</f>
        <v>41824.541666666664</v>
      </c>
      <c r="F74" s="189">
        <f>Tournament!U69</f>
        <v>41824.541666666664</v>
      </c>
      <c r="G74" s="190" t="str">
        <f>Tournament!Y69</f>
        <v>Match 53 Winner</v>
      </c>
      <c r="H74" s="180"/>
      <c r="I74" s="9"/>
      <c r="J74" s="191" t="s">
        <v>3088</v>
      </c>
      <c r="K74" s="9"/>
      <c r="L74" s="180"/>
      <c r="M74" s="198" t="str">
        <f>Tournament!AE69</f>
        <v>Match 54 Winner</v>
      </c>
      <c r="N74" s="183"/>
      <c r="P74" s="192" t="str">
        <f t="shared" si="2"/>
        <v>Match 53 Winner</v>
      </c>
      <c r="Q74" s="193"/>
      <c r="R74" s="194" t="str">
        <f>IF($Z$67=0,IF($Z$66=0,IF(Tournament!AA70&lt;&gt;"",Tournament!AA70,""),IF(Tournament!AA70&lt;&gt;"",Tournament!AA70+Tournament!AA71,"")),IF(Tournament!AA69&lt;&gt;"",Tournament!AA69,""))</f>
        <v/>
      </c>
      <c r="S74" s="194" t="s">
        <v>3088</v>
      </c>
      <c r="T74" s="194" t="str">
        <f>IF($Z$67=0,IF($Z$66=0,IF(Tournament!AC70&lt;&gt;"",Tournament!AC70,""),IF(Tournament!AC70&lt;&gt;"",Tournament!AC70+Tournament!AC71,"")),IF(Tournament!AC69&lt;&gt;"",Tournament!AC69,""))</f>
        <v/>
      </c>
      <c r="U74" s="193"/>
      <c r="V74" s="193" t="str">
        <f t="shared" si="3"/>
        <v>Match 54 Winner</v>
      </c>
      <c r="W74" s="191" t="str">
        <f>IF(Tournament!AA71&lt;&gt;"",Tournament!AA71,"")</f>
        <v/>
      </c>
      <c r="X74" s="199" t="s">
        <v>3088</v>
      </c>
      <c r="Y74" s="191" t="str">
        <f>IF(Tournament!AC71&lt;&gt;"",Tournament!AC71,"")</f>
        <v/>
      </c>
      <c r="Z74" s="191"/>
      <c r="AA74" s="191" t="str">
        <f>IF(Tournament!AA72&lt;&gt;"",Tournament!AA72,"")</f>
        <v/>
      </c>
      <c r="AB74" s="194" t="s">
        <v>3088</v>
      </c>
      <c r="AC74" s="191" t="str">
        <f>IF(Tournament!AC72&lt;&gt;"",Tournament!AC72,"")</f>
        <v/>
      </c>
      <c r="AD74" s="195" t="str">
        <f>IF(AND(I74&lt;&gt;"",K74&lt;&gt;"",R74&lt;&gt;"",T74&lt;&gt;""),IF(AND(I74=R74,K74=T74),Setup!$E$20,IF((I74-K74)=(R74-T74),Setup!$E$21,IF(AND((I74&gt;K74),(R74&gt;T74)),Setup!$E$22,IF(AND((K74&gt;I74),(T74&gt;R74)),Setup!$E$22,0)))),"")</f>
        <v/>
      </c>
      <c r="AE74" s="183"/>
      <c r="CM74" s="168"/>
      <c r="CN74" s="168"/>
      <c r="CO74" s="187"/>
      <c r="CP74" s="168"/>
    </row>
    <row r="75" spans="2:94" s="166" customFormat="1" ht="15" customHeight="1">
      <c r="B75" s="182"/>
      <c r="C75" s="181">
        <v>57</v>
      </c>
      <c r="D75" s="181" t="str">
        <f>D74</f>
        <v>QF</v>
      </c>
      <c r="E75" s="188">
        <f>Tournament!T74</f>
        <v>41824.708333333336</v>
      </c>
      <c r="F75" s="189">
        <f>Tournament!U74</f>
        <v>41824.708333333336</v>
      </c>
      <c r="G75" s="190" t="str">
        <f>Tournament!Y74</f>
        <v>Match 49 Winner</v>
      </c>
      <c r="H75" s="180"/>
      <c r="I75" s="9"/>
      <c r="J75" s="191" t="s">
        <v>3088</v>
      </c>
      <c r="K75" s="9"/>
      <c r="L75" s="180"/>
      <c r="M75" s="198" t="str">
        <f>Tournament!AE74</f>
        <v>Match 50 Winner</v>
      </c>
      <c r="N75" s="183"/>
      <c r="P75" s="192" t="str">
        <f t="shared" si="2"/>
        <v>Match 49 Winner</v>
      </c>
      <c r="Q75" s="193"/>
      <c r="R75" s="194" t="str">
        <f>IF($Z$67=0,IF($Z$66=0,IF(Tournament!AA75&lt;&gt;"",Tournament!AA75,""),IF(Tournament!AA75&lt;&gt;"",Tournament!AA75+Tournament!AA76,"")),IF(Tournament!AA74&lt;&gt;"",Tournament!AA74,""))</f>
        <v/>
      </c>
      <c r="S75" s="194" t="s">
        <v>3088</v>
      </c>
      <c r="T75" s="194" t="str">
        <f>IF($Z$67=0,IF($Z$66=0,IF(Tournament!AC75&lt;&gt;"",Tournament!AC75,""),IF(Tournament!AC75&lt;&gt;"",Tournament!AC75+Tournament!AC76,"")),IF(Tournament!AC74&lt;&gt;"",Tournament!AC74,""))</f>
        <v/>
      </c>
      <c r="U75" s="193"/>
      <c r="V75" s="193" t="str">
        <f t="shared" si="3"/>
        <v>Match 50 Winner</v>
      </c>
      <c r="W75" s="191" t="str">
        <f>IF(Tournament!AA76&lt;&gt;"",Tournament!AA76,"")</f>
        <v/>
      </c>
      <c r="X75" s="199" t="s">
        <v>3088</v>
      </c>
      <c r="Y75" s="191" t="str">
        <f>IF(Tournament!AC76&lt;&gt;"",Tournament!AC76,"")</f>
        <v/>
      </c>
      <c r="Z75" s="191"/>
      <c r="AA75" s="191" t="str">
        <f>IF(Tournament!AA77&lt;&gt;"",Tournament!AA77,"")</f>
        <v/>
      </c>
      <c r="AB75" s="194" t="s">
        <v>3088</v>
      </c>
      <c r="AC75" s="191" t="str">
        <f>IF(Tournament!AC77&lt;&gt;"",Tournament!AC77,"")</f>
        <v/>
      </c>
      <c r="AD75" s="195" t="str">
        <f>IF(AND(I75&lt;&gt;"",K75&lt;&gt;"",R75&lt;&gt;"",T75&lt;&gt;""),IF(AND(I75=R75,K75=T75),Setup!$E$20,IF((I75-K75)=(R75-T75),Setup!$E$21,IF(AND((I75&gt;K75),(R75&gt;T75)),Setup!$E$22,IF(AND((K75&gt;I75),(T75&gt;R75)),Setup!$E$22,0)))),"")</f>
        <v/>
      </c>
      <c r="AE75" s="183"/>
      <c r="CM75" s="168"/>
      <c r="CN75" s="168"/>
      <c r="CO75" s="187"/>
      <c r="CP75" s="168"/>
    </row>
    <row r="76" spans="2:94" s="166" customFormat="1" ht="15" customHeight="1">
      <c r="B76" s="182"/>
      <c r="C76" s="181">
        <v>59</v>
      </c>
      <c r="D76" s="181" t="str">
        <f>D75</f>
        <v>QF</v>
      </c>
      <c r="E76" s="188">
        <f>Tournament!T79</f>
        <v>41825.708333333336</v>
      </c>
      <c r="F76" s="189">
        <f>Tournament!U79</f>
        <v>41825.708333333336</v>
      </c>
      <c r="G76" s="190" t="str">
        <f>Tournament!Y79</f>
        <v>Match 51 Winner</v>
      </c>
      <c r="H76" s="180"/>
      <c r="I76" s="9"/>
      <c r="J76" s="191" t="s">
        <v>3088</v>
      </c>
      <c r="K76" s="9"/>
      <c r="L76" s="180"/>
      <c r="M76" s="198" t="str">
        <f>Tournament!AE79</f>
        <v>Match 52 Winner</v>
      </c>
      <c r="N76" s="183"/>
      <c r="P76" s="192" t="str">
        <f t="shared" si="2"/>
        <v>Match 51 Winner</v>
      </c>
      <c r="Q76" s="193"/>
      <c r="R76" s="194" t="str">
        <f>IF($Z$67=0,IF($Z$66=0,IF(Tournament!AA80&lt;&gt;"",Tournament!AA80,""),IF(Tournament!AA80&lt;&gt;"",Tournament!AA80+Tournament!AA81,"")),IF(Tournament!AA79&lt;&gt;"",Tournament!AA79,""))</f>
        <v/>
      </c>
      <c r="S76" s="194" t="s">
        <v>3088</v>
      </c>
      <c r="T76" s="194" t="str">
        <f>IF($Z$67=0,IF($Z$66=0,IF(Tournament!AC80&lt;&gt;"",Tournament!AC80,""),IF(Tournament!AC80&lt;&gt;"",Tournament!AC80+Tournament!AC81,"")),IF(Tournament!AC79&lt;&gt;"",Tournament!AC79,""))</f>
        <v/>
      </c>
      <c r="U76" s="193"/>
      <c r="V76" s="193" t="str">
        <f t="shared" si="3"/>
        <v>Match 52 Winner</v>
      </c>
      <c r="W76" s="191" t="str">
        <f>IF(Tournament!AA81&lt;&gt;"",Tournament!AA81,"")</f>
        <v/>
      </c>
      <c r="X76" s="199" t="s">
        <v>3088</v>
      </c>
      <c r="Y76" s="191" t="str">
        <f>IF(Tournament!AC81&lt;&gt;"",Tournament!AC81,"")</f>
        <v/>
      </c>
      <c r="Z76" s="191"/>
      <c r="AA76" s="191" t="str">
        <f>IF(Tournament!AA82&lt;&gt;"",Tournament!AA82,"")</f>
        <v/>
      </c>
      <c r="AB76" s="194" t="s">
        <v>3088</v>
      </c>
      <c r="AC76" s="191" t="str">
        <f>IF(Tournament!AC82&lt;&gt;"",Tournament!AC82,"")</f>
        <v/>
      </c>
      <c r="AD76" s="195" t="str">
        <f>IF(AND(I76&lt;&gt;"",K76&lt;&gt;"",R76&lt;&gt;"",T76&lt;&gt;""),IF(AND(I76=R76,K76=T76),Setup!$E$20,IF((I76-K76)=(R76-T76),Setup!$E$21,IF(AND((I76&gt;K76),(R76&gt;T76)),Setup!$E$22,IF(AND((K76&gt;I76),(T76&gt;R76)),Setup!$E$22,0)))),"")</f>
        <v/>
      </c>
      <c r="AE76" s="183"/>
      <c r="CM76" s="168"/>
      <c r="CN76" s="168"/>
      <c r="CO76" s="187"/>
      <c r="CP76" s="168"/>
    </row>
    <row r="77" spans="2:94" s="166" customFormat="1" ht="15" customHeight="1">
      <c r="B77" s="182"/>
      <c r="C77" s="181">
        <v>60</v>
      </c>
      <c r="D77" s="181" t="str">
        <f>D76</f>
        <v>QF</v>
      </c>
      <c r="E77" s="188">
        <f>Tournament!T84</f>
        <v>41825.541666666664</v>
      </c>
      <c r="F77" s="189">
        <f>Tournament!U84</f>
        <v>41825.541666666664</v>
      </c>
      <c r="G77" s="190" t="str">
        <f>Tournament!Y84</f>
        <v>Match 55 Winner</v>
      </c>
      <c r="H77" s="180"/>
      <c r="I77" s="9"/>
      <c r="J77" s="191" t="s">
        <v>3088</v>
      </c>
      <c r="K77" s="9"/>
      <c r="L77" s="180"/>
      <c r="M77" s="198" t="str">
        <f>Tournament!AE84</f>
        <v>Match 56 Winner</v>
      </c>
      <c r="N77" s="183"/>
      <c r="P77" s="192" t="str">
        <f t="shared" si="2"/>
        <v>Match 55 Winner</v>
      </c>
      <c r="Q77" s="193"/>
      <c r="R77" s="194" t="str">
        <f>IF($Z$67=0,IF($Z$66=0,IF(Tournament!AA85&lt;&gt;"",Tournament!AA85,""),IF(Tournament!AA85&lt;&gt;"",Tournament!AA85+Tournament!AA86,"")),IF(Tournament!AA84&lt;&gt;"",Tournament!AA84,""))</f>
        <v/>
      </c>
      <c r="S77" s="194" t="s">
        <v>3088</v>
      </c>
      <c r="T77" s="194" t="str">
        <f>IF($Z$67=0,IF($Z$66=0,IF(Tournament!AC85&lt;&gt;"",Tournament!AC85,""),IF(Tournament!AC85&lt;&gt;"",Tournament!AC85+Tournament!AC86,"")),IF(Tournament!AC84&lt;&gt;"",Tournament!AC84,""))</f>
        <v/>
      </c>
      <c r="U77" s="193"/>
      <c r="V77" s="193" t="str">
        <f t="shared" si="3"/>
        <v>Match 56 Winner</v>
      </c>
      <c r="W77" s="191" t="str">
        <f>IF(Tournament!AA86&lt;&gt;"",Tournament!AA86,"")</f>
        <v/>
      </c>
      <c r="X77" s="199" t="s">
        <v>3088</v>
      </c>
      <c r="Y77" s="191" t="str">
        <f>IF(Tournament!AC86&lt;&gt;"",Tournament!AC86,"")</f>
        <v/>
      </c>
      <c r="Z77" s="191"/>
      <c r="AA77" s="191" t="str">
        <f>IF(Tournament!AA87&lt;&gt;"",Tournament!AA87,"")</f>
        <v/>
      </c>
      <c r="AB77" s="194" t="s">
        <v>3088</v>
      </c>
      <c r="AC77" s="191" t="str">
        <f>IF(Tournament!AC87&lt;&gt;"",Tournament!AC87,"")</f>
        <v/>
      </c>
      <c r="AD77" s="195" t="str">
        <f>IF(AND(I77&lt;&gt;"",K77&lt;&gt;"",R77&lt;&gt;"",T77&lt;&gt;""),IF(AND(I77=R77,K77=T77),Setup!$E$20,IF((I77-K77)=(R77-T77),Setup!$E$21,IF(AND((I77&gt;K77),(R77&gt;T77)),Setup!$E$22,IF(AND((K77&gt;I77),(T77&gt;R77)),Setup!$E$22,0)))),"")</f>
        <v/>
      </c>
      <c r="AE77" s="183"/>
      <c r="CM77" s="168"/>
      <c r="CN77" s="168"/>
      <c r="CO77" s="187"/>
      <c r="CP77" s="168"/>
    </row>
    <row r="78" spans="2:94" s="166" customFormat="1" ht="15" customHeight="1">
      <c r="B78" s="182"/>
      <c r="C78" s="181">
        <v>61</v>
      </c>
      <c r="D78" s="181" t="s">
        <v>3550</v>
      </c>
      <c r="E78" s="188">
        <f>Tournament!T92</f>
        <v>41828.708333333336</v>
      </c>
      <c r="F78" s="189">
        <f>Tournament!U92</f>
        <v>41828.708333333336</v>
      </c>
      <c r="G78" s="190" t="str">
        <f>Tournament!Y92</f>
        <v>Match 57 Winner</v>
      </c>
      <c r="H78" s="180"/>
      <c r="I78" s="9"/>
      <c r="J78" s="191" t="s">
        <v>3088</v>
      </c>
      <c r="K78" s="9"/>
      <c r="L78" s="180"/>
      <c r="M78" s="198" t="str">
        <f>Tournament!AE92</f>
        <v>Match 58 Winner</v>
      </c>
      <c r="N78" s="183"/>
      <c r="P78" s="192" t="str">
        <f t="shared" si="2"/>
        <v>Match 57 Winner</v>
      </c>
      <c r="Q78" s="193"/>
      <c r="R78" s="194" t="str">
        <f>IF($Z$67=0,IF($Z$66=0,IF(Tournament!AA93&lt;&gt;"",Tournament!AA93,""),IF(Tournament!AA93&lt;&gt;"",Tournament!AA93+Tournament!AA94,"")),IF(Tournament!AA92&lt;&gt;"",Tournament!AA92,""))</f>
        <v/>
      </c>
      <c r="S78" s="194" t="s">
        <v>3088</v>
      </c>
      <c r="T78" s="194" t="str">
        <f>IF($Z$67=0,IF($Z$66=0,IF(Tournament!AC93&lt;&gt;"",Tournament!AC93,""),IF(Tournament!AC93&lt;&gt;"",Tournament!AC93+Tournament!AC94,"")),IF(Tournament!AC92&lt;&gt;"",Tournament!AC92,""))</f>
        <v/>
      </c>
      <c r="U78" s="193"/>
      <c r="V78" s="193" t="str">
        <f t="shared" si="3"/>
        <v>Match 58 Winner</v>
      </c>
      <c r="W78" s="191" t="str">
        <f>IF(Tournament!AA94&lt;&gt;"",Tournament!AA94,"")</f>
        <v/>
      </c>
      <c r="X78" s="199" t="s">
        <v>3088</v>
      </c>
      <c r="Y78" s="191" t="str">
        <f>IF(Tournament!AC94&lt;&gt;"",Tournament!AC94,"")</f>
        <v/>
      </c>
      <c r="Z78" s="191"/>
      <c r="AA78" s="191" t="str">
        <f>IF(Tournament!AA95&lt;&gt;"",Tournament!AA95,"")</f>
        <v/>
      </c>
      <c r="AB78" s="194" t="s">
        <v>3088</v>
      </c>
      <c r="AC78" s="191" t="str">
        <f>IF(Tournament!AC95&lt;&gt;"",Tournament!AC95,"")</f>
        <v/>
      </c>
      <c r="AD78" s="195" t="str">
        <f>IF(AND(I78&lt;&gt;"",K78&lt;&gt;"",R78&lt;&gt;"",T78&lt;&gt;""),IF(AND(I78=R78,K78=T78),Setup!$F$20,IF((I78-K78)=(R78-T78),Setup!$F$21,IF(AND((I78&gt;K78),(R78&gt;T78)),Setup!$F$22,IF(AND((K78&gt;I78),(T78&gt;R78)),Setup!$F$22,0)))),"")</f>
        <v/>
      </c>
      <c r="AE78" s="183"/>
      <c r="CM78" s="168"/>
      <c r="CN78" s="168"/>
      <c r="CO78" s="187"/>
      <c r="CP78" s="168"/>
    </row>
    <row r="79" spans="2:94" s="166" customFormat="1" ht="15" customHeight="1">
      <c r="B79" s="182"/>
      <c r="C79" s="181">
        <v>62</v>
      </c>
      <c r="D79" s="181" t="str">
        <f>D78</f>
        <v>SF</v>
      </c>
      <c r="E79" s="188">
        <f>Tournament!T97</f>
        <v>41829.708333333336</v>
      </c>
      <c r="F79" s="189">
        <f>Tournament!U97</f>
        <v>41829.708333333336</v>
      </c>
      <c r="G79" s="190" t="str">
        <f>Tournament!Y97</f>
        <v>Match 59 Winner</v>
      </c>
      <c r="H79" s="180"/>
      <c r="I79" s="9"/>
      <c r="J79" s="191" t="s">
        <v>3088</v>
      </c>
      <c r="K79" s="9"/>
      <c r="L79" s="180"/>
      <c r="M79" s="198" t="str">
        <f>Tournament!AE97</f>
        <v>Match 60 Winner</v>
      </c>
      <c r="N79" s="183"/>
      <c r="P79" s="192" t="str">
        <f t="shared" si="2"/>
        <v>Match 59 Winner</v>
      </c>
      <c r="Q79" s="193"/>
      <c r="R79" s="194" t="str">
        <f>IF($Z$67=0,IF($Z$66=0,IF(Tournament!AA98&lt;&gt;"",Tournament!AA98,""),IF(Tournament!AA98&lt;&gt;"",Tournament!AA98+Tournament!AA99,"")),IF(Tournament!AA97&lt;&gt;"",Tournament!AA97,""))</f>
        <v/>
      </c>
      <c r="S79" s="194" t="s">
        <v>3088</v>
      </c>
      <c r="T79" s="194" t="str">
        <f>IF($Z$67=0,IF($Z$66=0,IF(Tournament!AC98&lt;&gt;"",Tournament!AC98,""),IF(Tournament!AC98&lt;&gt;"",Tournament!AC98+Tournament!AC99,"")),IF(Tournament!AC97&lt;&gt;"",Tournament!AC97,""))</f>
        <v/>
      </c>
      <c r="U79" s="193"/>
      <c r="V79" s="193" t="str">
        <f t="shared" si="3"/>
        <v>Match 60 Winner</v>
      </c>
      <c r="W79" s="191" t="str">
        <f>IF(Tournament!AA99&lt;&gt;"",Tournament!AA99,"")</f>
        <v/>
      </c>
      <c r="X79" s="199" t="s">
        <v>3088</v>
      </c>
      <c r="Y79" s="191" t="str">
        <f>IF(Tournament!AC99&lt;&gt;"",Tournament!AC99,"")</f>
        <v/>
      </c>
      <c r="Z79" s="191"/>
      <c r="AA79" s="191" t="str">
        <f>IF(Tournament!AA100&lt;&gt;"",Tournament!AA100,"")</f>
        <v/>
      </c>
      <c r="AB79" s="194" t="s">
        <v>3088</v>
      </c>
      <c r="AC79" s="191" t="str">
        <f>IF(Tournament!AC100&lt;&gt;"",Tournament!AC100,"")</f>
        <v/>
      </c>
      <c r="AD79" s="195" t="str">
        <f>IF(AND(I79&lt;&gt;"",K79&lt;&gt;"",R79&lt;&gt;"",T79&lt;&gt;""),IF(AND(I79=R79,K79=T79),Setup!$F$20,IF((I79-K79)=(R79-T79),Setup!$F$21,IF(AND((I79&gt;K79),(R79&gt;T79)),Setup!$F$22,IF(AND((K79&gt;I79),(T79&gt;R79)),Setup!$F$22,0)))),"")</f>
        <v/>
      </c>
      <c r="AE79" s="183"/>
      <c r="CM79" s="168"/>
      <c r="CN79" s="168"/>
      <c r="CO79" s="187"/>
      <c r="CP79" s="168"/>
    </row>
    <row r="80" spans="2:94" s="166" customFormat="1" ht="15" customHeight="1">
      <c r="B80" s="182"/>
      <c r="C80" s="181">
        <v>63</v>
      </c>
      <c r="D80" s="181" t="s">
        <v>3551</v>
      </c>
      <c r="E80" s="188">
        <f>Tournament!T105</f>
        <v>41832.708333333336</v>
      </c>
      <c r="F80" s="189">
        <f>Tournament!U105</f>
        <v>41832.708333333336</v>
      </c>
      <c r="G80" s="190" t="str">
        <f>Tournament!Y105</f>
        <v>Match 61 Loser</v>
      </c>
      <c r="H80" s="180"/>
      <c r="I80" s="9"/>
      <c r="J80" s="191" t="s">
        <v>3088</v>
      </c>
      <c r="K80" s="9"/>
      <c r="L80" s="180"/>
      <c r="M80" s="198" t="str">
        <f>Tournament!AE105</f>
        <v>Match 62 Loser</v>
      </c>
      <c r="N80" s="183"/>
      <c r="P80" s="192" t="str">
        <f t="shared" si="2"/>
        <v>Match 61 Loser</v>
      </c>
      <c r="Q80" s="193"/>
      <c r="R80" s="194" t="str">
        <f>IF($Z$67=0,IF($Z$66=0,IF(Tournament!AA106&lt;&gt;"",Tournament!AA106,""),IF(Tournament!AA106&lt;&gt;"",Tournament!AA106+Tournament!AA107,"")),IF(Tournament!AA105&lt;&gt;"",Tournament!AA105,""))</f>
        <v/>
      </c>
      <c r="S80" s="194" t="s">
        <v>3088</v>
      </c>
      <c r="T80" s="194" t="str">
        <f>IF($Z$67=0,IF($Z$66=0,IF(Tournament!AC106&lt;&gt;"",Tournament!AC106,""),IF(Tournament!AC106&lt;&gt;"",Tournament!AC106+Tournament!AC107,"")),IF(Tournament!AC105&lt;&gt;"",Tournament!AC105,""))</f>
        <v/>
      </c>
      <c r="U80" s="193"/>
      <c r="V80" s="193" t="str">
        <f t="shared" si="3"/>
        <v>Match 62 Loser</v>
      </c>
      <c r="W80" s="191" t="str">
        <f>IF(Tournament!AA107&lt;&gt;"",Tournament!AA107,"")</f>
        <v/>
      </c>
      <c r="X80" s="199" t="s">
        <v>3088</v>
      </c>
      <c r="Y80" s="191" t="str">
        <f>IF(Tournament!AC107&lt;&gt;"",Tournament!AC107,"")</f>
        <v/>
      </c>
      <c r="Z80" s="191"/>
      <c r="AA80" s="191" t="str">
        <f>IF(Tournament!AA108&lt;&gt;"",Tournament!AA108,"")</f>
        <v/>
      </c>
      <c r="AB80" s="194" t="s">
        <v>3088</v>
      </c>
      <c r="AC80" s="191" t="str">
        <f>IF(Tournament!AC108&lt;&gt;"",Tournament!AC108,"")</f>
        <v/>
      </c>
      <c r="AD80" s="195" t="str">
        <f>IF(AND(I80&lt;&gt;"",K80&lt;&gt;"",R80&lt;&gt;"",T80&lt;&gt;""),IF(AND(I80=R80,K80=T80),Setup!$G$20,IF((I80-K80)=(R80-T80),Setup!$G$21,IF(AND((I80&gt;K80),(R80&gt;T80)),Setup!$G$22,IF(AND((K80&gt;I80),(T80&gt;R80)),Setup!$G$22,0)))),"")</f>
        <v/>
      </c>
      <c r="AE80" s="183"/>
      <c r="CM80" s="168"/>
      <c r="CN80" s="168"/>
      <c r="CO80" s="187"/>
      <c r="CP80" s="168"/>
    </row>
    <row r="81" spans="2:94" s="166" customFormat="1" ht="15" customHeight="1">
      <c r="B81" s="182"/>
      <c r="C81" s="181">
        <v>64</v>
      </c>
      <c r="D81" s="181" t="s">
        <v>3105</v>
      </c>
      <c r="E81" s="188">
        <f>Tournament!T113</f>
        <v>41833.666666666664</v>
      </c>
      <c r="F81" s="189">
        <f>Tournament!U113</f>
        <v>41833.666666666664</v>
      </c>
      <c r="G81" s="190" t="str">
        <f>Tournament!Y113</f>
        <v>Match 61 Winner</v>
      </c>
      <c r="H81" s="180"/>
      <c r="I81" s="9"/>
      <c r="J81" s="191" t="s">
        <v>3088</v>
      </c>
      <c r="K81" s="9"/>
      <c r="L81" s="180"/>
      <c r="M81" s="198" t="str">
        <f>Tournament!AE113</f>
        <v>Match 62 Winner</v>
      </c>
      <c r="N81" s="183"/>
      <c r="P81" s="192" t="str">
        <f t="shared" si="2"/>
        <v>Match 61 Winner</v>
      </c>
      <c r="Q81" s="193"/>
      <c r="R81" s="194" t="str">
        <f>IF($Z$67=0,IF($Z$66=0,IF(Tournament!AA114&lt;&gt;"",Tournament!AA114,""),IF(Tournament!AA114&lt;&gt;"",Tournament!AA114+Tournament!AA115,"")),IF(Tournament!AA113&lt;&gt;"",Tournament!AA113,""))</f>
        <v/>
      </c>
      <c r="S81" s="194" t="s">
        <v>3088</v>
      </c>
      <c r="T81" s="194" t="str">
        <f>IF($Z$67=0,IF($Z$66=0,IF(Tournament!AC114&lt;&gt;"",Tournament!AC114,""),IF(Tournament!AC114&lt;&gt;"",Tournament!AC114+Tournament!AC115,"")),IF(Tournament!AC113&lt;&gt;"",Tournament!AC113,""))</f>
        <v/>
      </c>
      <c r="U81" s="193"/>
      <c r="V81" s="193" t="str">
        <f t="shared" si="3"/>
        <v>Match 62 Winner</v>
      </c>
      <c r="W81" s="191" t="str">
        <f>IF(Tournament!AA115&lt;&gt;"",Tournament!AA115,"")</f>
        <v/>
      </c>
      <c r="X81" s="199" t="s">
        <v>3088</v>
      </c>
      <c r="Y81" s="191" t="str">
        <f>IF(Tournament!AC115&lt;&gt;"",Tournament!AC115,"")</f>
        <v/>
      </c>
      <c r="Z81" s="191"/>
      <c r="AA81" s="191" t="str">
        <f>IF(Tournament!AA116&lt;&gt;"",Tournament!AA116,"")</f>
        <v/>
      </c>
      <c r="AB81" s="194" t="s">
        <v>3088</v>
      </c>
      <c r="AC81" s="191" t="str">
        <f>IF(Tournament!AC116&lt;&gt;"",Tournament!AC116,"")</f>
        <v/>
      </c>
      <c r="AD81" s="195" t="str">
        <f>IF(AND(I81&lt;&gt;"",K81&lt;&gt;"",R81&lt;&gt;"",T81&lt;&gt;""),IF(AND(I81=R81,K81=T81),Setup!$H$20,IF((I81-K81)=(R81-T81),Setup!$H$21,IF(AND((I81&gt;K81),(R81&gt;T81)),Setup!$H$22,IF(AND((K81&gt;I81),(T81&gt;R81)),Setup!$H$22,0)))),"")</f>
        <v/>
      </c>
      <c r="AE81" s="183"/>
      <c r="CM81" s="168"/>
      <c r="CN81" s="168"/>
      <c r="CO81" s="187"/>
      <c r="CP81" s="168"/>
    </row>
    <row r="82" spans="2:94" s="166" customFormat="1" ht="15" customHeight="1">
      <c r="B82" s="200"/>
      <c r="C82" s="201"/>
      <c r="D82" s="201"/>
      <c r="E82" s="201"/>
      <c r="F82" s="201"/>
      <c r="G82" s="201"/>
      <c r="H82" s="201"/>
      <c r="I82" s="201"/>
      <c r="J82" s="202"/>
      <c r="K82" s="201"/>
      <c r="L82" s="201"/>
      <c r="M82" s="201"/>
      <c r="N82" s="203"/>
      <c r="P82" s="200"/>
      <c r="Q82" s="201"/>
      <c r="R82" s="201"/>
      <c r="S82" s="202"/>
      <c r="T82" s="201"/>
      <c r="U82" s="201"/>
      <c r="V82" s="201"/>
      <c r="W82" s="201"/>
      <c r="X82" s="202"/>
      <c r="Y82" s="201"/>
      <c r="Z82" s="201"/>
      <c r="AA82" s="201"/>
      <c r="AB82" s="202"/>
      <c r="AC82" s="201"/>
      <c r="AD82" s="202"/>
      <c r="AE82" s="203"/>
      <c r="CM82" s="168"/>
      <c r="CN82" s="168"/>
      <c r="CO82" s="187"/>
      <c r="CP82" s="168"/>
    </row>
    <row r="83" spans="2:94" s="166" customFormat="1" ht="15" customHeight="1">
      <c r="B83" s="166" t="s">
        <v>3905</v>
      </c>
      <c r="N83" s="180"/>
      <c r="AD83" s="167"/>
      <c r="CM83" s="168"/>
      <c r="CN83" s="168"/>
      <c r="CO83" s="187"/>
      <c r="CP83" s="168"/>
    </row>
    <row r="84" spans="2:94" s="166" customFormat="1" ht="15" hidden="1" customHeight="1">
      <c r="N84" s="180"/>
      <c r="AD84" s="167"/>
      <c r="CM84" s="168"/>
      <c r="CN84" s="168"/>
      <c r="CO84" s="187"/>
      <c r="CP84" s="168"/>
    </row>
    <row r="85" spans="2:94" s="166" customFormat="1" ht="15" hidden="1" customHeight="1">
      <c r="N85" s="180"/>
      <c r="AD85" s="167"/>
      <c r="CM85" s="168"/>
      <c r="CN85" s="168"/>
      <c r="CO85" s="187"/>
      <c r="CP85" s="168"/>
    </row>
    <row r="86" spans="2:94" s="166" customFormat="1" ht="15" hidden="1" customHeight="1">
      <c r="N86" s="180"/>
      <c r="AD86" s="167"/>
      <c r="CM86" s="168"/>
      <c r="CN86" s="168"/>
      <c r="CO86" s="187"/>
      <c r="CP86" s="168"/>
    </row>
    <row r="87" spans="2:94" s="166" customFormat="1" ht="15" hidden="1" customHeight="1">
      <c r="N87" s="180"/>
      <c r="AD87" s="167"/>
      <c r="CM87" s="168"/>
      <c r="CN87" s="168"/>
      <c r="CO87" s="187"/>
      <c r="CP87" s="168"/>
    </row>
    <row r="88" spans="2:94" s="166" customFormat="1" ht="15" hidden="1" customHeight="1">
      <c r="N88" s="180"/>
      <c r="AD88" s="167"/>
      <c r="CM88" s="168"/>
      <c r="CN88" s="168"/>
      <c r="CO88" s="187"/>
      <c r="CP88" s="168"/>
    </row>
    <row r="89" spans="2:94" s="166" customFormat="1" ht="15" hidden="1" customHeight="1">
      <c r="N89" s="180"/>
      <c r="AD89" s="167"/>
      <c r="CM89" s="168"/>
      <c r="CN89" s="168"/>
      <c r="CO89" s="187"/>
      <c r="CP89" s="168"/>
    </row>
    <row r="90" spans="2:94" s="166" customFormat="1" ht="15" hidden="1" customHeight="1">
      <c r="N90" s="180"/>
      <c r="AD90" s="167"/>
      <c r="CM90" s="168"/>
      <c r="CN90" s="168"/>
      <c r="CO90" s="187"/>
      <c r="CP90" s="168"/>
    </row>
    <row r="91" spans="2:94" s="166" customFormat="1" ht="15" hidden="1" customHeight="1">
      <c r="N91" s="180"/>
      <c r="AD91" s="167"/>
      <c r="CM91" s="168"/>
      <c r="CN91" s="168"/>
      <c r="CO91" s="187"/>
      <c r="CP91" s="168"/>
    </row>
    <row r="92" spans="2:94" s="166" customFormat="1" ht="15" hidden="1" customHeight="1">
      <c r="N92" s="180"/>
      <c r="AD92" s="167"/>
      <c r="CM92" s="168"/>
      <c r="CN92" s="168"/>
      <c r="CO92" s="187"/>
      <c r="CP92" s="168"/>
    </row>
    <row r="93" spans="2:94" s="166" customFormat="1" ht="15" hidden="1" customHeight="1">
      <c r="N93" s="180"/>
      <c r="AD93" s="167"/>
      <c r="CM93" s="168"/>
      <c r="CN93" s="168"/>
      <c r="CO93" s="187"/>
      <c r="CP93" s="168"/>
    </row>
    <row r="94" spans="2:94" s="166" customFormat="1" ht="15" hidden="1" customHeight="1">
      <c r="N94" s="180"/>
      <c r="AD94" s="167"/>
      <c r="CM94" s="168"/>
      <c r="CN94" s="168"/>
      <c r="CO94" s="187"/>
      <c r="CP94" s="168"/>
    </row>
    <row r="95" spans="2:94" s="166" customFormat="1" ht="15" hidden="1" customHeight="1">
      <c r="N95" s="180"/>
      <c r="AD95" s="167"/>
      <c r="CM95" s="168"/>
      <c r="CN95" s="168"/>
      <c r="CO95" s="187"/>
      <c r="CP95" s="168"/>
    </row>
    <row r="96" spans="2:94" s="166" customFormat="1" ht="15" hidden="1" customHeight="1">
      <c r="N96" s="180"/>
      <c r="AD96" s="167"/>
      <c r="CM96" s="168"/>
      <c r="CN96" s="168"/>
      <c r="CO96" s="187"/>
      <c r="CP96" s="168"/>
    </row>
    <row r="97" spans="14:94" s="166" customFormat="1" ht="15" hidden="1" customHeight="1">
      <c r="N97" s="180"/>
      <c r="AD97" s="167"/>
      <c r="CM97" s="168"/>
      <c r="CN97" s="168"/>
      <c r="CO97" s="187"/>
      <c r="CP97" s="168"/>
    </row>
    <row r="98" spans="14:94" s="166" customFormat="1" ht="15" hidden="1" customHeight="1">
      <c r="N98" s="180"/>
      <c r="AD98" s="167"/>
      <c r="CM98" s="168"/>
      <c r="CN98" s="168"/>
      <c r="CO98" s="187"/>
      <c r="CP98" s="168"/>
    </row>
    <row r="99" spans="14:94" s="166" customFormat="1" ht="15" hidden="1" customHeight="1">
      <c r="N99" s="180"/>
      <c r="AD99" s="167"/>
      <c r="CM99" s="168"/>
      <c r="CN99" s="168"/>
      <c r="CO99" s="187"/>
      <c r="CP99" s="168"/>
    </row>
    <row r="100" spans="14:94" s="166" customFormat="1" ht="15" hidden="1" customHeight="1">
      <c r="N100" s="180"/>
      <c r="AD100" s="167"/>
      <c r="CM100" s="168"/>
      <c r="CN100" s="168"/>
      <c r="CO100" s="187"/>
      <c r="CP100" s="168"/>
    </row>
    <row r="101" spans="14:94" s="166" customFormat="1" ht="15" hidden="1" customHeight="1">
      <c r="N101" s="180"/>
      <c r="AD101" s="167"/>
      <c r="CM101" s="168"/>
      <c r="CN101" s="168"/>
      <c r="CO101" s="187"/>
      <c r="CP101" s="168"/>
    </row>
    <row r="102" spans="14:94" s="166" customFormat="1" ht="15" hidden="1" customHeight="1">
      <c r="N102" s="180"/>
      <c r="AD102" s="167"/>
      <c r="CM102" s="168"/>
      <c r="CN102" s="168"/>
      <c r="CO102" s="187"/>
      <c r="CP102" s="168"/>
    </row>
    <row r="103" spans="14:94" s="166" customFormat="1" ht="15" hidden="1" customHeight="1">
      <c r="N103" s="180"/>
      <c r="AD103" s="167"/>
      <c r="CM103" s="168"/>
      <c r="CN103" s="168"/>
      <c r="CO103" s="187"/>
      <c r="CP103" s="168"/>
    </row>
    <row r="104" spans="14:94" s="166" customFormat="1" ht="15" hidden="1" customHeight="1">
      <c r="N104" s="180"/>
      <c r="AD104" s="167"/>
      <c r="CM104" s="168"/>
      <c r="CN104" s="168"/>
      <c r="CO104" s="187"/>
      <c r="CP104" s="168"/>
    </row>
    <row r="105" spans="14:94" s="166" customFormat="1" ht="15" hidden="1" customHeight="1">
      <c r="N105" s="180"/>
      <c r="AD105" s="167"/>
      <c r="CM105" s="168"/>
      <c r="CN105" s="168"/>
      <c r="CO105" s="187"/>
      <c r="CP105" s="168"/>
    </row>
    <row r="106" spans="14:94" s="166" customFormat="1" ht="15" hidden="1" customHeight="1">
      <c r="N106" s="180"/>
      <c r="AD106" s="167"/>
      <c r="CM106" s="168"/>
      <c r="CN106" s="168"/>
      <c r="CO106" s="187"/>
      <c r="CP106" s="168"/>
    </row>
    <row r="107" spans="14:94" s="166" customFormat="1" ht="15" hidden="1" customHeight="1">
      <c r="N107" s="180"/>
      <c r="AD107" s="167"/>
      <c r="CM107" s="168"/>
      <c r="CN107" s="168"/>
      <c r="CO107" s="187"/>
      <c r="CP107" s="168"/>
    </row>
    <row r="108" spans="14:94" s="166" customFormat="1" ht="15" hidden="1" customHeight="1">
      <c r="N108" s="180"/>
      <c r="AD108" s="167"/>
      <c r="CM108" s="168"/>
      <c r="CN108" s="168"/>
      <c r="CO108" s="187"/>
      <c r="CP108" s="168"/>
    </row>
    <row r="109" spans="14:94" s="166" customFormat="1" ht="15" hidden="1" customHeight="1">
      <c r="N109" s="180"/>
      <c r="AD109" s="167"/>
      <c r="CM109" s="168"/>
      <c r="CN109" s="168"/>
      <c r="CO109" s="187"/>
      <c r="CP109" s="168"/>
    </row>
    <row r="110" spans="14:94" s="166" customFormat="1" ht="15" hidden="1" customHeight="1">
      <c r="N110" s="180"/>
      <c r="AD110" s="167"/>
      <c r="CM110" s="168"/>
      <c r="CN110" s="168"/>
      <c r="CO110" s="187"/>
      <c r="CP110" s="168"/>
    </row>
    <row r="111" spans="14:94" s="166" customFormat="1" ht="15" hidden="1" customHeight="1">
      <c r="N111" s="180"/>
      <c r="AD111" s="167"/>
      <c r="CM111" s="168"/>
      <c r="CN111" s="168"/>
      <c r="CO111" s="187"/>
      <c r="CP111" s="168"/>
    </row>
    <row r="112" spans="14:94" s="166" customFormat="1" ht="15" hidden="1" customHeight="1">
      <c r="N112" s="180"/>
      <c r="AD112" s="167"/>
      <c r="CM112" s="168"/>
      <c r="CN112" s="168"/>
      <c r="CO112" s="187"/>
      <c r="CP112" s="168"/>
    </row>
    <row r="113" spans="2:94" s="166" customFormat="1" ht="15" hidden="1" customHeight="1">
      <c r="N113" s="180"/>
      <c r="AD113" s="167"/>
      <c r="CM113" s="168"/>
      <c r="CN113" s="168"/>
      <c r="CO113" s="187"/>
      <c r="CP113" s="168"/>
    </row>
    <row r="114" spans="2:94" s="166" customFormat="1" ht="15" hidden="1" customHeight="1">
      <c r="N114" s="180"/>
      <c r="AD114" s="167"/>
      <c r="CM114" s="168"/>
      <c r="CN114" s="168"/>
      <c r="CO114" s="187"/>
      <c r="CP114" s="168"/>
    </row>
    <row r="115" spans="2:94" s="166" customFormat="1" ht="15" hidden="1" customHeight="1">
      <c r="N115" s="180"/>
      <c r="AD115" s="167"/>
      <c r="CM115" s="168"/>
      <c r="CN115" s="168"/>
      <c r="CO115" s="187"/>
      <c r="CP115" s="168"/>
    </row>
    <row r="116" spans="2:94" s="166" customFormat="1" ht="15" hidden="1" customHeight="1">
      <c r="N116" s="180"/>
      <c r="AD116" s="167"/>
      <c r="CM116" s="168"/>
      <c r="CN116" s="168"/>
      <c r="CO116" s="187"/>
      <c r="CP116" s="168"/>
    </row>
    <row r="117" spans="2:94" s="166" customFormat="1" ht="15" hidden="1" customHeight="1">
      <c r="N117" s="180"/>
      <c r="AD117" s="167"/>
      <c r="CM117" s="168"/>
      <c r="CN117" s="168"/>
      <c r="CO117" s="187"/>
      <c r="CP117" s="168"/>
    </row>
    <row r="118" spans="2:94" s="166" customFormat="1" ht="15" hidden="1" customHeight="1">
      <c r="N118" s="180"/>
      <c r="AD118" s="167"/>
      <c r="CM118" s="168"/>
      <c r="CN118" s="168"/>
      <c r="CO118" s="187"/>
      <c r="CP118" s="168"/>
    </row>
    <row r="119" spans="2:94" s="166" customFormat="1" ht="15" hidden="1" customHeight="1">
      <c r="N119" s="180"/>
      <c r="AD119" s="167"/>
      <c r="CM119" s="168"/>
      <c r="CN119" s="168"/>
      <c r="CO119" s="187"/>
      <c r="CP119" s="168"/>
    </row>
    <row r="120" spans="2:94" s="166" customFormat="1" ht="15" hidden="1" customHeight="1">
      <c r="N120" s="180"/>
      <c r="AD120" s="167"/>
      <c r="CM120" s="168"/>
      <c r="CN120" s="168"/>
      <c r="CO120" s="187" t="s">
        <v>1404</v>
      </c>
      <c r="CP120" s="168"/>
    </row>
    <row r="121" spans="2:94" s="166" customFormat="1" ht="15" hidden="1" customHeight="1">
      <c r="N121" s="180"/>
      <c r="AD121" s="167"/>
      <c r="CM121" s="168"/>
      <c r="CN121" s="168"/>
      <c r="CO121" s="187" t="s">
        <v>1405</v>
      </c>
      <c r="CP121" s="168"/>
    </row>
    <row r="122" spans="2:94" s="166" customFormat="1" ht="15" hidden="1" customHeight="1">
      <c r="N122" s="180"/>
      <c r="AD122" s="167"/>
      <c r="CM122" s="168"/>
      <c r="CN122" s="168"/>
      <c r="CO122" s="187" t="s">
        <v>1406</v>
      </c>
      <c r="CP122" s="168"/>
    </row>
    <row r="123" spans="2:94" s="166" customFormat="1" ht="15" hidden="1" customHeight="1">
      <c r="N123" s="180"/>
      <c r="AD123" s="167"/>
      <c r="CM123" s="168"/>
      <c r="CN123" s="168"/>
      <c r="CO123" s="187" t="s">
        <v>1407</v>
      </c>
      <c r="CP123" s="168"/>
    </row>
    <row r="124" spans="2:94" s="166" customFormat="1" ht="15" hidden="1" customHeight="1">
      <c r="N124" s="180"/>
      <c r="AD124" s="167"/>
      <c r="CM124" s="168"/>
      <c r="CN124" s="168"/>
      <c r="CO124" s="187" t="s">
        <v>1408</v>
      </c>
      <c r="CP124" s="168"/>
    </row>
    <row r="125" spans="2:94" s="166" customFormat="1" ht="15" hidden="1" customHeight="1">
      <c r="B125" s="180"/>
      <c r="C125" s="180"/>
      <c r="D125" s="180"/>
      <c r="E125" s="180"/>
      <c r="F125" s="180"/>
      <c r="G125" s="180"/>
      <c r="H125" s="180"/>
      <c r="I125" s="180"/>
      <c r="J125" s="181"/>
      <c r="K125" s="180"/>
      <c r="L125" s="180"/>
      <c r="M125" s="180"/>
      <c r="N125" s="180"/>
      <c r="P125" s="180"/>
      <c r="Q125" s="180"/>
      <c r="R125" s="180"/>
      <c r="S125" s="181"/>
      <c r="T125" s="180"/>
      <c r="U125" s="180"/>
      <c r="V125" s="180"/>
      <c r="W125" s="180"/>
      <c r="X125" s="181"/>
      <c r="Y125" s="180"/>
      <c r="Z125" s="180"/>
      <c r="AA125" s="180"/>
      <c r="AB125" s="181"/>
      <c r="AC125" s="180"/>
      <c r="AD125" s="167"/>
      <c r="CM125" s="168"/>
      <c r="CN125" s="168"/>
      <c r="CO125" s="187" t="s">
        <v>1409</v>
      </c>
      <c r="CP125" s="168"/>
    </row>
    <row r="126" spans="2:94" s="166" customFormat="1" ht="15" hidden="1" customHeight="1">
      <c r="B126" s="180"/>
      <c r="C126" s="180"/>
      <c r="D126" s="180"/>
      <c r="E126" s="180"/>
      <c r="F126" s="180"/>
      <c r="G126" s="180"/>
      <c r="H126" s="180"/>
      <c r="I126" s="180"/>
      <c r="J126" s="181"/>
      <c r="K126" s="180"/>
      <c r="L126" s="180"/>
      <c r="M126" s="180"/>
      <c r="N126" s="180"/>
      <c r="P126" s="180"/>
      <c r="Q126" s="180"/>
      <c r="R126" s="180"/>
      <c r="S126" s="181"/>
      <c r="T126" s="180"/>
      <c r="U126" s="180"/>
      <c r="V126" s="180"/>
      <c r="W126" s="180"/>
      <c r="X126" s="181"/>
      <c r="Y126" s="180"/>
      <c r="Z126" s="180"/>
      <c r="AA126" s="180"/>
      <c r="AB126" s="181"/>
      <c r="AC126" s="180"/>
      <c r="AD126" s="167"/>
      <c r="CM126" s="168"/>
      <c r="CN126" s="168"/>
      <c r="CO126" s="187" t="s">
        <v>1410</v>
      </c>
      <c r="CP126" s="168"/>
    </row>
  </sheetData>
  <sheetProtection password="CE4F" sheet="1" objects="1" scenarios="1" formatCells="0" formatColumns="0" formatRows="0" insertColumns="0" insertRows="0" insertHyperlinks="0" sort="0" autoFilter="0" pivotTables="0"/>
  <mergeCells count="23">
    <mergeCell ref="B4:C4"/>
    <mergeCell ref="D4:M4"/>
    <mergeCell ref="H5:L5"/>
    <mergeCell ref="AC5:AE5"/>
    <mergeCell ref="B6:C7"/>
    <mergeCell ref="D6:F6"/>
    <mergeCell ref="H6:L6"/>
    <mergeCell ref="D7:F7"/>
    <mergeCell ref="H7:L7"/>
    <mergeCell ref="AC7:AE7"/>
    <mergeCell ref="B9:N9"/>
    <mergeCell ref="P9:AE9"/>
    <mergeCell ref="B11:N11"/>
    <mergeCell ref="P11:AE11"/>
    <mergeCell ref="I13:K13"/>
    <mergeCell ref="R13:T13"/>
    <mergeCell ref="W13:Y13"/>
    <mergeCell ref="AA13:AC13"/>
    <mergeCell ref="B64:N64"/>
    <mergeCell ref="P64:AE64"/>
    <mergeCell ref="R65:T65"/>
    <mergeCell ref="W65:Y65"/>
    <mergeCell ref="AA65:AC65"/>
  </mergeCells>
  <conditionalFormatting sqref="G15:G62 G66:G81">
    <cfRule type="expression" dxfId="251" priority="21" stopIfTrue="1">
      <formula>I15&gt;K15</formula>
    </cfRule>
    <cfRule type="expression" dxfId="250" priority="22" stopIfTrue="1">
      <formula>I15&lt;K15</formula>
    </cfRule>
  </conditionalFormatting>
  <conditionalFormatting sqref="M15:M62">
    <cfRule type="expression" dxfId="249" priority="23" stopIfTrue="1">
      <formula>K15&gt;I15</formula>
    </cfRule>
    <cfRule type="expression" dxfId="248" priority="24" stopIfTrue="1">
      <formula>K15&lt;I15</formula>
    </cfRule>
  </conditionalFormatting>
  <conditionalFormatting sqref="S15:S62 S66:S81">
    <cfRule type="expression" dxfId="247" priority="25" stopIfTrue="1">
      <formula>AND($R15&lt;&gt;"",$T15&lt;&gt;"")</formula>
    </cfRule>
  </conditionalFormatting>
  <conditionalFormatting sqref="P15:R62 P66:R81 T66:T81">
    <cfRule type="expression" dxfId="246" priority="26" stopIfTrue="1">
      <formula>AND($R15&gt;$T15,$R15&lt;&gt;"",$T15&lt;&gt;"")</formula>
    </cfRule>
    <cfRule type="expression" dxfId="245" priority="27" stopIfTrue="1">
      <formula>AND($R15&lt;$T15,$R15&lt;&gt;"",$T15&lt;&gt;"")</formula>
    </cfRule>
    <cfRule type="expression" dxfId="244" priority="28" stopIfTrue="1">
      <formula>AND($R15&lt;&gt;"",$T15&lt;&gt;"")</formula>
    </cfRule>
  </conditionalFormatting>
  <conditionalFormatting sqref="U66:V81 T15:V62">
    <cfRule type="expression" dxfId="243" priority="29" stopIfTrue="1">
      <formula>AND($T15&gt;$R15,$R15&lt;&gt;"",$T15&lt;&gt;"")</formula>
    </cfRule>
    <cfRule type="expression" dxfId="242" priority="30" stopIfTrue="1">
      <formula>AND($T15&lt;$R15,$R15&lt;&gt;"",$T15&lt;&gt;"")</formula>
    </cfRule>
    <cfRule type="expression" dxfId="241" priority="31" stopIfTrue="1">
      <formula>AND($R15&lt;&gt;"",$T15&lt;&gt;"")</formula>
    </cfRule>
  </conditionalFormatting>
  <conditionalFormatting sqref="O15">
    <cfRule type="expression" dxfId="240" priority="32" stopIfTrue="1">
      <formula>#REF!&gt;#REF!</formula>
    </cfRule>
    <cfRule type="expression" dxfId="239" priority="33" stopIfTrue="1">
      <formula>#REF!&lt;#REF!</formula>
    </cfRule>
  </conditionalFormatting>
  <conditionalFormatting sqref="I15:I62 K15:K62 K66:K81 I66:I81">
    <cfRule type="expression" dxfId="238" priority="34" stopIfTrue="1">
      <formula>ISBLANK(I15)</formula>
    </cfRule>
  </conditionalFormatting>
  <conditionalFormatting sqref="X15:X61">
    <cfRule type="expression" dxfId="237" priority="14" stopIfTrue="1">
      <formula>AND($R15&lt;&gt;"",$T15&lt;&gt;"")</formula>
    </cfRule>
  </conditionalFormatting>
  <conditionalFormatting sqref="W15:W61">
    <cfRule type="expression" dxfId="236" priority="15" stopIfTrue="1">
      <formula>AND($R15&gt;$T15,$R15&lt;&gt;"",$T15&lt;&gt;"")</formula>
    </cfRule>
    <cfRule type="expression" dxfId="235" priority="16" stopIfTrue="1">
      <formula>AND($R15&lt;$T15,$R15&lt;&gt;"",$T15&lt;&gt;"")</formula>
    </cfRule>
    <cfRule type="expression" dxfId="234" priority="17" stopIfTrue="1">
      <formula>AND($R15&lt;&gt;"",$T15&lt;&gt;"")</formula>
    </cfRule>
  </conditionalFormatting>
  <conditionalFormatting sqref="Y15:Z61">
    <cfRule type="expression" dxfId="233" priority="18" stopIfTrue="1">
      <formula>AND($T15&gt;$R15,$R15&lt;&gt;"",$T15&lt;&gt;"")</formula>
    </cfRule>
    <cfRule type="expression" dxfId="232" priority="19" stopIfTrue="1">
      <formula>AND($T15&lt;$R15,$R15&lt;&gt;"",$T15&lt;&gt;"")</formula>
    </cfRule>
    <cfRule type="expression" dxfId="231" priority="20" stopIfTrue="1">
      <formula>AND($R15&lt;&gt;"",$T15&lt;&gt;"")</formula>
    </cfRule>
  </conditionalFormatting>
  <conditionalFormatting sqref="AB15:AB61">
    <cfRule type="expression" dxfId="230" priority="7" stopIfTrue="1">
      <formula>AND($R15&lt;&gt;"",$T15&lt;&gt;"")</formula>
    </cfRule>
  </conditionalFormatting>
  <conditionalFormatting sqref="AA15:AA61">
    <cfRule type="expression" dxfId="229" priority="8" stopIfTrue="1">
      <formula>AND($R15&gt;$T15,$R15&lt;&gt;"",$T15&lt;&gt;"")</formula>
    </cfRule>
    <cfRule type="expression" dxfId="228" priority="9" stopIfTrue="1">
      <formula>AND($R15&lt;$T15,$R15&lt;&gt;"",$T15&lt;&gt;"")</formula>
    </cfRule>
    <cfRule type="expression" dxfId="227" priority="10" stopIfTrue="1">
      <formula>AND($R15&lt;&gt;"",$T15&lt;&gt;"")</formula>
    </cfRule>
  </conditionalFormatting>
  <conditionalFormatting sqref="AC15:AC61">
    <cfRule type="expression" dxfId="226" priority="11" stopIfTrue="1">
      <formula>AND($T15&gt;$R15,$R15&lt;&gt;"",$T15&lt;&gt;"")</formula>
    </cfRule>
    <cfRule type="expression" dxfId="225" priority="12" stopIfTrue="1">
      <formula>AND($T15&lt;$R15,$R15&lt;&gt;"",$T15&lt;&gt;"")</formula>
    </cfRule>
    <cfRule type="expression" dxfId="224" priority="13" stopIfTrue="1">
      <formula>AND($R15&lt;&gt;"",$T15&lt;&gt;"")</formula>
    </cfRule>
  </conditionalFormatting>
  <conditionalFormatting sqref="M66:M81">
    <cfRule type="expression" dxfId="223" priority="35">
      <formula>K66&gt;I66</formula>
    </cfRule>
    <cfRule type="expression" dxfId="222" priority="36">
      <formula>$K66&lt;$I66</formula>
    </cfRule>
  </conditionalFormatting>
  <conditionalFormatting sqref="X66:X81">
    <cfRule type="expression" dxfId="221" priority="6">
      <formula>AND($W66&lt;&gt;"",$Y66&lt;&gt;"")</formula>
    </cfRule>
  </conditionalFormatting>
  <conditionalFormatting sqref="AB66:AB81">
    <cfRule type="expression" dxfId="220" priority="5">
      <formula>AND($AA66&lt;&gt;"",$AC66&lt;&gt;"")</formula>
    </cfRule>
  </conditionalFormatting>
  <conditionalFormatting sqref="AA65:AC65">
    <cfRule type="expression" dxfId="219" priority="4">
      <formula>$Z$67=1</formula>
    </cfRule>
  </conditionalFormatting>
  <conditionalFormatting sqref="W65:Y65">
    <cfRule type="expression" dxfId="218" priority="3">
      <formula>OR($Z$66=1,$Z$67=1)</formula>
    </cfRule>
  </conditionalFormatting>
  <conditionalFormatting sqref="W66:Y81">
    <cfRule type="expression" dxfId="217" priority="2">
      <formula>OR($Z$66=1,$Z$67=1)</formula>
    </cfRule>
  </conditionalFormatting>
  <conditionalFormatting sqref="AA66:AC81">
    <cfRule type="expression" dxfId="216" priority="1">
      <formula>$Z$67=1</formula>
    </cfRule>
  </conditionalFormatting>
  <printOptions horizontalCentered="1" verticalCentered="1"/>
  <pageMargins left="0.39" right="0.32" top="0.28999999999999998" bottom="0.39" header="0.21" footer="0.26"/>
  <pageSetup scale="59" orientation="portrait" horizontalDpi="300" verticalDpi="300" r:id="rId1"/>
  <headerFooter alignWithMargins="0">
    <oddFooter xml:space="preserve">&amp;C
</oddFoot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S126"/>
  <sheetViews>
    <sheetView showGridLines="0" zoomScaleNormal="100" workbookViewId="0">
      <selection activeCell="C82" sqref="C82"/>
    </sheetView>
  </sheetViews>
  <sheetFormatPr defaultColWidth="0" defaultRowHeight="14.4" customHeight="1" zeroHeight="1"/>
  <cols>
    <col min="1" max="1" width="2.44140625" style="204" customWidth="1"/>
    <col min="2" max="2" width="3.6640625" style="204" customWidth="1"/>
    <col min="3" max="3" width="4.109375" style="204" customWidth="1"/>
    <col min="4" max="4" width="6.33203125" style="204" customWidth="1"/>
    <col min="5" max="5" width="8.21875" style="204" customWidth="1"/>
    <col min="6" max="6" width="6.88671875" style="205" customWidth="1"/>
    <col min="7" max="7" width="20.6640625" style="204" customWidth="1"/>
    <col min="8" max="8" width="1.77734375" style="204" customWidth="1"/>
    <col min="9" max="9" width="3.44140625" style="204" customWidth="1"/>
    <col min="10" max="10" width="1.77734375" style="206" customWidth="1"/>
    <col min="11" max="11" width="3.44140625" style="204" customWidth="1"/>
    <col min="12" max="12" width="1.6640625" style="204" customWidth="1"/>
    <col min="13" max="13" width="20.6640625" style="204" customWidth="1"/>
    <col min="14" max="14" width="2.44140625" style="204" customWidth="1"/>
    <col min="15" max="15" width="1.77734375" style="204" customWidth="1"/>
    <col min="16" max="16" width="20.6640625" style="204" customWidth="1"/>
    <col min="17" max="17" width="1.6640625" style="204" customWidth="1"/>
    <col min="18" max="18" width="3.44140625" style="204" customWidth="1"/>
    <col min="19" max="19" width="1.77734375" style="206" customWidth="1"/>
    <col min="20" max="20" width="3.44140625" style="204" customWidth="1"/>
    <col min="21" max="21" width="1.6640625" style="204" customWidth="1"/>
    <col min="22" max="22" width="17.5546875" style="204" customWidth="1"/>
    <col min="23" max="23" width="3.44140625" style="204" customWidth="1"/>
    <col min="24" max="24" width="1.77734375" style="206" customWidth="1"/>
    <col min="25" max="25" width="3.44140625" style="204" customWidth="1"/>
    <col min="26" max="26" width="1.77734375" style="204" customWidth="1"/>
    <col min="27" max="27" width="3.44140625" style="204" customWidth="1"/>
    <col min="28" max="28" width="1.77734375" style="206" customWidth="1"/>
    <col min="29" max="29" width="3.44140625" style="204" customWidth="1"/>
    <col min="30" max="30" width="5.77734375" style="206" customWidth="1"/>
    <col min="31" max="31" width="9.109375" style="204" customWidth="1"/>
    <col min="32" max="32" width="2.6640625" style="204" customWidth="1"/>
    <col min="33" max="33" width="9.109375" style="204" hidden="1" customWidth="1"/>
    <col min="34" max="90" width="0" style="204" hidden="1" customWidth="1"/>
    <col min="91" max="94" width="0" style="207" hidden="1" customWidth="1"/>
    <col min="95" max="97" width="0" style="204" hidden="1" customWidth="1"/>
    <col min="98" max="16384" width="9.109375" style="204" hidden="1"/>
  </cols>
  <sheetData>
    <row r="1" spans="2:97" s="166" customFormat="1" ht="15" customHeight="1">
      <c r="J1" s="167"/>
      <c r="S1" s="167"/>
      <c r="X1" s="167"/>
      <c r="AB1" s="167"/>
      <c r="AD1" s="167"/>
      <c r="CM1" s="168"/>
      <c r="CN1" s="168"/>
      <c r="CO1" s="168"/>
      <c r="CP1" s="168"/>
    </row>
    <row r="2" spans="2:97" s="166" customFormat="1" ht="15" customHeight="1">
      <c r="J2" s="167"/>
      <c r="S2" s="167"/>
      <c r="X2" s="167"/>
      <c r="AB2" s="167"/>
      <c r="AD2" s="167"/>
      <c r="CM2" s="168"/>
      <c r="CN2" s="168"/>
      <c r="CO2" s="168"/>
      <c r="CP2" s="168"/>
    </row>
    <row r="3" spans="2:97" s="166" customFormat="1" ht="15" customHeight="1">
      <c r="J3" s="167"/>
      <c r="S3" s="167"/>
      <c r="X3" s="167"/>
      <c r="AB3" s="167"/>
      <c r="AD3" s="167"/>
      <c r="CM3" s="168"/>
      <c r="CN3" s="168"/>
      <c r="CO3" s="168"/>
      <c r="CP3" s="168"/>
    </row>
    <row r="4" spans="2:97" s="166" customFormat="1" ht="25.05" customHeight="1">
      <c r="B4" s="297" t="s">
        <v>3871</v>
      </c>
      <c r="C4" s="298"/>
      <c r="D4" s="307" t="str">
        <f ca="1">IF(INDIRECT("'Player Name'!"&amp;"$c"&amp;B8)&lt;&gt;"",INDIRECT("'Player Name'!"&amp;"$c"&amp;B8),"")</f>
        <v>John 10</v>
      </c>
      <c r="E4" s="308"/>
      <c r="F4" s="308"/>
      <c r="G4" s="308"/>
      <c r="H4" s="308"/>
      <c r="I4" s="308"/>
      <c r="J4" s="308"/>
      <c r="K4" s="308"/>
      <c r="L4" s="308"/>
      <c r="M4" s="309"/>
      <c r="S4" s="167"/>
      <c r="X4" s="167"/>
      <c r="AB4" s="167"/>
      <c r="CM4" s="168"/>
      <c r="CN4" s="168"/>
      <c r="CO4" s="168"/>
      <c r="CP4" s="168"/>
    </row>
    <row r="5" spans="2:97" s="173" customFormat="1" ht="15" customHeight="1">
      <c r="B5" s="169"/>
      <c r="C5" s="169"/>
      <c r="D5" s="170"/>
      <c r="E5" s="170"/>
      <c r="F5" s="170"/>
      <c r="G5" s="171" t="s">
        <v>848</v>
      </c>
      <c r="H5" s="294" t="s">
        <v>3872</v>
      </c>
      <c r="I5" s="294"/>
      <c r="J5" s="294"/>
      <c r="K5" s="294"/>
      <c r="L5" s="295"/>
      <c r="M5" s="171" t="s">
        <v>3870</v>
      </c>
      <c r="N5" s="166"/>
      <c r="O5" s="166"/>
      <c r="P5" s="172"/>
      <c r="Q5" s="166"/>
      <c r="R5" s="166"/>
      <c r="S5" s="167"/>
      <c r="T5" s="166"/>
      <c r="U5" s="166"/>
      <c r="V5" s="166"/>
      <c r="W5" s="166"/>
      <c r="X5" s="167"/>
      <c r="Y5" s="166"/>
      <c r="Z5" s="166"/>
      <c r="AA5" s="166"/>
      <c r="AB5" s="167"/>
      <c r="AC5" s="296"/>
      <c r="AD5" s="296"/>
      <c r="AE5" s="296"/>
      <c r="CM5" s="174"/>
      <c r="CN5" s="174"/>
      <c r="CO5" s="174"/>
      <c r="CP5" s="174"/>
    </row>
    <row r="6" spans="2:97" s="166" customFormat="1" ht="15" customHeight="1">
      <c r="B6" s="318">
        <f>B8-5</f>
        <v>10</v>
      </c>
      <c r="C6" s="318"/>
      <c r="D6" s="315" t="s">
        <v>3868</v>
      </c>
      <c r="E6" s="315"/>
      <c r="F6" s="315"/>
      <c r="G6" s="175">
        <f>SUM(AD15:AD62)</f>
        <v>0</v>
      </c>
      <c r="H6" s="310">
        <f>SUM(AD66:AD81)</f>
        <v>0</v>
      </c>
      <c r="I6" s="311"/>
      <c r="J6" s="311"/>
      <c r="K6" s="311"/>
      <c r="L6" s="311"/>
      <c r="M6" s="176">
        <f>H6+G6</f>
        <v>0</v>
      </c>
      <c r="X6" s="167"/>
      <c r="AB6" s="167"/>
      <c r="CM6" s="168"/>
      <c r="CN6" s="168"/>
      <c r="CO6" s="168"/>
      <c r="CP6" s="168"/>
    </row>
    <row r="7" spans="2:97" s="166" customFormat="1" ht="15" customHeight="1">
      <c r="B7" s="318"/>
      <c r="C7" s="319"/>
      <c r="D7" s="316" t="s">
        <v>3869</v>
      </c>
      <c r="E7" s="317"/>
      <c r="F7" s="317"/>
      <c r="G7" s="177"/>
      <c r="H7" s="312"/>
      <c r="I7" s="312"/>
      <c r="J7" s="312"/>
      <c r="K7" s="312"/>
      <c r="L7" s="313"/>
      <c r="M7" s="178">
        <f ca="1">INDEX('Player Leaderboard'!$A$9:$A$23,MATCH($D4,'Player Leaderboard'!$B$9:$B$23,0),0)</f>
        <v>10</v>
      </c>
      <c r="P7" s="210" t="str">
        <f>HYPERLINK("["&amp;Setup!$C$5&amp;"]'Player ("&amp;B8-6&amp;")'!B6","&lt;&lt; Previous Player ("&amp;B8-6&amp;")")</f>
        <v>&lt;&lt; Previous Player (9)</v>
      </c>
      <c r="S7" s="167"/>
      <c r="X7" s="167"/>
      <c r="AB7" s="167"/>
      <c r="AC7" s="320" t="str">
        <f>HYPERLINK("["&amp;Setup!$C$5&amp;"]'Player ("&amp;B8-4&amp;")'!B6","Next Player ("&amp;B8-4&amp;") &gt;&gt;")</f>
        <v>Next Player (11) &gt;&gt;</v>
      </c>
      <c r="AD7" s="320"/>
      <c r="AE7" s="320"/>
      <c r="CM7" s="168"/>
      <c r="CN7" s="168"/>
      <c r="CO7" s="168"/>
      <c r="CP7" s="168"/>
    </row>
    <row r="8" spans="2:97" s="166" customFormat="1" ht="15" customHeight="1">
      <c r="B8" s="208">
        <v>15</v>
      </c>
      <c r="J8" s="167"/>
      <c r="S8" s="167"/>
      <c r="X8" s="167"/>
      <c r="AB8" s="167"/>
      <c r="AD8" s="167"/>
      <c r="CM8" s="168"/>
      <c r="CN8" s="168"/>
      <c r="CO8" s="168"/>
      <c r="CP8" s="168"/>
    </row>
    <row r="9" spans="2:97" s="166" customFormat="1" ht="15" customHeight="1">
      <c r="B9" s="314" t="s">
        <v>491</v>
      </c>
      <c r="C9" s="314"/>
      <c r="D9" s="314"/>
      <c r="E9" s="314"/>
      <c r="F9" s="314"/>
      <c r="G9" s="314"/>
      <c r="H9" s="314"/>
      <c r="I9" s="314"/>
      <c r="J9" s="314"/>
      <c r="K9" s="314"/>
      <c r="L9" s="314"/>
      <c r="M9" s="314"/>
      <c r="N9" s="314"/>
      <c r="P9" s="303" t="s">
        <v>492</v>
      </c>
      <c r="Q9" s="304"/>
      <c r="R9" s="304"/>
      <c r="S9" s="304"/>
      <c r="T9" s="304"/>
      <c r="U9" s="304"/>
      <c r="V9" s="304"/>
      <c r="W9" s="304"/>
      <c r="X9" s="304"/>
      <c r="Y9" s="304"/>
      <c r="Z9" s="304"/>
      <c r="AA9" s="304"/>
      <c r="AB9" s="304"/>
      <c r="AC9" s="304"/>
      <c r="AD9" s="304"/>
      <c r="AE9" s="305"/>
      <c r="CM9" s="168"/>
      <c r="CN9" s="168"/>
      <c r="CO9" s="168"/>
      <c r="CP9" s="168"/>
    </row>
    <row r="10" spans="2:97" s="166" customFormat="1" ht="15" customHeight="1">
      <c r="B10" s="180"/>
      <c r="C10" s="180"/>
      <c r="D10" s="180"/>
      <c r="E10" s="180"/>
      <c r="F10" s="180"/>
      <c r="G10" s="180"/>
      <c r="H10" s="180"/>
      <c r="I10" s="180"/>
      <c r="J10" s="181"/>
      <c r="K10" s="180"/>
      <c r="L10" s="180"/>
      <c r="M10" s="180"/>
      <c r="N10" s="180"/>
      <c r="O10" s="180"/>
      <c r="P10" s="180"/>
      <c r="Q10" s="180"/>
      <c r="R10" s="180"/>
      <c r="S10" s="180"/>
      <c r="T10" s="180"/>
      <c r="U10" s="180"/>
      <c r="V10" s="180"/>
      <c r="W10" s="180"/>
      <c r="X10" s="180"/>
      <c r="Y10" s="180"/>
      <c r="Z10" s="180"/>
      <c r="AA10" s="180"/>
      <c r="AB10" s="180"/>
      <c r="AC10" s="180"/>
      <c r="AD10" s="180"/>
      <c r="AE10" s="180"/>
      <c r="AF10" s="180"/>
      <c r="AG10" s="180"/>
      <c r="CM10" s="168"/>
      <c r="CN10" s="168"/>
      <c r="CO10" s="168"/>
      <c r="CP10" s="168"/>
    </row>
    <row r="11" spans="2:97" s="166" customFormat="1" ht="15" customHeight="1">
      <c r="B11" s="300" t="str">
        <f>Tournament!B10</f>
        <v>Group Stages</v>
      </c>
      <c r="C11" s="301"/>
      <c r="D11" s="301"/>
      <c r="E11" s="301"/>
      <c r="F11" s="301"/>
      <c r="G11" s="301"/>
      <c r="H11" s="301"/>
      <c r="I11" s="301"/>
      <c r="J11" s="301"/>
      <c r="K11" s="301"/>
      <c r="L11" s="301"/>
      <c r="M11" s="301"/>
      <c r="N11" s="302"/>
      <c r="P11" s="303" t="str">
        <f>B11</f>
        <v>Group Stages</v>
      </c>
      <c r="Q11" s="304"/>
      <c r="R11" s="304"/>
      <c r="S11" s="304"/>
      <c r="T11" s="304"/>
      <c r="U11" s="304"/>
      <c r="V11" s="304"/>
      <c r="W11" s="304"/>
      <c r="X11" s="304"/>
      <c r="Y11" s="304"/>
      <c r="Z11" s="304"/>
      <c r="AA11" s="304"/>
      <c r="AB11" s="304"/>
      <c r="AC11" s="304"/>
      <c r="AD11" s="304"/>
      <c r="AE11" s="305"/>
      <c r="CM11" s="168"/>
      <c r="CN11" s="168"/>
      <c r="CO11" s="168"/>
      <c r="CP11" s="168"/>
    </row>
    <row r="12" spans="2:97" s="166" customFormat="1" ht="15" customHeight="1">
      <c r="B12" s="182"/>
      <c r="C12" s="180"/>
      <c r="D12" s="180"/>
      <c r="E12" s="180"/>
      <c r="F12" s="180"/>
      <c r="G12" s="180"/>
      <c r="H12" s="180"/>
      <c r="I12" s="180"/>
      <c r="J12" s="181"/>
      <c r="K12" s="180"/>
      <c r="L12" s="180"/>
      <c r="M12" s="180"/>
      <c r="N12" s="183"/>
      <c r="P12" s="182"/>
      <c r="Q12" s="180"/>
      <c r="R12" s="180"/>
      <c r="S12" s="180"/>
      <c r="T12" s="180"/>
      <c r="U12" s="180"/>
      <c r="V12" s="180"/>
      <c r="W12" s="180"/>
      <c r="X12" s="180"/>
      <c r="Y12" s="180"/>
      <c r="Z12" s="180"/>
      <c r="AA12" s="180"/>
      <c r="AB12" s="180"/>
      <c r="AC12" s="180"/>
      <c r="AD12" s="180"/>
      <c r="AE12" s="183"/>
      <c r="CM12" s="168"/>
      <c r="CN12" s="168"/>
      <c r="CO12" s="168"/>
      <c r="CP12" s="168"/>
    </row>
    <row r="13" spans="2:97" s="166" customFormat="1" ht="15" customHeight="1">
      <c r="B13" s="182"/>
      <c r="C13" s="184" t="str">
        <f>Tournament!D14</f>
        <v>Match #</v>
      </c>
      <c r="D13" s="184" t="str">
        <f>Tournament!E14</f>
        <v>Group</v>
      </c>
      <c r="E13" s="184" t="str">
        <f>Tournament!F14</f>
        <v>Date</v>
      </c>
      <c r="F13" s="184" t="str">
        <f>Tournament!G14</f>
        <v>Time</v>
      </c>
      <c r="G13" s="184" t="str">
        <f>Tournament!H14</f>
        <v>Country</v>
      </c>
      <c r="H13" s="184"/>
      <c r="I13" s="306" t="str">
        <f>Tournament!J14</f>
        <v>Score</v>
      </c>
      <c r="J13" s="306"/>
      <c r="K13" s="306"/>
      <c r="L13" s="184"/>
      <c r="M13" s="184" t="str">
        <f>Tournament!N14</f>
        <v>Country</v>
      </c>
      <c r="N13" s="183"/>
      <c r="P13" s="185" t="str">
        <f>G13</f>
        <v>Country</v>
      </c>
      <c r="Q13" s="184"/>
      <c r="R13" s="306" t="str">
        <f>I13</f>
        <v>Score</v>
      </c>
      <c r="S13" s="306"/>
      <c r="T13" s="306"/>
      <c r="U13" s="184"/>
      <c r="V13" s="184" t="str">
        <f>M13</f>
        <v>Country</v>
      </c>
      <c r="W13" s="306"/>
      <c r="X13" s="306"/>
      <c r="Y13" s="306"/>
      <c r="Z13" s="184"/>
      <c r="AA13" s="306"/>
      <c r="AB13" s="306"/>
      <c r="AC13" s="306"/>
      <c r="AD13" s="184" t="s">
        <v>3277</v>
      </c>
      <c r="AE13" s="183"/>
      <c r="CP13" s="168"/>
      <c r="CQ13" s="186"/>
      <c r="CR13" s="187"/>
      <c r="CS13" s="168"/>
    </row>
    <row r="14" spans="2:97" s="166" customFormat="1" ht="15" customHeight="1">
      <c r="B14" s="182"/>
      <c r="C14" s="180"/>
      <c r="D14" s="180"/>
      <c r="E14" s="180"/>
      <c r="F14" s="180"/>
      <c r="G14" s="180"/>
      <c r="H14" s="180"/>
      <c r="I14" s="180"/>
      <c r="J14" s="180"/>
      <c r="K14" s="180"/>
      <c r="L14" s="180"/>
      <c r="M14" s="180"/>
      <c r="N14" s="183"/>
      <c r="P14" s="182"/>
      <c r="Q14" s="180"/>
      <c r="R14" s="180"/>
      <c r="S14" s="180"/>
      <c r="T14" s="180"/>
      <c r="U14" s="180"/>
      <c r="V14" s="180"/>
      <c r="W14" s="180"/>
      <c r="X14" s="180"/>
      <c r="Y14" s="180"/>
      <c r="Z14" s="180"/>
      <c r="AA14" s="180"/>
      <c r="AB14" s="180"/>
      <c r="AC14" s="180"/>
      <c r="AD14" s="181"/>
      <c r="AE14" s="183"/>
      <c r="CP14" s="168"/>
      <c r="CQ14" s="186"/>
      <c r="CR14" s="187"/>
      <c r="CS14" s="168"/>
    </row>
    <row r="15" spans="2:97" s="166" customFormat="1" ht="15" customHeight="1">
      <c r="B15" s="182"/>
      <c r="C15" s="181">
        <f>Tournament!D16</f>
        <v>1</v>
      </c>
      <c r="D15" s="181" t="str">
        <f>Tournament!E16</f>
        <v>A</v>
      </c>
      <c r="E15" s="188">
        <f>Tournament!F16</f>
        <v>41802.708333333336</v>
      </c>
      <c r="F15" s="189">
        <f>Tournament!G16</f>
        <v>41802.708333333336</v>
      </c>
      <c r="G15" s="190" t="str">
        <f>Tournament!H16</f>
        <v>Brazil</v>
      </c>
      <c r="H15" s="180"/>
      <c r="I15" s="9"/>
      <c r="J15" s="191" t="s">
        <v>3088</v>
      </c>
      <c r="K15" s="9"/>
      <c r="L15" s="180"/>
      <c r="M15" s="180" t="str">
        <f>Tournament!N16</f>
        <v>Croatia</v>
      </c>
      <c r="N15" s="183"/>
      <c r="O15" s="180"/>
      <c r="P15" s="192" t="str">
        <f>G15</f>
        <v>Brazil</v>
      </c>
      <c r="Q15" s="193"/>
      <c r="R15" s="194">
        <f>IF(Tournament!J16&lt;&gt;"",Tournament!J16,"")</f>
        <v>3</v>
      </c>
      <c r="S15" s="194" t="s">
        <v>3088</v>
      </c>
      <c r="T15" s="194">
        <f>IF(Tournament!L16&lt;&gt;"",Tournament!L16,"")</f>
        <v>1</v>
      </c>
      <c r="U15" s="193"/>
      <c r="V15" s="193" t="str">
        <f>M15</f>
        <v>Croatia</v>
      </c>
      <c r="W15" s="194"/>
      <c r="X15" s="194"/>
      <c r="Y15" s="194"/>
      <c r="Z15" s="194"/>
      <c r="AA15" s="194"/>
      <c r="AB15" s="194"/>
      <c r="AC15" s="194"/>
      <c r="AD15" s="195" t="str">
        <f>IF(AND(I15&lt;&gt;"",K15&lt;&gt;"",R15&lt;&gt;"",T15&lt;&gt;""),IF(AND(I15=R15,K15=T15),Setup!$D$10,IF((I15-K15)=(R15-T15),Setup!$D$11,IF(AND((I15&gt;K15),(R15&gt;T15)),Setup!$D$12,IF(AND((K15&gt;I15),(T15&gt;R15)),Setup!$D$12,0)))),"")</f>
        <v/>
      </c>
      <c r="AE15" s="183"/>
      <c r="CP15" s="168"/>
      <c r="CQ15" s="186"/>
      <c r="CR15" s="187"/>
      <c r="CS15" s="168"/>
    </row>
    <row r="16" spans="2:97" s="166" customFormat="1" ht="15" customHeight="1">
      <c r="B16" s="182"/>
      <c r="C16" s="181">
        <f>Tournament!D17</f>
        <v>2</v>
      </c>
      <c r="D16" s="181" t="str">
        <f>Tournament!E17</f>
        <v>A</v>
      </c>
      <c r="E16" s="188">
        <f>Tournament!F17</f>
        <v>41803.541666666664</v>
      </c>
      <c r="F16" s="189">
        <f>Tournament!G17</f>
        <v>41803.541666666664</v>
      </c>
      <c r="G16" s="190" t="str">
        <f>Tournament!H17</f>
        <v>Mexico</v>
      </c>
      <c r="H16" s="180"/>
      <c r="I16" s="9"/>
      <c r="J16" s="191" t="s">
        <v>3088</v>
      </c>
      <c r="K16" s="9"/>
      <c r="L16" s="180"/>
      <c r="M16" s="180" t="str">
        <f>Tournament!N17</f>
        <v>Cameroon</v>
      </c>
      <c r="N16" s="183"/>
      <c r="P16" s="192" t="str">
        <f t="shared" ref="P16:P62" si="0">G16</f>
        <v>Mexico</v>
      </c>
      <c r="Q16" s="193"/>
      <c r="R16" s="194">
        <f>IF(Tournament!J17&lt;&gt;"",Tournament!J17,"")</f>
        <v>1</v>
      </c>
      <c r="S16" s="194" t="s">
        <v>3088</v>
      </c>
      <c r="T16" s="194">
        <f>IF(Tournament!L17&lt;&gt;"",Tournament!L17,"")</f>
        <v>0</v>
      </c>
      <c r="U16" s="193"/>
      <c r="V16" s="193" t="str">
        <f t="shared" ref="V16:V62" si="1">M16</f>
        <v>Cameroon</v>
      </c>
      <c r="W16" s="194"/>
      <c r="X16" s="194"/>
      <c r="Y16" s="194"/>
      <c r="Z16" s="194"/>
      <c r="AA16" s="194"/>
      <c r="AB16" s="194"/>
      <c r="AC16" s="194"/>
      <c r="AD16" s="195" t="str">
        <f>IF(AND(I16&lt;&gt;"",K16&lt;&gt;"",R16&lt;&gt;"",T16&lt;&gt;""),IF(AND(I16=R16,K16=T16),Setup!$D$10,IF((I16-K16)=(R16-T16),Setup!$D$11,IF(AND((I16&gt;K16),(R16&gt;T16)),Setup!$D$12,IF(AND((K16&gt;I16),(T16&gt;R16)),Setup!$D$12,0)))),"")</f>
        <v/>
      </c>
      <c r="AE16" s="183"/>
      <c r="AI16" s="179" t="s">
        <v>3904</v>
      </c>
      <c r="CP16" s="168"/>
      <c r="CQ16" s="186"/>
      <c r="CR16" s="187"/>
      <c r="CS16" s="168"/>
    </row>
    <row r="17" spans="2:97" s="166" customFormat="1" ht="15" customHeight="1">
      <c r="B17" s="182"/>
      <c r="C17" s="181">
        <f>Tournament!D18</f>
        <v>3</v>
      </c>
      <c r="D17" s="181" t="str">
        <f>Tournament!E18</f>
        <v>B</v>
      </c>
      <c r="E17" s="188">
        <f>Tournament!F18</f>
        <v>41803.666666666664</v>
      </c>
      <c r="F17" s="189">
        <f>Tournament!G18</f>
        <v>41803.666666666664</v>
      </c>
      <c r="G17" s="190" t="str">
        <f>Tournament!H18</f>
        <v>Spain</v>
      </c>
      <c r="H17" s="180"/>
      <c r="I17" s="9"/>
      <c r="J17" s="191" t="s">
        <v>3088</v>
      </c>
      <c r="K17" s="9"/>
      <c r="L17" s="180"/>
      <c r="M17" s="180" t="str">
        <f>Tournament!N18</f>
        <v>Netherlands</v>
      </c>
      <c r="N17" s="183"/>
      <c r="P17" s="192" t="str">
        <f t="shared" si="0"/>
        <v>Spain</v>
      </c>
      <c r="Q17" s="193"/>
      <c r="R17" s="194">
        <f>IF(Tournament!J18&lt;&gt;"",Tournament!J18,"")</f>
        <v>1</v>
      </c>
      <c r="S17" s="194" t="s">
        <v>3088</v>
      </c>
      <c r="T17" s="194">
        <f>IF(Tournament!L18&lt;&gt;"",Tournament!L18,"")</f>
        <v>5</v>
      </c>
      <c r="U17" s="193"/>
      <c r="V17" s="193" t="str">
        <f t="shared" si="1"/>
        <v>Netherlands</v>
      </c>
      <c r="W17" s="194"/>
      <c r="X17" s="194"/>
      <c r="Y17" s="194"/>
      <c r="Z17" s="194"/>
      <c r="AA17" s="194"/>
      <c r="AB17" s="194"/>
      <c r="AC17" s="194"/>
      <c r="AD17" s="195" t="str">
        <f>IF(AND(I17&lt;&gt;"",K17&lt;&gt;"",R17&lt;&gt;"",T17&lt;&gt;""),IF(AND(I17=R17,K17=T17),Setup!$D$10,IF((I17-K17)=(R17-T17),Setup!$D$11,IF(AND((I17&gt;K17),(R17&gt;T17)),Setup!$D$12,IF(AND((K17&gt;I17),(T17&gt;R17)),Setup!$D$12,0)))),"")</f>
        <v/>
      </c>
      <c r="AE17" s="183"/>
      <c r="CP17" s="168"/>
      <c r="CQ17" s="186"/>
      <c r="CR17" s="187"/>
      <c r="CS17" s="168"/>
    </row>
    <row r="18" spans="2:97" s="166" customFormat="1" ht="15" customHeight="1">
      <c r="B18" s="182"/>
      <c r="C18" s="181">
        <f>Tournament!D19</f>
        <v>4</v>
      </c>
      <c r="D18" s="181" t="str">
        <f>Tournament!E19</f>
        <v>B</v>
      </c>
      <c r="E18" s="188">
        <f>Tournament!F19</f>
        <v>41803.791666666664</v>
      </c>
      <c r="F18" s="189">
        <f>Tournament!G19</f>
        <v>41803.791666666664</v>
      </c>
      <c r="G18" s="190" t="str">
        <f>Tournament!H19</f>
        <v>Chile</v>
      </c>
      <c r="H18" s="180"/>
      <c r="I18" s="9"/>
      <c r="J18" s="191" t="s">
        <v>3088</v>
      </c>
      <c r="K18" s="9"/>
      <c r="L18" s="180"/>
      <c r="M18" s="180" t="str">
        <f>Tournament!N19</f>
        <v>Australia</v>
      </c>
      <c r="N18" s="183"/>
      <c r="P18" s="192" t="str">
        <f t="shared" si="0"/>
        <v>Chile</v>
      </c>
      <c r="Q18" s="193"/>
      <c r="R18" s="194">
        <f>IF(Tournament!J19&lt;&gt;"",Tournament!J19,"")</f>
        <v>3</v>
      </c>
      <c r="S18" s="194" t="s">
        <v>3088</v>
      </c>
      <c r="T18" s="194">
        <f>IF(Tournament!L19&lt;&gt;"",Tournament!L19,"")</f>
        <v>1</v>
      </c>
      <c r="U18" s="193"/>
      <c r="V18" s="193" t="str">
        <f t="shared" si="1"/>
        <v>Australia</v>
      </c>
      <c r="W18" s="194"/>
      <c r="X18" s="194"/>
      <c r="Y18" s="194"/>
      <c r="Z18" s="194"/>
      <c r="AA18" s="194"/>
      <c r="AB18" s="194"/>
      <c r="AC18" s="194"/>
      <c r="AD18" s="195" t="str">
        <f>IF(AND(I18&lt;&gt;"",K18&lt;&gt;"",R18&lt;&gt;"",T18&lt;&gt;""),IF(AND(I18=R18,K18=T18),Setup!$D$10,IF((I18-K18)=(R18-T18),Setup!$D$11,IF(AND((I18&gt;K18),(R18&gt;T18)),Setup!$D$12,IF(AND((K18&gt;I18),(T18&gt;R18)),Setup!$D$12,0)))),"")</f>
        <v/>
      </c>
      <c r="AE18" s="183"/>
      <c r="CP18" s="168"/>
      <c r="CQ18" s="186"/>
      <c r="CR18" s="187"/>
      <c r="CS18" s="168"/>
    </row>
    <row r="19" spans="2:97" s="166" customFormat="1" ht="15" customHeight="1">
      <c r="B19" s="182"/>
      <c r="C19" s="181">
        <f>Tournament!D20</f>
        <v>5</v>
      </c>
      <c r="D19" s="181" t="str">
        <f>Tournament!E20</f>
        <v>C</v>
      </c>
      <c r="E19" s="188">
        <f>Tournament!F20</f>
        <v>41804.541666666664</v>
      </c>
      <c r="F19" s="189">
        <f>Tournament!G20</f>
        <v>41804.541666666664</v>
      </c>
      <c r="G19" s="190" t="str">
        <f>Tournament!H20</f>
        <v>Colombia</v>
      </c>
      <c r="H19" s="180"/>
      <c r="I19" s="9"/>
      <c r="J19" s="191" t="s">
        <v>3088</v>
      </c>
      <c r="K19" s="9"/>
      <c r="L19" s="180"/>
      <c r="M19" s="180" t="str">
        <f>Tournament!N20</f>
        <v>Greece</v>
      </c>
      <c r="N19" s="183"/>
      <c r="P19" s="192" t="str">
        <f t="shared" si="0"/>
        <v>Colombia</v>
      </c>
      <c r="Q19" s="193"/>
      <c r="R19" s="194" t="str">
        <f>IF(Tournament!J20&lt;&gt;"",Tournament!J20,"")</f>
        <v/>
      </c>
      <c r="S19" s="194" t="s">
        <v>3088</v>
      </c>
      <c r="T19" s="194" t="str">
        <f>IF(Tournament!L20&lt;&gt;"",Tournament!L20,"")</f>
        <v/>
      </c>
      <c r="U19" s="193"/>
      <c r="V19" s="193" t="str">
        <f t="shared" si="1"/>
        <v>Greece</v>
      </c>
      <c r="W19" s="194"/>
      <c r="X19" s="194"/>
      <c r="Y19" s="194"/>
      <c r="Z19" s="194"/>
      <c r="AA19" s="194"/>
      <c r="AB19" s="194"/>
      <c r="AC19" s="194"/>
      <c r="AD19" s="195" t="str">
        <f>IF(AND(I19&lt;&gt;"",K19&lt;&gt;"",R19&lt;&gt;"",T19&lt;&gt;""),IF(AND(I19=R19,K19=T19),Setup!$D$10,IF((I19-K19)=(R19-T19),Setup!$D$11,IF(AND((I19&gt;K19),(R19&gt;T19)),Setup!$D$12,IF(AND((K19&gt;I19),(T19&gt;R19)),Setup!$D$12,0)))),"")</f>
        <v/>
      </c>
      <c r="AE19" s="183"/>
      <c r="CP19" s="168"/>
      <c r="CQ19" s="186"/>
      <c r="CR19" s="187"/>
      <c r="CS19" s="168"/>
    </row>
    <row r="20" spans="2:97" s="166" customFormat="1" ht="15" customHeight="1">
      <c r="B20" s="182"/>
      <c r="C20" s="181">
        <f>Tournament!D21</f>
        <v>6</v>
      </c>
      <c r="D20" s="181" t="str">
        <f>Tournament!E21</f>
        <v>C</v>
      </c>
      <c r="E20" s="188">
        <f>Tournament!F21</f>
        <v>41804.916666666664</v>
      </c>
      <c r="F20" s="189">
        <f>Tournament!G21</f>
        <v>41804.916666666664</v>
      </c>
      <c r="G20" s="190" t="str">
        <f>Tournament!H21</f>
        <v>Ivory Coast</v>
      </c>
      <c r="H20" s="180"/>
      <c r="I20" s="9"/>
      <c r="J20" s="191" t="s">
        <v>3088</v>
      </c>
      <c r="K20" s="9"/>
      <c r="L20" s="180"/>
      <c r="M20" s="180" t="str">
        <f>Tournament!N21</f>
        <v>Japan</v>
      </c>
      <c r="N20" s="183"/>
      <c r="P20" s="192" t="str">
        <f t="shared" si="0"/>
        <v>Ivory Coast</v>
      </c>
      <c r="Q20" s="193"/>
      <c r="R20" s="194" t="str">
        <f>IF(Tournament!J21&lt;&gt;"",Tournament!J21,"")</f>
        <v/>
      </c>
      <c r="S20" s="194" t="s">
        <v>3088</v>
      </c>
      <c r="T20" s="194" t="str">
        <f>IF(Tournament!L21&lt;&gt;"",Tournament!L21,"")</f>
        <v/>
      </c>
      <c r="U20" s="193"/>
      <c r="V20" s="193" t="str">
        <f t="shared" si="1"/>
        <v>Japan</v>
      </c>
      <c r="W20" s="194"/>
      <c r="X20" s="194"/>
      <c r="Y20" s="194"/>
      <c r="Z20" s="194"/>
      <c r="AA20" s="194"/>
      <c r="AB20" s="194"/>
      <c r="AC20" s="194"/>
      <c r="AD20" s="195" t="str">
        <f>IF(AND(I20&lt;&gt;"",K20&lt;&gt;"",R20&lt;&gt;"",T20&lt;&gt;""),IF(AND(I20=R20,K20=T20),Setup!$D$10,IF((I20-K20)=(R20-T20),Setup!$D$11,IF(AND((I20&gt;K20),(R20&gt;T20)),Setup!$D$12,IF(AND((K20&gt;I20),(T20&gt;R20)),Setup!$D$12,0)))),"")</f>
        <v/>
      </c>
      <c r="AE20" s="183"/>
      <c r="CP20" s="168"/>
      <c r="CQ20" s="186"/>
      <c r="CR20" s="187"/>
      <c r="CS20" s="168"/>
    </row>
    <row r="21" spans="2:97" s="166" customFormat="1" ht="15" customHeight="1">
      <c r="B21" s="182"/>
      <c r="C21" s="181">
        <f>Tournament!D22</f>
        <v>7</v>
      </c>
      <c r="D21" s="181" t="str">
        <f>Tournament!E22</f>
        <v>D</v>
      </c>
      <c r="E21" s="188">
        <f>Tournament!F22</f>
        <v>41804.666666666664</v>
      </c>
      <c r="F21" s="189">
        <f>Tournament!G22</f>
        <v>41804.666666666664</v>
      </c>
      <c r="G21" s="190" t="str">
        <f>Tournament!H22</f>
        <v>Uruguay</v>
      </c>
      <c r="H21" s="180"/>
      <c r="I21" s="9"/>
      <c r="J21" s="191" t="s">
        <v>3088</v>
      </c>
      <c r="K21" s="9"/>
      <c r="L21" s="180"/>
      <c r="M21" s="180" t="str">
        <f>Tournament!N22</f>
        <v>Costa Rica</v>
      </c>
      <c r="N21" s="183"/>
      <c r="P21" s="192" t="str">
        <f t="shared" si="0"/>
        <v>Uruguay</v>
      </c>
      <c r="Q21" s="193"/>
      <c r="R21" s="194" t="str">
        <f>IF(Tournament!J22&lt;&gt;"",Tournament!J22,"")</f>
        <v/>
      </c>
      <c r="S21" s="194" t="s">
        <v>3088</v>
      </c>
      <c r="T21" s="194" t="str">
        <f>IF(Tournament!L22&lt;&gt;"",Tournament!L22,"")</f>
        <v/>
      </c>
      <c r="U21" s="193"/>
      <c r="V21" s="193" t="str">
        <f t="shared" si="1"/>
        <v>Costa Rica</v>
      </c>
      <c r="W21" s="194"/>
      <c r="X21" s="194"/>
      <c r="Y21" s="194"/>
      <c r="Z21" s="194"/>
      <c r="AA21" s="194"/>
      <c r="AB21" s="194"/>
      <c r="AC21" s="194"/>
      <c r="AD21" s="195" t="str">
        <f>IF(AND(I21&lt;&gt;"",K21&lt;&gt;"",R21&lt;&gt;"",T21&lt;&gt;""),IF(AND(I21=R21,K21=T21),Setup!$D$10,IF((I21-K21)=(R21-T21),Setup!$D$11,IF(AND((I21&gt;K21),(R21&gt;T21)),Setup!$D$12,IF(AND((K21&gt;I21),(T21&gt;R21)),Setup!$D$12,0)))),"")</f>
        <v/>
      </c>
      <c r="AE21" s="183"/>
      <c r="CP21" s="168"/>
      <c r="CQ21" s="196"/>
      <c r="CR21" s="187"/>
      <c r="CS21" s="168"/>
    </row>
    <row r="22" spans="2:97" s="166" customFormat="1" ht="15" customHeight="1">
      <c r="B22" s="182"/>
      <c r="C22" s="181">
        <f>Tournament!D23</f>
        <v>8</v>
      </c>
      <c r="D22" s="181" t="str">
        <f>Tournament!E23</f>
        <v>D</v>
      </c>
      <c r="E22" s="188">
        <f>Tournament!F23</f>
        <v>41804.791666666664</v>
      </c>
      <c r="F22" s="189">
        <f>Tournament!G23</f>
        <v>41804.791666666664</v>
      </c>
      <c r="G22" s="190" t="str">
        <f>Tournament!H23</f>
        <v>England</v>
      </c>
      <c r="H22" s="180"/>
      <c r="I22" s="9"/>
      <c r="J22" s="191" t="s">
        <v>3088</v>
      </c>
      <c r="K22" s="9"/>
      <c r="L22" s="180"/>
      <c r="M22" s="180" t="str">
        <f>Tournament!N23</f>
        <v>Italy</v>
      </c>
      <c r="N22" s="183"/>
      <c r="P22" s="192" t="str">
        <f t="shared" si="0"/>
        <v>England</v>
      </c>
      <c r="Q22" s="193"/>
      <c r="R22" s="194" t="str">
        <f>IF(Tournament!J23&lt;&gt;"",Tournament!J23,"")</f>
        <v/>
      </c>
      <c r="S22" s="194" t="s">
        <v>3088</v>
      </c>
      <c r="T22" s="194" t="str">
        <f>IF(Tournament!L23&lt;&gt;"",Tournament!L23,"")</f>
        <v/>
      </c>
      <c r="U22" s="193"/>
      <c r="V22" s="193" t="str">
        <f t="shared" si="1"/>
        <v>Italy</v>
      </c>
      <c r="W22" s="194"/>
      <c r="X22" s="194"/>
      <c r="Y22" s="194"/>
      <c r="Z22" s="194"/>
      <c r="AA22" s="194"/>
      <c r="AB22" s="194"/>
      <c r="AC22" s="194"/>
      <c r="AD22" s="195" t="str">
        <f>IF(AND(I22&lt;&gt;"",K22&lt;&gt;"",R22&lt;&gt;"",T22&lt;&gt;""),IF(AND(I22=R22,K22=T22),Setup!$D$10,IF((I22-K22)=(R22-T22),Setup!$D$11,IF(AND((I22&gt;K22),(R22&gt;T22)),Setup!$D$12,IF(AND((K22&gt;I22),(T22&gt;R22)),Setup!$D$12,0)))),"")</f>
        <v/>
      </c>
      <c r="AE22" s="183"/>
      <c r="CP22" s="168"/>
      <c r="CQ22" s="186"/>
      <c r="CR22" s="187"/>
      <c r="CS22" s="168"/>
    </row>
    <row r="23" spans="2:97" s="166" customFormat="1" ht="15" customHeight="1">
      <c r="B23" s="182"/>
      <c r="C23" s="181">
        <f>Tournament!D24</f>
        <v>9</v>
      </c>
      <c r="D23" s="181" t="str">
        <f>Tournament!E24</f>
        <v>E</v>
      </c>
      <c r="E23" s="188">
        <f>Tournament!F24</f>
        <v>41805.541666666664</v>
      </c>
      <c r="F23" s="189">
        <f>Tournament!G24</f>
        <v>41805.541666666664</v>
      </c>
      <c r="G23" s="190" t="str">
        <f>Tournament!H24</f>
        <v>Switzerland</v>
      </c>
      <c r="H23" s="180"/>
      <c r="I23" s="9"/>
      <c r="J23" s="191" t="s">
        <v>3088</v>
      </c>
      <c r="K23" s="9"/>
      <c r="L23" s="180"/>
      <c r="M23" s="180" t="str">
        <f>Tournament!N24</f>
        <v>Ecuador</v>
      </c>
      <c r="N23" s="183"/>
      <c r="P23" s="192" t="str">
        <f t="shared" si="0"/>
        <v>Switzerland</v>
      </c>
      <c r="Q23" s="193"/>
      <c r="R23" s="194" t="str">
        <f>IF(Tournament!J24&lt;&gt;"",Tournament!J24,"")</f>
        <v/>
      </c>
      <c r="S23" s="194" t="s">
        <v>3088</v>
      </c>
      <c r="T23" s="194" t="str">
        <f>IF(Tournament!L24&lt;&gt;"",Tournament!L24,"")</f>
        <v/>
      </c>
      <c r="U23" s="193"/>
      <c r="V23" s="193" t="str">
        <f t="shared" si="1"/>
        <v>Ecuador</v>
      </c>
      <c r="W23" s="194"/>
      <c r="X23" s="194"/>
      <c r="Y23" s="194"/>
      <c r="Z23" s="194"/>
      <c r="AA23" s="194"/>
      <c r="AB23" s="194"/>
      <c r="AC23" s="194"/>
      <c r="AD23" s="195" t="str">
        <f>IF(AND(I23&lt;&gt;"",K23&lt;&gt;"",R23&lt;&gt;"",T23&lt;&gt;""),IF(AND(I23=R23,K23=T23),Setup!$D$10,IF((I23-K23)=(R23-T23),Setup!$D$11,IF(AND((I23&gt;K23),(R23&gt;T23)),Setup!$D$12,IF(AND((K23&gt;I23),(T23&gt;R23)),Setup!$D$12,0)))),"")</f>
        <v/>
      </c>
      <c r="AE23" s="183"/>
      <c r="CP23" s="168"/>
      <c r="CQ23" s="186"/>
      <c r="CR23" s="187"/>
      <c r="CS23" s="168"/>
    </row>
    <row r="24" spans="2:97" s="166" customFormat="1" ht="15" customHeight="1">
      <c r="B24" s="182"/>
      <c r="C24" s="181">
        <f>Tournament!D25</f>
        <v>10</v>
      </c>
      <c r="D24" s="181" t="str">
        <f>Tournament!E25</f>
        <v>E</v>
      </c>
      <c r="E24" s="188">
        <f>Tournament!F25</f>
        <v>41805.666666666664</v>
      </c>
      <c r="F24" s="189">
        <f>Tournament!G25</f>
        <v>41805.666666666664</v>
      </c>
      <c r="G24" s="190" t="str">
        <f>Tournament!H25</f>
        <v>France</v>
      </c>
      <c r="H24" s="180"/>
      <c r="I24" s="9"/>
      <c r="J24" s="191" t="s">
        <v>3088</v>
      </c>
      <c r="K24" s="9"/>
      <c r="L24" s="180"/>
      <c r="M24" s="180" t="str">
        <f>Tournament!N25</f>
        <v>Honduras</v>
      </c>
      <c r="N24" s="183"/>
      <c r="P24" s="192" t="str">
        <f t="shared" si="0"/>
        <v>France</v>
      </c>
      <c r="Q24" s="193"/>
      <c r="R24" s="194" t="str">
        <f>IF(Tournament!J25&lt;&gt;"",Tournament!J25,"")</f>
        <v/>
      </c>
      <c r="S24" s="194" t="s">
        <v>3088</v>
      </c>
      <c r="T24" s="194" t="str">
        <f>IF(Tournament!L25&lt;&gt;"",Tournament!L25,"")</f>
        <v/>
      </c>
      <c r="U24" s="193"/>
      <c r="V24" s="193" t="str">
        <f t="shared" si="1"/>
        <v>Honduras</v>
      </c>
      <c r="W24" s="194"/>
      <c r="X24" s="194"/>
      <c r="Y24" s="194"/>
      <c r="Z24" s="194"/>
      <c r="AA24" s="194"/>
      <c r="AB24" s="194"/>
      <c r="AC24" s="194"/>
      <c r="AD24" s="195" t="str">
        <f>IF(AND(I24&lt;&gt;"",K24&lt;&gt;"",R24&lt;&gt;"",T24&lt;&gt;""),IF(AND(I24=R24,K24=T24),Setup!$D$10,IF((I24-K24)=(R24-T24),Setup!$D$11,IF(AND((I24&gt;K24),(R24&gt;T24)),Setup!$D$12,IF(AND((K24&gt;I24),(T24&gt;R24)),Setup!$D$12,0)))),"")</f>
        <v/>
      </c>
      <c r="AE24" s="183"/>
      <c r="CP24" s="168"/>
      <c r="CQ24" s="186"/>
      <c r="CR24" s="187"/>
      <c r="CS24" s="168"/>
    </row>
    <row r="25" spans="2:97" s="166" customFormat="1" ht="15" customHeight="1">
      <c r="B25" s="182"/>
      <c r="C25" s="181">
        <f>Tournament!D26</f>
        <v>11</v>
      </c>
      <c r="D25" s="181" t="str">
        <f>Tournament!E26</f>
        <v>F</v>
      </c>
      <c r="E25" s="188">
        <f>Tournament!F26</f>
        <v>41805.791666666664</v>
      </c>
      <c r="F25" s="189">
        <f>Tournament!G26</f>
        <v>41805.791666666664</v>
      </c>
      <c r="G25" s="190" t="str">
        <f>Tournament!H26</f>
        <v>Argentina</v>
      </c>
      <c r="H25" s="180"/>
      <c r="I25" s="9"/>
      <c r="J25" s="191" t="s">
        <v>3088</v>
      </c>
      <c r="K25" s="9"/>
      <c r="L25" s="180"/>
      <c r="M25" s="180" t="str">
        <f>Tournament!N26</f>
        <v>Bosnia-Herzegovina</v>
      </c>
      <c r="N25" s="183"/>
      <c r="P25" s="192" t="str">
        <f t="shared" si="0"/>
        <v>Argentina</v>
      </c>
      <c r="Q25" s="193"/>
      <c r="R25" s="194" t="str">
        <f>IF(Tournament!J26&lt;&gt;"",Tournament!J26,"")</f>
        <v/>
      </c>
      <c r="S25" s="194" t="s">
        <v>3088</v>
      </c>
      <c r="T25" s="194" t="str">
        <f>IF(Tournament!L26&lt;&gt;"",Tournament!L26,"")</f>
        <v/>
      </c>
      <c r="U25" s="193"/>
      <c r="V25" s="193" t="str">
        <f t="shared" si="1"/>
        <v>Bosnia-Herzegovina</v>
      </c>
      <c r="W25" s="194"/>
      <c r="X25" s="194"/>
      <c r="Y25" s="194"/>
      <c r="Z25" s="194"/>
      <c r="AA25" s="194"/>
      <c r="AB25" s="194"/>
      <c r="AC25" s="194"/>
      <c r="AD25" s="195" t="str">
        <f>IF(AND(I25&lt;&gt;"",K25&lt;&gt;"",R25&lt;&gt;"",T25&lt;&gt;""),IF(AND(I25=R25,K25=T25),Setup!$D$10,IF((I25-K25)=(R25-T25),Setup!$D$11,IF(AND((I25&gt;K25),(R25&gt;T25)),Setup!$D$12,IF(AND((K25&gt;I25),(T25&gt;R25)),Setup!$D$12,0)))),"")</f>
        <v/>
      </c>
      <c r="AE25" s="183"/>
      <c r="CP25" s="168"/>
      <c r="CQ25" s="186"/>
      <c r="CR25" s="187"/>
      <c r="CS25" s="168"/>
    </row>
    <row r="26" spans="2:97" s="166" customFormat="1" ht="15" customHeight="1">
      <c r="B26" s="182"/>
      <c r="C26" s="181">
        <f>Tournament!D27</f>
        <v>12</v>
      </c>
      <c r="D26" s="181" t="str">
        <f>Tournament!E27</f>
        <v>F</v>
      </c>
      <c r="E26" s="188">
        <f>Tournament!F27</f>
        <v>41806.666666666664</v>
      </c>
      <c r="F26" s="189">
        <f>Tournament!G27</f>
        <v>41806.666666666664</v>
      </c>
      <c r="G26" s="190" t="str">
        <f>Tournament!H27</f>
        <v>Iran</v>
      </c>
      <c r="H26" s="180"/>
      <c r="I26" s="9"/>
      <c r="J26" s="191" t="s">
        <v>3088</v>
      </c>
      <c r="K26" s="9"/>
      <c r="L26" s="180"/>
      <c r="M26" s="180" t="str">
        <f>Tournament!N27</f>
        <v>Nigeria</v>
      </c>
      <c r="N26" s="183"/>
      <c r="P26" s="192" t="str">
        <f t="shared" si="0"/>
        <v>Iran</v>
      </c>
      <c r="Q26" s="193"/>
      <c r="R26" s="194" t="str">
        <f>IF(Tournament!J27&lt;&gt;"",Tournament!J27,"")</f>
        <v/>
      </c>
      <c r="S26" s="194" t="s">
        <v>3088</v>
      </c>
      <c r="T26" s="194" t="str">
        <f>IF(Tournament!L27&lt;&gt;"",Tournament!L27,"")</f>
        <v/>
      </c>
      <c r="U26" s="193"/>
      <c r="V26" s="193" t="str">
        <f t="shared" si="1"/>
        <v>Nigeria</v>
      </c>
      <c r="W26" s="194"/>
      <c r="X26" s="194"/>
      <c r="Y26" s="194"/>
      <c r="Z26" s="194"/>
      <c r="AA26" s="194"/>
      <c r="AB26" s="194"/>
      <c r="AC26" s="194"/>
      <c r="AD26" s="195" t="str">
        <f>IF(AND(I26&lt;&gt;"",K26&lt;&gt;"",R26&lt;&gt;"",T26&lt;&gt;""),IF(AND(I26=R26,K26=T26),Setup!$D$10,IF((I26-K26)=(R26-T26),Setup!$D$11,IF(AND((I26&gt;K26),(R26&gt;T26)),Setup!$D$12,IF(AND((K26&gt;I26),(T26&gt;R26)),Setup!$D$12,0)))),"")</f>
        <v/>
      </c>
      <c r="AE26" s="183"/>
      <c r="CP26" s="168"/>
      <c r="CQ26" s="186"/>
      <c r="CR26" s="187"/>
      <c r="CS26" s="168"/>
    </row>
    <row r="27" spans="2:97" s="166" customFormat="1" ht="15" customHeight="1">
      <c r="B27" s="182"/>
      <c r="C27" s="181">
        <f>Tournament!D28</f>
        <v>13</v>
      </c>
      <c r="D27" s="181" t="str">
        <f>Tournament!E28</f>
        <v>G</v>
      </c>
      <c r="E27" s="188">
        <f>Tournament!F28</f>
        <v>41806.541666666664</v>
      </c>
      <c r="F27" s="189">
        <f>Tournament!G28</f>
        <v>41806.541666666664</v>
      </c>
      <c r="G27" s="190" t="str">
        <f>Tournament!H28</f>
        <v>Germany</v>
      </c>
      <c r="H27" s="180"/>
      <c r="I27" s="9"/>
      <c r="J27" s="191" t="s">
        <v>3088</v>
      </c>
      <c r="K27" s="9"/>
      <c r="L27" s="180"/>
      <c r="M27" s="180" t="str">
        <f>Tournament!N28</f>
        <v>Portugal</v>
      </c>
      <c r="N27" s="183"/>
      <c r="P27" s="192" t="str">
        <f t="shared" si="0"/>
        <v>Germany</v>
      </c>
      <c r="Q27" s="193"/>
      <c r="R27" s="194" t="str">
        <f>IF(Tournament!J28&lt;&gt;"",Tournament!J28,"")</f>
        <v/>
      </c>
      <c r="S27" s="194" t="s">
        <v>3088</v>
      </c>
      <c r="T27" s="194" t="str">
        <f>IF(Tournament!L28&lt;&gt;"",Tournament!L28,"")</f>
        <v/>
      </c>
      <c r="U27" s="193"/>
      <c r="V27" s="193" t="str">
        <f t="shared" si="1"/>
        <v>Portugal</v>
      </c>
      <c r="W27" s="194"/>
      <c r="X27" s="194"/>
      <c r="Y27" s="194"/>
      <c r="Z27" s="194"/>
      <c r="AA27" s="194"/>
      <c r="AB27" s="194"/>
      <c r="AC27" s="194"/>
      <c r="AD27" s="195" t="str">
        <f>IF(AND(I27&lt;&gt;"",K27&lt;&gt;"",R27&lt;&gt;"",T27&lt;&gt;""),IF(AND(I27=R27,K27=T27),Setup!$D$10,IF((I27-K27)=(R27-T27),Setup!$D$11,IF(AND((I27&gt;K27),(R27&gt;T27)),Setup!$D$12,IF(AND((K27&gt;I27),(T27&gt;R27)),Setup!$D$12,0)))),"")</f>
        <v/>
      </c>
      <c r="AE27" s="183"/>
      <c r="CP27" s="168"/>
      <c r="CQ27" s="186"/>
      <c r="CR27" s="187"/>
      <c r="CS27" s="168"/>
    </row>
    <row r="28" spans="2:97" s="166" customFormat="1" ht="15" customHeight="1">
      <c r="B28" s="182"/>
      <c r="C28" s="181">
        <f>Tournament!D29</f>
        <v>14</v>
      </c>
      <c r="D28" s="181" t="str">
        <f>Tournament!E29</f>
        <v>G</v>
      </c>
      <c r="E28" s="188">
        <f>Tournament!F29</f>
        <v>41806.791666666664</v>
      </c>
      <c r="F28" s="189">
        <f>Tournament!G29</f>
        <v>41806.791666666664</v>
      </c>
      <c r="G28" s="190" t="str">
        <f>Tournament!H29</f>
        <v>Ghana</v>
      </c>
      <c r="H28" s="180"/>
      <c r="I28" s="9"/>
      <c r="J28" s="191" t="s">
        <v>3088</v>
      </c>
      <c r="K28" s="9"/>
      <c r="L28" s="180"/>
      <c r="M28" s="180" t="str">
        <f>Tournament!N29</f>
        <v>USA</v>
      </c>
      <c r="N28" s="183"/>
      <c r="P28" s="192" t="str">
        <f t="shared" si="0"/>
        <v>Ghana</v>
      </c>
      <c r="Q28" s="193"/>
      <c r="R28" s="194" t="str">
        <f>IF(Tournament!J29&lt;&gt;"",Tournament!J29,"")</f>
        <v/>
      </c>
      <c r="S28" s="194" t="s">
        <v>3088</v>
      </c>
      <c r="T28" s="194" t="str">
        <f>IF(Tournament!L29&lt;&gt;"",Tournament!L29,"")</f>
        <v/>
      </c>
      <c r="U28" s="193"/>
      <c r="V28" s="193" t="str">
        <f t="shared" si="1"/>
        <v>USA</v>
      </c>
      <c r="W28" s="194"/>
      <c r="X28" s="194"/>
      <c r="Y28" s="194"/>
      <c r="Z28" s="194"/>
      <c r="AA28" s="194"/>
      <c r="AB28" s="194"/>
      <c r="AC28" s="194"/>
      <c r="AD28" s="195" t="str">
        <f>IF(AND(I28&lt;&gt;"",K28&lt;&gt;"",R28&lt;&gt;"",T28&lt;&gt;""),IF(AND(I28=R28,K28=T28),Setup!$D$10,IF((I28-K28)=(R28-T28),Setup!$D$11,IF(AND((I28&gt;K28),(R28&gt;T28)),Setup!$D$12,IF(AND((K28&gt;I28),(T28&gt;R28)),Setup!$D$12,0)))),"")</f>
        <v/>
      </c>
      <c r="AE28" s="183"/>
      <c r="CP28" s="168"/>
      <c r="CQ28" s="186"/>
      <c r="CR28" s="187"/>
      <c r="CS28" s="168"/>
    </row>
    <row r="29" spans="2:97" s="166" customFormat="1" ht="15" customHeight="1">
      <c r="B29" s="182"/>
      <c r="C29" s="181">
        <f>Tournament!D30</f>
        <v>15</v>
      </c>
      <c r="D29" s="181" t="str">
        <f>Tournament!E30</f>
        <v>H</v>
      </c>
      <c r="E29" s="188">
        <f>Tournament!F30</f>
        <v>41807.541666666664</v>
      </c>
      <c r="F29" s="189">
        <f>Tournament!G30</f>
        <v>41807.541666666664</v>
      </c>
      <c r="G29" s="190" t="str">
        <f>Tournament!H30</f>
        <v>Belgium</v>
      </c>
      <c r="H29" s="180"/>
      <c r="I29" s="9"/>
      <c r="J29" s="191" t="s">
        <v>3088</v>
      </c>
      <c r="K29" s="9"/>
      <c r="L29" s="180"/>
      <c r="M29" s="180" t="str">
        <f>Tournament!N30</f>
        <v>Algeria</v>
      </c>
      <c r="N29" s="183"/>
      <c r="P29" s="192" t="str">
        <f t="shared" si="0"/>
        <v>Belgium</v>
      </c>
      <c r="Q29" s="193"/>
      <c r="R29" s="194" t="str">
        <f>IF(Tournament!J30&lt;&gt;"",Tournament!J30,"")</f>
        <v/>
      </c>
      <c r="S29" s="194" t="s">
        <v>3088</v>
      </c>
      <c r="T29" s="194" t="str">
        <f>IF(Tournament!L30&lt;&gt;"",Tournament!L30,"")</f>
        <v/>
      </c>
      <c r="U29" s="193"/>
      <c r="V29" s="193" t="str">
        <f t="shared" si="1"/>
        <v>Algeria</v>
      </c>
      <c r="W29" s="194"/>
      <c r="X29" s="194"/>
      <c r="Y29" s="194"/>
      <c r="Z29" s="194"/>
      <c r="AA29" s="194"/>
      <c r="AB29" s="194"/>
      <c r="AC29" s="194"/>
      <c r="AD29" s="195" t="str">
        <f>IF(AND(I29&lt;&gt;"",K29&lt;&gt;"",R29&lt;&gt;"",T29&lt;&gt;""),IF(AND(I29=R29,K29=T29),Setup!$D$10,IF((I29-K29)=(R29-T29),Setup!$D$11,IF(AND((I29&gt;K29),(R29&gt;T29)),Setup!$D$12,IF(AND((K29&gt;I29),(T29&gt;R29)),Setup!$D$12,0)))),"")</f>
        <v/>
      </c>
      <c r="AE29" s="183"/>
      <c r="CP29" s="168"/>
      <c r="CQ29" s="186"/>
      <c r="CR29" s="187"/>
      <c r="CS29" s="168"/>
    </row>
    <row r="30" spans="2:97" s="166" customFormat="1" ht="15" customHeight="1">
      <c r="B30" s="182"/>
      <c r="C30" s="181">
        <f>Tournament!D31</f>
        <v>16</v>
      </c>
      <c r="D30" s="181" t="str">
        <f>Tournament!E31</f>
        <v>H</v>
      </c>
      <c r="E30" s="188">
        <f>Tournament!F31</f>
        <v>41807.791666666664</v>
      </c>
      <c r="F30" s="189">
        <f>Tournament!G31</f>
        <v>41807.791666666664</v>
      </c>
      <c r="G30" s="190" t="str">
        <f>Tournament!H31</f>
        <v>Russia</v>
      </c>
      <c r="H30" s="180"/>
      <c r="I30" s="9"/>
      <c r="J30" s="191" t="s">
        <v>3088</v>
      </c>
      <c r="K30" s="9"/>
      <c r="L30" s="180"/>
      <c r="M30" s="180" t="str">
        <f>Tournament!N31</f>
        <v>South Korea</v>
      </c>
      <c r="N30" s="183"/>
      <c r="P30" s="192" t="str">
        <f t="shared" si="0"/>
        <v>Russia</v>
      </c>
      <c r="Q30" s="193"/>
      <c r="R30" s="194" t="str">
        <f>IF(Tournament!J31&lt;&gt;"",Tournament!J31,"")</f>
        <v/>
      </c>
      <c r="S30" s="194" t="s">
        <v>3088</v>
      </c>
      <c r="T30" s="194" t="str">
        <f>IF(Tournament!L31&lt;&gt;"",Tournament!L31,"")</f>
        <v/>
      </c>
      <c r="U30" s="193"/>
      <c r="V30" s="193" t="str">
        <f t="shared" si="1"/>
        <v>South Korea</v>
      </c>
      <c r="W30" s="194"/>
      <c r="X30" s="194"/>
      <c r="Y30" s="194"/>
      <c r="Z30" s="194"/>
      <c r="AA30" s="194"/>
      <c r="AB30" s="194"/>
      <c r="AC30" s="194"/>
      <c r="AD30" s="195" t="str">
        <f>IF(AND(I30&lt;&gt;"",K30&lt;&gt;"",R30&lt;&gt;"",T30&lt;&gt;""),IF(AND(I30=R30,K30=T30),Setup!$D$10,IF((I30-K30)=(R30-T30),Setup!$D$11,IF(AND((I30&gt;K30),(R30&gt;T30)),Setup!$D$12,IF(AND((K30&gt;I30),(T30&gt;R30)),Setup!$D$12,0)))),"")</f>
        <v/>
      </c>
      <c r="AE30" s="183"/>
      <c r="CP30" s="168"/>
      <c r="CQ30" s="186"/>
      <c r="CR30" s="187"/>
      <c r="CS30" s="168"/>
    </row>
    <row r="31" spans="2:97" s="166" customFormat="1" ht="15" customHeight="1">
      <c r="B31" s="182"/>
      <c r="C31" s="181">
        <f>Tournament!D32</f>
        <v>17</v>
      </c>
      <c r="D31" s="181" t="str">
        <f>Tournament!E32</f>
        <v>A</v>
      </c>
      <c r="E31" s="188">
        <f>Tournament!F32</f>
        <v>41807.666666666664</v>
      </c>
      <c r="F31" s="189">
        <f>Tournament!G32</f>
        <v>41807.666666666664</v>
      </c>
      <c r="G31" s="190" t="str">
        <f>Tournament!H32</f>
        <v>Brazil</v>
      </c>
      <c r="H31" s="180"/>
      <c r="I31" s="9"/>
      <c r="J31" s="191" t="s">
        <v>3088</v>
      </c>
      <c r="K31" s="9"/>
      <c r="L31" s="180"/>
      <c r="M31" s="180" t="str">
        <f>Tournament!N32</f>
        <v>Mexico</v>
      </c>
      <c r="N31" s="183"/>
      <c r="P31" s="192" t="str">
        <f t="shared" si="0"/>
        <v>Brazil</v>
      </c>
      <c r="Q31" s="193"/>
      <c r="R31" s="194" t="str">
        <f>IF(Tournament!J32&lt;&gt;"",Tournament!J32,"")</f>
        <v/>
      </c>
      <c r="S31" s="194" t="s">
        <v>3088</v>
      </c>
      <c r="T31" s="194" t="str">
        <f>IF(Tournament!L32&lt;&gt;"",Tournament!L32,"")</f>
        <v/>
      </c>
      <c r="U31" s="193"/>
      <c r="V31" s="193" t="str">
        <f t="shared" si="1"/>
        <v>Mexico</v>
      </c>
      <c r="W31" s="194"/>
      <c r="X31" s="194"/>
      <c r="Y31" s="194"/>
      <c r="Z31" s="194"/>
      <c r="AA31" s="194"/>
      <c r="AB31" s="194"/>
      <c r="AC31" s="194"/>
      <c r="AD31" s="195" t="str">
        <f>IF(AND(I31&lt;&gt;"",K31&lt;&gt;"",R31&lt;&gt;"",T31&lt;&gt;""),IF(AND(I31=R31,K31=T31),Setup!$D$10,IF((I31-K31)=(R31-T31),Setup!$D$11,IF(AND((I31&gt;K31),(R31&gt;T31)),Setup!$D$12,IF(AND((K31&gt;I31),(T31&gt;R31)),Setup!$D$12,0)))),"")</f>
        <v/>
      </c>
      <c r="AE31" s="183"/>
      <c r="CP31" s="168"/>
      <c r="CQ31" s="186"/>
      <c r="CR31" s="187"/>
      <c r="CS31" s="168"/>
    </row>
    <row r="32" spans="2:97" s="166" customFormat="1" ht="15" customHeight="1">
      <c r="B32" s="182"/>
      <c r="C32" s="181">
        <f>Tournament!D33</f>
        <v>18</v>
      </c>
      <c r="D32" s="181" t="str">
        <f>Tournament!E33</f>
        <v>A</v>
      </c>
      <c r="E32" s="188">
        <f>Tournament!F33</f>
        <v>41808.791666666664</v>
      </c>
      <c r="F32" s="189">
        <f>Tournament!G33</f>
        <v>41808.791666666664</v>
      </c>
      <c r="G32" s="190" t="str">
        <f>Tournament!H33</f>
        <v>Cameroon</v>
      </c>
      <c r="H32" s="180"/>
      <c r="I32" s="9"/>
      <c r="J32" s="191" t="s">
        <v>3088</v>
      </c>
      <c r="K32" s="9"/>
      <c r="L32" s="180"/>
      <c r="M32" s="180" t="str">
        <f>Tournament!N33</f>
        <v>Croatia</v>
      </c>
      <c r="N32" s="183"/>
      <c r="P32" s="192" t="str">
        <f t="shared" si="0"/>
        <v>Cameroon</v>
      </c>
      <c r="Q32" s="193"/>
      <c r="R32" s="194" t="str">
        <f>IF(Tournament!J33&lt;&gt;"",Tournament!J33,"")</f>
        <v/>
      </c>
      <c r="S32" s="194" t="s">
        <v>3088</v>
      </c>
      <c r="T32" s="194" t="str">
        <f>IF(Tournament!L33&lt;&gt;"",Tournament!L33,"")</f>
        <v/>
      </c>
      <c r="U32" s="193"/>
      <c r="V32" s="193" t="str">
        <f t="shared" si="1"/>
        <v>Croatia</v>
      </c>
      <c r="W32" s="194"/>
      <c r="X32" s="194"/>
      <c r="Y32" s="194"/>
      <c r="Z32" s="194"/>
      <c r="AA32" s="194"/>
      <c r="AB32" s="194"/>
      <c r="AC32" s="194"/>
      <c r="AD32" s="195" t="str">
        <f>IF(AND(I32&lt;&gt;"",K32&lt;&gt;"",R32&lt;&gt;"",T32&lt;&gt;""),IF(AND(I32=R32,K32=T32),Setup!$D$10,IF((I32-K32)=(R32-T32),Setup!$D$11,IF(AND((I32&gt;K32),(R32&gt;T32)),Setup!$D$12,IF(AND((K32&gt;I32),(T32&gt;R32)),Setup!$D$12,0)))),"")</f>
        <v/>
      </c>
      <c r="AE32" s="183"/>
      <c r="CP32" s="168"/>
      <c r="CQ32" s="186"/>
      <c r="CR32" s="187"/>
      <c r="CS32" s="168"/>
    </row>
    <row r="33" spans="2:97" s="166" customFormat="1" ht="15" customHeight="1">
      <c r="B33" s="182"/>
      <c r="C33" s="181">
        <f>Tournament!D34</f>
        <v>19</v>
      </c>
      <c r="D33" s="181" t="str">
        <f>Tournament!E34</f>
        <v>B</v>
      </c>
      <c r="E33" s="188">
        <f>Tournament!F34</f>
        <v>41808.666666666664</v>
      </c>
      <c r="F33" s="189">
        <f>Tournament!G34</f>
        <v>41808.666666666664</v>
      </c>
      <c r="G33" s="190" t="str">
        <f>Tournament!H34</f>
        <v>Spain</v>
      </c>
      <c r="H33" s="180"/>
      <c r="I33" s="9"/>
      <c r="J33" s="191" t="s">
        <v>3088</v>
      </c>
      <c r="K33" s="9"/>
      <c r="L33" s="180"/>
      <c r="M33" s="180" t="str">
        <f>Tournament!N34</f>
        <v>Chile</v>
      </c>
      <c r="N33" s="183"/>
      <c r="P33" s="192" t="str">
        <f t="shared" si="0"/>
        <v>Spain</v>
      </c>
      <c r="Q33" s="193"/>
      <c r="R33" s="194" t="str">
        <f>IF(Tournament!J34&lt;&gt;"",Tournament!J34,"")</f>
        <v/>
      </c>
      <c r="S33" s="194" t="s">
        <v>3088</v>
      </c>
      <c r="T33" s="194" t="str">
        <f>IF(Tournament!L34&lt;&gt;"",Tournament!L34,"")</f>
        <v/>
      </c>
      <c r="U33" s="193"/>
      <c r="V33" s="193" t="str">
        <f t="shared" si="1"/>
        <v>Chile</v>
      </c>
      <c r="W33" s="194"/>
      <c r="X33" s="194"/>
      <c r="Y33" s="194"/>
      <c r="Z33" s="194"/>
      <c r="AA33" s="194"/>
      <c r="AB33" s="194"/>
      <c r="AC33" s="194"/>
      <c r="AD33" s="195" t="str">
        <f>IF(AND(I33&lt;&gt;"",K33&lt;&gt;"",R33&lt;&gt;"",T33&lt;&gt;""),IF(AND(I33=R33,K33=T33),Setup!$D$10,IF((I33-K33)=(R33-T33),Setup!$D$11,IF(AND((I33&gt;K33),(R33&gt;T33)),Setup!$D$12,IF(AND((K33&gt;I33),(T33&gt;R33)),Setup!$D$12,0)))),"")</f>
        <v/>
      </c>
      <c r="AE33" s="183"/>
      <c r="CP33" s="168"/>
      <c r="CQ33" s="186"/>
      <c r="CR33" s="187"/>
      <c r="CS33" s="168"/>
    </row>
    <row r="34" spans="2:97" s="166" customFormat="1" ht="15" customHeight="1">
      <c r="B34" s="182"/>
      <c r="C34" s="181">
        <f>Tournament!D35</f>
        <v>20</v>
      </c>
      <c r="D34" s="181" t="str">
        <f>Tournament!E35</f>
        <v>B</v>
      </c>
      <c r="E34" s="188">
        <f>Tournament!F35</f>
        <v>41808.541666666664</v>
      </c>
      <c r="F34" s="189">
        <f>Tournament!G35</f>
        <v>41808.541666666664</v>
      </c>
      <c r="G34" s="190" t="str">
        <f>Tournament!H35</f>
        <v>Australia</v>
      </c>
      <c r="H34" s="180"/>
      <c r="I34" s="9"/>
      <c r="J34" s="191" t="s">
        <v>3088</v>
      </c>
      <c r="K34" s="9"/>
      <c r="L34" s="180"/>
      <c r="M34" s="180" t="str">
        <f>Tournament!N35</f>
        <v>Netherlands</v>
      </c>
      <c r="N34" s="183"/>
      <c r="P34" s="192" t="str">
        <f t="shared" si="0"/>
        <v>Australia</v>
      </c>
      <c r="Q34" s="193"/>
      <c r="R34" s="194" t="str">
        <f>IF(Tournament!J35&lt;&gt;"",Tournament!J35,"")</f>
        <v/>
      </c>
      <c r="S34" s="194" t="s">
        <v>3088</v>
      </c>
      <c r="T34" s="194" t="str">
        <f>IF(Tournament!L35&lt;&gt;"",Tournament!L35,"")</f>
        <v/>
      </c>
      <c r="U34" s="193"/>
      <c r="V34" s="193" t="str">
        <f t="shared" si="1"/>
        <v>Netherlands</v>
      </c>
      <c r="W34" s="194"/>
      <c r="X34" s="194"/>
      <c r="Y34" s="194"/>
      <c r="Z34" s="194"/>
      <c r="AA34" s="194"/>
      <c r="AB34" s="194"/>
      <c r="AC34" s="194"/>
      <c r="AD34" s="195" t="str">
        <f>IF(AND(I34&lt;&gt;"",K34&lt;&gt;"",R34&lt;&gt;"",T34&lt;&gt;""),IF(AND(I34=R34,K34=T34),Setup!$D$10,IF((I34-K34)=(R34-T34),Setup!$D$11,IF(AND((I34&gt;K34),(R34&gt;T34)),Setup!$D$12,IF(AND((K34&gt;I34),(T34&gt;R34)),Setup!$D$12,0)))),"")</f>
        <v/>
      </c>
      <c r="AE34" s="183"/>
      <c r="CP34" s="168"/>
      <c r="CQ34" s="186"/>
      <c r="CR34" s="187"/>
      <c r="CS34" s="168"/>
    </row>
    <row r="35" spans="2:97" s="166" customFormat="1" ht="15" customHeight="1">
      <c r="B35" s="182"/>
      <c r="C35" s="181">
        <f>Tournament!D36</f>
        <v>21</v>
      </c>
      <c r="D35" s="181" t="str">
        <f>Tournament!E36</f>
        <v>C</v>
      </c>
      <c r="E35" s="188">
        <f>Tournament!F36</f>
        <v>41809.541666666664</v>
      </c>
      <c r="F35" s="189">
        <f>Tournament!G36</f>
        <v>41809.541666666664</v>
      </c>
      <c r="G35" s="190" t="str">
        <f>Tournament!H36</f>
        <v>Colombia</v>
      </c>
      <c r="H35" s="180"/>
      <c r="I35" s="9"/>
      <c r="J35" s="191" t="s">
        <v>3088</v>
      </c>
      <c r="K35" s="9"/>
      <c r="L35" s="180"/>
      <c r="M35" s="180" t="str">
        <f>Tournament!N36</f>
        <v>Ivory Coast</v>
      </c>
      <c r="N35" s="183"/>
      <c r="P35" s="192" t="str">
        <f t="shared" si="0"/>
        <v>Colombia</v>
      </c>
      <c r="Q35" s="193"/>
      <c r="R35" s="194" t="str">
        <f>IF(Tournament!J36&lt;&gt;"",Tournament!J36,"")</f>
        <v/>
      </c>
      <c r="S35" s="194" t="s">
        <v>3088</v>
      </c>
      <c r="T35" s="194" t="str">
        <f>IF(Tournament!L36&lt;&gt;"",Tournament!L36,"")</f>
        <v/>
      </c>
      <c r="U35" s="193"/>
      <c r="V35" s="193" t="str">
        <f t="shared" si="1"/>
        <v>Ivory Coast</v>
      </c>
      <c r="W35" s="194"/>
      <c r="X35" s="194"/>
      <c r="Y35" s="194"/>
      <c r="Z35" s="194"/>
      <c r="AA35" s="194"/>
      <c r="AB35" s="194"/>
      <c r="AC35" s="194"/>
      <c r="AD35" s="195" t="str">
        <f>IF(AND(I35&lt;&gt;"",K35&lt;&gt;"",R35&lt;&gt;"",T35&lt;&gt;""),IF(AND(I35=R35,K35=T35),Setup!$D$10,IF((I35-K35)=(R35-T35),Setup!$D$11,IF(AND((I35&gt;K35),(R35&gt;T35)),Setup!$D$12,IF(AND((K35&gt;I35),(T35&gt;R35)),Setup!$D$12,0)))),"")</f>
        <v/>
      </c>
      <c r="AE35" s="183"/>
      <c r="CP35" s="168"/>
      <c r="CQ35" s="186"/>
      <c r="CR35" s="187"/>
      <c r="CS35" s="168"/>
    </row>
    <row r="36" spans="2:97" s="166" customFormat="1" ht="15" customHeight="1">
      <c r="B36" s="182"/>
      <c r="C36" s="181">
        <f>Tournament!D37</f>
        <v>22</v>
      </c>
      <c r="D36" s="181" t="str">
        <f>Tournament!E37</f>
        <v>C</v>
      </c>
      <c r="E36" s="188">
        <f>Tournament!F37</f>
        <v>41809.791666666664</v>
      </c>
      <c r="F36" s="189">
        <f>Tournament!G37</f>
        <v>41809.791666666664</v>
      </c>
      <c r="G36" s="190" t="str">
        <f>Tournament!H37</f>
        <v>Japan</v>
      </c>
      <c r="H36" s="180"/>
      <c r="I36" s="9"/>
      <c r="J36" s="191" t="s">
        <v>3088</v>
      </c>
      <c r="K36" s="9"/>
      <c r="L36" s="180"/>
      <c r="M36" s="180" t="str">
        <f>Tournament!N37</f>
        <v>Greece</v>
      </c>
      <c r="N36" s="183"/>
      <c r="P36" s="192" t="str">
        <f t="shared" si="0"/>
        <v>Japan</v>
      </c>
      <c r="Q36" s="193"/>
      <c r="R36" s="194" t="str">
        <f>IF(Tournament!J37&lt;&gt;"",Tournament!J37,"")</f>
        <v/>
      </c>
      <c r="S36" s="194" t="s">
        <v>3088</v>
      </c>
      <c r="T36" s="194" t="str">
        <f>IF(Tournament!L37&lt;&gt;"",Tournament!L37,"")</f>
        <v/>
      </c>
      <c r="U36" s="193"/>
      <c r="V36" s="193" t="str">
        <f t="shared" si="1"/>
        <v>Greece</v>
      </c>
      <c r="W36" s="194"/>
      <c r="X36" s="194"/>
      <c r="Y36" s="194"/>
      <c r="Z36" s="194"/>
      <c r="AA36" s="194"/>
      <c r="AB36" s="194"/>
      <c r="AC36" s="194"/>
      <c r="AD36" s="195" t="str">
        <f>IF(AND(I36&lt;&gt;"",K36&lt;&gt;"",R36&lt;&gt;"",T36&lt;&gt;""),IF(AND(I36=R36,K36=T36),Setup!$D$10,IF((I36-K36)=(R36-T36),Setup!$D$11,IF(AND((I36&gt;K36),(R36&gt;T36)),Setup!$D$12,IF(AND((K36&gt;I36),(T36&gt;R36)),Setup!$D$12,0)))),"")</f>
        <v/>
      </c>
      <c r="AE36" s="183"/>
      <c r="CP36" s="168"/>
      <c r="CQ36" s="186"/>
      <c r="CR36" s="187"/>
      <c r="CS36" s="168"/>
    </row>
    <row r="37" spans="2:97" s="166" customFormat="1" ht="15" customHeight="1">
      <c r="B37" s="182"/>
      <c r="C37" s="181">
        <f>Tournament!D38</f>
        <v>23</v>
      </c>
      <c r="D37" s="181" t="str">
        <f>Tournament!E38</f>
        <v>D</v>
      </c>
      <c r="E37" s="188">
        <f>Tournament!F38</f>
        <v>41809.666666666664</v>
      </c>
      <c r="F37" s="189">
        <f>Tournament!G38</f>
        <v>41809.666666666664</v>
      </c>
      <c r="G37" s="190" t="str">
        <f>Tournament!H38</f>
        <v>Uruguay</v>
      </c>
      <c r="H37" s="180"/>
      <c r="I37" s="9"/>
      <c r="J37" s="191" t="s">
        <v>3088</v>
      </c>
      <c r="K37" s="9"/>
      <c r="L37" s="180"/>
      <c r="M37" s="180" t="str">
        <f>Tournament!N38</f>
        <v>England</v>
      </c>
      <c r="N37" s="183"/>
      <c r="P37" s="192" t="str">
        <f t="shared" si="0"/>
        <v>Uruguay</v>
      </c>
      <c r="Q37" s="193"/>
      <c r="R37" s="194" t="str">
        <f>IF(Tournament!J38&lt;&gt;"",Tournament!J38,"")</f>
        <v/>
      </c>
      <c r="S37" s="194" t="s">
        <v>3088</v>
      </c>
      <c r="T37" s="194" t="str">
        <f>IF(Tournament!L38&lt;&gt;"",Tournament!L38,"")</f>
        <v/>
      </c>
      <c r="U37" s="193"/>
      <c r="V37" s="193" t="str">
        <f t="shared" si="1"/>
        <v>England</v>
      </c>
      <c r="W37" s="194"/>
      <c r="X37" s="194"/>
      <c r="Y37" s="194"/>
      <c r="Z37" s="194"/>
      <c r="AA37" s="194"/>
      <c r="AB37" s="194"/>
      <c r="AC37" s="194"/>
      <c r="AD37" s="195" t="str">
        <f>IF(AND(I37&lt;&gt;"",K37&lt;&gt;"",R37&lt;&gt;"",T37&lt;&gt;""),IF(AND(I37=R37,K37=T37),Setup!$D$10,IF((I37-K37)=(R37-T37),Setup!$D$11,IF(AND((I37&gt;K37),(R37&gt;T37)),Setup!$D$12,IF(AND((K37&gt;I37),(T37&gt;R37)),Setup!$D$12,0)))),"")</f>
        <v/>
      </c>
      <c r="AE37" s="183"/>
      <c r="CP37" s="168"/>
      <c r="CQ37" s="186"/>
      <c r="CR37" s="187"/>
      <c r="CS37" s="168"/>
    </row>
    <row r="38" spans="2:97" s="166" customFormat="1" ht="15" customHeight="1">
      <c r="B38" s="182"/>
      <c r="C38" s="181">
        <f>Tournament!D39</f>
        <v>24</v>
      </c>
      <c r="D38" s="181" t="str">
        <f>Tournament!E39</f>
        <v>D</v>
      </c>
      <c r="E38" s="188">
        <f>Tournament!F39</f>
        <v>41810.541666666664</v>
      </c>
      <c r="F38" s="189">
        <f>Tournament!G39</f>
        <v>41810.541666666664</v>
      </c>
      <c r="G38" s="190" t="str">
        <f>Tournament!H39</f>
        <v>Italy</v>
      </c>
      <c r="H38" s="180"/>
      <c r="I38" s="9"/>
      <c r="J38" s="191" t="s">
        <v>3088</v>
      </c>
      <c r="K38" s="9"/>
      <c r="L38" s="180"/>
      <c r="M38" s="180" t="str">
        <f>Tournament!N39</f>
        <v>Costa Rica</v>
      </c>
      <c r="N38" s="183"/>
      <c r="P38" s="192" t="str">
        <f t="shared" si="0"/>
        <v>Italy</v>
      </c>
      <c r="Q38" s="193"/>
      <c r="R38" s="194" t="str">
        <f>IF(Tournament!J39&lt;&gt;"",Tournament!J39,"")</f>
        <v/>
      </c>
      <c r="S38" s="194" t="s">
        <v>3088</v>
      </c>
      <c r="T38" s="194" t="str">
        <f>IF(Tournament!L39&lt;&gt;"",Tournament!L39,"")</f>
        <v/>
      </c>
      <c r="U38" s="193"/>
      <c r="V38" s="193" t="str">
        <f t="shared" si="1"/>
        <v>Costa Rica</v>
      </c>
      <c r="W38" s="194"/>
      <c r="X38" s="194"/>
      <c r="Y38" s="194"/>
      <c r="Z38" s="194"/>
      <c r="AA38" s="194"/>
      <c r="AB38" s="194"/>
      <c r="AC38" s="194"/>
      <c r="AD38" s="195" t="str">
        <f>IF(AND(I38&lt;&gt;"",K38&lt;&gt;"",R38&lt;&gt;"",T38&lt;&gt;""),IF(AND(I38=R38,K38=T38),Setup!$D$10,IF((I38-K38)=(R38-T38),Setup!$D$11,IF(AND((I38&gt;K38),(R38&gt;T38)),Setup!$D$12,IF(AND((K38&gt;I38),(T38&gt;R38)),Setup!$D$12,0)))),"")</f>
        <v/>
      </c>
      <c r="AE38" s="183"/>
      <c r="CP38" s="168"/>
      <c r="CQ38" s="186"/>
      <c r="CR38" s="187"/>
      <c r="CS38" s="168"/>
    </row>
    <row r="39" spans="2:97" s="166" customFormat="1" ht="15" customHeight="1">
      <c r="B39" s="182"/>
      <c r="C39" s="181">
        <f>Tournament!D40</f>
        <v>25</v>
      </c>
      <c r="D39" s="181" t="str">
        <f>Tournament!E40</f>
        <v>E</v>
      </c>
      <c r="E39" s="188">
        <f>Tournament!F40</f>
        <v>41810.666666666664</v>
      </c>
      <c r="F39" s="189">
        <f>Tournament!G40</f>
        <v>41810.666666666664</v>
      </c>
      <c r="G39" s="190" t="str">
        <f>Tournament!H40</f>
        <v>Switzerland</v>
      </c>
      <c r="H39" s="180"/>
      <c r="I39" s="9"/>
      <c r="J39" s="191" t="s">
        <v>3088</v>
      </c>
      <c r="K39" s="9"/>
      <c r="L39" s="180"/>
      <c r="M39" s="180" t="str">
        <f>Tournament!N40</f>
        <v>France</v>
      </c>
      <c r="N39" s="183"/>
      <c r="P39" s="192" t="str">
        <f t="shared" si="0"/>
        <v>Switzerland</v>
      </c>
      <c r="Q39" s="193"/>
      <c r="R39" s="194" t="str">
        <f>IF(Tournament!J40&lt;&gt;"",Tournament!J40,"")</f>
        <v/>
      </c>
      <c r="S39" s="194" t="s">
        <v>3088</v>
      </c>
      <c r="T39" s="194" t="str">
        <f>IF(Tournament!L40&lt;&gt;"",Tournament!L40,"")</f>
        <v/>
      </c>
      <c r="U39" s="193"/>
      <c r="V39" s="193" t="str">
        <f t="shared" si="1"/>
        <v>France</v>
      </c>
      <c r="W39" s="194"/>
      <c r="X39" s="194"/>
      <c r="Y39" s="194"/>
      <c r="Z39" s="194"/>
      <c r="AA39" s="194"/>
      <c r="AB39" s="194"/>
      <c r="AC39" s="194"/>
      <c r="AD39" s="195" t="str">
        <f>IF(AND(I39&lt;&gt;"",K39&lt;&gt;"",R39&lt;&gt;"",T39&lt;&gt;""),IF(AND(I39=R39,K39=T39),Setup!$D$10,IF((I39-K39)=(R39-T39),Setup!$D$11,IF(AND((I39&gt;K39),(R39&gt;T39)),Setup!$D$12,IF(AND((K39&gt;I39),(T39&gt;R39)),Setup!$D$12,0)))),"")</f>
        <v/>
      </c>
      <c r="AE39" s="183"/>
      <c r="CP39" s="168"/>
      <c r="CQ39" s="186"/>
      <c r="CR39" s="187"/>
      <c r="CS39" s="168"/>
    </row>
    <row r="40" spans="2:97" s="166" customFormat="1" ht="15" customHeight="1">
      <c r="B40" s="182"/>
      <c r="C40" s="181">
        <f>Tournament!D41</f>
        <v>26</v>
      </c>
      <c r="D40" s="181" t="str">
        <f>Tournament!E41</f>
        <v>E</v>
      </c>
      <c r="E40" s="188">
        <f>Tournament!F41</f>
        <v>41810.791666666664</v>
      </c>
      <c r="F40" s="189">
        <f>Tournament!G41</f>
        <v>41810.791666666664</v>
      </c>
      <c r="G40" s="190" t="str">
        <f>Tournament!H41</f>
        <v>Honduras</v>
      </c>
      <c r="H40" s="180"/>
      <c r="I40" s="9"/>
      <c r="J40" s="191" t="s">
        <v>3088</v>
      </c>
      <c r="K40" s="9"/>
      <c r="L40" s="180"/>
      <c r="M40" s="180" t="str">
        <f>Tournament!N41</f>
        <v>Ecuador</v>
      </c>
      <c r="N40" s="183"/>
      <c r="P40" s="192" t="str">
        <f t="shared" si="0"/>
        <v>Honduras</v>
      </c>
      <c r="Q40" s="193"/>
      <c r="R40" s="194" t="str">
        <f>IF(Tournament!J41&lt;&gt;"",Tournament!J41,"")</f>
        <v/>
      </c>
      <c r="S40" s="194" t="s">
        <v>3088</v>
      </c>
      <c r="T40" s="194" t="str">
        <f>IF(Tournament!L41&lt;&gt;"",Tournament!L41,"")</f>
        <v/>
      </c>
      <c r="U40" s="193"/>
      <c r="V40" s="193" t="str">
        <f t="shared" si="1"/>
        <v>Ecuador</v>
      </c>
      <c r="W40" s="194"/>
      <c r="X40" s="194"/>
      <c r="Y40" s="194"/>
      <c r="Z40" s="194"/>
      <c r="AA40" s="194"/>
      <c r="AB40" s="194"/>
      <c r="AC40" s="194"/>
      <c r="AD40" s="195" t="str">
        <f>IF(AND(I40&lt;&gt;"",K40&lt;&gt;"",R40&lt;&gt;"",T40&lt;&gt;""),IF(AND(I40=R40,K40=T40),Setup!$D$10,IF((I40-K40)=(R40-T40),Setup!$D$11,IF(AND((I40&gt;K40),(R40&gt;T40)),Setup!$D$12,IF(AND((K40&gt;I40),(T40&gt;R40)),Setup!$D$12,0)))),"")</f>
        <v/>
      </c>
      <c r="AE40" s="183"/>
      <c r="CP40" s="168"/>
      <c r="CQ40" s="196"/>
      <c r="CR40" s="187"/>
      <c r="CS40" s="168"/>
    </row>
    <row r="41" spans="2:97" s="166" customFormat="1" ht="15" customHeight="1">
      <c r="B41" s="182"/>
      <c r="C41" s="181">
        <f>Tournament!D42</f>
        <v>27</v>
      </c>
      <c r="D41" s="181" t="str">
        <f>Tournament!E42</f>
        <v>F</v>
      </c>
      <c r="E41" s="188">
        <f>Tournament!F42</f>
        <v>41811.541666666664</v>
      </c>
      <c r="F41" s="189">
        <f>Tournament!G42</f>
        <v>41811.541666666664</v>
      </c>
      <c r="G41" s="190" t="str">
        <f>Tournament!H42</f>
        <v>Argentina</v>
      </c>
      <c r="H41" s="180"/>
      <c r="I41" s="9"/>
      <c r="J41" s="191" t="s">
        <v>3088</v>
      </c>
      <c r="K41" s="9"/>
      <c r="L41" s="180"/>
      <c r="M41" s="180" t="str">
        <f>Tournament!N42</f>
        <v>Iran</v>
      </c>
      <c r="N41" s="183"/>
      <c r="P41" s="192" t="str">
        <f t="shared" si="0"/>
        <v>Argentina</v>
      </c>
      <c r="Q41" s="193"/>
      <c r="R41" s="194" t="str">
        <f>IF(Tournament!J42&lt;&gt;"",Tournament!J42,"")</f>
        <v/>
      </c>
      <c r="S41" s="194" t="s">
        <v>3088</v>
      </c>
      <c r="T41" s="194" t="str">
        <f>IF(Tournament!L42&lt;&gt;"",Tournament!L42,"")</f>
        <v/>
      </c>
      <c r="U41" s="193"/>
      <c r="V41" s="193" t="str">
        <f t="shared" si="1"/>
        <v>Iran</v>
      </c>
      <c r="W41" s="194"/>
      <c r="X41" s="194"/>
      <c r="Y41" s="194"/>
      <c r="Z41" s="194"/>
      <c r="AA41" s="194"/>
      <c r="AB41" s="194"/>
      <c r="AC41" s="194"/>
      <c r="AD41" s="195" t="str">
        <f>IF(AND(I41&lt;&gt;"",K41&lt;&gt;"",R41&lt;&gt;"",T41&lt;&gt;""),IF(AND(I41=R41,K41=T41),Setup!$D$10,IF((I41-K41)=(R41-T41),Setup!$D$11,IF(AND((I41&gt;K41),(R41&gt;T41)),Setup!$D$12,IF(AND((K41&gt;I41),(T41&gt;R41)),Setup!$D$12,0)))),"")</f>
        <v/>
      </c>
      <c r="AE41" s="183"/>
      <c r="CP41" s="168"/>
      <c r="CQ41" s="196"/>
      <c r="CR41" s="187"/>
      <c r="CS41" s="168"/>
    </row>
    <row r="42" spans="2:97" s="166" customFormat="1" ht="15" customHeight="1">
      <c r="B42" s="182"/>
      <c r="C42" s="181">
        <f>Tournament!D43</f>
        <v>28</v>
      </c>
      <c r="D42" s="181" t="str">
        <f>Tournament!E43</f>
        <v>F</v>
      </c>
      <c r="E42" s="188">
        <f>Tournament!F43</f>
        <v>41811.791666666664</v>
      </c>
      <c r="F42" s="189">
        <f>Tournament!G43</f>
        <v>41811.791666666664</v>
      </c>
      <c r="G42" s="190" t="str">
        <f>Tournament!H43</f>
        <v>Nigeria</v>
      </c>
      <c r="H42" s="180"/>
      <c r="I42" s="9"/>
      <c r="J42" s="191" t="s">
        <v>3088</v>
      </c>
      <c r="K42" s="9"/>
      <c r="L42" s="180"/>
      <c r="M42" s="180" t="str">
        <f>Tournament!N43</f>
        <v>Bosnia-Herzegovina</v>
      </c>
      <c r="N42" s="183"/>
      <c r="P42" s="192" t="str">
        <f t="shared" si="0"/>
        <v>Nigeria</v>
      </c>
      <c r="Q42" s="193"/>
      <c r="R42" s="194" t="str">
        <f>IF(Tournament!J43&lt;&gt;"",Tournament!J43,"")</f>
        <v/>
      </c>
      <c r="S42" s="194" t="s">
        <v>3088</v>
      </c>
      <c r="T42" s="194" t="str">
        <f>IF(Tournament!L43&lt;&gt;"",Tournament!L43,"")</f>
        <v/>
      </c>
      <c r="U42" s="193"/>
      <c r="V42" s="193" t="str">
        <f t="shared" si="1"/>
        <v>Bosnia-Herzegovina</v>
      </c>
      <c r="W42" s="194"/>
      <c r="X42" s="194"/>
      <c r="Y42" s="194"/>
      <c r="Z42" s="194"/>
      <c r="AA42" s="194"/>
      <c r="AB42" s="194"/>
      <c r="AC42" s="194"/>
      <c r="AD42" s="195" t="str">
        <f>IF(AND(I42&lt;&gt;"",K42&lt;&gt;"",R42&lt;&gt;"",T42&lt;&gt;""),IF(AND(I42=R42,K42=T42),Setup!$D$10,IF((I42-K42)=(R42-T42),Setup!$D$11,IF(AND((I42&gt;K42),(R42&gt;T42)),Setup!$D$12,IF(AND((K42&gt;I42),(T42&gt;R42)),Setup!$D$12,0)))),"")</f>
        <v/>
      </c>
      <c r="AE42" s="183"/>
      <c r="CP42" s="168"/>
      <c r="CQ42" s="168"/>
      <c r="CR42" s="187"/>
      <c r="CS42" s="168"/>
    </row>
    <row r="43" spans="2:97" s="166" customFormat="1" ht="15" customHeight="1">
      <c r="B43" s="182"/>
      <c r="C43" s="181">
        <f>Tournament!D44</f>
        <v>29</v>
      </c>
      <c r="D43" s="181" t="str">
        <f>Tournament!E44</f>
        <v>G</v>
      </c>
      <c r="E43" s="188">
        <f>Tournament!F44</f>
        <v>41811.666666666664</v>
      </c>
      <c r="F43" s="189">
        <f>Tournament!G44</f>
        <v>41811.666666666664</v>
      </c>
      <c r="G43" s="190" t="str">
        <f>Tournament!H44</f>
        <v>Germany</v>
      </c>
      <c r="H43" s="180"/>
      <c r="I43" s="9"/>
      <c r="J43" s="191" t="s">
        <v>3088</v>
      </c>
      <c r="K43" s="9"/>
      <c r="L43" s="180"/>
      <c r="M43" s="180" t="str">
        <f>Tournament!N44</f>
        <v>Ghana</v>
      </c>
      <c r="N43" s="183"/>
      <c r="P43" s="192" t="str">
        <f t="shared" si="0"/>
        <v>Germany</v>
      </c>
      <c r="Q43" s="193"/>
      <c r="R43" s="194" t="str">
        <f>IF(Tournament!J44&lt;&gt;"",Tournament!J44,"")</f>
        <v/>
      </c>
      <c r="S43" s="194" t="s">
        <v>3088</v>
      </c>
      <c r="T43" s="194" t="str">
        <f>IF(Tournament!L44&lt;&gt;"",Tournament!L44,"")</f>
        <v/>
      </c>
      <c r="U43" s="193"/>
      <c r="V43" s="193" t="str">
        <f t="shared" si="1"/>
        <v>Ghana</v>
      </c>
      <c r="W43" s="194"/>
      <c r="X43" s="194"/>
      <c r="Y43" s="194"/>
      <c r="Z43" s="194"/>
      <c r="AA43" s="194"/>
      <c r="AB43" s="194"/>
      <c r="AC43" s="194"/>
      <c r="AD43" s="195" t="str">
        <f>IF(AND(I43&lt;&gt;"",K43&lt;&gt;"",R43&lt;&gt;"",T43&lt;&gt;""),IF(AND(I43=R43,K43=T43),Setup!$D$10,IF((I43-K43)=(R43-T43),Setup!$D$11,IF(AND((I43&gt;K43),(R43&gt;T43)),Setup!$D$12,IF(AND((K43&gt;I43),(T43&gt;R43)),Setup!$D$12,0)))),"")</f>
        <v/>
      </c>
      <c r="AE43" s="183"/>
      <c r="CP43" s="168"/>
      <c r="CQ43" s="168"/>
      <c r="CR43" s="187"/>
      <c r="CS43" s="168"/>
    </row>
    <row r="44" spans="2:97" s="166" customFormat="1" ht="15" customHeight="1">
      <c r="B44" s="182"/>
      <c r="C44" s="181">
        <f>Tournament!D45</f>
        <v>30</v>
      </c>
      <c r="D44" s="181" t="str">
        <f>Tournament!E45</f>
        <v>G</v>
      </c>
      <c r="E44" s="188">
        <f>Tournament!F45</f>
        <v>41812.791666666664</v>
      </c>
      <c r="F44" s="189">
        <f>Tournament!G45</f>
        <v>41812.791666666664</v>
      </c>
      <c r="G44" s="190" t="str">
        <f>Tournament!H45</f>
        <v>USA</v>
      </c>
      <c r="H44" s="180"/>
      <c r="I44" s="9"/>
      <c r="J44" s="191" t="s">
        <v>3088</v>
      </c>
      <c r="K44" s="9"/>
      <c r="L44" s="180"/>
      <c r="M44" s="180" t="str">
        <f>Tournament!N45</f>
        <v>Portugal</v>
      </c>
      <c r="N44" s="183"/>
      <c r="P44" s="192" t="str">
        <f t="shared" si="0"/>
        <v>USA</v>
      </c>
      <c r="Q44" s="193"/>
      <c r="R44" s="194" t="str">
        <f>IF(Tournament!J45&lt;&gt;"",Tournament!J45,"")</f>
        <v/>
      </c>
      <c r="S44" s="194" t="s">
        <v>3088</v>
      </c>
      <c r="T44" s="194" t="str">
        <f>IF(Tournament!L45&lt;&gt;"",Tournament!L45,"")</f>
        <v/>
      </c>
      <c r="U44" s="193"/>
      <c r="V44" s="193" t="str">
        <f t="shared" si="1"/>
        <v>Portugal</v>
      </c>
      <c r="W44" s="194"/>
      <c r="X44" s="194"/>
      <c r="Y44" s="194"/>
      <c r="Z44" s="194"/>
      <c r="AA44" s="194"/>
      <c r="AB44" s="194"/>
      <c r="AC44" s="194"/>
      <c r="AD44" s="195" t="str">
        <f>IF(AND(I44&lt;&gt;"",K44&lt;&gt;"",R44&lt;&gt;"",T44&lt;&gt;""),IF(AND(I44=R44,K44=T44),Setup!$D$10,IF((I44-K44)=(R44-T44),Setup!$D$11,IF(AND((I44&gt;K44),(R44&gt;T44)),Setup!$D$12,IF(AND((K44&gt;I44),(T44&gt;R44)),Setup!$D$12,0)))),"")</f>
        <v/>
      </c>
      <c r="AE44" s="183"/>
      <c r="CP44" s="168"/>
      <c r="CQ44" s="168"/>
      <c r="CR44" s="187"/>
      <c r="CS44" s="168"/>
    </row>
    <row r="45" spans="2:97" s="166" customFormat="1" ht="15" customHeight="1">
      <c r="B45" s="182"/>
      <c r="C45" s="181">
        <f>Tournament!D46</f>
        <v>31</v>
      </c>
      <c r="D45" s="181" t="str">
        <f>Tournament!E46</f>
        <v>H</v>
      </c>
      <c r="E45" s="188">
        <f>Tournament!F46</f>
        <v>41812.541666666664</v>
      </c>
      <c r="F45" s="189">
        <f>Tournament!G46</f>
        <v>41812.541666666664</v>
      </c>
      <c r="G45" s="190" t="str">
        <f>Tournament!H46</f>
        <v>Belgium</v>
      </c>
      <c r="H45" s="180"/>
      <c r="I45" s="9"/>
      <c r="J45" s="191" t="s">
        <v>3088</v>
      </c>
      <c r="K45" s="9"/>
      <c r="L45" s="180"/>
      <c r="M45" s="180" t="str">
        <f>Tournament!N46</f>
        <v>Russia</v>
      </c>
      <c r="N45" s="183"/>
      <c r="P45" s="192" t="str">
        <f t="shared" si="0"/>
        <v>Belgium</v>
      </c>
      <c r="Q45" s="193"/>
      <c r="R45" s="194" t="str">
        <f>IF(Tournament!J46&lt;&gt;"",Tournament!J46,"")</f>
        <v/>
      </c>
      <c r="S45" s="194" t="s">
        <v>3088</v>
      </c>
      <c r="T45" s="194" t="str">
        <f>IF(Tournament!L46&lt;&gt;"",Tournament!L46,"")</f>
        <v/>
      </c>
      <c r="U45" s="193"/>
      <c r="V45" s="193" t="str">
        <f t="shared" si="1"/>
        <v>Russia</v>
      </c>
      <c r="W45" s="194"/>
      <c r="X45" s="194"/>
      <c r="Y45" s="194"/>
      <c r="Z45" s="194"/>
      <c r="AA45" s="194"/>
      <c r="AB45" s="194"/>
      <c r="AC45" s="194"/>
      <c r="AD45" s="195" t="str">
        <f>IF(AND(I45&lt;&gt;"",K45&lt;&gt;"",R45&lt;&gt;"",T45&lt;&gt;""),IF(AND(I45=R45,K45=T45),Setup!$D$10,IF((I45-K45)=(R45-T45),Setup!$D$11,IF(AND((I45&gt;K45),(R45&gt;T45)),Setup!$D$12,IF(AND((K45&gt;I45),(T45&gt;R45)),Setup!$D$12,0)))),"")</f>
        <v/>
      </c>
      <c r="AE45" s="183"/>
      <c r="CP45" s="168"/>
      <c r="CQ45" s="168"/>
      <c r="CR45" s="187"/>
      <c r="CS45" s="168"/>
    </row>
    <row r="46" spans="2:97" s="166" customFormat="1" ht="15" customHeight="1">
      <c r="B46" s="182"/>
      <c r="C46" s="181">
        <f>Tournament!D47</f>
        <v>32</v>
      </c>
      <c r="D46" s="181" t="str">
        <f>Tournament!E47</f>
        <v>H</v>
      </c>
      <c r="E46" s="188">
        <f>Tournament!F47</f>
        <v>41812.666666666664</v>
      </c>
      <c r="F46" s="189">
        <f>Tournament!G47</f>
        <v>41812.666666666664</v>
      </c>
      <c r="G46" s="190" t="str">
        <f>Tournament!H47</f>
        <v>South Korea</v>
      </c>
      <c r="H46" s="180"/>
      <c r="I46" s="9"/>
      <c r="J46" s="191" t="s">
        <v>3088</v>
      </c>
      <c r="K46" s="9"/>
      <c r="L46" s="180"/>
      <c r="M46" s="180" t="str">
        <f>Tournament!N47</f>
        <v>Algeria</v>
      </c>
      <c r="N46" s="183"/>
      <c r="P46" s="192" t="str">
        <f t="shared" si="0"/>
        <v>South Korea</v>
      </c>
      <c r="Q46" s="193"/>
      <c r="R46" s="194" t="str">
        <f>IF(Tournament!J47&lt;&gt;"",Tournament!J47,"")</f>
        <v/>
      </c>
      <c r="S46" s="194" t="s">
        <v>3088</v>
      </c>
      <c r="T46" s="194" t="str">
        <f>IF(Tournament!L47&lt;&gt;"",Tournament!L47,"")</f>
        <v/>
      </c>
      <c r="U46" s="193"/>
      <c r="V46" s="193" t="str">
        <f t="shared" si="1"/>
        <v>Algeria</v>
      </c>
      <c r="W46" s="194"/>
      <c r="X46" s="194"/>
      <c r="Y46" s="194"/>
      <c r="Z46" s="194"/>
      <c r="AA46" s="194"/>
      <c r="AB46" s="194"/>
      <c r="AC46" s="194"/>
      <c r="AD46" s="195" t="str">
        <f>IF(AND(I46&lt;&gt;"",K46&lt;&gt;"",R46&lt;&gt;"",T46&lt;&gt;""),IF(AND(I46=R46,K46=T46),Setup!$D$10,IF((I46-K46)=(R46-T46),Setup!$D$11,IF(AND((I46&gt;K46),(R46&gt;T46)),Setup!$D$12,IF(AND((K46&gt;I46),(T46&gt;R46)),Setup!$D$12,0)))),"")</f>
        <v/>
      </c>
      <c r="AE46" s="183"/>
      <c r="CP46" s="168"/>
      <c r="CQ46" s="168"/>
      <c r="CR46" s="187"/>
      <c r="CS46" s="168"/>
    </row>
    <row r="47" spans="2:97" s="166" customFormat="1" ht="15" customHeight="1">
      <c r="B47" s="182"/>
      <c r="C47" s="181">
        <f>Tournament!D48</f>
        <v>33</v>
      </c>
      <c r="D47" s="181" t="str">
        <f>Tournament!E48</f>
        <v>A</v>
      </c>
      <c r="E47" s="188">
        <f>Tournament!F48</f>
        <v>41813.708333333336</v>
      </c>
      <c r="F47" s="189">
        <f>Tournament!G48</f>
        <v>41813.708333333336</v>
      </c>
      <c r="G47" s="190" t="str">
        <f>Tournament!H48</f>
        <v>Cameroon</v>
      </c>
      <c r="H47" s="180"/>
      <c r="I47" s="9"/>
      <c r="J47" s="191" t="s">
        <v>3088</v>
      </c>
      <c r="K47" s="9"/>
      <c r="L47" s="180"/>
      <c r="M47" s="180" t="str">
        <f>Tournament!N48</f>
        <v>Brazil</v>
      </c>
      <c r="N47" s="183"/>
      <c r="P47" s="192" t="str">
        <f t="shared" si="0"/>
        <v>Cameroon</v>
      </c>
      <c r="Q47" s="193"/>
      <c r="R47" s="194" t="str">
        <f>IF(Tournament!J48&lt;&gt;"",Tournament!J48,"")</f>
        <v/>
      </c>
      <c r="S47" s="194" t="s">
        <v>3088</v>
      </c>
      <c r="T47" s="194" t="str">
        <f>IF(Tournament!L48&lt;&gt;"",Tournament!L48,"")</f>
        <v/>
      </c>
      <c r="U47" s="193"/>
      <c r="V47" s="193" t="str">
        <f t="shared" si="1"/>
        <v>Brazil</v>
      </c>
      <c r="W47" s="194"/>
      <c r="X47" s="194"/>
      <c r="Y47" s="194"/>
      <c r="Z47" s="194"/>
      <c r="AA47" s="194"/>
      <c r="AB47" s="194"/>
      <c r="AC47" s="194"/>
      <c r="AD47" s="195" t="str">
        <f>IF(AND(I47&lt;&gt;"",K47&lt;&gt;"",R47&lt;&gt;"",T47&lt;&gt;""),IF(AND(I47=R47,K47=T47),Setup!$D$10,IF((I47-K47)=(R47-T47),Setup!$D$11,IF(AND((I47&gt;K47),(R47&gt;T47)),Setup!$D$12,IF(AND((K47&gt;I47),(T47&gt;R47)),Setup!$D$12,0)))),"")</f>
        <v/>
      </c>
      <c r="AE47" s="183"/>
      <c r="CP47" s="168"/>
      <c r="CQ47" s="168"/>
      <c r="CR47" s="187"/>
      <c r="CS47" s="168"/>
    </row>
    <row r="48" spans="2:97" s="166" customFormat="1" ht="15" customHeight="1">
      <c r="B48" s="182"/>
      <c r="C48" s="181">
        <f>Tournament!D49</f>
        <v>34</v>
      </c>
      <c r="D48" s="181" t="str">
        <f>Tournament!E49</f>
        <v>A</v>
      </c>
      <c r="E48" s="188">
        <f>Tournament!F49</f>
        <v>41813.708333333336</v>
      </c>
      <c r="F48" s="189">
        <f>Tournament!G49</f>
        <v>41813.708333333336</v>
      </c>
      <c r="G48" s="190" t="str">
        <f>Tournament!H49</f>
        <v>Croatia</v>
      </c>
      <c r="H48" s="180"/>
      <c r="I48" s="9"/>
      <c r="J48" s="191" t="s">
        <v>3088</v>
      </c>
      <c r="K48" s="9"/>
      <c r="L48" s="180"/>
      <c r="M48" s="180" t="str">
        <f>Tournament!N49</f>
        <v>Mexico</v>
      </c>
      <c r="N48" s="183"/>
      <c r="P48" s="192" t="str">
        <f t="shared" si="0"/>
        <v>Croatia</v>
      </c>
      <c r="Q48" s="193"/>
      <c r="R48" s="194" t="str">
        <f>IF(Tournament!J49&lt;&gt;"",Tournament!J49,"")</f>
        <v/>
      </c>
      <c r="S48" s="194" t="s">
        <v>3088</v>
      </c>
      <c r="T48" s="194" t="str">
        <f>IF(Tournament!L49&lt;&gt;"",Tournament!L49,"")</f>
        <v/>
      </c>
      <c r="U48" s="193"/>
      <c r="V48" s="193" t="str">
        <f t="shared" si="1"/>
        <v>Mexico</v>
      </c>
      <c r="W48" s="194"/>
      <c r="X48" s="194"/>
      <c r="Y48" s="194"/>
      <c r="Z48" s="194"/>
      <c r="AA48" s="194"/>
      <c r="AB48" s="194"/>
      <c r="AC48" s="194"/>
      <c r="AD48" s="195" t="str">
        <f>IF(AND(I48&lt;&gt;"",K48&lt;&gt;"",R48&lt;&gt;"",T48&lt;&gt;""),IF(AND(I48=R48,K48=T48),Setup!$D$10,IF((I48-K48)=(R48-T48),Setup!$D$11,IF(AND((I48&gt;K48),(R48&gt;T48)),Setup!$D$12,IF(AND((K48&gt;I48),(T48&gt;R48)),Setup!$D$12,0)))),"")</f>
        <v/>
      </c>
      <c r="AE48" s="183"/>
      <c r="CP48" s="168"/>
      <c r="CQ48" s="168"/>
      <c r="CR48" s="187"/>
      <c r="CS48" s="168"/>
    </row>
    <row r="49" spans="2:97" s="166" customFormat="1" ht="15" customHeight="1">
      <c r="B49" s="182"/>
      <c r="C49" s="181">
        <f>Tournament!D50</f>
        <v>35</v>
      </c>
      <c r="D49" s="181" t="str">
        <f>Tournament!E50</f>
        <v>B</v>
      </c>
      <c r="E49" s="188">
        <f>Tournament!F50</f>
        <v>41813.541666666664</v>
      </c>
      <c r="F49" s="189">
        <f>Tournament!G50</f>
        <v>41813.541666666664</v>
      </c>
      <c r="G49" s="190" t="str">
        <f>Tournament!H50</f>
        <v>Australia</v>
      </c>
      <c r="H49" s="180"/>
      <c r="I49" s="9"/>
      <c r="J49" s="191" t="s">
        <v>3088</v>
      </c>
      <c r="K49" s="9"/>
      <c r="L49" s="180"/>
      <c r="M49" s="180" t="str">
        <f>Tournament!N50</f>
        <v>Spain</v>
      </c>
      <c r="N49" s="183"/>
      <c r="P49" s="192" t="str">
        <f t="shared" si="0"/>
        <v>Australia</v>
      </c>
      <c r="Q49" s="193"/>
      <c r="R49" s="194" t="str">
        <f>IF(Tournament!J50&lt;&gt;"",Tournament!J50,"")</f>
        <v/>
      </c>
      <c r="S49" s="194" t="s">
        <v>3088</v>
      </c>
      <c r="T49" s="194" t="str">
        <f>IF(Tournament!L50&lt;&gt;"",Tournament!L50,"")</f>
        <v/>
      </c>
      <c r="U49" s="193"/>
      <c r="V49" s="193" t="str">
        <f t="shared" si="1"/>
        <v>Spain</v>
      </c>
      <c r="W49" s="194"/>
      <c r="X49" s="194"/>
      <c r="Y49" s="194"/>
      <c r="Z49" s="194"/>
      <c r="AA49" s="194"/>
      <c r="AB49" s="194"/>
      <c r="AC49" s="194"/>
      <c r="AD49" s="195" t="str">
        <f>IF(AND(I49&lt;&gt;"",K49&lt;&gt;"",R49&lt;&gt;"",T49&lt;&gt;""),IF(AND(I49=R49,K49=T49),Setup!$D$10,IF((I49-K49)=(R49-T49),Setup!$D$11,IF(AND((I49&gt;K49),(R49&gt;T49)),Setup!$D$12,IF(AND((K49&gt;I49),(T49&gt;R49)),Setup!$D$12,0)))),"")</f>
        <v/>
      </c>
      <c r="AE49" s="183"/>
      <c r="CP49" s="168"/>
      <c r="CQ49" s="168"/>
      <c r="CR49" s="187"/>
      <c r="CS49" s="168"/>
    </row>
    <row r="50" spans="2:97" s="166" customFormat="1" ht="15" customHeight="1">
      <c r="B50" s="182"/>
      <c r="C50" s="181">
        <f>Tournament!D51</f>
        <v>36</v>
      </c>
      <c r="D50" s="181" t="str">
        <f>Tournament!E51</f>
        <v>B</v>
      </c>
      <c r="E50" s="188">
        <f>Tournament!F51</f>
        <v>41813.541666666664</v>
      </c>
      <c r="F50" s="189">
        <f>Tournament!G51</f>
        <v>41813.541666666664</v>
      </c>
      <c r="G50" s="190" t="str">
        <f>Tournament!H51</f>
        <v>Netherlands</v>
      </c>
      <c r="H50" s="180"/>
      <c r="I50" s="9"/>
      <c r="J50" s="191" t="s">
        <v>3088</v>
      </c>
      <c r="K50" s="9"/>
      <c r="L50" s="180"/>
      <c r="M50" s="180" t="str">
        <f>Tournament!N51</f>
        <v>Chile</v>
      </c>
      <c r="N50" s="183"/>
      <c r="P50" s="192" t="str">
        <f t="shared" si="0"/>
        <v>Netherlands</v>
      </c>
      <c r="Q50" s="193"/>
      <c r="R50" s="194" t="str">
        <f>IF(Tournament!J51&lt;&gt;"",Tournament!J51,"")</f>
        <v/>
      </c>
      <c r="S50" s="194" t="s">
        <v>3088</v>
      </c>
      <c r="T50" s="194" t="str">
        <f>IF(Tournament!L51&lt;&gt;"",Tournament!L51,"")</f>
        <v/>
      </c>
      <c r="U50" s="193"/>
      <c r="V50" s="193" t="str">
        <f t="shared" si="1"/>
        <v>Chile</v>
      </c>
      <c r="W50" s="194"/>
      <c r="X50" s="194"/>
      <c r="Y50" s="194"/>
      <c r="Z50" s="194"/>
      <c r="AA50" s="194"/>
      <c r="AB50" s="194"/>
      <c r="AC50" s="194"/>
      <c r="AD50" s="195" t="str">
        <f>IF(AND(I50&lt;&gt;"",K50&lt;&gt;"",R50&lt;&gt;"",T50&lt;&gt;""),IF(AND(I50=R50,K50=T50),Setup!$D$10,IF((I50-K50)=(R50-T50),Setup!$D$11,IF(AND((I50&gt;K50),(R50&gt;T50)),Setup!$D$12,IF(AND((K50&gt;I50),(T50&gt;R50)),Setup!$D$12,0)))),"")</f>
        <v/>
      </c>
      <c r="AE50" s="183"/>
      <c r="CP50" s="168"/>
      <c r="CQ50" s="168"/>
      <c r="CR50" s="187"/>
      <c r="CS50" s="168"/>
    </row>
    <row r="51" spans="2:97" s="166" customFormat="1" ht="15" customHeight="1">
      <c r="B51" s="182"/>
      <c r="C51" s="181">
        <f>Tournament!D52</f>
        <v>37</v>
      </c>
      <c r="D51" s="181" t="str">
        <f>Tournament!E52</f>
        <v>C</v>
      </c>
      <c r="E51" s="188">
        <f>Tournament!F52</f>
        <v>41814.708333333336</v>
      </c>
      <c r="F51" s="189">
        <f>Tournament!G52</f>
        <v>41814.708333333336</v>
      </c>
      <c r="G51" s="190" t="str">
        <f>Tournament!H52</f>
        <v>Japan</v>
      </c>
      <c r="H51" s="180"/>
      <c r="I51" s="9"/>
      <c r="J51" s="191" t="s">
        <v>3088</v>
      </c>
      <c r="K51" s="9"/>
      <c r="L51" s="180"/>
      <c r="M51" s="180" t="str">
        <f>Tournament!N52</f>
        <v>Colombia</v>
      </c>
      <c r="N51" s="183"/>
      <c r="P51" s="192" t="str">
        <f t="shared" si="0"/>
        <v>Japan</v>
      </c>
      <c r="Q51" s="193"/>
      <c r="R51" s="194" t="str">
        <f>IF(Tournament!J52&lt;&gt;"",Tournament!J52,"")</f>
        <v/>
      </c>
      <c r="S51" s="194" t="s">
        <v>3088</v>
      </c>
      <c r="T51" s="194" t="str">
        <f>IF(Tournament!L52&lt;&gt;"",Tournament!L52,"")</f>
        <v/>
      </c>
      <c r="U51" s="193"/>
      <c r="V51" s="193" t="str">
        <f t="shared" si="1"/>
        <v>Colombia</v>
      </c>
      <c r="W51" s="194"/>
      <c r="X51" s="194"/>
      <c r="Y51" s="194"/>
      <c r="Z51" s="194"/>
      <c r="AA51" s="194"/>
      <c r="AB51" s="194"/>
      <c r="AC51" s="194"/>
      <c r="AD51" s="195" t="str">
        <f>IF(AND(I51&lt;&gt;"",K51&lt;&gt;"",R51&lt;&gt;"",T51&lt;&gt;""),IF(AND(I51=R51,K51=T51),Setup!$D$10,IF((I51-K51)=(R51-T51),Setup!$D$11,IF(AND((I51&gt;K51),(R51&gt;T51)),Setup!$D$12,IF(AND((K51&gt;I51),(T51&gt;R51)),Setup!$D$12,0)))),"")</f>
        <v/>
      </c>
      <c r="AE51" s="183"/>
      <c r="CP51" s="168"/>
      <c r="CQ51" s="168"/>
      <c r="CR51" s="187"/>
      <c r="CS51" s="168"/>
    </row>
    <row r="52" spans="2:97" s="166" customFormat="1" ht="15" customHeight="1">
      <c r="B52" s="182"/>
      <c r="C52" s="181">
        <f>Tournament!D53</f>
        <v>38</v>
      </c>
      <c r="D52" s="181" t="str">
        <f>Tournament!E53</f>
        <v>C</v>
      </c>
      <c r="E52" s="188">
        <f>Tournament!F53</f>
        <v>41814.708333333336</v>
      </c>
      <c r="F52" s="189">
        <f>Tournament!G53</f>
        <v>41814.708333333336</v>
      </c>
      <c r="G52" s="190" t="str">
        <f>Tournament!H53</f>
        <v>Greece</v>
      </c>
      <c r="H52" s="180"/>
      <c r="I52" s="9"/>
      <c r="J52" s="191" t="s">
        <v>3088</v>
      </c>
      <c r="K52" s="9"/>
      <c r="L52" s="180"/>
      <c r="M52" s="180" t="str">
        <f>Tournament!N53</f>
        <v>Ivory Coast</v>
      </c>
      <c r="N52" s="183"/>
      <c r="P52" s="192" t="str">
        <f t="shared" si="0"/>
        <v>Greece</v>
      </c>
      <c r="Q52" s="193"/>
      <c r="R52" s="194" t="str">
        <f>IF(Tournament!J53&lt;&gt;"",Tournament!J53,"")</f>
        <v/>
      </c>
      <c r="S52" s="194" t="s">
        <v>3088</v>
      </c>
      <c r="T52" s="194" t="str">
        <f>IF(Tournament!L53&lt;&gt;"",Tournament!L53,"")</f>
        <v/>
      </c>
      <c r="U52" s="193"/>
      <c r="V52" s="193" t="str">
        <f t="shared" si="1"/>
        <v>Ivory Coast</v>
      </c>
      <c r="W52" s="194"/>
      <c r="X52" s="194"/>
      <c r="Y52" s="194"/>
      <c r="Z52" s="194"/>
      <c r="AA52" s="194"/>
      <c r="AB52" s="194"/>
      <c r="AC52" s="194"/>
      <c r="AD52" s="195" t="str">
        <f>IF(AND(I52&lt;&gt;"",K52&lt;&gt;"",R52&lt;&gt;"",T52&lt;&gt;""),IF(AND(I52=R52,K52=T52),Setup!$D$10,IF((I52-K52)=(R52-T52),Setup!$D$11,IF(AND((I52&gt;K52),(R52&gt;T52)),Setup!$D$12,IF(AND((K52&gt;I52),(T52&gt;R52)),Setup!$D$12,0)))),"")</f>
        <v/>
      </c>
      <c r="AE52" s="183"/>
      <c r="CP52" s="168"/>
      <c r="CQ52" s="168"/>
      <c r="CR52" s="187"/>
      <c r="CS52" s="168"/>
    </row>
    <row r="53" spans="2:97" s="166" customFormat="1" ht="15" customHeight="1">
      <c r="B53" s="182"/>
      <c r="C53" s="181">
        <f>Tournament!D54</f>
        <v>39</v>
      </c>
      <c r="D53" s="181" t="str">
        <f>Tournament!E54</f>
        <v>D</v>
      </c>
      <c r="E53" s="188">
        <f>Tournament!F54</f>
        <v>41814.541666666664</v>
      </c>
      <c r="F53" s="189">
        <f>Tournament!G54</f>
        <v>41814.541666666664</v>
      </c>
      <c r="G53" s="190" t="str">
        <f>Tournament!H54</f>
        <v>Italy</v>
      </c>
      <c r="H53" s="180"/>
      <c r="I53" s="9"/>
      <c r="J53" s="191" t="s">
        <v>3088</v>
      </c>
      <c r="K53" s="9"/>
      <c r="L53" s="180"/>
      <c r="M53" s="180" t="str">
        <f>Tournament!N54</f>
        <v>Uruguay</v>
      </c>
      <c r="N53" s="183"/>
      <c r="P53" s="192" t="str">
        <f t="shared" si="0"/>
        <v>Italy</v>
      </c>
      <c r="Q53" s="193"/>
      <c r="R53" s="194" t="str">
        <f>IF(Tournament!J54&lt;&gt;"",Tournament!J54,"")</f>
        <v/>
      </c>
      <c r="S53" s="194" t="s">
        <v>3088</v>
      </c>
      <c r="T53" s="194" t="str">
        <f>IF(Tournament!L54&lt;&gt;"",Tournament!L54,"")</f>
        <v/>
      </c>
      <c r="U53" s="193"/>
      <c r="V53" s="193" t="str">
        <f t="shared" si="1"/>
        <v>Uruguay</v>
      </c>
      <c r="W53" s="194"/>
      <c r="X53" s="194"/>
      <c r="Y53" s="194"/>
      <c r="Z53" s="194"/>
      <c r="AA53" s="194"/>
      <c r="AB53" s="194"/>
      <c r="AC53" s="194"/>
      <c r="AD53" s="195" t="str">
        <f>IF(AND(I53&lt;&gt;"",K53&lt;&gt;"",R53&lt;&gt;"",T53&lt;&gt;""),IF(AND(I53=R53,K53=T53),Setup!$D$10,IF((I53-K53)=(R53-T53),Setup!$D$11,IF(AND((I53&gt;K53),(R53&gt;T53)),Setup!$D$12,IF(AND((K53&gt;I53),(T53&gt;R53)),Setup!$D$12,0)))),"")</f>
        <v/>
      </c>
      <c r="AE53" s="183"/>
      <c r="CP53" s="168"/>
      <c r="CQ53" s="168"/>
      <c r="CR53" s="187"/>
      <c r="CS53" s="168"/>
    </row>
    <row r="54" spans="2:97" s="166" customFormat="1" ht="15" customHeight="1">
      <c r="B54" s="182"/>
      <c r="C54" s="181">
        <f>Tournament!D55</f>
        <v>40</v>
      </c>
      <c r="D54" s="181" t="str">
        <f>Tournament!E55</f>
        <v>D</v>
      </c>
      <c r="E54" s="188">
        <f>Tournament!F55</f>
        <v>41814.541666666664</v>
      </c>
      <c r="F54" s="189">
        <f>Tournament!G55</f>
        <v>41814.541666666664</v>
      </c>
      <c r="G54" s="190" t="str">
        <f>Tournament!H55</f>
        <v>Costa Rica</v>
      </c>
      <c r="H54" s="180"/>
      <c r="I54" s="9"/>
      <c r="J54" s="191" t="s">
        <v>3088</v>
      </c>
      <c r="K54" s="9"/>
      <c r="L54" s="180"/>
      <c r="M54" s="180" t="str">
        <f>Tournament!N55</f>
        <v>England</v>
      </c>
      <c r="N54" s="183"/>
      <c r="P54" s="192" t="str">
        <f t="shared" si="0"/>
        <v>Costa Rica</v>
      </c>
      <c r="Q54" s="193"/>
      <c r="R54" s="194" t="str">
        <f>IF(Tournament!J55&lt;&gt;"",Tournament!J55,"")</f>
        <v/>
      </c>
      <c r="S54" s="194" t="s">
        <v>3088</v>
      </c>
      <c r="T54" s="194" t="str">
        <f>IF(Tournament!L55&lt;&gt;"",Tournament!L55,"")</f>
        <v/>
      </c>
      <c r="U54" s="193"/>
      <c r="V54" s="193" t="str">
        <f t="shared" si="1"/>
        <v>England</v>
      </c>
      <c r="W54" s="194"/>
      <c r="X54" s="194"/>
      <c r="Y54" s="194"/>
      <c r="Z54" s="194"/>
      <c r="AA54" s="194"/>
      <c r="AB54" s="194"/>
      <c r="AC54" s="194"/>
      <c r="AD54" s="195" t="str">
        <f>IF(AND(I54&lt;&gt;"",K54&lt;&gt;"",R54&lt;&gt;"",T54&lt;&gt;""),IF(AND(I54=R54,K54=T54),Setup!$D$10,IF((I54-K54)=(R54-T54),Setup!$D$11,IF(AND((I54&gt;K54),(R54&gt;T54)),Setup!$D$12,IF(AND((K54&gt;I54),(T54&gt;R54)),Setup!$D$12,0)))),"")</f>
        <v/>
      </c>
      <c r="AE54" s="183"/>
      <c r="CP54" s="168"/>
      <c r="CQ54" s="168"/>
      <c r="CR54" s="187"/>
      <c r="CS54" s="168"/>
    </row>
    <row r="55" spans="2:97" s="166" customFormat="1" ht="15" customHeight="1">
      <c r="B55" s="182"/>
      <c r="C55" s="181">
        <f>Tournament!D56</f>
        <v>41</v>
      </c>
      <c r="D55" s="181" t="str">
        <f>Tournament!E56</f>
        <v>E</v>
      </c>
      <c r="E55" s="188">
        <f>Tournament!F56</f>
        <v>41815.708333333336</v>
      </c>
      <c r="F55" s="189">
        <f>Tournament!G56</f>
        <v>41815.708333333336</v>
      </c>
      <c r="G55" s="190" t="str">
        <f>Tournament!H56</f>
        <v>Honduras</v>
      </c>
      <c r="H55" s="180"/>
      <c r="I55" s="9"/>
      <c r="J55" s="191" t="s">
        <v>3088</v>
      </c>
      <c r="K55" s="9"/>
      <c r="L55" s="180"/>
      <c r="M55" s="180" t="str">
        <f>Tournament!N56</f>
        <v>Switzerland</v>
      </c>
      <c r="N55" s="183"/>
      <c r="P55" s="192" t="str">
        <f t="shared" si="0"/>
        <v>Honduras</v>
      </c>
      <c r="Q55" s="193"/>
      <c r="R55" s="194" t="str">
        <f>IF(Tournament!J56&lt;&gt;"",Tournament!J56,"")</f>
        <v/>
      </c>
      <c r="S55" s="194" t="s">
        <v>3088</v>
      </c>
      <c r="T55" s="194" t="str">
        <f>IF(Tournament!L56&lt;&gt;"",Tournament!L56,"")</f>
        <v/>
      </c>
      <c r="U55" s="193"/>
      <c r="V55" s="193" t="str">
        <f t="shared" si="1"/>
        <v>Switzerland</v>
      </c>
      <c r="W55" s="194"/>
      <c r="X55" s="194"/>
      <c r="Y55" s="194"/>
      <c r="Z55" s="194"/>
      <c r="AA55" s="194"/>
      <c r="AB55" s="194"/>
      <c r="AC55" s="194"/>
      <c r="AD55" s="195" t="str">
        <f>IF(AND(I55&lt;&gt;"",K55&lt;&gt;"",R55&lt;&gt;"",T55&lt;&gt;""),IF(AND(I55=R55,K55=T55),Setup!$D$10,IF((I55-K55)=(R55-T55),Setup!$D$11,IF(AND((I55&gt;K55),(R55&gt;T55)),Setup!$D$12,IF(AND((K55&gt;I55),(T55&gt;R55)),Setup!$D$12,0)))),"")</f>
        <v/>
      </c>
      <c r="AE55" s="183"/>
      <c r="CP55" s="168"/>
      <c r="CQ55" s="168"/>
      <c r="CR55" s="187"/>
      <c r="CS55" s="168"/>
    </row>
    <row r="56" spans="2:97" s="166" customFormat="1" ht="15" customHeight="1">
      <c r="B56" s="182"/>
      <c r="C56" s="181">
        <f>Tournament!D57</f>
        <v>42</v>
      </c>
      <c r="D56" s="181" t="str">
        <f>Tournament!E57</f>
        <v>E</v>
      </c>
      <c r="E56" s="188">
        <f>Tournament!F57</f>
        <v>41815.708333333336</v>
      </c>
      <c r="F56" s="189">
        <f>Tournament!G57</f>
        <v>41815.708333333336</v>
      </c>
      <c r="G56" s="190" t="str">
        <f>Tournament!H57</f>
        <v>Ecuador</v>
      </c>
      <c r="H56" s="180"/>
      <c r="I56" s="9"/>
      <c r="J56" s="191" t="s">
        <v>3088</v>
      </c>
      <c r="K56" s="9"/>
      <c r="L56" s="180"/>
      <c r="M56" s="180" t="str">
        <f>Tournament!N57</f>
        <v>France</v>
      </c>
      <c r="N56" s="183"/>
      <c r="P56" s="192" t="str">
        <f t="shared" si="0"/>
        <v>Ecuador</v>
      </c>
      <c r="Q56" s="193"/>
      <c r="R56" s="194" t="str">
        <f>IF(Tournament!J57&lt;&gt;"",Tournament!J57,"")</f>
        <v/>
      </c>
      <c r="S56" s="194" t="s">
        <v>3088</v>
      </c>
      <c r="T56" s="194" t="str">
        <f>IF(Tournament!L57&lt;&gt;"",Tournament!L57,"")</f>
        <v/>
      </c>
      <c r="U56" s="193"/>
      <c r="V56" s="193" t="str">
        <f t="shared" si="1"/>
        <v>France</v>
      </c>
      <c r="W56" s="194"/>
      <c r="X56" s="194"/>
      <c r="Y56" s="194"/>
      <c r="Z56" s="194"/>
      <c r="AA56" s="194"/>
      <c r="AB56" s="194"/>
      <c r="AC56" s="194"/>
      <c r="AD56" s="195" t="str">
        <f>IF(AND(I56&lt;&gt;"",K56&lt;&gt;"",R56&lt;&gt;"",T56&lt;&gt;""),IF(AND(I56=R56,K56=T56),Setup!$D$10,IF((I56-K56)=(R56-T56),Setup!$D$11,IF(AND((I56&gt;K56),(R56&gt;T56)),Setup!$D$12,IF(AND((K56&gt;I56),(T56&gt;R56)),Setup!$D$12,0)))),"")</f>
        <v/>
      </c>
      <c r="AE56" s="183"/>
      <c r="CP56" s="168"/>
      <c r="CQ56" s="168"/>
      <c r="CR56" s="187"/>
      <c r="CS56" s="168"/>
    </row>
    <row r="57" spans="2:97" s="166" customFormat="1" ht="15" customHeight="1">
      <c r="B57" s="182"/>
      <c r="C57" s="181">
        <f>Tournament!D58</f>
        <v>43</v>
      </c>
      <c r="D57" s="181" t="str">
        <f>Tournament!E58</f>
        <v>F</v>
      </c>
      <c r="E57" s="188">
        <f>Tournament!F58</f>
        <v>41815.541666666664</v>
      </c>
      <c r="F57" s="189">
        <f>Tournament!G58</f>
        <v>41815.541666666664</v>
      </c>
      <c r="G57" s="190" t="str">
        <f>Tournament!H58</f>
        <v>Nigeria</v>
      </c>
      <c r="H57" s="180"/>
      <c r="I57" s="9"/>
      <c r="J57" s="191" t="s">
        <v>3088</v>
      </c>
      <c r="K57" s="9"/>
      <c r="L57" s="180"/>
      <c r="M57" s="180" t="str">
        <f>Tournament!N58</f>
        <v>Argentina</v>
      </c>
      <c r="N57" s="183"/>
      <c r="P57" s="192" t="str">
        <f t="shared" si="0"/>
        <v>Nigeria</v>
      </c>
      <c r="Q57" s="193"/>
      <c r="R57" s="194" t="str">
        <f>IF(Tournament!J58&lt;&gt;"",Tournament!J58,"")</f>
        <v/>
      </c>
      <c r="S57" s="194" t="s">
        <v>3088</v>
      </c>
      <c r="T57" s="194" t="str">
        <f>IF(Tournament!L58&lt;&gt;"",Tournament!L58,"")</f>
        <v/>
      </c>
      <c r="U57" s="193"/>
      <c r="V57" s="193" t="str">
        <f t="shared" si="1"/>
        <v>Argentina</v>
      </c>
      <c r="W57" s="194"/>
      <c r="X57" s="194"/>
      <c r="Y57" s="194"/>
      <c r="Z57" s="194"/>
      <c r="AA57" s="194"/>
      <c r="AB57" s="194"/>
      <c r="AC57" s="194"/>
      <c r="AD57" s="195" t="str">
        <f>IF(AND(I57&lt;&gt;"",K57&lt;&gt;"",R57&lt;&gt;"",T57&lt;&gt;""),IF(AND(I57=R57,K57=T57),Setup!$D$10,IF((I57-K57)=(R57-T57),Setup!$D$11,IF(AND((I57&gt;K57),(R57&gt;T57)),Setup!$D$12,IF(AND((K57&gt;I57),(T57&gt;R57)),Setup!$D$12,0)))),"")</f>
        <v/>
      </c>
      <c r="AE57" s="183"/>
      <c r="CP57" s="168"/>
      <c r="CQ57" s="168"/>
      <c r="CR57" s="187"/>
      <c r="CS57" s="168"/>
    </row>
    <row r="58" spans="2:97" s="166" customFormat="1" ht="15" customHeight="1">
      <c r="B58" s="182"/>
      <c r="C58" s="181">
        <f>Tournament!D59</f>
        <v>44</v>
      </c>
      <c r="D58" s="181" t="str">
        <f>Tournament!E59</f>
        <v>F</v>
      </c>
      <c r="E58" s="188">
        <f>Tournament!F59</f>
        <v>41815.541666666664</v>
      </c>
      <c r="F58" s="189">
        <f>Tournament!G59</f>
        <v>41815.541666666664</v>
      </c>
      <c r="G58" s="190" t="str">
        <f>Tournament!H59</f>
        <v>Bosnia-Herzegovina</v>
      </c>
      <c r="H58" s="180"/>
      <c r="I58" s="9"/>
      <c r="J58" s="191" t="s">
        <v>3088</v>
      </c>
      <c r="K58" s="9"/>
      <c r="L58" s="180"/>
      <c r="M58" s="180" t="str">
        <f>Tournament!N59</f>
        <v>Iran</v>
      </c>
      <c r="N58" s="183"/>
      <c r="P58" s="192" t="str">
        <f t="shared" si="0"/>
        <v>Bosnia-Herzegovina</v>
      </c>
      <c r="Q58" s="193"/>
      <c r="R58" s="194" t="str">
        <f>IF(Tournament!J59&lt;&gt;"",Tournament!J59,"")</f>
        <v/>
      </c>
      <c r="S58" s="194" t="s">
        <v>3088</v>
      </c>
      <c r="T58" s="194" t="str">
        <f>IF(Tournament!L59&lt;&gt;"",Tournament!L59,"")</f>
        <v/>
      </c>
      <c r="U58" s="193"/>
      <c r="V58" s="193" t="str">
        <f t="shared" si="1"/>
        <v>Iran</v>
      </c>
      <c r="W58" s="194"/>
      <c r="X58" s="194"/>
      <c r="Y58" s="194"/>
      <c r="Z58" s="194"/>
      <c r="AA58" s="194"/>
      <c r="AB58" s="194"/>
      <c r="AC58" s="194"/>
      <c r="AD58" s="195" t="str">
        <f>IF(AND(I58&lt;&gt;"",K58&lt;&gt;"",R58&lt;&gt;"",T58&lt;&gt;""),IF(AND(I58=R58,K58=T58),Setup!$D$10,IF((I58-K58)=(R58-T58),Setup!$D$11,IF(AND((I58&gt;K58),(R58&gt;T58)),Setup!$D$12,IF(AND((K58&gt;I58),(T58&gt;R58)),Setup!$D$12,0)))),"")</f>
        <v/>
      </c>
      <c r="AE58" s="183"/>
      <c r="CP58" s="168"/>
      <c r="CQ58" s="168"/>
      <c r="CR58" s="187"/>
      <c r="CS58" s="168"/>
    </row>
    <row r="59" spans="2:97" s="166" customFormat="1" ht="15" customHeight="1">
      <c r="B59" s="182"/>
      <c r="C59" s="181">
        <f>Tournament!D60</f>
        <v>45</v>
      </c>
      <c r="D59" s="181" t="str">
        <f>Tournament!E60</f>
        <v>G</v>
      </c>
      <c r="E59" s="188">
        <f>Tournament!F60</f>
        <v>41816.541666666664</v>
      </c>
      <c r="F59" s="189">
        <f>Tournament!G60</f>
        <v>41816.541666666664</v>
      </c>
      <c r="G59" s="190" t="str">
        <f>Tournament!H60</f>
        <v>USA</v>
      </c>
      <c r="H59" s="180"/>
      <c r="I59" s="9"/>
      <c r="J59" s="191" t="s">
        <v>3088</v>
      </c>
      <c r="K59" s="9"/>
      <c r="L59" s="180"/>
      <c r="M59" s="180" t="str">
        <f>Tournament!N60</f>
        <v>Germany</v>
      </c>
      <c r="N59" s="183"/>
      <c r="P59" s="192" t="str">
        <f t="shared" si="0"/>
        <v>USA</v>
      </c>
      <c r="Q59" s="193"/>
      <c r="R59" s="194" t="str">
        <f>IF(Tournament!J60&lt;&gt;"",Tournament!J60,"")</f>
        <v/>
      </c>
      <c r="S59" s="194" t="s">
        <v>3088</v>
      </c>
      <c r="T59" s="194" t="str">
        <f>IF(Tournament!L60&lt;&gt;"",Tournament!L60,"")</f>
        <v/>
      </c>
      <c r="U59" s="193"/>
      <c r="V59" s="193" t="str">
        <f t="shared" si="1"/>
        <v>Germany</v>
      </c>
      <c r="W59" s="194"/>
      <c r="X59" s="194"/>
      <c r="Y59" s="194"/>
      <c r="Z59" s="194"/>
      <c r="AA59" s="194"/>
      <c r="AB59" s="194"/>
      <c r="AC59" s="194"/>
      <c r="AD59" s="195" t="str">
        <f>IF(AND(I59&lt;&gt;"",K59&lt;&gt;"",R59&lt;&gt;"",T59&lt;&gt;""),IF(AND(I59=R59,K59=T59),Setup!$D$10,IF((I59-K59)=(R59-T59),Setup!$D$11,IF(AND((I59&gt;K59),(R59&gt;T59)),Setup!$D$12,IF(AND((K59&gt;I59),(T59&gt;R59)),Setup!$D$12,0)))),"")</f>
        <v/>
      </c>
      <c r="AE59" s="183"/>
      <c r="CP59" s="168"/>
      <c r="CQ59" s="168"/>
      <c r="CR59" s="187"/>
      <c r="CS59" s="168"/>
    </row>
    <row r="60" spans="2:97" s="166" customFormat="1" ht="15" customHeight="1">
      <c r="B60" s="182"/>
      <c r="C60" s="181">
        <f>Tournament!D61</f>
        <v>46</v>
      </c>
      <c r="D60" s="181" t="str">
        <f>Tournament!E61</f>
        <v>G</v>
      </c>
      <c r="E60" s="188">
        <f>Tournament!F61</f>
        <v>41816.541666666664</v>
      </c>
      <c r="F60" s="189">
        <f>Tournament!G61</f>
        <v>41816.541666666664</v>
      </c>
      <c r="G60" s="190" t="str">
        <f>Tournament!H61</f>
        <v>Portugal</v>
      </c>
      <c r="H60" s="180"/>
      <c r="I60" s="9"/>
      <c r="J60" s="191" t="s">
        <v>3088</v>
      </c>
      <c r="K60" s="9"/>
      <c r="L60" s="180"/>
      <c r="M60" s="180" t="str">
        <f>Tournament!N61</f>
        <v>Ghana</v>
      </c>
      <c r="N60" s="183"/>
      <c r="P60" s="192" t="str">
        <f t="shared" si="0"/>
        <v>Portugal</v>
      </c>
      <c r="Q60" s="193"/>
      <c r="R60" s="194" t="str">
        <f>IF(Tournament!J61&lt;&gt;"",Tournament!J61,"")</f>
        <v/>
      </c>
      <c r="S60" s="194" t="s">
        <v>3088</v>
      </c>
      <c r="T60" s="194" t="str">
        <f>IF(Tournament!L61&lt;&gt;"",Tournament!L61,"")</f>
        <v/>
      </c>
      <c r="U60" s="193"/>
      <c r="V60" s="193" t="str">
        <f t="shared" si="1"/>
        <v>Ghana</v>
      </c>
      <c r="W60" s="194"/>
      <c r="X60" s="194"/>
      <c r="Y60" s="194"/>
      <c r="Z60" s="194"/>
      <c r="AA60" s="194"/>
      <c r="AB60" s="194"/>
      <c r="AC60" s="194"/>
      <c r="AD60" s="195" t="str">
        <f>IF(AND(I60&lt;&gt;"",K60&lt;&gt;"",R60&lt;&gt;"",T60&lt;&gt;""),IF(AND(I60=R60,K60=T60),Setup!$D$10,IF((I60-K60)=(R60-T60),Setup!$D$11,IF(AND((I60&gt;K60),(R60&gt;T60)),Setup!$D$12,IF(AND((K60&gt;I60),(T60&gt;R60)),Setup!$D$12,0)))),"")</f>
        <v/>
      </c>
      <c r="AE60" s="183"/>
      <c r="CN60" s="168"/>
      <c r="CO60" s="168"/>
      <c r="CP60" s="187"/>
      <c r="CQ60" s="168"/>
    </row>
    <row r="61" spans="2:97" s="166" customFormat="1" ht="15" customHeight="1">
      <c r="B61" s="182"/>
      <c r="C61" s="181">
        <f>Tournament!D62</f>
        <v>47</v>
      </c>
      <c r="D61" s="181" t="str">
        <f>Tournament!E62</f>
        <v>H</v>
      </c>
      <c r="E61" s="188">
        <f>Tournament!F62</f>
        <v>41816.708333333336</v>
      </c>
      <c r="F61" s="189">
        <f>Tournament!G62</f>
        <v>41816.708333333336</v>
      </c>
      <c r="G61" s="190" t="str">
        <f>Tournament!H62</f>
        <v>South Korea</v>
      </c>
      <c r="H61" s="180"/>
      <c r="I61" s="9"/>
      <c r="J61" s="191" t="s">
        <v>3088</v>
      </c>
      <c r="K61" s="9"/>
      <c r="L61" s="180"/>
      <c r="M61" s="180" t="str">
        <f>Tournament!N62</f>
        <v>Belgium</v>
      </c>
      <c r="N61" s="183"/>
      <c r="P61" s="192" t="str">
        <f t="shared" si="0"/>
        <v>South Korea</v>
      </c>
      <c r="Q61" s="193"/>
      <c r="R61" s="194" t="str">
        <f>IF(Tournament!J62&lt;&gt;"",Tournament!J62,"")</f>
        <v/>
      </c>
      <c r="S61" s="194" t="s">
        <v>3088</v>
      </c>
      <c r="T61" s="194" t="str">
        <f>IF(Tournament!L62&lt;&gt;"",Tournament!L62,"")</f>
        <v/>
      </c>
      <c r="U61" s="193"/>
      <c r="V61" s="193" t="str">
        <f t="shared" si="1"/>
        <v>Belgium</v>
      </c>
      <c r="W61" s="194"/>
      <c r="X61" s="194"/>
      <c r="Y61" s="194"/>
      <c r="Z61" s="194"/>
      <c r="AA61" s="194"/>
      <c r="AB61" s="194"/>
      <c r="AC61" s="194"/>
      <c r="AD61" s="195" t="str">
        <f>IF(AND(I61&lt;&gt;"",K61&lt;&gt;"",R61&lt;&gt;"",T61&lt;&gt;""),IF(AND(I61=R61,K61=T61),Setup!$D$10,IF((I61-K61)=(R61-T61),Setup!$D$11,IF(AND((I61&gt;K61),(R61&gt;T61)),Setup!$D$12,IF(AND((K61&gt;I61),(T61&gt;R61)),Setup!$D$12,0)))),"")</f>
        <v/>
      </c>
      <c r="AE61" s="183"/>
      <c r="CM61" s="168"/>
      <c r="CN61" s="168"/>
      <c r="CO61" s="187"/>
      <c r="CP61" s="168"/>
    </row>
    <row r="62" spans="2:97" s="166" customFormat="1" ht="15" customHeight="1">
      <c r="B62" s="182"/>
      <c r="C62" s="181">
        <f>Tournament!D63</f>
        <v>48</v>
      </c>
      <c r="D62" s="181" t="str">
        <f>Tournament!E63</f>
        <v>H</v>
      </c>
      <c r="E62" s="188">
        <f>Tournament!F63</f>
        <v>41816.708333333336</v>
      </c>
      <c r="F62" s="189">
        <f>Tournament!G63</f>
        <v>41816.708333333336</v>
      </c>
      <c r="G62" s="190" t="str">
        <f>Tournament!H63</f>
        <v>Algeria</v>
      </c>
      <c r="H62" s="180"/>
      <c r="I62" s="9"/>
      <c r="J62" s="191" t="s">
        <v>3088</v>
      </c>
      <c r="K62" s="9"/>
      <c r="L62" s="180"/>
      <c r="M62" s="180" t="str">
        <f>Tournament!N63</f>
        <v>Russia</v>
      </c>
      <c r="N62" s="183"/>
      <c r="P62" s="192" t="str">
        <f t="shared" si="0"/>
        <v>Algeria</v>
      </c>
      <c r="Q62" s="193"/>
      <c r="R62" s="194" t="str">
        <f>IF(Tournament!J63&lt;&gt;"",Tournament!J63,"")</f>
        <v/>
      </c>
      <c r="S62" s="194" t="s">
        <v>3088</v>
      </c>
      <c r="T62" s="194" t="str">
        <f>IF(Tournament!L63&lt;&gt;"",Tournament!L63,"")</f>
        <v/>
      </c>
      <c r="U62" s="193"/>
      <c r="V62" s="193" t="str">
        <f t="shared" si="1"/>
        <v>Russia</v>
      </c>
      <c r="AD62" s="195" t="str">
        <f>IF(AND(I62&lt;&gt;"",K62&lt;&gt;"",R62&lt;&gt;"",T62&lt;&gt;""),IF(AND(I62=R62,K62=T62),Setup!$D$10,IF((I62-K62)=(R62-T62),Setup!$D$11,IF(AND((I62&gt;K62),(R62&gt;T62)),Setup!$D$12,IF(AND((K62&gt;I62),(T62&gt;R62)),Setup!$D$12,0)))),"")</f>
        <v/>
      </c>
      <c r="AE62" s="183"/>
      <c r="CM62" s="168"/>
      <c r="CN62" s="168"/>
      <c r="CO62" s="187"/>
      <c r="CP62" s="168"/>
    </row>
    <row r="63" spans="2:97" s="166" customFormat="1" ht="15" customHeight="1">
      <c r="B63" s="182"/>
      <c r="C63" s="181"/>
      <c r="D63" s="181"/>
      <c r="E63" s="188"/>
      <c r="F63" s="189"/>
      <c r="G63" s="190"/>
      <c r="H63" s="180"/>
      <c r="I63" s="191"/>
      <c r="J63" s="191"/>
      <c r="K63" s="191"/>
      <c r="L63" s="180"/>
      <c r="M63" s="180"/>
      <c r="N63" s="183"/>
      <c r="P63" s="192"/>
      <c r="Q63" s="193"/>
      <c r="R63" s="194"/>
      <c r="S63" s="194"/>
      <c r="T63" s="194"/>
      <c r="U63" s="193"/>
      <c r="V63" s="193"/>
      <c r="AD63" s="181"/>
      <c r="AE63" s="183"/>
      <c r="CM63" s="168"/>
      <c r="CN63" s="168"/>
      <c r="CO63" s="187"/>
      <c r="CP63" s="168"/>
    </row>
    <row r="64" spans="2:97" s="166" customFormat="1" ht="15" customHeight="1">
      <c r="B64" s="300" t="s">
        <v>3544</v>
      </c>
      <c r="C64" s="301"/>
      <c r="D64" s="301"/>
      <c r="E64" s="301"/>
      <c r="F64" s="301"/>
      <c r="G64" s="301"/>
      <c r="H64" s="301"/>
      <c r="I64" s="301"/>
      <c r="J64" s="301"/>
      <c r="K64" s="301"/>
      <c r="L64" s="301"/>
      <c r="M64" s="301"/>
      <c r="N64" s="302"/>
      <c r="P64" s="303" t="str">
        <f>B64</f>
        <v>Knock Out Stages</v>
      </c>
      <c r="Q64" s="304"/>
      <c r="R64" s="304"/>
      <c r="S64" s="304"/>
      <c r="T64" s="304"/>
      <c r="U64" s="304"/>
      <c r="V64" s="304"/>
      <c r="W64" s="304"/>
      <c r="X64" s="304"/>
      <c r="Y64" s="304"/>
      <c r="Z64" s="304"/>
      <c r="AA64" s="304"/>
      <c r="AB64" s="304"/>
      <c r="AC64" s="304"/>
      <c r="AD64" s="304"/>
      <c r="AE64" s="305"/>
      <c r="CM64" s="168"/>
      <c r="CN64" s="168"/>
      <c r="CO64" s="187"/>
      <c r="CP64" s="168"/>
    </row>
    <row r="65" spans="2:94" s="166" customFormat="1" ht="15" customHeight="1">
      <c r="B65" s="182"/>
      <c r="C65" s="181"/>
      <c r="D65" s="181"/>
      <c r="E65" s="188"/>
      <c r="F65" s="189"/>
      <c r="G65" s="190"/>
      <c r="H65" s="180"/>
      <c r="I65" s="191"/>
      <c r="J65" s="191"/>
      <c r="K65" s="191"/>
      <c r="L65" s="180"/>
      <c r="M65" s="180"/>
      <c r="N65" s="183"/>
      <c r="P65" s="192"/>
      <c r="Q65" s="193"/>
      <c r="R65" s="299" t="s">
        <v>3554</v>
      </c>
      <c r="S65" s="299"/>
      <c r="T65" s="299"/>
      <c r="U65" s="193"/>
      <c r="V65" s="193"/>
      <c r="W65" s="299" t="s">
        <v>3546</v>
      </c>
      <c r="X65" s="299"/>
      <c r="Y65" s="299"/>
      <c r="Z65" s="197"/>
      <c r="AA65" s="299" t="s">
        <v>3547</v>
      </c>
      <c r="AB65" s="299"/>
      <c r="AC65" s="299"/>
      <c r="AD65" s="181"/>
      <c r="AE65" s="183"/>
      <c r="CM65" s="168"/>
      <c r="CN65" s="168"/>
      <c r="CO65" s="187"/>
      <c r="CP65" s="168"/>
    </row>
    <row r="66" spans="2:94" s="166" customFormat="1" ht="15" customHeight="1">
      <c r="B66" s="182"/>
      <c r="C66" s="181">
        <v>49</v>
      </c>
      <c r="D66" s="181" t="s">
        <v>3548</v>
      </c>
      <c r="E66" s="188">
        <f>Tournament!F69</f>
        <v>41818.541666666664</v>
      </c>
      <c r="F66" s="189">
        <f>Tournament!G69</f>
        <v>41818.541666666664</v>
      </c>
      <c r="G66" s="190" t="str">
        <f>Tournament!H69</f>
        <v>Group A Winner</v>
      </c>
      <c r="H66" s="180"/>
      <c r="I66" s="9"/>
      <c r="J66" s="191" t="s">
        <v>3088</v>
      </c>
      <c r="K66" s="9"/>
      <c r="L66" s="180"/>
      <c r="M66" s="198" t="str">
        <f>Tournament!N69</f>
        <v>Group B Runner Up</v>
      </c>
      <c r="N66" s="183"/>
      <c r="P66" s="192" t="str">
        <f t="shared" ref="P66:P81" si="2">G66</f>
        <v>Group A Winner</v>
      </c>
      <c r="Q66" s="193"/>
      <c r="R66" s="194" t="str">
        <f>IF($Z$67=0,IF($Z$66=0,IF(Tournament!J70&lt;&gt;"",Tournament!J70,""),IF(Tournament!J70&lt;&gt;"",Tournament!J70+Tournament!J71,"")),IF(Tournament!J69&lt;&gt;"",Tournament!J69,""))</f>
        <v/>
      </c>
      <c r="S66" s="194" t="s">
        <v>3088</v>
      </c>
      <c r="T66" s="194" t="str">
        <f>IF($Z$67=0,IF($Z$66=0,IF(Tournament!L70&lt;&gt;"",Tournament!L70,""),IF(Tournament!L70&lt;&gt;"",Tournament!L70+Tournament!L71,"")),IF(Tournament!L69&lt;&gt;"",Tournament!L69,""))</f>
        <v/>
      </c>
      <c r="U66" s="193"/>
      <c r="V66" s="193" t="str">
        <f t="shared" ref="V66:V81" si="3">M66</f>
        <v>Group B Runner Up</v>
      </c>
      <c r="W66" s="191" t="str">
        <f>IF(Tournament!J71&lt;&gt;"",Tournament!J71,"")</f>
        <v/>
      </c>
      <c r="X66" s="199" t="s">
        <v>3088</v>
      </c>
      <c r="Y66" s="191" t="str">
        <f>IF(Tournament!L71&lt;&gt;"",Tournament!L71,"")</f>
        <v/>
      </c>
      <c r="Z66" s="199">
        <f>Setup!E16</f>
        <v>1</v>
      </c>
      <c r="AA66" s="191" t="str">
        <f>IF(Tournament!J72&lt;&gt;"",Tournament!J72,"")</f>
        <v/>
      </c>
      <c r="AB66" s="194" t="s">
        <v>3088</v>
      </c>
      <c r="AC66" s="191" t="str">
        <f>IF(Tournament!L72&lt;&gt;"",Tournament!L72,"")</f>
        <v/>
      </c>
      <c r="AD66" s="195" t="str">
        <f>IF(AND(I66&lt;&gt;"",K66&lt;&gt;"",R66&lt;&gt;"",T66&lt;&gt;""),IF(AND(I66=R66,K66=T66),Setup!$D$20,IF((I66-K66)=(R66-T66),Setup!$D$21,IF(AND((I66&gt;K66),(R66&gt;T66)),Setup!$D$22,IF(AND((K66&gt;I66),(T66&gt;R66)),Setup!$D$22,0)))),"")</f>
        <v/>
      </c>
      <c r="AE66" s="183"/>
      <c r="CM66" s="168"/>
      <c r="CN66" s="168"/>
      <c r="CO66" s="187"/>
      <c r="CP66" s="168"/>
    </row>
    <row r="67" spans="2:94" s="166" customFormat="1" ht="15" customHeight="1">
      <c r="B67" s="182"/>
      <c r="C67" s="181">
        <v>50</v>
      </c>
      <c r="D67" s="181" t="str">
        <f>D66</f>
        <v>R16</v>
      </c>
      <c r="E67" s="188">
        <f>Tournament!F75</f>
        <v>41818.708333333336</v>
      </c>
      <c r="F67" s="189">
        <f>Tournament!G75</f>
        <v>41818.708333333336</v>
      </c>
      <c r="G67" s="190" t="str">
        <f>Tournament!H75</f>
        <v>Group C Winner</v>
      </c>
      <c r="H67" s="180"/>
      <c r="I67" s="9"/>
      <c r="J67" s="191" t="s">
        <v>3088</v>
      </c>
      <c r="K67" s="9"/>
      <c r="L67" s="180"/>
      <c r="M67" s="198" t="str">
        <f>Tournament!N75</f>
        <v>Group D Runner Up</v>
      </c>
      <c r="N67" s="183"/>
      <c r="P67" s="192" t="str">
        <f t="shared" si="2"/>
        <v>Group C Winner</v>
      </c>
      <c r="Q67" s="193"/>
      <c r="R67" s="194" t="str">
        <f>IF($Z$67=0,IF($Z$66=0,IF(Tournament!J76&lt;&gt;"",Tournament!J76,""),IF(Tournament!J76&lt;&gt;"",Tournament!J76+Tournament!J77,"")),IF(Tournament!J75&lt;&gt;"",Tournament!J75,""))</f>
        <v/>
      </c>
      <c r="S67" s="194" t="s">
        <v>3088</v>
      </c>
      <c r="T67" s="194" t="str">
        <f>IF($Z$67=0,IF($Z$66=0,IF(Tournament!L76&lt;&gt;"",Tournament!L76,""),IF(Tournament!L76&lt;&gt;"",Tournament!L76+Tournament!L77,"")),IF(Tournament!L75&lt;&gt;"",Tournament!L75,""))</f>
        <v/>
      </c>
      <c r="U67" s="193"/>
      <c r="V67" s="193" t="str">
        <f t="shared" si="3"/>
        <v>Group D Runner Up</v>
      </c>
      <c r="W67" s="191" t="str">
        <f>IF(Tournament!J77&lt;&gt;"",Tournament!J77,"")</f>
        <v/>
      </c>
      <c r="X67" s="199" t="s">
        <v>3088</v>
      </c>
      <c r="Y67" s="191" t="str">
        <f>IF(Tournament!L77&lt;&gt;"",Tournament!L77,"")</f>
        <v/>
      </c>
      <c r="Z67" s="199">
        <f>Setup!E17</f>
        <v>0</v>
      </c>
      <c r="AA67" s="191" t="str">
        <f>IF(Tournament!J78&lt;&gt;"",Tournament!J78,"")</f>
        <v/>
      </c>
      <c r="AB67" s="194" t="s">
        <v>3088</v>
      </c>
      <c r="AC67" s="191" t="str">
        <f>IF(Tournament!L78&lt;&gt;"",Tournament!L78,"")</f>
        <v/>
      </c>
      <c r="AD67" s="195" t="str">
        <f>IF(AND(I67&lt;&gt;"",K67&lt;&gt;"",R67&lt;&gt;"",T67&lt;&gt;""),IF(AND(I67=R67,K67=T67),Setup!$D$20,IF((I67-K67)=(R67-T67),Setup!$D$21,IF(AND((I67&gt;K67),(R67&gt;T67)),Setup!$D$22,IF(AND((K67&gt;I67),(T67&gt;R67)),Setup!$D$22,0)))),"")</f>
        <v/>
      </c>
      <c r="AE67" s="183"/>
      <c r="CM67" s="168"/>
      <c r="CN67" s="168"/>
      <c r="CO67" s="187"/>
      <c r="CP67" s="168"/>
    </row>
    <row r="68" spans="2:94" s="166" customFormat="1" ht="15" customHeight="1">
      <c r="B68" s="182"/>
      <c r="C68" s="181">
        <v>52</v>
      </c>
      <c r="D68" s="181" t="str">
        <f t="shared" ref="D68:D73" si="4">D67</f>
        <v>R16</v>
      </c>
      <c r="E68" s="188">
        <f>Tournament!F81</f>
        <v>41819.708333333336</v>
      </c>
      <c r="F68" s="189">
        <f>Tournament!G81</f>
        <v>41819.708333333336</v>
      </c>
      <c r="G68" s="190" t="str">
        <f>Tournament!H81</f>
        <v>Group D Winner</v>
      </c>
      <c r="H68" s="180"/>
      <c r="I68" s="9"/>
      <c r="J68" s="191" t="s">
        <v>3088</v>
      </c>
      <c r="K68" s="9"/>
      <c r="L68" s="180"/>
      <c r="M68" s="198" t="str">
        <f>Tournament!N81</f>
        <v>Group C Runner Up</v>
      </c>
      <c r="N68" s="183"/>
      <c r="P68" s="192" t="str">
        <f t="shared" si="2"/>
        <v>Group D Winner</v>
      </c>
      <c r="Q68" s="193"/>
      <c r="R68" s="194" t="str">
        <f>IF($Z$67=0,IF($Z$66=0,IF(Tournament!J82&lt;&gt;"",Tournament!J82,""),IF(Tournament!J82&lt;&gt;"",Tournament!J82+Tournament!J83,"")),IF(Tournament!J81&lt;&gt;"",Tournament!J81,""))</f>
        <v/>
      </c>
      <c r="S68" s="194" t="s">
        <v>3088</v>
      </c>
      <c r="T68" s="194" t="str">
        <f>IF($Z$67=0,IF($Z$66=0,IF(Tournament!L82&lt;&gt;"",Tournament!L82,""),IF(Tournament!L82&lt;&gt;"",Tournament!L82+Tournament!L83,"")),IF(Tournament!L81&lt;&gt;"",Tournament!L81,""))</f>
        <v/>
      </c>
      <c r="U68" s="193"/>
      <c r="V68" s="193" t="str">
        <f t="shared" si="3"/>
        <v>Group C Runner Up</v>
      </c>
      <c r="W68" s="191" t="str">
        <f>IF(Tournament!J83&lt;&gt;"",Tournament!J83,"")</f>
        <v/>
      </c>
      <c r="X68" s="199" t="s">
        <v>3088</v>
      </c>
      <c r="Y68" s="191" t="str">
        <f>IF(Tournament!L83&lt;&gt;"",Tournament!L83,"")</f>
        <v/>
      </c>
      <c r="Z68" s="191"/>
      <c r="AA68" s="191" t="str">
        <f>IF(Tournament!J84&lt;&gt;"",Tournament!J84,"")</f>
        <v/>
      </c>
      <c r="AB68" s="194" t="s">
        <v>3088</v>
      </c>
      <c r="AC68" s="191" t="str">
        <f>IF(Tournament!L84&lt;&gt;"",Tournament!L84,"")</f>
        <v/>
      </c>
      <c r="AD68" s="195" t="str">
        <f>IF(AND(I68&lt;&gt;"",K68&lt;&gt;"",R68&lt;&gt;"",T68&lt;&gt;""),IF(AND(I68=R68,K68=T68),Setup!$D$20,IF((I68-K68)=(R68-T68),Setup!$D$21,IF(AND((I68&gt;K68),(R68&gt;T68)),Setup!$D$22,IF(AND((K68&gt;I68),(T68&gt;R68)),Setup!$D$22,0)))),"")</f>
        <v/>
      </c>
      <c r="AE68" s="183"/>
      <c r="CM68" s="168"/>
      <c r="CN68" s="168"/>
      <c r="CO68" s="187"/>
      <c r="CP68" s="168"/>
    </row>
    <row r="69" spans="2:94" s="166" customFormat="1" ht="15" customHeight="1">
      <c r="B69" s="182"/>
      <c r="C69" s="181">
        <v>51</v>
      </c>
      <c r="D69" s="181" t="str">
        <f t="shared" si="4"/>
        <v>R16</v>
      </c>
      <c r="E69" s="188">
        <f>Tournament!F87</f>
        <v>41819.541666666664</v>
      </c>
      <c r="F69" s="189">
        <f>Tournament!G93</f>
        <v>41820.541666666664</v>
      </c>
      <c r="G69" s="190" t="str">
        <f>Tournament!H87</f>
        <v>Group B Winner</v>
      </c>
      <c r="H69" s="180"/>
      <c r="I69" s="9"/>
      <c r="J69" s="191" t="s">
        <v>3088</v>
      </c>
      <c r="K69" s="9"/>
      <c r="L69" s="180"/>
      <c r="M69" s="198" t="str">
        <f>Tournament!N87</f>
        <v>Group A Runner Up</v>
      </c>
      <c r="N69" s="183"/>
      <c r="P69" s="192" t="str">
        <f t="shared" si="2"/>
        <v>Group B Winner</v>
      </c>
      <c r="Q69" s="193"/>
      <c r="R69" s="194" t="str">
        <f>IF($Z$67=0,IF($Z$66=0,IF(Tournament!J88&lt;&gt;"",Tournament!J88,""),IF(Tournament!J88&lt;&gt;"",Tournament!J88+Tournament!J89,"")),IF(Tournament!J87&lt;&gt;"",Tournament!J87,""))</f>
        <v/>
      </c>
      <c r="S69" s="194" t="s">
        <v>3088</v>
      </c>
      <c r="T69" s="194" t="str">
        <f>IF($Z$67=0,IF($Z$66=0,IF(Tournament!L88&lt;&gt;"",Tournament!L88,""),IF(Tournament!L88&lt;&gt;"",Tournament!L88+Tournament!L89,"")),IF(Tournament!L87&lt;&gt;"",Tournament!L87,""))</f>
        <v/>
      </c>
      <c r="U69" s="193"/>
      <c r="V69" s="193" t="str">
        <f t="shared" si="3"/>
        <v>Group A Runner Up</v>
      </c>
      <c r="W69" s="191" t="str">
        <f>IF(Tournament!J89&lt;&gt;"",Tournament!J89,"")</f>
        <v/>
      </c>
      <c r="X69" s="199" t="s">
        <v>3088</v>
      </c>
      <c r="Y69" s="191" t="str">
        <f>IF(Tournament!L89&lt;&gt;"",Tournament!L89,"")</f>
        <v/>
      </c>
      <c r="Z69" s="191"/>
      <c r="AA69" s="191" t="str">
        <f>IF(Tournament!J90&lt;&gt;"",Tournament!J90,"")</f>
        <v/>
      </c>
      <c r="AB69" s="194" t="s">
        <v>3088</v>
      </c>
      <c r="AC69" s="191" t="str">
        <f>IF(Tournament!L90&lt;&gt;"",Tournament!L90,"")</f>
        <v/>
      </c>
      <c r="AD69" s="195" t="str">
        <f>IF(AND(I69&lt;&gt;"",K69&lt;&gt;"",R69&lt;&gt;"",T69&lt;&gt;""),IF(AND(I69=R69,K69=T69),Setup!$D$20,IF((I69-K69)=(R69-T69),Setup!$D$21,IF(AND((I69&gt;K69),(R69&gt;T69)),Setup!$D$22,IF(AND((K69&gt;I69),(T69&gt;R69)),Setup!$D$22,0)))),"")</f>
        <v/>
      </c>
      <c r="AE69" s="183"/>
      <c r="CM69" s="168"/>
      <c r="CN69" s="168"/>
      <c r="CO69" s="187"/>
      <c r="CP69" s="168"/>
    </row>
    <row r="70" spans="2:94" s="166" customFormat="1" ht="15" customHeight="1">
      <c r="B70" s="182"/>
      <c r="C70" s="181">
        <v>53</v>
      </c>
      <c r="D70" s="181" t="str">
        <f t="shared" si="4"/>
        <v>R16</v>
      </c>
      <c r="E70" s="188">
        <f>Tournament!F93</f>
        <v>41820.541666666664</v>
      </c>
      <c r="F70" s="189">
        <f>Tournament!G93</f>
        <v>41820.541666666664</v>
      </c>
      <c r="G70" s="190" t="str">
        <f>Tournament!H93</f>
        <v>Group E Winner</v>
      </c>
      <c r="H70" s="180"/>
      <c r="I70" s="9"/>
      <c r="J70" s="191" t="s">
        <v>3088</v>
      </c>
      <c r="K70" s="9"/>
      <c r="L70" s="180"/>
      <c r="M70" s="198" t="str">
        <f>Tournament!N93</f>
        <v>Group F Runner Up</v>
      </c>
      <c r="N70" s="183"/>
      <c r="P70" s="192" t="str">
        <f t="shared" si="2"/>
        <v>Group E Winner</v>
      </c>
      <c r="Q70" s="193"/>
      <c r="R70" s="194" t="str">
        <f>IF($Z$67=0,IF($Z$66=0,IF(Tournament!J94&lt;&gt;"",Tournament!J94,""),IF(Tournament!J94&lt;&gt;"",Tournament!J94+Tournament!J95,"")),IF(Tournament!J93&lt;&gt;"",Tournament!J93,""))</f>
        <v/>
      </c>
      <c r="S70" s="194" t="s">
        <v>3088</v>
      </c>
      <c r="T70" s="194" t="str">
        <f>IF($Z$67=0,IF($Z$66=0,IF(Tournament!L94&lt;&gt;"",Tournament!L94,""),IF(Tournament!L94&lt;&gt;"",Tournament!L94+Tournament!L95,"")),IF(Tournament!L93&lt;&gt;"",Tournament!L93,""))</f>
        <v/>
      </c>
      <c r="U70" s="193"/>
      <c r="V70" s="193" t="str">
        <f t="shared" si="3"/>
        <v>Group F Runner Up</v>
      </c>
      <c r="W70" s="191" t="str">
        <f>IF(Tournament!J95&lt;&gt;"",Tournament!J95,"")</f>
        <v/>
      </c>
      <c r="X70" s="199" t="s">
        <v>3088</v>
      </c>
      <c r="Y70" s="191" t="str">
        <f>IF(Tournament!L95&lt;&gt;"",Tournament!L95,"")</f>
        <v/>
      </c>
      <c r="Z70" s="191"/>
      <c r="AA70" s="191" t="str">
        <f>IF(Tournament!J96&lt;&gt;"",Tournament!J96,"")</f>
        <v/>
      </c>
      <c r="AB70" s="194" t="s">
        <v>3088</v>
      </c>
      <c r="AC70" s="191" t="str">
        <f>IF(Tournament!L96&lt;&gt;"",Tournament!L96,"")</f>
        <v/>
      </c>
      <c r="AD70" s="195" t="str">
        <f>IF(AND(I70&lt;&gt;"",K70&lt;&gt;"",R70&lt;&gt;"",T70&lt;&gt;""),IF(AND(I70=R70,K70=T70),Setup!$D$20,IF((I70-K70)=(R70-T70),Setup!$D$21,IF(AND((I70&gt;K70),(R70&gt;T70)),Setup!$D$22,IF(AND((K70&gt;I70),(T70&gt;R70)),Setup!$D$22,0)))),"")</f>
        <v/>
      </c>
      <c r="AE70" s="183"/>
      <c r="CM70" s="168"/>
      <c r="CN70" s="168"/>
      <c r="CO70" s="187"/>
      <c r="CP70" s="168"/>
    </row>
    <row r="71" spans="2:94" s="166" customFormat="1" ht="15" customHeight="1">
      <c r="B71" s="182"/>
      <c r="C71" s="181">
        <v>54</v>
      </c>
      <c r="D71" s="181" t="str">
        <f t="shared" si="4"/>
        <v>R16</v>
      </c>
      <c r="E71" s="188">
        <f>Tournament!F99</f>
        <v>41820.708333333336</v>
      </c>
      <c r="F71" s="189">
        <f>Tournament!G99</f>
        <v>41820.708333333336</v>
      </c>
      <c r="G71" s="190" t="str">
        <f>Tournament!H99</f>
        <v>Group G Winner</v>
      </c>
      <c r="H71" s="180"/>
      <c r="I71" s="9"/>
      <c r="J71" s="191" t="s">
        <v>3088</v>
      </c>
      <c r="K71" s="9"/>
      <c r="L71" s="180"/>
      <c r="M71" s="198" t="str">
        <f>Tournament!N99</f>
        <v>Group H Runner Up</v>
      </c>
      <c r="N71" s="183"/>
      <c r="P71" s="192" t="str">
        <f t="shared" si="2"/>
        <v>Group G Winner</v>
      </c>
      <c r="Q71" s="193"/>
      <c r="R71" s="194" t="str">
        <f>IF($Z$67=0,IF($Z$66=0,IF(Tournament!J100&lt;&gt;"",Tournament!J100,""),IF(Tournament!J100&lt;&gt;"",Tournament!J100+Tournament!J101,"")),IF(Tournament!J99&lt;&gt;"",Tournament!J99,""))</f>
        <v/>
      </c>
      <c r="S71" s="194" t="s">
        <v>3088</v>
      </c>
      <c r="T71" s="194" t="str">
        <f>IF($Z$67=0,IF($Z$66=0,IF(Tournament!L100&lt;&gt;"",Tournament!L100,""),IF(Tournament!L100&lt;&gt;"",Tournament!L100+Tournament!L101,"")),IF(Tournament!L99&lt;&gt;"",Tournament!L99,""))</f>
        <v/>
      </c>
      <c r="U71" s="193"/>
      <c r="V71" s="193" t="str">
        <f t="shared" si="3"/>
        <v>Group H Runner Up</v>
      </c>
      <c r="W71" s="191" t="str">
        <f>IF(Tournament!J101&lt;&gt;"",Tournament!J101,"")</f>
        <v/>
      </c>
      <c r="X71" s="199" t="s">
        <v>3088</v>
      </c>
      <c r="Y71" s="191" t="str">
        <f>IF(Tournament!L101&lt;&gt;"",Tournament!L101,"")</f>
        <v/>
      </c>
      <c r="Z71" s="191"/>
      <c r="AA71" s="191" t="str">
        <f>IF(Tournament!J102&lt;&gt;"",Tournament!J102,"")</f>
        <v/>
      </c>
      <c r="AB71" s="194" t="s">
        <v>3088</v>
      </c>
      <c r="AC71" s="191" t="str">
        <f>IF(Tournament!L102&lt;&gt;"",Tournament!L102,"")</f>
        <v/>
      </c>
      <c r="AD71" s="195" t="str">
        <f>IF(AND(I71&lt;&gt;"",K71&lt;&gt;"",R71&lt;&gt;"",T71&lt;&gt;""),IF(AND(I71=R71,K71=T71),Setup!$D$20,IF((I71-K71)=(R71-T71),Setup!$D$21,IF(AND((I71&gt;K71),(R71&gt;T71)),Setup!$D$22,IF(AND((K71&gt;I71),(T71&gt;R71)),Setup!$D$22,0)))),"")</f>
        <v/>
      </c>
      <c r="AE71" s="183"/>
      <c r="CM71" s="168"/>
      <c r="CN71" s="168"/>
      <c r="CO71" s="187"/>
      <c r="CP71" s="168"/>
    </row>
    <row r="72" spans="2:94" s="166" customFormat="1" ht="15" customHeight="1">
      <c r="B72" s="182"/>
      <c r="C72" s="181">
        <v>55</v>
      </c>
      <c r="D72" s="181" t="str">
        <f t="shared" si="4"/>
        <v>R16</v>
      </c>
      <c r="E72" s="188">
        <f>Tournament!F105</f>
        <v>41821.541666666664</v>
      </c>
      <c r="F72" s="189">
        <f>Tournament!G105</f>
        <v>41821.541666666664</v>
      </c>
      <c r="G72" s="190" t="str">
        <f>Tournament!H105</f>
        <v>Group F Winner</v>
      </c>
      <c r="H72" s="180"/>
      <c r="I72" s="9"/>
      <c r="J72" s="191" t="s">
        <v>3088</v>
      </c>
      <c r="K72" s="9"/>
      <c r="L72" s="180"/>
      <c r="M72" s="198" t="str">
        <f>Tournament!N105</f>
        <v>Group E Runner Up</v>
      </c>
      <c r="N72" s="183"/>
      <c r="P72" s="192" t="str">
        <f t="shared" si="2"/>
        <v>Group F Winner</v>
      </c>
      <c r="Q72" s="193"/>
      <c r="R72" s="194" t="str">
        <f>IF($Z$67=0,IF($Z$66=0,IF(Tournament!J106&lt;&gt;"",Tournament!J106,""),IF(Tournament!J106&lt;&gt;"",Tournament!J106+Tournament!J107,"")),IF(Tournament!J105&lt;&gt;"",Tournament!J105,""))</f>
        <v/>
      </c>
      <c r="S72" s="194" t="s">
        <v>3088</v>
      </c>
      <c r="T72" s="194" t="str">
        <f>IF($Z$67=0,IF($Z$66=0,IF(Tournament!L106&lt;&gt;"",Tournament!L106,""),IF(Tournament!L106&lt;&gt;"",Tournament!L106+Tournament!L107,"")),IF(Tournament!L105&lt;&gt;"",Tournament!L105,""))</f>
        <v/>
      </c>
      <c r="U72" s="193"/>
      <c r="V72" s="193" t="str">
        <f t="shared" si="3"/>
        <v>Group E Runner Up</v>
      </c>
      <c r="W72" s="191" t="str">
        <f>IF(Tournament!J107&lt;&gt;"",Tournament!J107,"")</f>
        <v/>
      </c>
      <c r="X72" s="199" t="s">
        <v>3088</v>
      </c>
      <c r="Y72" s="191" t="str">
        <f>IF(Tournament!L107&lt;&gt;"",Tournament!L107,"")</f>
        <v/>
      </c>
      <c r="Z72" s="191"/>
      <c r="AA72" s="191" t="str">
        <f>IF(Tournament!J108&lt;&gt;"",Tournament!J108,"")</f>
        <v/>
      </c>
      <c r="AB72" s="194" t="s">
        <v>3088</v>
      </c>
      <c r="AC72" s="191" t="str">
        <f>IF(Tournament!L108&lt;&gt;"",Tournament!L108,"")</f>
        <v/>
      </c>
      <c r="AD72" s="195" t="str">
        <f>IF(AND(I72&lt;&gt;"",K72&lt;&gt;"",R72&lt;&gt;"",T72&lt;&gt;""),IF(AND(I72=R72,K72=T72),Setup!$D$20,IF((I72-K72)=(R72-T72),Setup!$D$21,IF(AND((I72&gt;K72),(R72&gt;T72)),Setup!$D$22,IF(AND((K72&gt;I72),(T72&gt;R72)),Setup!$D$22,0)))),"")</f>
        <v/>
      </c>
      <c r="AE72" s="183"/>
      <c r="CM72" s="168"/>
      <c r="CN72" s="168"/>
      <c r="CO72" s="187"/>
      <c r="CP72" s="168"/>
    </row>
    <row r="73" spans="2:94" s="166" customFormat="1" ht="15" customHeight="1">
      <c r="B73" s="182"/>
      <c r="C73" s="181">
        <v>56</v>
      </c>
      <c r="D73" s="181" t="str">
        <f t="shared" si="4"/>
        <v>R16</v>
      </c>
      <c r="E73" s="188">
        <f>Tournament!F111</f>
        <v>41821.708333333336</v>
      </c>
      <c r="F73" s="189">
        <f>Tournament!G111</f>
        <v>41821.708333333336</v>
      </c>
      <c r="G73" s="190" t="str">
        <f>Tournament!H111</f>
        <v>Group H Winner</v>
      </c>
      <c r="H73" s="180"/>
      <c r="I73" s="9"/>
      <c r="J73" s="191" t="s">
        <v>3088</v>
      </c>
      <c r="K73" s="9"/>
      <c r="L73" s="180"/>
      <c r="M73" s="198" t="str">
        <f>Tournament!N111</f>
        <v>Group G Runner Up</v>
      </c>
      <c r="N73" s="183"/>
      <c r="P73" s="192" t="str">
        <f t="shared" si="2"/>
        <v>Group H Winner</v>
      </c>
      <c r="Q73" s="193"/>
      <c r="R73" s="194" t="str">
        <f>IF($Z$67=0,IF($Z$66=0,IF(Tournament!J112&lt;&gt;"",Tournament!J112,""),IF(Tournament!J112&lt;&gt;"",Tournament!J112+Tournament!J113,"")),IF(Tournament!J111&lt;&gt;"",Tournament!J111,""))</f>
        <v/>
      </c>
      <c r="S73" s="194" t="s">
        <v>3088</v>
      </c>
      <c r="T73" s="194" t="str">
        <f>IF($Z$67=0,IF($Z$66=0,IF(Tournament!L112&lt;&gt;"",Tournament!L112,""),IF(Tournament!L112&lt;&gt;"",Tournament!L112+Tournament!L113,"")),IF(Tournament!L111&lt;&gt;"",Tournament!L111,""))</f>
        <v/>
      </c>
      <c r="U73" s="193"/>
      <c r="V73" s="193" t="str">
        <f t="shared" si="3"/>
        <v>Group G Runner Up</v>
      </c>
      <c r="W73" s="191" t="str">
        <f>IF(Tournament!J113&lt;&gt;"",Tournament!J113,"")</f>
        <v/>
      </c>
      <c r="X73" s="199" t="s">
        <v>3088</v>
      </c>
      <c r="Y73" s="191" t="str">
        <f>IF(Tournament!L113&lt;&gt;"",Tournament!L113,"")</f>
        <v/>
      </c>
      <c r="Z73" s="191"/>
      <c r="AA73" s="191" t="str">
        <f>IF(Tournament!J114&lt;&gt;"",Tournament!J114,"")</f>
        <v/>
      </c>
      <c r="AB73" s="194" t="s">
        <v>3088</v>
      </c>
      <c r="AC73" s="191" t="str">
        <f>IF(Tournament!L114&lt;&gt;"",Tournament!L114,"")</f>
        <v/>
      </c>
      <c r="AD73" s="195" t="str">
        <f>IF(AND(I73&lt;&gt;"",K73&lt;&gt;"",R73&lt;&gt;"",T73&lt;&gt;""),IF(AND(I73=R73,K73=T73),Setup!$D$20,IF((I73-K73)=(R73-T73),Setup!$D$21,IF(AND((I73&gt;K73),(R73&gt;T73)),Setup!$D$22,IF(AND((K73&gt;I73),(T73&gt;R73)),Setup!$D$22,0)))),"")</f>
        <v/>
      </c>
      <c r="AE73" s="183"/>
      <c r="CM73" s="168"/>
      <c r="CN73" s="168"/>
      <c r="CO73" s="187"/>
      <c r="CP73" s="168"/>
    </row>
    <row r="74" spans="2:94" s="166" customFormat="1" ht="15" customHeight="1">
      <c r="B74" s="182"/>
      <c r="C74" s="181">
        <v>58</v>
      </c>
      <c r="D74" s="181" t="s">
        <v>3549</v>
      </c>
      <c r="E74" s="188">
        <f>Tournament!T69</f>
        <v>41824.541666666664</v>
      </c>
      <c r="F74" s="189">
        <f>Tournament!U69</f>
        <v>41824.541666666664</v>
      </c>
      <c r="G74" s="190" t="str">
        <f>Tournament!Y69</f>
        <v>Match 53 Winner</v>
      </c>
      <c r="H74" s="180"/>
      <c r="I74" s="9"/>
      <c r="J74" s="191" t="s">
        <v>3088</v>
      </c>
      <c r="K74" s="9"/>
      <c r="L74" s="180"/>
      <c r="M74" s="198" t="str">
        <f>Tournament!AE69</f>
        <v>Match 54 Winner</v>
      </c>
      <c r="N74" s="183"/>
      <c r="P74" s="192" t="str">
        <f t="shared" si="2"/>
        <v>Match 53 Winner</v>
      </c>
      <c r="Q74" s="193"/>
      <c r="R74" s="194" t="str">
        <f>IF($Z$67=0,IF($Z$66=0,IF(Tournament!AA70&lt;&gt;"",Tournament!AA70,""),IF(Tournament!AA70&lt;&gt;"",Tournament!AA70+Tournament!AA71,"")),IF(Tournament!AA69&lt;&gt;"",Tournament!AA69,""))</f>
        <v/>
      </c>
      <c r="S74" s="194" t="s">
        <v>3088</v>
      </c>
      <c r="T74" s="194" t="str">
        <f>IF($Z$67=0,IF($Z$66=0,IF(Tournament!AC70&lt;&gt;"",Tournament!AC70,""),IF(Tournament!AC70&lt;&gt;"",Tournament!AC70+Tournament!AC71,"")),IF(Tournament!AC69&lt;&gt;"",Tournament!AC69,""))</f>
        <v/>
      </c>
      <c r="U74" s="193"/>
      <c r="V74" s="193" t="str">
        <f t="shared" si="3"/>
        <v>Match 54 Winner</v>
      </c>
      <c r="W74" s="191" t="str">
        <f>IF(Tournament!AA71&lt;&gt;"",Tournament!AA71,"")</f>
        <v/>
      </c>
      <c r="X74" s="199" t="s">
        <v>3088</v>
      </c>
      <c r="Y74" s="191" t="str">
        <f>IF(Tournament!AC71&lt;&gt;"",Tournament!AC71,"")</f>
        <v/>
      </c>
      <c r="Z74" s="191"/>
      <c r="AA74" s="191" t="str">
        <f>IF(Tournament!AA72&lt;&gt;"",Tournament!AA72,"")</f>
        <v/>
      </c>
      <c r="AB74" s="194" t="s">
        <v>3088</v>
      </c>
      <c r="AC74" s="191" t="str">
        <f>IF(Tournament!AC72&lt;&gt;"",Tournament!AC72,"")</f>
        <v/>
      </c>
      <c r="AD74" s="195" t="str">
        <f>IF(AND(I74&lt;&gt;"",K74&lt;&gt;"",R74&lt;&gt;"",T74&lt;&gt;""),IF(AND(I74=R74,K74=T74),Setup!$E$20,IF((I74-K74)=(R74-T74),Setup!$E$21,IF(AND((I74&gt;K74),(R74&gt;T74)),Setup!$E$22,IF(AND((K74&gt;I74),(T74&gt;R74)),Setup!$E$22,0)))),"")</f>
        <v/>
      </c>
      <c r="AE74" s="183"/>
      <c r="CM74" s="168"/>
      <c r="CN74" s="168"/>
      <c r="CO74" s="187"/>
      <c r="CP74" s="168"/>
    </row>
    <row r="75" spans="2:94" s="166" customFormat="1" ht="15" customHeight="1">
      <c r="B75" s="182"/>
      <c r="C75" s="181">
        <v>57</v>
      </c>
      <c r="D75" s="181" t="str">
        <f>D74</f>
        <v>QF</v>
      </c>
      <c r="E75" s="188">
        <f>Tournament!T74</f>
        <v>41824.708333333336</v>
      </c>
      <c r="F75" s="189">
        <f>Tournament!U74</f>
        <v>41824.708333333336</v>
      </c>
      <c r="G75" s="190" t="str">
        <f>Tournament!Y74</f>
        <v>Match 49 Winner</v>
      </c>
      <c r="H75" s="180"/>
      <c r="I75" s="9"/>
      <c r="J75" s="191" t="s">
        <v>3088</v>
      </c>
      <c r="K75" s="9"/>
      <c r="L75" s="180"/>
      <c r="M75" s="198" t="str">
        <f>Tournament!AE74</f>
        <v>Match 50 Winner</v>
      </c>
      <c r="N75" s="183"/>
      <c r="P75" s="192" t="str">
        <f t="shared" si="2"/>
        <v>Match 49 Winner</v>
      </c>
      <c r="Q75" s="193"/>
      <c r="R75" s="194" t="str">
        <f>IF($Z$67=0,IF($Z$66=0,IF(Tournament!AA75&lt;&gt;"",Tournament!AA75,""),IF(Tournament!AA75&lt;&gt;"",Tournament!AA75+Tournament!AA76,"")),IF(Tournament!AA74&lt;&gt;"",Tournament!AA74,""))</f>
        <v/>
      </c>
      <c r="S75" s="194" t="s">
        <v>3088</v>
      </c>
      <c r="T75" s="194" t="str">
        <f>IF($Z$67=0,IF($Z$66=0,IF(Tournament!AC75&lt;&gt;"",Tournament!AC75,""),IF(Tournament!AC75&lt;&gt;"",Tournament!AC75+Tournament!AC76,"")),IF(Tournament!AC74&lt;&gt;"",Tournament!AC74,""))</f>
        <v/>
      </c>
      <c r="U75" s="193"/>
      <c r="V75" s="193" t="str">
        <f t="shared" si="3"/>
        <v>Match 50 Winner</v>
      </c>
      <c r="W75" s="191" t="str">
        <f>IF(Tournament!AA76&lt;&gt;"",Tournament!AA76,"")</f>
        <v/>
      </c>
      <c r="X75" s="199" t="s">
        <v>3088</v>
      </c>
      <c r="Y75" s="191" t="str">
        <f>IF(Tournament!AC76&lt;&gt;"",Tournament!AC76,"")</f>
        <v/>
      </c>
      <c r="Z75" s="191"/>
      <c r="AA75" s="191" t="str">
        <f>IF(Tournament!AA77&lt;&gt;"",Tournament!AA77,"")</f>
        <v/>
      </c>
      <c r="AB75" s="194" t="s">
        <v>3088</v>
      </c>
      <c r="AC75" s="191" t="str">
        <f>IF(Tournament!AC77&lt;&gt;"",Tournament!AC77,"")</f>
        <v/>
      </c>
      <c r="AD75" s="195" t="str">
        <f>IF(AND(I75&lt;&gt;"",K75&lt;&gt;"",R75&lt;&gt;"",T75&lt;&gt;""),IF(AND(I75=R75,K75=T75),Setup!$E$20,IF((I75-K75)=(R75-T75),Setup!$E$21,IF(AND((I75&gt;K75),(R75&gt;T75)),Setup!$E$22,IF(AND((K75&gt;I75),(T75&gt;R75)),Setup!$E$22,0)))),"")</f>
        <v/>
      </c>
      <c r="AE75" s="183"/>
      <c r="CM75" s="168"/>
      <c r="CN75" s="168"/>
      <c r="CO75" s="187"/>
      <c r="CP75" s="168"/>
    </row>
    <row r="76" spans="2:94" s="166" customFormat="1" ht="15" customHeight="1">
      <c r="B76" s="182"/>
      <c r="C76" s="181">
        <v>59</v>
      </c>
      <c r="D76" s="181" t="str">
        <f>D75</f>
        <v>QF</v>
      </c>
      <c r="E76" s="188">
        <f>Tournament!T79</f>
        <v>41825.708333333336</v>
      </c>
      <c r="F76" s="189">
        <f>Tournament!U79</f>
        <v>41825.708333333336</v>
      </c>
      <c r="G76" s="190" t="str">
        <f>Tournament!Y79</f>
        <v>Match 51 Winner</v>
      </c>
      <c r="H76" s="180"/>
      <c r="I76" s="9"/>
      <c r="J76" s="191" t="s">
        <v>3088</v>
      </c>
      <c r="K76" s="9"/>
      <c r="L76" s="180"/>
      <c r="M76" s="198" t="str">
        <f>Tournament!AE79</f>
        <v>Match 52 Winner</v>
      </c>
      <c r="N76" s="183"/>
      <c r="P76" s="192" t="str">
        <f t="shared" si="2"/>
        <v>Match 51 Winner</v>
      </c>
      <c r="Q76" s="193"/>
      <c r="R76" s="194" t="str">
        <f>IF($Z$67=0,IF($Z$66=0,IF(Tournament!AA80&lt;&gt;"",Tournament!AA80,""),IF(Tournament!AA80&lt;&gt;"",Tournament!AA80+Tournament!AA81,"")),IF(Tournament!AA79&lt;&gt;"",Tournament!AA79,""))</f>
        <v/>
      </c>
      <c r="S76" s="194" t="s">
        <v>3088</v>
      </c>
      <c r="T76" s="194" t="str">
        <f>IF($Z$67=0,IF($Z$66=0,IF(Tournament!AC80&lt;&gt;"",Tournament!AC80,""),IF(Tournament!AC80&lt;&gt;"",Tournament!AC80+Tournament!AC81,"")),IF(Tournament!AC79&lt;&gt;"",Tournament!AC79,""))</f>
        <v/>
      </c>
      <c r="U76" s="193"/>
      <c r="V76" s="193" t="str">
        <f t="shared" si="3"/>
        <v>Match 52 Winner</v>
      </c>
      <c r="W76" s="191" t="str">
        <f>IF(Tournament!AA81&lt;&gt;"",Tournament!AA81,"")</f>
        <v/>
      </c>
      <c r="X76" s="199" t="s">
        <v>3088</v>
      </c>
      <c r="Y76" s="191" t="str">
        <f>IF(Tournament!AC81&lt;&gt;"",Tournament!AC81,"")</f>
        <v/>
      </c>
      <c r="Z76" s="191"/>
      <c r="AA76" s="191" t="str">
        <f>IF(Tournament!AA82&lt;&gt;"",Tournament!AA82,"")</f>
        <v/>
      </c>
      <c r="AB76" s="194" t="s">
        <v>3088</v>
      </c>
      <c r="AC76" s="191" t="str">
        <f>IF(Tournament!AC82&lt;&gt;"",Tournament!AC82,"")</f>
        <v/>
      </c>
      <c r="AD76" s="195" t="str">
        <f>IF(AND(I76&lt;&gt;"",K76&lt;&gt;"",R76&lt;&gt;"",T76&lt;&gt;""),IF(AND(I76=R76,K76=T76),Setup!$E$20,IF((I76-K76)=(R76-T76),Setup!$E$21,IF(AND((I76&gt;K76),(R76&gt;T76)),Setup!$E$22,IF(AND((K76&gt;I76),(T76&gt;R76)),Setup!$E$22,0)))),"")</f>
        <v/>
      </c>
      <c r="AE76" s="183"/>
      <c r="CM76" s="168"/>
      <c r="CN76" s="168"/>
      <c r="CO76" s="187"/>
      <c r="CP76" s="168"/>
    </row>
    <row r="77" spans="2:94" s="166" customFormat="1" ht="15" customHeight="1">
      <c r="B77" s="182"/>
      <c r="C77" s="181">
        <v>60</v>
      </c>
      <c r="D77" s="181" t="str">
        <f>D76</f>
        <v>QF</v>
      </c>
      <c r="E77" s="188">
        <f>Tournament!T84</f>
        <v>41825.541666666664</v>
      </c>
      <c r="F77" s="189">
        <f>Tournament!U84</f>
        <v>41825.541666666664</v>
      </c>
      <c r="G77" s="190" t="str">
        <f>Tournament!Y84</f>
        <v>Match 55 Winner</v>
      </c>
      <c r="H77" s="180"/>
      <c r="I77" s="9"/>
      <c r="J77" s="191" t="s">
        <v>3088</v>
      </c>
      <c r="K77" s="9"/>
      <c r="L77" s="180"/>
      <c r="M77" s="198" t="str">
        <f>Tournament!AE84</f>
        <v>Match 56 Winner</v>
      </c>
      <c r="N77" s="183"/>
      <c r="P77" s="192" t="str">
        <f t="shared" si="2"/>
        <v>Match 55 Winner</v>
      </c>
      <c r="Q77" s="193"/>
      <c r="R77" s="194" t="str">
        <f>IF($Z$67=0,IF($Z$66=0,IF(Tournament!AA85&lt;&gt;"",Tournament!AA85,""),IF(Tournament!AA85&lt;&gt;"",Tournament!AA85+Tournament!AA86,"")),IF(Tournament!AA84&lt;&gt;"",Tournament!AA84,""))</f>
        <v/>
      </c>
      <c r="S77" s="194" t="s">
        <v>3088</v>
      </c>
      <c r="T77" s="194" t="str">
        <f>IF($Z$67=0,IF($Z$66=0,IF(Tournament!AC85&lt;&gt;"",Tournament!AC85,""),IF(Tournament!AC85&lt;&gt;"",Tournament!AC85+Tournament!AC86,"")),IF(Tournament!AC84&lt;&gt;"",Tournament!AC84,""))</f>
        <v/>
      </c>
      <c r="U77" s="193"/>
      <c r="V77" s="193" t="str">
        <f t="shared" si="3"/>
        <v>Match 56 Winner</v>
      </c>
      <c r="W77" s="191" t="str">
        <f>IF(Tournament!AA86&lt;&gt;"",Tournament!AA86,"")</f>
        <v/>
      </c>
      <c r="X77" s="199" t="s">
        <v>3088</v>
      </c>
      <c r="Y77" s="191" t="str">
        <f>IF(Tournament!AC86&lt;&gt;"",Tournament!AC86,"")</f>
        <v/>
      </c>
      <c r="Z77" s="191"/>
      <c r="AA77" s="191" t="str">
        <f>IF(Tournament!AA87&lt;&gt;"",Tournament!AA87,"")</f>
        <v/>
      </c>
      <c r="AB77" s="194" t="s">
        <v>3088</v>
      </c>
      <c r="AC77" s="191" t="str">
        <f>IF(Tournament!AC87&lt;&gt;"",Tournament!AC87,"")</f>
        <v/>
      </c>
      <c r="AD77" s="195" t="str">
        <f>IF(AND(I77&lt;&gt;"",K77&lt;&gt;"",R77&lt;&gt;"",T77&lt;&gt;""),IF(AND(I77=R77,K77=T77),Setup!$E$20,IF((I77-K77)=(R77-T77),Setup!$E$21,IF(AND((I77&gt;K77),(R77&gt;T77)),Setup!$E$22,IF(AND((K77&gt;I77),(T77&gt;R77)),Setup!$E$22,0)))),"")</f>
        <v/>
      </c>
      <c r="AE77" s="183"/>
      <c r="CM77" s="168"/>
      <c r="CN77" s="168"/>
      <c r="CO77" s="187"/>
      <c r="CP77" s="168"/>
    </row>
    <row r="78" spans="2:94" s="166" customFormat="1" ht="15" customHeight="1">
      <c r="B78" s="182"/>
      <c r="C78" s="181">
        <v>61</v>
      </c>
      <c r="D78" s="181" t="s">
        <v>3550</v>
      </c>
      <c r="E78" s="188">
        <f>Tournament!T92</f>
        <v>41828.708333333336</v>
      </c>
      <c r="F78" s="189">
        <f>Tournament!U92</f>
        <v>41828.708333333336</v>
      </c>
      <c r="G78" s="190" t="str">
        <f>Tournament!Y92</f>
        <v>Match 57 Winner</v>
      </c>
      <c r="H78" s="180"/>
      <c r="I78" s="9"/>
      <c r="J78" s="191" t="s">
        <v>3088</v>
      </c>
      <c r="K78" s="9"/>
      <c r="L78" s="180"/>
      <c r="M78" s="198" t="str">
        <f>Tournament!AE92</f>
        <v>Match 58 Winner</v>
      </c>
      <c r="N78" s="183"/>
      <c r="P78" s="192" t="str">
        <f t="shared" si="2"/>
        <v>Match 57 Winner</v>
      </c>
      <c r="Q78" s="193"/>
      <c r="R78" s="194" t="str">
        <f>IF($Z$67=0,IF($Z$66=0,IF(Tournament!AA93&lt;&gt;"",Tournament!AA93,""),IF(Tournament!AA93&lt;&gt;"",Tournament!AA93+Tournament!AA94,"")),IF(Tournament!AA92&lt;&gt;"",Tournament!AA92,""))</f>
        <v/>
      </c>
      <c r="S78" s="194" t="s">
        <v>3088</v>
      </c>
      <c r="T78" s="194" t="str">
        <f>IF($Z$67=0,IF($Z$66=0,IF(Tournament!AC93&lt;&gt;"",Tournament!AC93,""),IF(Tournament!AC93&lt;&gt;"",Tournament!AC93+Tournament!AC94,"")),IF(Tournament!AC92&lt;&gt;"",Tournament!AC92,""))</f>
        <v/>
      </c>
      <c r="U78" s="193"/>
      <c r="V78" s="193" t="str">
        <f t="shared" si="3"/>
        <v>Match 58 Winner</v>
      </c>
      <c r="W78" s="191" t="str">
        <f>IF(Tournament!AA94&lt;&gt;"",Tournament!AA94,"")</f>
        <v/>
      </c>
      <c r="X78" s="199" t="s">
        <v>3088</v>
      </c>
      <c r="Y78" s="191" t="str">
        <f>IF(Tournament!AC94&lt;&gt;"",Tournament!AC94,"")</f>
        <v/>
      </c>
      <c r="Z78" s="191"/>
      <c r="AA78" s="191" t="str">
        <f>IF(Tournament!AA95&lt;&gt;"",Tournament!AA95,"")</f>
        <v/>
      </c>
      <c r="AB78" s="194" t="s">
        <v>3088</v>
      </c>
      <c r="AC78" s="191" t="str">
        <f>IF(Tournament!AC95&lt;&gt;"",Tournament!AC95,"")</f>
        <v/>
      </c>
      <c r="AD78" s="195" t="str">
        <f>IF(AND(I78&lt;&gt;"",K78&lt;&gt;"",R78&lt;&gt;"",T78&lt;&gt;""),IF(AND(I78=R78,K78=T78),Setup!$F$20,IF((I78-K78)=(R78-T78),Setup!$F$21,IF(AND((I78&gt;K78),(R78&gt;T78)),Setup!$F$22,IF(AND((K78&gt;I78),(T78&gt;R78)),Setup!$F$22,0)))),"")</f>
        <v/>
      </c>
      <c r="AE78" s="183"/>
      <c r="CM78" s="168"/>
      <c r="CN78" s="168"/>
      <c r="CO78" s="187"/>
      <c r="CP78" s="168"/>
    </row>
    <row r="79" spans="2:94" s="166" customFormat="1" ht="15" customHeight="1">
      <c r="B79" s="182"/>
      <c r="C79" s="181">
        <v>62</v>
      </c>
      <c r="D79" s="181" t="str">
        <f>D78</f>
        <v>SF</v>
      </c>
      <c r="E79" s="188">
        <f>Tournament!T97</f>
        <v>41829.708333333336</v>
      </c>
      <c r="F79" s="189">
        <f>Tournament!U97</f>
        <v>41829.708333333336</v>
      </c>
      <c r="G79" s="190" t="str">
        <f>Tournament!Y97</f>
        <v>Match 59 Winner</v>
      </c>
      <c r="H79" s="180"/>
      <c r="I79" s="9"/>
      <c r="J79" s="191" t="s">
        <v>3088</v>
      </c>
      <c r="K79" s="9"/>
      <c r="L79" s="180"/>
      <c r="M79" s="198" t="str">
        <f>Tournament!AE97</f>
        <v>Match 60 Winner</v>
      </c>
      <c r="N79" s="183"/>
      <c r="P79" s="192" t="str">
        <f t="shared" si="2"/>
        <v>Match 59 Winner</v>
      </c>
      <c r="Q79" s="193"/>
      <c r="R79" s="194" t="str">
        <f>IF($Z$67=0,IF($Z$66=0,IF(Tournament!AA98&lt;&gt;"",Tournament!AA98,""),IF(Tournament!AA98&lt;&gt;"",Tournament!AA98+Tournament!AA99,"")),IF(Tournament!AA97&lt;&gt;"",Tournament!AA97,""))</f>
        <v/>
      </c>
      <c r="S79" s="194" t="s">
        <v>3088</v>
      </c>
      <c r="T79" s="194" t="str">
        <f>IF($Z$67=0,IF($Z$66=0,IF(Tournament!AC98&lt;&gt;"",Tournament!AC98,""),IF(Tournament!AC98&lt;&gt;"",Tournament!AC98+Tournament!AC99,"")),IF(Tournament!AC97&lt;&gt;"",Tournament!AC97,""))</f>
        <v/>
      </c>
      <c r="U79" s="193"/>
      <c r="V79" s="193" t="str">
        <f t="shared" si="3"/>
        <v>Match 60 Winner</v>
      </c>
      <c r="W79" s="191" t="str">
        <f>IF(Tournament!AA99&lt;&gt;"",Tournament!AA99,"")</f>
        <v/>
      </c>
      <c r="X79" s="199" t="s">
        <v>3088</v>
      </c>
      <c r="Y79" s="191" t="str">
        <f>IF(Tournament!AC99&lt;&gt;"",Tournament!AC99,"")</f>
        <v/>
      </c>
      <c r="Z79" s="191"/>
      <c r="AA79" s="191" t="str">
        <f>IF(Tournament!AA100&lt;&gt;"",Tournament!AA100,"")</f>
        <v/>
      </c>
      <c r="AB79" s="194" t="s">
        <v>3088</v>
      </c>
      <c r="AC79" s="191" t="str">
        <f>IF(Tournament!AC100&lt;&gt;"",Tournament!AC100,"")</f>
        <v/>
      </c>
      <c r="AD79" s="195" t="str">
        <f>IF(AND(I79&lt;&gt;"",K79&lt;&gt;"",R79&lt;&gt;"",T79&lt;&gt;""),IF(AND(I79=R79,K79=T79),Setup!$F$20,IF((I79-K79)=(R79-T79),Setup!$F$21,IF(AND((I79&gt;K79),(R79&gt;T79)),Setup!$F$22,IF(AND((K79&gt;I79),(T79&gt;R79)),Setup!$F$22,0)))),"")</f>
        <v/>
      </c>
      <c r="AE79" s="183"/>
      <c r="CM79" s="168"/>
      <c r="CN79" s="168"/>
      <c r="CO79" s="187"/>
      <c r="CP79" s="168"/>
    </row>
    <row r="80" spans="2:94" s="166" customFormat="1" ht="15" customHeight="1">
      <c r="B80" s="182"/>
      <c r="C80" s="181">
        <v>63</v>
      </c>
      <c r="D80" s="181" t="s">
        <v>3551</v>
      </c>
      <c r="E80" s="188">
        <f>Tournament!T105</f>
        <v>41832.708333333336</v>
      </c>
      <c r="F80" s="189">
        <f>Tournament!U105</f>
        <v>41832.708333333336</v>
      </c>
      <c r="G80" s="190" t="str">
        <f>Tournament!Y105</f>
        <v>Match 61 Loser</v>
      </c>
      <c r="H80" s="180"/>
      <c r="I80" s="9"/>
      <c r="J80" s="191" t="s">
        <v>3088</v>
      </c>
      <c r="K80" s="9"/>
      <c r="L80" s="180"/>
      <c r="M80" s="198" t="str">
        <f>Tournament!AE105</f>
        <v>Match 62 Loser</v>
      </c>
      <c r="N80" s="183"/>
      <c r="P80" s="192" t="str">
        <f t="shared" si="2"/>
        <v>Match 61 Loser</v>
      </c>
      <c r="Q80" s="193"/>
      <c r="R80" s="194" t="str">
        <f>IF($Z$67=0,IF($Z$66=0,IF(Tournament!AA106&lt;&gt;"",Tournament!AA106,""),IF(Tournament!AA106&lt;&gt;"",Tournament!AA106+Tournament!AA107,"")),IF(Tournament!AA105&lt;&gt;"",Tournament!AA105,""))</f>
        <v/>
      </c>
      <c r="S80" s="194" t="s">
        <v>3088</v>
      </c>
      <c r="T80" s="194" t="str">
        <f>IF($Z$67=0,IF($Z$66=0,IF(Tournament!AC106&lt;&gt;"",Tournament!AC106,""),IF(Tournament!AC106&lt;&gt;"",Tournament!AC106+Tournament!AC107,"")),IF(Tournament!AC105&lt;&gt;"",Tournament!AC105,""))</f>
        <v/>
      </c>
      <c r="U80" s="193"/>
      <c r="V80" s="193" t="str">
        <f t="shared" si="3"/>
        <v>Match 62 Loser</v>
      </c>
      <c r="W80" s="191" t="str">
        <f>IF(Tournament!AA107&lt;&gt;"",Tournament!AA107,"")</f>
        <v/>
      </c>
      <c r="X80" s="199" t="s">
        <v>3088</v>
      </c>
      <c r="Y80" s="191" t="str">
        <f>IF(Tournament!AC107&lt;&gt;"",Tournament!AC107,"")</f>
        <v/>
      </c>
      <c r="Z80" s="191"/>
      <c r="AA80" s="191" t="str">
        <f>IF(Tournament!AA108&lt;&gt;"",Tournament!AA108,"")</f>
        <v/>
      </c>
      <c r="AB80" s="194" t="s">
        <v>3088</v>
      </c>
      <c r="AC80" s="191" t="str">
        <f>IF(Tournament!AC108&lt;&gt;"",Tournament!AC108,"")</f>
        <v/>
      </c>
      <c r="AD80" s="195" t="str">
        <f>IF(AND(I80&lt;&gt;"",K80&lt;&gt;"",R80&lt;&gt;"",T80&lt;&gt;""),IF(AND(I80=R80,K80=T80),Setup!$G$20,IF((I80-K80)=(R80-T80),Setup!$G$21,IF(AND((I80&gt;K80),(R80&gt;T80)),Setup!$G$22,IF(AND((K80&gt;I80),(T80&gt;R80)),Setup!$G$22,0)))),"")</f>
        <v/>
      </c>
      <c r="AE80" s="183"/>
      <c r="CM80" s="168"/>
      <c r="CN80" s="168"/>
      <c r="CO80" s="187"/>
      <c r="CP80" s="168"/>
    </row>
    <row r="81" spans="2:94" s="166" customFormat="1" ht="15" customHeight="1">
      <c r="B81" s="182"/>
      <c r="C81" s="181">
        <v>64</v>
      </c>
      <c r="D81" s="181" t="s">
        <v>3105</v>
      </c>
      <c r="E81" s="188">
        <f>Tournament!T113</f>
        <v>41833.666666666664</v>
      </c>
      <c r="F81" s="189">
        <f>Tournament!U113</f>
        <v>41833.666666666664</v>
      </c>
      <c r="G81" s="190" t="str">
        <f>Tournament!Y113</f>
        <v>Match 61 Winner</v>
      </c>
      <c r="H81" s="180"/>
      <c r="I81" s="9"/>
      <c r="J81" s="191" t="s">
        <v>3088</v>
      </c>
      <c r="K81" s="9"/>
      <c r="L81" s="180"/>
      <c r="M81" s="198" t="str">
        <f>Tournament!AE113</f>
        <v>Match 62 Winner</v>
      </c>
      <c r="N81" s="183"/>
      <c r="P81" s="192" t="str">
        <f t="shared" si="2"/>
        <v>Match 61 Winner</v>
      </c>
      <c r="Q81" s="193"/>
      <c r="R81" s="194" t="str">
        <f>IF($Z$67=0,IF($Z$66=0,IF(Tournament!AA114&lt;&gt;"",Tournament!AA114,""),IF(Tournament!AA114&lt;&gt;"",Tournament!AA114+Tournament!AA115,"")),IF(Tournament!AA113&lt;&gt;"",Tournament!AA113,""))</f>
        <v/>
      </c>
      <c r="S81" s="194" t="s">
        <v>3088</v>
      </c>
      <c r="T81" s="194" t="str">
        <f>IF($Z$67=0,IF($Z$66=0,IF(Tournament!AC114&lt;&gt;"",Tournament!AC114,""),IF(Tournament!AC114&lt;&gt;"",Tournament!AC114+Tournament!AC115,"")),IF(Tournament!AC113&lt;&gt;"",Tournament!AC113,""))</f>
        <v/>
      </c>
      <c r="U81" s="193"/>
      <c r="V81" s="193" t="str">
        <f t="shared" si="3"/>
        <v>Match 62 Winner</v>
      </c>
      <c r="W81" s="191" t="str">
        <f>IF(Tournament!AA115&lt;&gt;"",Tournament!AA115,"")</f>
        <v/>
      </c>
      <c r="X81" s="199" t="s">
        <v>3088</v>
      </c>
      <c r="Y81" s="191" t="str">
        <f>IF(Tournament!AC115&lt;&gt;"",Tournament!AC115,"")</f>
        <v/>
      </c>
      <c r="Z81" s="191"/>
      <c r="AA81" s="191" t="str">
        <f>IF(Tournament!AA116&lt;&gt;"",Tournament!AA116,"")</f>
        <v/>
      </c>
      <c r="AB81" s="194" t="s">
        <v>3088</v>
      </c>
      <c r="AC81" s="191" t="str">
        <f>IF(Tournament!AC116&lt;&gt;"",Tournament!AC116,"")</f>
        <v/>
      </c>
      <c r="AD81" s="195" t="str">
        <f>IF(AND(I81&lt;&gt;"",K81&lt;&gt;"",R81&lt;&gt;"",T81&lt;&gt;""),IF(AND(I81=R81,K81=T81),Setup!$H$20,IF((I81-K81)=(R81-T81),Setup!$H$21,IF(AND((I81&gt;K81),(R81&gt;T81)),Setup!$H$22,IF(AND((K81&gt;I81),(T81&gt;R81)),Setup!$H$22,0)))),"")</f>
        <v/>
      </c>
      <c r="AE81" s="183"/>
      <c r="CM81" s="168"/>
      <c r="CN81" s="168"/>
      <c r="CO81" s="187"/>
      <c r="CP81" s="168"/>
    </row>
    <row r="82" spans="2:94" s="166" customFormat="1" ht="15" customHeight="1">
      <c r="B82" s="200"/>
      <c r="C82" s="201"/>
      <c r="D82" s="201"/>
      <c r="E82" s="201"/>
      <c r="F82" s="201"/>
      <c r="G82" s="201"/>
      <c r="H82" s="201"/>
      <c r="I82" s="201"/>
      <c r="J82" s="202"/>
      <c r="K82" s="201"/>
      <c r="L82" s="201"/>
      <c r="M82" s="201"/>
      <c r="N82" s="203"/>
      <c r="P82" s="200"/>
      <c r="Q82" s="201"/>
      <c r="R82" s="201"/>
      <c r="S82" s="202"/>
      <c r="T82" s="201"/>
      <c r="U82" s="201"/>
      <c r="V82" s="201"/>
      <c r="W82" s="201"/>
      <c r="X82" s="202"/>
      <c r="Y82" s="201"/>
      <c r="Z82" s="201"/>
      <c r="AA82" s="201"/>
      <c r="AB82" s="202"/>
      <c r="AC82" s="201"/>
      <c r="AD82" s="202"/>
      <c r="AE82" s="203"/>
      <c r="CM82" s="168"/>
      <c r="CN82" s="168"/>
      <c r="CO82" s="187"/>
      <c r="CP82" s="168"/>
    </row>
    <row r="83" spans="2:94" s="166" customFormat="1" ht="15" customHeight="1">
      <c r="B83" s="166" t="s">
        <v>3905</v>
      </c>
      <c r="N83" s="180"/>
      <c r="AD83" s="167"/>
      <c r="CM83" s="168"/>
      <c r="CN83" s="168"/>
      <c r="CO83" s="187"/>
      <c r="CP83" s="168"/>
    </row>
    <row r="84" spans="2:94" s="166" customFormat="1" ht="15" hidden="1" customHeight="1">
      <c r="N84" s="180"/>
      <c r="AD84" s="167"/>
      <c r="CM84" s="168"/>
      <c r="CN84" s="168"/>
      <c r="CO84" s="187"/>
      <c r="CP84" s="168"/>
    </row>
    <row r="85" spans="2:94" s="166" customFormat="1" ht="15" hidden="1" customHeight="1">
      <c r="N85" s="180"/>
      <c r="AD85" s="167"/>
      <c r="CM85" s="168"/>
      <c r="CN85" s="168"/>
      <c r="CO85" s="187"/>
      <c r="CP85" s="168"/>
    </row>
    <row r="86" spans="2:94" s="166" customFormat="1" ht="15" hidden="1" customHeight="1">
      <c r="N86" s="180"/>
      <c r="AD86" s="167"/>
      <c r="CM86" s="168"/>
      <c r="CN86" s="168"/>
      <c r="CO86" s="187"/>
      <c r="CP86" s="168"/>
    </row>
    <row r="87" spans="2:94" s="166" customFormat="1" ht="15" hidden="1" customHeight="1">
      <c r="N87" s="180"/>
      <c r="AD87" s="167"/>
      <c r="CM87" s="168"/>
      <c r="CN87" s="168"/>
      <c r="CO87" s="187"/>
      <c r="CP87" s="168"/>
    </row>
    <row r="88" spans="2:94" s="166" customFormat="1" ht="15" hidden="1" customHeight="1">
      <c r="N88" s="180"/>
      <c r="AD88" s="167"/>
      <c r="CM88" s="168"/>
      <c r="CN88" s="168"/>
      <c r="CO88" s="187"/>
      <c r="CP88" s="168"/>
    </row>
    <row r="89" spans="2:94" s="166" customFormat="1" ht="15" hidden="1" customHeight="1">
      <c r="N89" s="180"/>
      <c r="AD89" s="167"/>
      <c r="CM89" s="168"/>
      <c r="CN89" s="168"/>
      <c r="CO89" s="187"/>
      <c r="CP89" s="168"/>
    </row>
    <row r="90" spans="2:94" s="166" customFormat="1" ht="15" hidden="1" customHeight="1">
      <c r="N90" s="180"/>
      <c r="AD90" s="167"/>
      <c r="CM90" s="168"/>
      <c r="CN90" s="168"/>
      <c r="CO90" s="187"/>
      <c r="CP90" s="168"/>
    </row>
    <row r="91" spans="2:94" s="166" customFormat="1" ht="15" hidden="1" customHeight="1">
      <c r="N91" s="180"/>
      <c r="AD91" s="167"/>
      <c r="CM91" s="168"/>
      <c r="CN91" s="168"/>
      <c r="CO91" s="187"/>
      <c r="CP91" s="168"/>
    </row>
    <row r="92" spans="2:94" s="166" customFormat="1" ht="15" hidden="1" customHeight="1">
      <c r="N92" s="180"/>
      <c r="AD92" s="167"/>
      <c r="CM92" s="168"/>
      <c r="CN92" s="168"/>
      <c r="CO92" s="187"/>
      <c r="CP92" s="168"/>
    </row>
    <row r="93" spans="2:94" s="166" customFormat="1" ht="15" hidden="1" customHeight="1">
      <c r="N93" s="180"/>
      <c r="AD93" s="167"/>
      <c r="CM93" s="168"/>
      <c r="CN93" s="168"/>
      <c r="CO93" s="187"/>
      <c r="CP93" s="168"/>
    </row>
    <row r="94" spans="2:94" s="166" customFormat="1" ht="15" hidden="1" customHeight="1">
      <c r="N94" s="180"/>
      <c r="AD94" s="167"/>
      <c r="CM94" s="168"/>
      <c r="CN94" s="168"/>
      <c r="CO94" s="187"/>
      <c r="CP94" s="168"/>
    </row>
    <row r="95" spans="2:94" s="166" customFormat="1" ht="15" hidden="1" customHeight="1">
      <c r="N95" s="180"/>
      <c r="AD95" s="167"/>
      <c r="CM95" s="168"/>
      <c r="CN95" s="168"/>
      <c r="CO95" s="187"/>
      <c r="CP95" s="168"/>
    </row>
    <row r="96" spans="2:94" s="166" customFormat="1" ht="15" hidden="1" customHeight="1">
      <c r="N96" s="180"/>
      <c r="AD96" s="167"/>
      <c r="CM96" s="168"/>
      <c r="CN96" s="168"/>
      <c r="CO96" s="187"/>
      <c r="CP96" s="168"/>
    </row>
    <row r="97" spans="14:94" s="166" customFormat="1" ht="15" hidden="1" customHeight="1">
      <c r="N97" s="180"/>
      <c r="AD97" s="167"/>
      <c r="CM97" s="168"/>
      <c r="CN97" s="168"/>
      <c r="CO97" s="187"/>
      <c r="CP97" s="168"/>
    </row>
    <row r="98" spans="14:94" s="166" customFormat="1" ht="15" hidden="1" customHeight="1">
      <c r="N98" s="180"/>
      <c r="AD98" s="167"/>
      <c r="CM98" s="168"/>
      <c r="CN98" s="168"/>
      <c r="CO98" s="187"/>
      <c r="CP98" s="168"/>
    </row>
    <row r="99" spans="14:94" s="166" customFormat="1" ht="15" hidden="1" customHeight="1">
      <c r="N99" s="180"/>
      <c r="AD99" s="167"/>
      <c r="CM99" s="168"/>
      <c r="CN99" s="168"/>
      <c r="CO99" s="187"/>
      <c r="CP99" s="168"/>
    </row>
    <row r="100" spans="14:94" s="166" customFormat="1" ht="15" hidden="1" customHeight="1">
      <c r="N100" s="180"/>
      <c r="AD100" s="167"/>
      <c r="CM100" s="168"/>
      <c r="CN100" s="168"/>
      <c r="CO100" s="187"/>
      <c r="CP100" s="168"/>
    </row>
    <row r="101" spans="14:94" s="166" customFormat="1" ht="15" hidden="1" customHeight="1">
      <c r="N101" s="180"/>
      <c r="AD101" s="167"/>
      <c r="CM101" s="168"/>
      <c r="CN101" s="168"/>
      <c r="CO101" s="187"/>
      <c r="CP101" s="168"/>
    </row>
    <row r="102" spans="14:94" s="166" customFormat="1" ht="15" hidden="1" customHeight="1">
      <c r="N102" s="180"/>
      <c r="AD102" s="167"/>
      <c r="CM102" s="168"/>
      <c r="CN102" s="168"/>
      <c r="CO102" s="187"/>
      <c r="CP102" s="168"/>
    </row>
    <row r="103" spans="14:94" s="166" customFormat="1" ht="15" hidden="1" customHeight="1">
      <c r="N103" s="180"/>
      <c r="AD103" s="167"/>
      <c r="CM103" s="168"/>
      <c r="CN103" s="168"/>
      <c r="CO103" s="187"/>
      <c r="CP103" s="168"/>
    </row>
    <row r="104" spans="14:94" s="166" customFormat="1" ht="15" hidden="1" customHeight="1">
      <c r="N104" s="180"/>
      <c r="AD104" s="167"/>
      <c r="CM104" s="168"/>
      <c r="CN104" s="168"/>
      <c r="CO104" s="187"/>
      <c r="CP104" s="168"/>
    </row>
    <row r="105" spans="14:94" s="166" customFormat="1" ht="15" hidden="1" customHeight="1">
      <c r="N105" s="180"/>
      <c r="AD105" s="167"/>
      <c r="CM105" s="168"/>
      <c r="CN105" s="168"/>
      <c r="CO105" s="187"/>
      <c r="CP105" s="168"/>
    </row>
    <row r="106" spans="14:94" s="166" customFormat="1" ht="15" hidden="1" customHeight="1">
      <c r="N106" s="180"/>
      <c r="AD106" s="167"/>
      <c r="CM106" s="168"/>
      <c r="CN106" s="168"/>
      <c r="CO106" s="187"/>
      <c r="CP106" s="168"/>
    </row>
    <row r="107" spans="14:94" s="166" customFormat="1" ht="15" hidden="1" customHeight="1">
      <c r="N107" s="180"/>
      <c r="AD107" s="167"/>
      <c r="CM107" s="168"/>
      <c r="CN107" s="168"/>
      <c r="CO107" s="187"/>
      <c r="CP107" s="168"/>
    </row>
    <row r="108" spans="14:94" s="166" customFormat="1" ht="15" hidden="1" customHeight="1">
      <c r="N108" s="180"/>
      <c r="AD108" s="167"/>
      <c r="CM108" s="168"/>
      <c r="CN108" s="168"/>
      <c r="CO108" s="187"/>
      <c r="CP108" s="168"/>
    </row>
    <row r="109" spans="14:94" s="166" customFormat="1" ht="15" hidden="1" customHeight="1">
      <c r="N109" s="180"/>
      <c r="AD109" s="167"/>
      <c r="CM109" s="168"/>
      <c r="CN109" s="168"/>
      <c r="CO109" s="187"/>
      <c r="CP109" s="168"/>
    </row>
    <row r="110" spans="14:94" s="166" customFormat="1" ht="15" hidden="1" customHeight="1">
      <c r="N110" s="180"/>
      <c r="AD110" s="167"/>
      <c r="CM110" s="168"/>
      <c r="CN110" s="168"/>
      <c r="CO110" s="187"/>
      <c r="CP110" s="168"/>
    </row>
    <row r="111" spans="14:94" s="166" customFormat="1" ht="15" hidden="1" customHeight="1">
      <c r="N111" s="180"/>
      <c r="AD111" s="167"/>
      <c r="CM111" s="168"/>
      <c r="CN111" s="168"/>
      <c r="CO111" s="187"/>
      <c r="CP111" s="168"/>
    </row>
    <row r="112" spans="14:94" s="166" customFormat="1" ht="15" hidden="1" customHeight="1">
      <c r="N112" s="180"/>
      <c r="AD112" s="167"/>
      <c r="CM112" s="168"/>
      <c r="CN112" s="168"/>
      <c r="CO112" s="187"/>
      <c r="CP112" s="168"/>
    </row>
    <row r="113" spans="2:94" s="166" customFormat="1" ht="15" hidden="1" customHeight="1">
      <c r="N113" s="180"/>
      <c r="AD113" s="167"/>
      <c r="CM113" s="168"/>
      <c r="CN113" s="168"/>
      <c r="CO113" s="187"/>
      <c r="CP113" s="168"/>
    </row>
    <row r="114" spans="2:94" s="166" customFormat="1" ht="15" hidden="1" customHeight="1">
      <c r="N114" s="180"/>
      <c r="AD114" s="167"/>
      <c r="CM114" s="168"/>
      <c r="CN114" s="168"/>
      <c r="CO114" s="187"/>
      <c r="CP114" s="168"/>
    </row>
    <row r="115" spans="2:94" s="166" customFormat="1" ht="15" hidden="1" customHeight="1">
      <c r="N115" s="180"/>
      <c r="AD115" s="167"/>
      <c r="CM115" s="168"/>
      <c r="CN115" s="168"/>
      <c r="CO115" s="187"/>
      <c r="CP115" s="168"/>
    </row>
    <row r="116" spans="2:94" s="166" customFormat="1" ht="15" hidden="1" customHeight="1">
      <c r="N116" s="180"/>
      <c r="AD116" s="167"/>
      <c r="CM116" s="168"/>
      <c r="CN116" s="168"/>
      <c r="CO116" s="187"/>
      <c r="CP116" s="168"/>
    </row>
    <row r="117" spans="2:94" s="166" customFormat="1" ht="15" hidden="1" customHeight="1">
      <c r="N117" s="180"/>
      <c r="AD117" s="167"/>
      <c r="CM117" s="168"/>
      <c r="CN117" s="168"/>
      <c r="CO117" s="187"/>
      <c r="CP117" s="168"/>
    </row>
    <row r="118" spans="2:94" s="166" customFormat="1" ht="15" hidden="1" customHeight="1">
      <c r="N118" s="180"/>
      <c r="AD118" s="167"/>
      <c r="CM118" s="168"/>
      <c r="CN118" s="168"/>
      <c r="CO118" s="187"/>
      <c r="CP118" s="168"/>
    </row>
    <row r="119" spans="2:94" s="166" customFormat="1" ht="15" hidden="1" customHeight="1">
      <c r="N119" s="180"/>
      <c r="AD119" s="167"/>
      <c r="CM119" s="168"/>
      <c r="CN119" s="168"/>
      <c r="CO119" s="187"/>
      <c r="CP119" s="168"/>
    </row>
    <row r="120" spans="2:94" s="166" customFormat="1" ht="15" hidden="1" customHeight="1">
      <c r="N120" s="180"/>
      <c r="AD120" s="167"/>
      <c r="CM120" s="168"/>
      <c r="CN120" s="168"/>
      <c r="CO120" s="187" t="s">
        <v>1404</v>
      </c>
      <c r="CP120" s="168"/>
    </row>
    <row r="121" spans="2:94" s="166" customFormat="1" ht="15" hidden="1" customHeight="1">
      <c r="N121" s="180"/>
      <c r="AD121" s="167"/>
      <c r="CM121" s="168"/>
      <c r="CN121" s="168"/>
      <c r="CO121" s="187" t="s">
        <v>1405</v>
      </c>
      <c r="CP121" s="168"/>
    </row>
    <row r="122" spans="2:94" s="166" customFormat="1" ht="15" hidden="1" customHeight="1">
      <c r="N122" s="180"/>
      <c r="AD122" s="167"/>
      <c r="CM122" s="168"/>
      <c r="CN122" s="168"/>
      <c r="CO122" s="187" t="s">
        <v>1406</v>
      </c>
      <c r="CP122" s="168"/>
    </row>
    <row r="123" spans="2:94" s="166" customFormat="1" ht="15" hidden="1" customHeight="1">
      <c r="N123" s="180"/>
      <c r="AD123" s="167"/>
      <c r="CM123" s="168"/>
      <c r="CN123" s="168"/>
      <c r="CO123" s="187" t="s">
        <v>1407</v>
      </c>
      <c r="CP123" s="168"/>
    </row>
    <row r="124" spans="2:94" s="166" customFormat="1" ht="15" hidden="1" customHeight="1">
      <c r="N124" s="180"/>
      <c r="AD124" s="167"/>
      <c r="CM124" s="168"/>
      <c r="CN124" s="168"/>
      <c r="CO124" s="187" t="s">
        <v>1408</v>
      </c>
      <c r="CP124" s="168"/>
    </row>
    <row r="125" spans="2:94" s="166" customFormat="1" ht="15" hidden="1" customHeight="1">
      <c r="B125" s="180"/>
      <c r="C125" s="180"/>
      <c r="D125" s="180"/>
      <c r="E125" s="180"/>
      <c r="F125" s="180"/>
      <c r="G125" s="180"/>
      <c r="H125" s="180"/>
      <c r="I125" s="180"/>
      <c r="J125" s="181"/>
      <c r="K125" s="180"/>
      <c r="L125" s="180"/>
      <c r="M125" s="180"/>
      <c r="N125" s="180"/>
      <c r="P125" s="180"/>
      <c r="Q125" s="180"/>
      <c r="R125" s="180"/>
      <c r="S125" s="181"/>
      <c r="T125" s="180"/>
      <c r="U125" s="180"/>
      <c r="V125" s="180"/>
      <c r="W125" s="180"/>
      <c r="X125" s="181"/>
      <c r="Y125" s="180"/>
      <c r="Z125" s="180"/>
      <c r="AA125" s="180"/>
      <c r="AB125" s="181"/>
      <c r="AC125" s="180"/>
      <c r="AD125" s="167"/>
      <c r="CM125" s="168"/>
      <c r="CN125" s="168"/>
      <c r="CO125" s="187" t="s">
        <v>1409</v>
      </c>
      <c r="CP125" s="168"/>
    </row>
    <row r="126" spans="2:94" s="166" customFormat="1" ht="15" hidden="1" customHeight="1">
      <c r="B126" s="180"/>
      <c r="C126" s="180"/>
      <c r="D126" s="180"/>
      <c r="E126" s="180"/>
      <c r="F126" s="180"/>
      <c r="G126" s="180"/>
      <c r="H126" s="180"/>
      <c r="I126" s="180"/>
      <c r="J126" s="181"/>
      <c r="K126" s="180"/>
      <c r="L126" s="180"/>
      <c r="M126" s="180"/>
      <c r="N126" s="180"/>
      <c r="P126" s="180"/>
      <c r="Q126" s="180"/>
      <c r="R126" s="180"/>
      <c r="S126" s="181"/>
      <c r="T126" s="180"/>
      <c r="U126" s="180"/>
      <c r="V126" s="180"/>
      <c r="W126" s="180"/>
      <c r="X126" s="181"/>
      <c r="Y126" s="180"/>
      <c r="Z126" s="180"/>
      <c r="AA126" s="180"/>
      <c r="AB126" s="181"/>
      <c r="AC126" s="180"/>
      <c r="AD126" s="167"/>
      <c r="CM126" s="168"/>
      <c r="CN126" s="168"/>
      <c r="CO126" s="187" t="s">
        <v>1410</v>
      </c>
      <c r="CP126" s="168"/>
    </row>
  </sheetData>
  <sheetProtection password="CE4F" sheet="1" objects="1" scenarios="1" formatCells="0" formatColumns="0" formatRows="0" insertColumns="0" insertRows="0" insertHyperlinks="0" sort="0" autoFilter="0" pivotTables="0"/>
  <mergeCells count="23">
    <mergeCell ref="B4:C4"/>
    <mergeCell ref="D4:M4"/>
    <mergeCell ref="H5:L5"/>
    <mergeCell ref="AC5:AE5"/>
    <mergeCell ref="B6:C7"/>
    <mergeCell ref="D6:F6"/>
    <mergeCell ref="H6:L6"/>
    <mergeCell ref="D7:F7"/>
    <mergeCell ref="H7:L7"/>
    <mergeCell ref="AC7:AE7"/>
    <mergeCell ref="B9:N9"/>
    <mergeCell ref="P9:AE9"/>
    <mergeCell ref="B11:N11"/>
    <mergeCell ref="P11:AE11"/>
    <mergeCell ref="I13:K13"/>
    <mergeCell ref="R13:T13"/>
    <mergeCell ref="W13:Y13"/>
    <mergeCell ref="AA13:AC13"/>
    <mergeCell ref="B64:N64"/>
    <mergeCell ref="P64:AE64"/>
    <mergeCell ref="R65:T65"/>
    <mergeCell ref="W65:Y65"/>
    <mergeCell ref="AA65:AC65"/>
  </mergeCells>
  <conditionalFormatting sqref="G15:G62 G66:G81">
    <cfRule type="expression" dxfId="215" priority="21" stopIfTrue="1">
      <formula>I15&gt;K15</formula>
    </cfRule>
    <cfRule type="expression" dxfId="214" priority="22" stopIfTrue="1">
      <formula>I15&lt;K15</formula>
    </cfRule>
  </conditionalFormatting>
  <conditionalFormatting sqref="M15:M62">
    <cfRule type="expression" dxfId="213" priority="23" stopIfTrue="1">
      <formula>K15&gt;I15</formula>
    </cfRule>
    <cfRule type="expression" dxfId="212" priority="24" stopIfTrue="1">
      <formula>K15&lt;I15</formula>
    </cfRule>
  </conditionalFormatting>
  <conditionalFormatting sqref="S15:S62 S66:S81">
    <cfRule type="expression" dxfId="211" priority="25" stopIfTrue="1">
      <formula>AND($R15&lt;&gt;"",$T15&lt;&gt;"")</formula>
    </cfRule>
  </conditionalFormatting>
  <conditionalFormatting sqref="P15:R62 P66:R81 T66:T81">
    <cfRule type="expression" dxfId="210" priority="26" stopIfTrue="1">
      <formula>AND($R15&gt;$T15,$R15&lt;&gt;"",$T15&lt;&gt;"")</formula>
    </cfRule>
    <cfRule type="expression" dxfId="209" priority="27" stopIfTrue="1">
      <formula>AND($R15&lt;$T15,$R15&lt;&gt;"",$T15&lt;&gt;"")</formula>
    </cfRule>
    <cfRule type="expression" dxfId="208" priority="28" stopIfTrue="1">
      <formula>AND($R15&lt;&gt;"",$T15&lt;&gt;"")</formula>
    </cfRule>
  </conditionalFormatting>
  <conditionalFormatting sqref="U66:V81 T15:V62">
    <cfRule type="expression" dxfId="207" priority="29" stopIfTrue="1">
      <formula>AND($T15&gt;$R15,$R15&lt;&gt;"",$T15&lt;&gt;"")</formula>
    </cfRule>
    <cfRule type="expression" dxfId="206" priority="30" stopIfTrue="1">
      <formula>AND($T15&lt;$R15,$R15&lt;&gt;"",$T15&lt;&gt;"")</formula>
    </cfRule>
    <cfRule type="expression" dxfId="205" priority="31" stopIfTrue="1">
      <formula>AND($R15&lt;&gt;"",$T15&lt;&gt;"")</formula>
    </cfRule>
  </conditionalFormatting>
  <conditionalFormatting sqref="O15">
    <cfRule type="expression" dxfId="204" priority="32" stopIfTrue="1">
      <formula>#REF!&gt;#REF!</formula>
    </cfRule>
    <cfRule type="expression" dxfId="203" priority="33" stopIfTrue="1">
      <formula>#REF!&lt;#REF!</formula>
    </cfRule>
  </conditionalFormatting>
  <conditionalFormatting sqref="I15:I62 K15:K62 K66:K81 I66:I81">
    <cfRule type="expression" dxfId="202" priority="34" stopIfTrue="1">
      <formula>ISBLANK(I15)</formula>
    </cfRule>
  </conditionalFormatting>
  <conditionalFormatting sqref="X15:X61">
    <cfRule type="expression" dxfId="201" priority="14" stopIfTrue="1">
      <formula>AND($R15&lt;&gt;"",$T15&lt;&gt;"")</formula>
    </cfRule>
  </conditionalFormatting>
  <conditionalFormatting sqref="W15:W61">
    <cfRule type="expression" dxfId="200" priority="15" stopIfTrue="1">
      <formula>AND($R15&gt;$T15,$R15&lt;&gt;"",$T15&lt;&gt;"")</formula>
    </cfRule>
    <cfRule type="expression" dxfId="199" priority="16" stopIfTrue="1">
      <formula>AND($R15&lt;$T15,$R15&lt;&gt;"",$T15&lt;&gt;"")</formula>
    </cfRule>
    <cfRule type="expression" dxfId="198" priority="17" stopIfTrue="1">
      <formula>AND($R15&lt;&gt;"",$T15&lt;&gt;"")</formula>
    </cfRule>
  </conditionalFormatting>
  <conditionalFormatting sqref="Y15:Z61">
    <cfRule type="expression" dxfId="197" priority="18" stopIfTrue="1">
      <formula>AND($T15&gt;$R15,$R15&lt;&gt;"",$T15&lt;&gt;"")</formula>
    </cfRule>
    <cfRule type="expression" dxfId="196" priority="19" stopIfTrue="1">
      <formula>AND($T15&lt;$R15,$R15&lt;&gt;"",$T15&lt;&gt;"")</formula>
    </cfRule>
    <cfRule type="expression" dxfId="195" priority="20" stopIfTrue="1">
      <formula>AND($R15&lt;&gt;"",$T15&lt;&gt;"")</formula>
    </cfRule>
  </conditionalFormatting>
  <conditionalFormatting sqref="AB15:AB61">
    <cfRule type="expression" dxfId="194" priority="7" stopIfTrue="1">
      <formula>AND($R15&lt;&gt;"",$T15&lt;&gt;"")</formula>
    </cfRule>
  </conditionalFormatting>
  <conditionalFormatting sqref="AA15:AA61">
    <cfRule type="expression" dxfId="193" priority="8" stopIfTrue="1">
      <formula>AND($R15&gt;$T15,$R15&lt;&gt;"",$T15&lt;&gt;"")</formula>
    </cfRule>
    <cfRule type="expression" dxfId="192" priority="9" stopIfTrue="1">
      <formula>AND($R15&lt;$T15,$R15&lt;&gt;"",$T15&lt;&gt;"")</formula>
    </cfRule>
    <cfRule type="expression" dxfId="191" priority="10" stopIfTrue="1">
      <formula>AND($R15&lt;&gt;"",$T15&lt;&gt;"")</formula>
    </cfRule>
  </conditionalFormatting>
  <conditionalFormatting sqref="AC15:AC61">
    <cfRule type="expression" dxfId="190" priority="11" stopIfTrue="1">
      <formula>AND($T15&gt;$R15,$R15&lt;&gt;"",$T15&lt;&gt;"")</formula>
    </cfRule>
    <cfRule type="expression" dxfId="189" priority="12" stopIfTrue="1">
      <formula>AND($T15&lt;$R15,$R15&lt;&gt;"",$T15&lt;&gt;"")</formula>
    </cfRule>
    <cfRule type="expression" dxfId="188" priority="13" stopIfTrue="1">
      <formula>AND($R15&lt;&gt;"",$T15&lt;&gt;"")</formula>
    </cfRule>
  </conditionalFormatting>
  <conditionalFormatting sqref="M66:M81">
    <cfRule type="expression" dxfId="187" priority="35">
      <formula>K66&gt;I66</formula>
    </cfRule>
    <cfRule type="expression" dxfId="186" priority="36">
      <formula>$K66&lt;$I66</formula>
    </cfRule>
  </conditionalFormatting>
  <conditionalFormatting sqref="X66:X81">
    <cfRule type="expression" dxfId="185" priority="6">
      <formula>AND($W66&lt;&gt;"",$Y66&lt;&gt;"")</formula>
    </cfRule>
  </conditionalFormatting>
  <conditionalFormatting sqref="AB66:AB81">
    <cfRule type="expression" dxfId="184" priority="5">
      <formula>AND($AA66&lt;&gt;"",$AC66&lt;&gt;"")</formula>
    </cfRule>
  </conditionalFormatting>
  <conditionalFormatting sqref="AA65:AC65">
    <cfRule type="expression" dxfId="183" priority="4">
      <formula>$Z$67=1</formula>
    </cfRule>
  </conditionalFormatting>
  <conditionalFormatting sqref="W65:Y65">
    <cfRule type="expression" dxfId="182" priority="3">
      <formula>OR($Z$66=1,$Z$67=1)</formula>
    </cfRule>
  </conditionalFormatting>
  <conditionalFormatting sqref="W66:Y81">
    <cfRule type="expression" dxfId="181" priority="2">
      <formula>OR($Z$66=1,$Z$67=1)</formula>
    </cfRule>
  </conditionalFormatting>
  <conditionalFormatting sqref="AA66:AC81">
    <cfRule type="expression" dxfId="180" priority="1">
      <formula>$Z$67=1</formula>
    </cfRule>
  </conditionalFormatting>
  <printOptions horizontalCentered="1" verticalCentered="1"/>
  <pageMargins left="0.39" right="0.32" top="0.28999999999999998" bottom="0.39" header="0.21" footer="0.26"/>
  <pageSetup scale="59" orientation="portrait" horizontalDpi="300" verticalDpi="300" r:id="rId1"/>
  <headerFooter alignWithMargins="0">
    <oddFooter xml:space="preserve">&amp;C
</oddFooter>
  </headerFooter>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S126"/>
  <sheetViews>
    <sheetView showGridLines="0" zoomScaleNormal="100" workbookViewId="0">
      <selection activeCell="C82" sqref="C82"/>
    </sheetView>
  </sheetViews>
  <sheetFormatPr defaultColWidth="0" defaultRowHeight="14.4" customHeight="1" zeroHeight="1"/>
  <cols>
    <col min="1" max="1" width="2.44140625" style="204" customWidth="1"/>
    <col min="2" max="2" width="3.6640625" style="204" customWidth="1"/>
    <col min="3" max="3" width="4.109375" style="204" customWidth="1"/>
    <col min="4" max="4" width="6.33203125" style="204" customWidth="1"/>
    <col min="5" max="5" width="8.21875" style="204" customWidth="1"/>
    <col min="6" max="6" width="6.88671875" style="205" customWidth="1"/>
    <col min="7" max="7" width="20.6640625" style="204" customWidth="1"/>
    <col min="8" max="8" width="1.77734375" style="204" customWidth="1"/>
    <col min="9" max="9" width="3.44140625" style="204" customWidth="1"/>
    <col min="10" max="10" width="1.77734375" style="206" customWidth="1"/>
    <col min="11" max="11" width="3.44140625" style="204" customWidth="1"/>
    <col min="12" max="12" width="1.6640625" style="204" customWidth="1"/>
    <col min="13" max="13" width="20.6640625" style="204" customWidth="1"/>
    <col min="14" max="14" width="2.44140625" style="204" customWidth="1"/>
    <col min="15" max="15" width="1.77734375" style="204" customWidth="1"/>
    <col min="16" max="16" width="20.6640625" style="204" customWidth="1"/>
    <col min="17" max="17" width="1.6640625" style="204" customWidth="1"/>
    <col min="18" max="18" width="3.44140625" style="204" customWidth="1"/>
    <col min="19" max="19" width="1.77734375" style="206" customWidth="1"/>
    <col min="20" max="20" width="3.44140625" style="204" customWidth="1"/>
    <col min="21" max="21" width="1.6640625" style="204" customWidth="1"/>
    <col min="22" max="22" width="17.5546875" style="204" customWidth="1"/>
    <col min="23" max="23" width="3.44140625" style="204" customWidth="1"/>
    <col min="24" max="24" width="1.77734375" style="206" customWidth="1"/>
    <col min="25" max="25" width="3.44140625" style="204" customWidth="1"/>
    <col min="26" max="26" width="1.77734375" style="204" customWidth="1"/>
    <col min="27" max="27" width="3.44140625" style="204" customWidth="1"/>
    <col min="28" max="28" width="1.77734375" style="206" customWidth="1"/>
    <col min="29" max="29" width="3.44140625" style="204" customWidth="1"/>
    <col min="30" max="30" width="5.77734375" style="206" customWidth="1"/>
    <col min="31" max="31" width="9.109375" style="204" customWidth="1"/>
    <col min="32" max="32" width="2.6640625" style="204" customWidth="1"/>
    <col min="33" max="33" width="9.109375" style="204" hidden="1" customWidth="1"/>
    <col min="34" max="90" width="0" style="204" hidden="1" customWidth="1"/>
    <col min="91" max="94" width="0" style="207" hidden="1" customWidth="1"/>
    <col min="95" max="97" width="0" style="204" hidden="1" customWidth="1"/>
    <col min="98" max="16384" width="9.109375" style="204" hidden="1"/>
  </cols>
  <sheetData>
    <row r="1" spans="2:97" s="166" customFormat="1" ht="15" customHeight="1">
      <c r="J1" s="167"/>
      <c r="S1" s="167"/>
      <c r="X1" s="167"/>
      <c r="AB1" s="167"/>
      <c r="AD1" s="167"/>
      <c r="CM1" s="168"/>
      <c r="CN1" s="168"/>
      <c r="CO1" s="168"/>
      <c r="CP1" s="168"/>
    </row>
    <row r="2" spans="2:97" s="166" customFormat="1" ht="15" customHeight="1">
      <c r="J2" s="167"/>
      <c r="S2" s="167"/>
      <c r="X2" s="167"/>
      <c r="AB2" s="167"/>
      <c r="AD2" s="167"/>
      <c r="CM2" s="168"/>
      <c r="CN2" s="168"/>
      <c r="CO2" s="168"/>
      <c r="CP2" s="168"/>
    </row>
    <row r="3" spans="2:97" s="166" customFormat="1" ht="15" customHeight="1">
      <c r="J3" s="167"/>
      <c r="S3" s="167"/>
      <c r="X3" s="167"/>
      <c r="AB3" s="167"/>
      <c r="AD3" s="167"/>
      <c r="CM3" s="168"/>
      <c r="CN3" s="168"/>
      <c r="CO3" s="168"/>
      <c r="CP3" s="168"/>
    </row>
    <row r="4" spans="2:97" s="166" customFormat="1" ht="25.05" customHeight="1">
      <c r="B4" s="297" t="s">
        <v>3871</v>
      </c>
      <c r="C4" s="298"/>
      <c r="D4" s="307" t="str">
        <f ca="1">IF(INDIRECT("'Player Name'!"&amp;"$c"&amp;B8)&lt;&gt;"",INDIRECT("'Player Name'!"&amp;"$c"&amp;B8),"")</f>
        <v>John 11</v>
      </c>
      <c r="E4" s="308"/>
      <c r="F4" s="308"/>
      <c r="G4" s="308"/>
      <c r="H4" s="308"/>
      <c r="I4" s="308"/>
      <c r="J4" s="308"/>
      <c r="K4" s="308"/>
      <c r="L4" s="308"/>
      <c r="M4" s="309"/>
      <c r="S4" s="167"/>
      <c r="X4" s="167"/>
      <c r="AB4" s="167"/>
      <c r="CM4" s="168"/>
      <c r="CN4" s="168"/>
      <c r="CO4" s="168"/>
      <c r="CP4" s="168"/>
    </row>
    <row r="5" spans="2:97" s="173" customFormat="1" ht="15" customHeight="1">
      <c r="B5" s="169"/>
      <c r="C5" s="169"/>
      <c r="D5" s="170"/>
      <c r="E5" s="170"/>
      <c r="F5" s="170"/>
      <c r="G5" s="171" t="s">
        <v>848</v>
      </c>
      <c r="H5" s="294" t="s">
        <v>3872</v>
      </c>
      <c r="I5" s="294"/>
      <c r="J5" s="294"/>
      <c r="K5" s="294"/>
      <c r="L5" s="295"/>
      <c r="M5" s="171" t="s">
        <v>3870</v>
      </c>
      <c r="N5" s="166"/>
      <c r="O5" s="166"/>
      <c r="P5" s="172"/>
      <c r="Q5" s="166"/>
      <c r="R5" s="166"/>
      <c r="S5" s="167"/>
      <c r="T5" s="166"/>
      <c r="U5" s="166"/>
      <c r="V5" s="166"/>
      <c r="W5" s="166"/>
      <c r="X5" s="167"/>
      <c r="Y5" s="166"/>
      <c r="Z5" s="166"/>
      <c r="AA5" s="166"/>
      <c r="AB5" s="167"/>
      <c r="AC5" s="296"/>
      <c r="AD5" s="296"/>
      <c r="AE5" s="296"/>
      <c r="CM5" s="174"/>
      <c r="CN5" s="174"/>
      <c r="CO5" s="174"/>
      <c r="CP5" s="174"/>
    </row>
    <row r="6" spans="2:97" s="166" customFormat="1" ht="15" customHeight="1">
      <c r="B6" s="318">
        <f>B8-5</f>
        <v>11</v>
      </c>
      <c r="C6" s="318"/>
      <c r="D6" s="315" t="s">
        <v>3868</v>
      </c>
      <c r="E6" s="315"/>
      <c r="F6" s="315"/>
      <c r="G6" s="175">
        <f>SUM(AD15:AD62)</f>
        <v>0</v>
      </c>
      <c r="H6" s="310">
        <f>SUM(AD66:AD81)</f>
        <v>0</v>
      </c>
      <c r="I6" s="311"/>
      <c r="J6" s="311"/>
      <c r="K6" s="311"/>
      <c r="L6" s="311"/>
      <c r="M6" s="176">
        <f>H6+G6</f>
        <v>0</v>
      </c>
      <c r="X6" s="167"/>
      <c r="AB6" s="167"/>
      <c r="CM6" s="168"/>
      <c r="CN6" s="168"/>
      <c r="CO6" s="168"/>
      <c r="CP6" s="168"/>
    </row>
    <row r="7" spans="2:97" s="166" customFormat="1" ht="15" customHeight="1">
      <c r="B7" s="318"/>
      <c r="C7" s="319"/>
      <c r="D7" s="316" t="s">
        <v>3869</v>
      </c>
      <c r="E7" s="317"/>
      <c r="F7" s="317"/>
      <c r="G7" s="177"/>
      <c r="H7" s="312"/>
      <c r="I7" s="312"/>
      <c r="J7" s="312"/>
      <c r="K7" s="312"/>
      <c r="L7" s="313"/>
      <c r="M7" s="178">
        <f ca="1">INDEX('Player Leaderboard'!$A$9:$A$23,MATCH($D4,'Player Leaderboard'!$B$9:$B$23,0),0)</f>
        <v>11</v>
      </c>
      <c r="P7" s="210" t="str">
        <f>HYPERLINK("["&amp;Setup!$C$5&amp;"]'Player ("&amp;B8-6&amp;")'!B6","&lt;&lt; Previous Player ("&amp;B8-6&amp;")")</f>
        <v>&lt;&lt; Previous Player (10)</v>
      </c>
      <c r="S7" s="167"/>
      <c r="X7" s="167"/>
      <c r="AB7" s="167"/>
      <c r="AC7" s="320" t="str">
        <f>HYPERLINK("["&amp;Setup!$C$5&amp;"]'Player ("&amp;B8-4&amp;")'!B6","Next Player ("&amp;B8-4&amp;") &gt;&gt;")</f>
        <v>Next Player (12) &gt;&gt;</v>
      </c>
      <c r="AD7" s="320"/>
      <c r="AE7" s="320"/>
      <c r="CM7" s="168"/>
      <c r="CN7" s="168"/>
      <c r="CO7" s="168"/>
      <c r="CP7" s="168"/>
    </row>
    <row r="8" spans="2:97" s="166" customFormat="1" ht="15" customHeight="1">
      <c r="B8" s="208">
        <v>16</v>
      </c>
      <c r="J8" s="167"/>
      <c r="S8" s="167"/>
      <c r="X8" s="167"/>
      <c r="AB8" s="167"/>
      <c r="AD8" s="167"/>
      <c r="CM8" s="168"/>
      <c r="CN8" s="168"/>
      <c r="CO8" s="168"/>
      <c r="CP8" s="168"/>
    </row>
    <row r="9" spans="2:97" s="166" customFormat="1" ht="15" customHeight="1">
      <c r="B9" s="314" t="s">
        <v>491</v>
      </c>
      <c r="C9" s="314"/>
      <c r="D9" s="314"/>
      <c r="E9" s="314"/>
      <c r="F9" s="314"/>
      <c r="G9" s="314"/>
      <c r="H9" s="314"/>
      <c r="I9" s="314"/>
      <c r="J9" s="314"/>
      <c r="K9" s="314"/>
      <c r="L9" s="314"/>
      <c r="M9" s="314"/>
      <c r="N9" s="314"/>
      <c r="P9" s="303" t="s">
        <v>492</v>
      </c>
      <c r="Q9" s="304"/>
      <c r="R9" s="304"/>
      <c r="S9" s="304"/>
      <c r="T9" s="304"/>
      <c r="U9" s="304"/>
      <c r="V9" s="304"/>
      <c r="W9" s="304"/>
      <c r="X9" s="304"/>
      <c r="Y9" s="304"/>
      <c r="Z9" s="304"/>
      <c r="AA9" s="304"/>
      <c r="AB9" s="304"/>
      <c r="AC9" s="304"/>
      <c r="AD9" s="304"/>
      <c r="AE9" s="305"/>
      <c r="CM9" s="168"/>
      <c r="CN9" s="168"/>
      <c r="CO9" s="168"/>
      <c r="CP9" s="168"/>
    </row>
    <row r="10" spans="2:97" s="166" customFormat="1" ht="15" customHeight="1">
      <c r="B10" s="180"/>
      <c r="C10" s="180"/>
      <c r="D10" s="180"/>
      <c r="E10" s="180"/>
      <c r="F10" s="180"/>
      <c r="G10" s="180"/>
      <c r="H10" s="180"/>
      <c r="I10" s="180"/>
      <c r="J10" s="181"/>
      <c r="K10" s="180"/>
      <c r="L10" s="180"/>
      <c r="M10" s="180"/>
      <c r="N10" s="180"/>
      <c r="O10" s="180"/>
      <c r="P10" s="180"/>
      <c r="Q10" s="180"/>
      <c r="R10" s="180"/>
      <c r="S10" s="180"/>
      <c r="T10" s="180"/>
      <c r="U10" s="180"/>
      <c r="V10" s="180"/>
      <c r="W10" s="180"/>
      <c r="X10" s="180"/>
      <c r="Y10" s="180"/>
      <c r="Z10" s="180"/>
      <c r="AA10" s="180"/>
      <c r="AB10" s="180"/>
      <c r="AC10" s="180"/>
      <c r="AD10" s="180"/>
      <c r="AE10" s="180"/>
      <c r="AF10" s="180"/>
      <c r="AG10" s="180"/>
      <c r="CM10" s="168"/>
      <c r="CN10" s="168"/>
      <c r="CO10" s="168"/>
      <c r="CP10" s="168"/>
    </row>
    <row r="11" spans="2:97" s="166" customFormat="1" ht="15" customHeight="1">
      <c r="B11" s="300" t="str">
        <f>Tournament!B10</f>
        <v>Group Stages</v>
      </c>
      <c r="C11" s="301"/>
      <c r="D11" s="301"/>
      <c r="E11" s="301"/>
      <c r="F11" s="301"/>
      <c r="G11" s="301"/>
      <c r="H11" s="301"/>
      <c r="I11" s="301"/>
      <c r="J11" s="301"/>
      <c r="K11" s="301"/>
      <c r="L11" s="301"/>
      <c r="M11" s="301"/>
      <c r="N11" s="302"/>
      <c r="P11" s="303" t="str">
        <f>B11</f>
        <v>Group Stages</v>
      </c>
      <c r="Q11" s="304"/>
      <c r="R11" s="304"/>
      <c r="S11" s="304"/>
      <c r="T11" s="304"/>
      <c r="U11" s="304"/>
      <c r="V11" s="304"/>
      <c r="W11" s="304"/>
      <c r="X11" s="304"/>
      <c r="Y11" s="304"/>
      <c r="Z11" s="304"/>
      <c r="AA11" s="304"/>
      <c r="AB11" s="304"/>
      <c r="AC11" s="304"/>
      <c r="AD11" s="304"/>
      <c r="AE11" s="305"/>
      <c r="CM11" s="168"/>
      <c r="CN11" s="168"/>
      <c r="CO11" s="168"/>
      <c r="CP11" s="168"/>
    </row>
    <row r="12" spans="2:97" s="166" customFormat="1" ht="15" customHeight="1">
      <c r="B12" s="182"/>
      <c r="C12" s="180"/>
      <c r="D12" s="180"/>
      <c r="E12" s="180"/>
      <c r="F12" s="180"/>
      <c r="G12" s="180"/>
      <c r="H12" s="180"/>
      <c r="I12" s="180"/>
      <c r="J12" s="181"/>
      <c r="K12" s="180"/>
      <c r="L12" s="180"/>
      <c r="M12" s="180"/>
      <c r="N12" s="183"/>
      <c r="P12" s="182"/>
      <c r="Q12" s="180"/>
      <c r="R12" s="180"/>
      <c r="S12" s="180"/>
      <c r="T12" s="180"/>
      <c r="U12" s="180"/>
      <c r="V12" s="180"/>
      <c r="W12" s="180"/>
      <c r="X12" s="180"/>
      <c r="Y12" s="180"/>
      <c r="Z12" s="180"/>
      <c r="AA12" s="180"/>
      <c r="AB12" s="180"/>
      <c r="AC12" s="180"/>
      <c r="AD12" s="180"/>
      <c r="AE12" s="183"/>
      <c r="CM12" s="168"/>
      <c r="CN12" s="168"/>
      <c r="CO12" s="168"/>
      <c r="CP12" s="168"/>
    </row>
    <row r="13" spans="2:97" s="166" customFormat="1" ht="15" customHeight="1">
      <c r="B13" s="182"/>
      <c r="C13" s="184" t="str">
        <f>Tournament!D14</f>
        <v>Match #</v>
      </c>
      <c r="D13" s="184" t="str">
        <f>Tournament!E14</f>
        <v>Group</v>
      </c>
      <c r="E13" s="184" t="str">
        <f>Tournament!F14</f>
        <v>Date</v>
      </c>
      <c r="F13" s="184" t="str">
        <f>Tournament!G14</f>
        <v>Time</v>
      </c>
      <c r="G13" s="184" t="str">
        <f>Tournament!H14</f>
        <v>Country</v>
      </c>
      <c r="H13" s="184"/>
      <c r="I13" s="306" t="str">
        <f>Tournament!J14</f>
        <v>Score</v>
      </c>
      <c r="J13" s="306"/>
      <c r="K13" s="306"/>
      <c r="L13" s="184"/>
      <c r="M13" s="184" t="str">
        <f>Tournament!N14</f>
        <v>Country</v>
      </c>
      <c r="N13" s="183"/>
      <c r="P13" s="185" t="str">
        <f>G13</f>
        <v>Country</v>
      </c>
      <c r="Q13" s="184"/>
      <c r="R13" s="306" t="str">
        <f>I13</f>
        <v>Score</v>
      </c>
      <c r="S13" s="306"/>
      <c r="T13" s="306"/>
      <c r="U13" s="184"/>
      <c r="V13" s="184" t="str">
        <f>M13</f>
        <v>Country</v>
      </c>
      <c r="W13" s="306"/>
      <c r="X13" s="306"/>
      <c r="Y13" s="306"/>
      <c r="Z13" s="184"/>
      <c r="AA13" s="306"/>
      <c r="AB13" s="306"/>
      <c r="AC13" s="306"/>
      <c r="AD13" s="184" t="s">
        <v>3277</v>
      </c>
      <c r="AE13" s="183"/>
      <c r="CP13" s="168"/>
      <c r="CQ13" s="186"/>
      <c r="CR13" s="187"/>
      <c r="CS13" s="168"/>
    </row>
    <row r="14" spans="2:97" s="166" customFormat="1" ht="15" customHeight="1">
      <c r="B14" s="182"/>
      <c r="C14" s="180"/>
      <c r="D14" s="180"/>
      <c r="E14" s="180"/>
      <c r="F14" s="180"/>
      <c r="G14" s="180"/>
      <c r="H14" s="180"/>
      <c r="I14" s="180"/>
      <c r="J14" s="180"/>
      <c r="K14" s="180"/>
      <c r="L14" s="180"/>
      <c r="M14" s="180"/>
      <c r="N14" s="183"/>
      <c r="P14" s="182"/>
      <c r="Q14" s="180"/>
      <c r="R14" s="180"/>
      <c r="S14" s="180"/>
      <c r="T14" s="180"/>
      <c r="U14" s="180"/>
      <c r="V14" s="180"/>
      <c r="W14" s="180"/>
      <c r="X14" s="180"/>
      <c r="Y14" s="180"/>
      <c r="Z14" s="180"/>
      <c r="AA14" s="180"/>
      <c r="AB14" s="180"/>
      <c r="AC14" s="180"/>
      <c r="AD14" s="181"/>
      <c r="AE14" s="183"/>
      <c r="CP14" s="168"/>
      <c r="CQ14" s="186"/>
      <c r="CR14" s="187"/>
      <c r="CS14" s="168"/>
    </row>
    <row r="15" spans="2:97" s="166" customFormat="1" ht="15" customHeight="1">
      <c r="B15" s="182"/>
      <c r="C15" s="181">
        <f>Tournament!D16</f>
        <v>1</v>
      </c>
      <c r="D15" s="181" t="str">
        <f>Tournament!E16</f>
        <v>A</v>
      </c>
      <c r="E15" s="188">
        <f>Tournament!F16</f>
        <v>41802.708333333336</v>
      </c>
      <c r="F15" s="189">
        <f>Tournament!G16</f>
        <v>41802.708333333336</v>
      </c>
      <c r="G15" s="190" t="str">
        <f>Tournament!H16</f>
        <v>Brazil</v>
      </c>
      <c r="H15" s="180"/>
      <c r="I15" s="9"/>
      <c r="J15" s="191" t="s">
        <v>3088</v>
      </c>
      <c r="K15" s="9"/>
      <c r="L15" s="180"/>
      <c r="M15" s="180" t="str">
        <f>Tournament!N16</f>
        <v>Croatia</v>
      </c>
      <c r="N15" s="183"/>
      <c r="O15" s="180"/>
      <c r="P15" s="192" t="str">
        <f>G15</f>
        <v>Brazil</v>
      </c>
      <c r="Q15" s="193"/>
      <c r="R15" s="194">
        <f>IF(Tournament!J16&lt;&gt;"",Tournament!J16,"")</f>
        <v>3</v>
      </c>
      <c r="S15" s="194" t="s">
        <v>3088</v>
      </c>
      <c r="T15" s="194">
        <f>IF(Tournament!L16&lt;&gt;"",Tournament!L16,"")</f>
        <v>1</v>
      </c>
      <c r="U15" s="193"/>
      <c r="V15" s="193" t="str">
        <f>M15</f>
        <v>Croatia</v>
      </c>
      <c r="W15" s="194"/>
      <c r="X15" s="194"/>
      <c r="Y15" s="194"/>
      <c r="Z15" s="194"/>
      <c r="AA15" s="194"/>
      <c r="AB15" s="194"/>
      <c r="AC15" s="194"/>
      <c r="AD15" s="195" t="str">
        <f>IF(AND(I15&lt;&gt;"",K15&lt;&gt;"",R15&lt;&gt;"",T15&lt;&gt;""),IF(AND(I15=R15,K15=T15),Setup!$D$10,IF((I15-K15)=(R15-T15),Setup!$D$11,IF(AND((I15&gt;K15),(R15&gt;T15)),Setup!$D$12,IF(AND((K15&gt;I15),(T15&gt;R15)),Setup!$D$12,0)))),"")</f>
        <v/>
      </c>
      <c r="AE15" s="183"/>
      <c r="CP15" s="168"/>
      <c r="CQ15" s="186"/>
      <c r="CR15" s="187"/>
      <c r="CS15" s="168"/>
    </row>
    <row r="16" spans="2:97" s="166" customFormat="1" ht="15" customHeight="1">
      <c r="B16" s="182"/>
      <c r="C16" s="181">
        <f>Tournament!D17</f>
        <v>2</v>
      </c>
      <c r="D16" s="181" t="str">
        <f>Tournament!E17</f>
        <v>A</v>
      </c>
      <c r="E16" s="188">
        <f>Tournament!F17</f>
        <v>41803.541666666664</v>
      </c>
      <c r="F16" s="189">
        <f>Tournament!G17</f>
        <v>41803.541666666664</v>
      </c>
      <c r="G16" s="190" t="str">
        <f>Tournament!H17</f>
        <v>Mexico</v>
      </c>
      <c r="H16" s="180"/>
      <c r="I16" s="9"/>
      <c r="J16" s="191" t="s">
        <v>3088</v>
      </c>
      <c r="K16" s="9"/>
      <c r="L16" s="180"/>
      <c r="M16" s="180" t="str">
        <f>Tournament!N17</f>
        <v>Cameroon</v>
      </c>
      <c r="N16" s="183"/>
      <c r="P16" s="192" t="str">
        <f t="shared" ref="P16:P62" si="0">G16</f>
        <v>Mexico</v>
      </c>
      <c r="Q16" s="193"/>
      <c r="R16" s="194">
        <f>IF(Tournament!J17&lt;&gt;"",Tournament!J17,"")</f>
        <v>1</v>
      </c>
      <c r="S16" s="194" t="s">
        <v>3088</v>
      </c>
      <c r="T16" s="194">
        <f>IF(Tournament!L17&lt;&gt;"",Tournament!L17,"")</f>
        <v>0</v>
      </c>
      <c r="U16" s="193"/>
      <c r="V16" s="193" t="str">
        <f t="shared" ref="V16:V62" si="1">M16</f>
        <v>Cameroon</v>
      </c>
      <c r="W16" s="194"/>
      <c r="X16" s="194"/>
      <c r="Y16" s="194"/>
      <c r="Z16" s="194"/>
      <c r="AA16" s="194"/>
      <c r="AB16" s="194"/>
      <c r="AC16" s="194"/>
      <c r="AD16" s="195" t="str">
        <f>IF(AND(I16&lt;&gt;"",K16&lt;&gt;"",R16&lt;&gt;"",T16&lt;&gt;""),IF(AND(I16=R16,K16=T16),Setup!$D$10,IF((I16-K16)=(R16-T16),Setup!$D$11,IF(AND((I16&gt;K16),(R16&gt;T16)),Setup!$D$12,IF(AND((K16&gt;I16),(T16&gt;R16)),Setup!$D$12,0)))),"")</f>
        <v/>
      </c>
      <c r="AE16" s="183"/>
      <c r="AI16" s="179" t="s">
        <v>3904</v>
      </c>
      <c r="CP16" s="168"/>
      <c r="CQ16" s="186"/>
      <c r="CR16" s="187"/>
      <c r="CS16" s="168"/>
    </row>
    <row r="17" spans="2:97" s="166" customFormat="1" ht="15" customHeight="1">
      <c r="B17" s="182"/>
      <c r="C17" s="181">
        <f>Tournament!D18</f>
        <v>3</v>
      </c>
      <c r="D17" s="181" t="str">
        <f>Tournament!E18</f>
        <v>B</v>
      </c>
      <c r="E17" s="188">
        <f>Tournament!F18</f>
        <v>41803.666666666664</v>
      </c>
      <c r="F17" s="189">
        <f>Tournament!G18</f>
        <v>41803.666666666664</v>
      </c>
      <c r="G17" s="190" t="str">
        <f>Tournament!H18</f>
        <v>Spain</v>
      </c>
      <c r="H17" s="180"/>
      <c r="I17" s="9"/>
      <c r="J17" s="191" t="s">
        <v>3088</v>
      </c>
      <c r="K17" s="9"/>
      <c r="L17" s="180"/>
      <c r="M17" s="180" t="str">
        <f>Tournament!N18</f>
        <v>Netherlands</v>
      </c>
      <c r="N17" s="183"/>
      <c r="P17" s="192" t="str">
        <f t="shared" si="0"/>
        <v>Spain</v>
      </c>
      <c r="Q17" s="193"/>
      <c r="R17" s="194">
        <f>IF(Tournament!J18&lt;&gt;"",Tournament!J18,"")</f>
        <v>1</v>
      </c>
      <c r="S17" s="194" t="s">
        <v>3088</v>
      </c>
      <c r="T17" s="194">
        <f>IF(Tournament!L18&lt;&gt;"",Tournament!L18,"")</f>
        <v>5</v>
      </c>
      <c r="U17" s="193"/>
      <c r="V17" s="193" t="str">
        <f t="shared" si="1"/>
        <v>Netherlands</v>
      </c>
      <c r="W17" s="194"/>
      <c r="X17" s="194"/>
      <c r="Y17" s="194"/>
      <c r="Z17" s="194"/>
      <c r="AA17" s="194"/>
      <c r="AB17" s="194"/>
      <c r="AC17" s="194"/>
      <c r="AD17" s="195" t="str">
        <f>IF(AND(I17&lt;&gt;"",K17&lt;&gt;"",R17&lt;&gt;"",T17&lt;&gt;""),IF(AND(I17=R17,K17=T17),Setup!$D$10,IF((I17-K17)=(R17-T17),Setup!$D$11,IF(AND((I17&gt;K17),(R17&gt;T17)),Setup!$D$12,IF(AND((K17&gt;I17),(T17&gt;R17)),Setup!$D$12,0)))),"")</f>
        <v/>
      </c>
      <c r="AE17" s="183"/>
      <c r="CP17" s="168"/>
      <c r="CQ17" s="186"/>
      <c r="CR17" s="187"/>
      <c r="CS17" s="168"/>
    </row>
    <row r="18" spans="2:97" s="166" customFormat="1" ht="15" customHeight="1">
      <c r="B18" s="182"/>
      <c r="C18" s="181">
        <f>Tournament!D19</f>
        <v>4</v>
      </c>
      <c r="D18" s="181" t="str">
        <f>Tournament!E19</f>
        <v>B</v>
      </c>
      <c r="E18" s="188">
        <f>Tournament!F19</f>
        <v>41803.791666666664</v>
      </c>
      <c r="F18" s="189">
        <f>Tournament!G19</f>
        <v>41803.791666666664</v>
      </c>
      <c r="G18" s="190" t="str">
        <f>Tournament!H19</f>
        <v>Chile</v>
      </c>
      <c r="H18" s="180"/>
      <c r="I18" s="9"/>
      <c r="J18" s="191" t="s">
        <v>3088</v>
      </c>
      <c r="K18" s="9"/>
      <c r="L18" s="180"/>
      <c r="M18" s="180" t="str">
        <f>Tournament!N19</f>
        <v>Australia</v>
      </c>
      <c r="N18" s="183"/>
      <c r="P18" s="192" t="str">
        <f t="shared" si="0"/>
        <v>Chile</v>
      </c>
      <c r="Q18" s="193"/>
      <c r="R18" s="194">
        <f>IF(Tournament!J19&lt;&gt;"",Tournament!J19,"")</f>
        <v>3</v>
      </c>
      <c r="S18" s="194" t="s">
        <v>3088</v>
      </c>
      <c r="T18" s="194">
        <f>IF(Tournament!L19&lt;&gt;"",Tournament!L19,"")</f>
        <v>1</v>
      </c>
      <c r="U18" s="193"/>
      <c r="V18" s="193" t="str">
        <f t="shared" si="1"/>
        <v>Australia</v>
      </c>
      <c r="W18" s="194"/>
      <c r="X18" s="194"/>
      <c r="Y18" s="194"/>
      <c r="Z18" s="194"/>
      <c r="AA18" s="194"/>
      <c r="AB18" s="194"/>
      <c r="AC18" s="194"/>
      <c r="AD18" s="195" t="str">
        <f>IF(AND(I18&lt;&gt;"",K18&lt;&gt;"",R18&lt;&gt;"",T18&lt;&gt;""),IF(AND(I18=R18,K18=T18),Setup!$D$10,IF((I18-K18)=(R18-T18),Setup!$D$11,IF(AND((I18&gt;K18),(R18&gt;T18)),Setup!$D$12,IF(AND((K18&gt;I18),(T18&gt;R18)),Setup!$D$12,0)))),"")</f>
        <v/>
      </c>
      <c r="AE18" s="183"/>
      <c r="CP18" s="168"/>
      <c r="CQ18" s="186"/>
      <c r="CR18" s="187"/>
      <c r="CS18" s="168"/>
    </row>
    <row r="19" spans="2:97" s="166" customFormat="1" ht="15" customHeight="1">
      <c r="B19" s="182"/>
      <c r="C19" s="181">
        <f>Tournament!D20</f>
        <v>5</v>
      </c>
      <c r="D19" s="181" t="str">
        <f>Tournament!E20</f>
        <v>C</v>
      </c>
      <c r="E19" s="188">
        <f>Tournament!F20</f>
        <v>41804.541666666664</v>
      </c>
      <c r="F19" s="189">
        <f>Tournament!G20</f>
        <v>41804.541666666664</v>
      </c>
      <c r="G19" s="190" t="str">
        <f>Tournament!H20</f>
        <v>Colombia</v>
      </c>
      <c r="H19" s="180"/>
      <c r="I19" s="9"/>
      <c r="J19" s="191" t="s">
        <v>3088</v>
      </c>
      <c r="K19" s="9"/>
      <c r="L19" s="180"/>
      <c r="M19" s="180" t="str">
        <f>Tournament!N20</f>
        <v>Greece</v>
      </c>
      <c r="N19" s="183"/>
      <c r="P19" s="192" t="str">
        <f t="shared" si="0"/>
        <v>Colombia</v>
      </c>
      <c r="Q19" s="193"/>
      <c r="R19" s="194" t="str">
        <f>IF(Tournament!J20&lt;&gt;"",Tournament!J20,"")</f>
        <v/>
      </c>
      <c r="S19" s="194" t="s">
        <v>3088</v>
      </c>
      <c r="T19" s="194" t="str">
        <f>IF(Tournament!L20&lt;&gt;"",Tournament!L20,"")</f>
        <v/>
      </c>
      <c r="U19" s="193"/>
      <c r="V19" s="193" t="str">
        <f t="shared" si="1"/>
        <v>Greece</v>
      </c>
      <c r="W19" s="194"/>
      <c r="X19" s="194"/>
      <c r="Y19" s="194"/>
      <c r="Z19" s="194"/>
      <c r="AA19" s="194"/>
      <c r="AB19" s="194"/>
      <c r="AC19" s="194"/>
      <c r="AD19" s="195" t="str">
        <f>IF(AND(I19&lt;&gt;"",K19&lt;&gt;"",R19&lt;&gt;"",T19&lt;&gt;""),IF(AND(I19=R19,K19=T19),Setup!$D$10,IF((I19-K19)=(R19-T19),Setup!$D$11,IF(AND((I19&gt;K19),(R19&gt;T19)),Setup!$D$12,IF(AND((K19&gt;I19),(T19&gt;R19)),Setup!$D$12,0)))),"")</f>
        <v/>
      </c>
      <c r="AE19" s="183"/>
      <c r="CP19" s="168"/>
      <c r="CQ19" s="186"/>
      <c r="CR19" s="187"/>
      <c r="CS19" s="168"/>
    </row>
    <row r="20" spans="2:97" s="166" customFormat="1" ht="15" customHeight="1">
      <c r="B20" s="182"/>
      <c r="C20" s="181">
        <f>Tournament!D21</f>
        <v>6</v>
      </c>
      <c r="D20" s="181" t="str">
        <f>Tournament!E21</f>
        <v>C</v>
      </c>
      <c r="E20" s="188">
        <f>Tournament!F21</f>
        <v>41804.916666666664</v>
      </c>
      <c r="F20" s="189">
        <f>Tournament!G21</f>
        <v>41804.916666666664</v>
      </c>
      <c r="G20" s="190" t="str">
        <f>Tournament!H21</f>
        <v>Ivory Coast</v>
      </c>
      <c r="H20" s="180"/>
      <c r="I20" s="9"/>
      <c r="J20" s="191" t="s">
        <v>3088</v>
      </c>
      <c r="K20" s="9"/>
      <c r="L20" s="180"/>
      <c r="M20" s="180" t="str">
        <f>Tournament!N21</f>
        <v>Japan</v>
      </c>
      <c r="N20" s="183"/>
      <c r="P20" s="192" t="str">
        <f t="shared" si="0"/>
        <v>Ivory Coast</v>
      </c>
      <c r="Q20" s="193"/>
      <c r="R20" s="194" t="str">
        <f>IF(Tournament!J21&lt;&gt;"",Tournament!J21,"")</f>
        <v/>
      </c>
      <c r="S20" s="194" t="s">
        <v>3088</v>
      </c>
      <c r="T20" s="194" t="str">
        <f>IF(Tournament!L21&lt;&gt;"",Tournament!L21,"")</f>
        <v/>
      </c>
      <c r="U20" s="193"/>
      <c r="V20" s="193" t="str">
        <f t="shared" si="1"/>
        <v>Japan</v>
      </c>
      <c r="W20" s="194"/>
      <c r="X20" s="194"/>
      <c r="Y20" s="194"/>
      <c r="Z20" s="194"/>
      <c r="AA20" s="194"/>
      <c r="AB20" s="194"/>
      <c r="AC20" s="194"/>
      <c r="AD20" s="195" t="str">
        <f>IF(AND(I20&lt;&gt;"",K20&lt;&gt;"",R20&lt;&gt;"",T20&lt;&gt;""),IF(AND(I20=R20,K20=T20),Setup!$D$10,IF((I20-K20)=(R20-T20),Setup!$D$11,IF(AND((I20&gt;K20),(R20&gt;T20)),Setup!$D$12,IF(AND((K20&gt;I20),(T20&gt;R20)),Setup!$D$12,0)))),"")</f>
        <v/>
      </c>
      <c r="AE20" s="183"/>
      <c r="CP20" s="168"/>
      <c r="CQ20" s="186"/>
      <c r="CR20" s="187"/>
      <c r="CS20" s="168"/>
    </row>
    <row r="21" spans="2:97" s="166" customFormat="1" ht="15" customHeight="1">
      <c r="B21" s="182"/>
      <c r="C21" s="181">
        <f>Tournament!D22</f>
        <v>7</v>
      </c>
      <c r="D21" s="181" t="str">
        <f>Tournament!E22</f>
        <v>D</v>
      </c>
      <c r="E21" s="188">
        <f>Tournament!F22</f>
        <v>41804.666666666664</v>
      </c>
      <c r="F21" s="189">
        <f>Tournament!G22</f>
        <v>41804.666666666664</v>
      </c>
      <c r="G21" s="190" t="str">
        <f>Tournament!H22</f>
        <v>Uruguay</v>
      </c>
      <c r="H21" s="180"/>
      <c r="I21" s="9"/>
      <c r="J21" s="191" t="s">
        <v>3088</v>
      </c>
      <c r="K21" s="9"/>
      <c r="L21" s="180"/>
      <c r="M21" s="180" t="str">
        <f>Tournament!N22</f>
        <v>Costa Rica</v>
      </c>
      <c r="N21" s="183"/>
      <c r="P21" s="192" t="str">
        <f t="shared" si="0"/>
        <v>Uruguay</v>
      </c>
      <c r="Q21" s="193"/>
      <c r="R21" s="194" t="str">
        <f>IF(Tournament!J22&lt;&gt;"",Tournament!J22,"")</f>
        <v/>
      </c>
      <c r="S21" s="194" t="s">
        <v>3088</v>
      </c>
      <c r="T21" s="194" t="str">
        <f>IF(Tournament!L22&lt;&gt;"",Tournament!L22,"")</f>
        <v/>
      </c>
      <c r="U21" s="193"/>
      <c r="V21" s="193" t="str">
        <f t="shared" si="1"/>
        <v>Costa Rica</v>
      </c>
      <c r="W21" s="194"/>
      <c r="X21" s="194"/>
      <c r="Y21" s="194"/>
      <c r="Z21" s="194"/>
      <c r="AA21" s="194"/>
      <c r="AB21" s="194"/>
      <c r="AC21" s="194"/>
      <c r="AD21" s="195" t="str">
        <f>IF(AND(I21&lt;&gt;"",K21&lt;&gt;"",R21&lt;&gt;"",T21&lt;&gt;""),IF(AND(I21=R21,K21=T21),Setup!$D$10,IF((I21-K21)=(R21-T21),Setup!$D$11,IF(AND((I21&gt;K21),(R21&gt;T21)),Setup!$D$12,IF(AND((K21&gt;I21),(T21&gt;R21)),Setup!$D$12,0)))),"")</f>
        <v/>
      </c>
      <c r="AE21" s="183"/>
      <c r="CP21" s="168"/>
      <c r="CQ21" s="196"/>
      <c r="CR21" s="187"/>
      <c r="CS21" s="168"/>
    </row>
    <row r="22" spans="2:97" s="166" customFormat="1" ht="15" customHeight="1">
      <c r="B22" s="182"/>
      <c r="C22" s="181">
        <f>Tournament!D23</f>
        <v>8</v>
      </c>
      <c r="D22" s="181" t="str">
        <f>Tournament!E23</f>
        <v>D</v>
      </c>
      <c r="E22" s="188">
        <f>Tournament!F23</f>
        <v>41804.791666666664</v>
      </c>
      <c r="F22" s="189">
        <f>Tournament!G23</f>
        <v>41804.791666666664</v>
      </c>
      <c r="G22" s="190" t="str">
        <f>Tournament!H23</f>
        <v>England</v>
      </c>
      <c r="H22" s="180"/>
      <c r="I22" s="9"/>
      <c r="J22" s="191" t="s">
        <v>3088</v>
      </c>
      <c r="K22" s="9"/>
      <c r="L22" s="180"/>
      <c r="M22" s="180" t="str">
        <f>Tournament!N23</f>
        <v>Italy</v>
      </c>
      <c r="N22" s="183"/>
      <c r="P22" s="192" t="str">
        <f t="shared" si="0"/>
        <v>England</v>
      </c>
      <c r="Q22" s="193"/>
      <c r="R22" s="194" t="str">
        <f>IF(Tournament!J23&lt;&gt;"",Tournament!J23,"")</f>
        <v/>
      </c>
      <c r="S22" s="194" t="s">
        <v>3088</v>
      </c>
      <c r="T22" s="194" t="str">
        <f>IF(Tournament!L23&lt;&gt;"",Tournament!L23,"")</f>
        <v/>
      </c>
      <c r="U22" s="193"/>
      <c r="V22" s="193" t="str">
        <f t="shared" si="1"/>
        <v>Italy</v>
      </c>
      <c r="W22" s="194"/>
      <c r="X22" s="194"/>
      <c r="Y22" s="194"/>
      <c r="Z22" s="194"/>
      <c r="AA22" s="194"/>
      <c r="AB22" s="194"/>
      <c r="AC22" s="194"/>
      <c r="AD22" s="195" t="str">
        <f>IF(AND(I22&lt;&gt;"",K22&lt;&gt;"",R22&lt;&gt;"",T22&lt;&gt;""),IF(AND(I22=R22,K22=T22),Setup!$D$10,IF((I22-K22)=(R22-T22),Setup!$D$11,IF(AND((I22&gt;K22),(R22&gt;T22)),Setup!$D$12,IF(AND((K22&gt;I22),(T22&gt;R22)),Setup!$D$12,0)))),"")</f>
        <v/>
      </c>
      <c r="AE22" s="183"/>
      <c r="CP22" s="168"/>
      <c r="CQ22" s="186"/>
      <c r="CR22" s="187"/>
      <c r="CS22" s="168"/>
    </row>
    <row r="23" spans="2:97" s="166" customFormat="1" ht="15" customHeight="1">
      <c r="B23" s="182"/>
      <c r="C23" s="181">
        <f>Tournament!D24</f>
        <v>9</v>
      </c>
      <c r="D23" s="181" t="str">
        <f>Tournament!E24</f>
        <v>E</v>
      </c>
      <c r="E23" s="188">
        <f>Tournament!F24</f>
        <v>41805.541666666664</v>
      </c>
      <c r="F23" s="189">
        <f>Tournament!G24</f>
        <v>41805.541666666664</v>
      </c>
      <c r="G23" s="190" t="str">
        <f>Tournament!H24</f>
        <v>Switzerland</v>
      </c>
      <c r="H23" s="180"/>
      <c r="I23" s="9"/>
      <c r="J23" s="191" t="s">
        <v>3088</v>
      </c>
      <c r="K23" s="9"/>
      <c r="L23" s="180"/>
      <c r="M23" s="180" t="str">
        <f>Tournament!N24</f>
        <v>Ecuador</v>
      </c>
      <c r="N23" s="183"/>
      <c r="P23" s="192" t="str">
        <f t="shared" si="0"/>
        <v>Switzerland</v>
      </c>
      <c r="Q23" s="193"/>
      <c r="R23" s="194" t="str">
        <f>IF(Tournament!J24&lt;&gt;"",Tournament!J24,"")</f>
        <v/>
      </c>
      <c r="S23" s="194" t="s">
        <v>3088</v>
      </c>
      <c r="T23" s="194" t="str">
        <f>IF(Tournament!L24&lt;&gt;"",Tournament!L24,"")</f>
        <v/>
      </c>
      <c r="U23" s="193"/>
      <c r="V23" s="193" t="str">
        <f t="shared" si="1"/>
        <v>Ecuador</v>
      </c>
      <c r="W23" s="194"/>
      <c r="X23" s="194"/>
      <c r="Y23" s="194"/>
      <c r="Z23" s="194"/>
      <c r="AA23" s="194"/>
      <c r="AB23" s="194"/>
      <c r="AC23" s="194"/>
      <c r="AD23" s="195" t="str">
        <f>IF(AND(I23&lt;&gt;"",K23&lt;&gt;"",R23&lt;&gt;"",T23&lt;&gt;""),IF(AND(I23=R23,K23=T23),Setup!$D$10,IF((I23-K23)=(R23-T23),Setup!$D$11,IF(AND((I23&gt;K23),(R23&gt;T23)),Setup!$D$12,IF(AND((K23&gt;I23),(T23&gt;R23)),Setup!$D$12,0)))),"")</f>
        <v/>
      </c>
      <c r="AE23" s="183"/>
      <c r="CP23" s="168"/>
      <c r="CQ23" s="186"/>
      <c r="CR23" s="187"/>
      <c r="CS23" s="168"/>
    </row>
    <row r="24" spans="2:97" s="166" customFormat="1" ht="15" customHeight="1">
      <c r="B24" s="182"/>
      <c r="C24" s="181">
        <f>Tournament!D25</f>
        <v>10</v>
      </c>
      <c r="D24" s="181" t="str">
        <f>Tournament!E25</f>
        <v>E</v>
      </c>
      <c r="E24" s="188">
        <f>Tournament!F25</f>
        <v>41805.666666666664</v>
      </c>
      <c r="F24" s="189">
        <f>Tournament!G25</f>
        <v>41805.666666666664</v>
      </c>
      <c r="G24" s="190" t="str">
        <f>Tournament!H25</f>
        <v>France</v>
      </c>
      <c r="H24" s="180"/>
      <c r="I24" s="9"/>
      <c r="J24" s="191" t="s">
        <v>3088</v>
      </c>
      <c r="K24" s="9"/>
      <c r="L24" s="180"/>
      <c r="M24" s="180" t="str">
        <f>Tournament!N25</f>
        <v>Honduras</v>
      </c>
      <c r="N24" s="183"/>
      <c r="P24" s="192" t="str">
        <f t="shared" si="0"/>
        <v>France</v>
      </c>
      <c r="Q24" s="193"/>
      <c r="R24" s="194" t="str">
        <f>IF(Tournament!J25&lt;&gt;"",Tournament!J25,"")</f>
        <v/>
      </c>
      <c r="S24" s="194" t="s">
        <v>3088</v>
      </c>
      <c r="T24" s="194" t="str">
        <f>IF(Tournament!L25&lt;&gt;"",Tournament!L25,"")</f>
        <v/>
      </c>
      <c r="U24" s="193"/>
      <c r="V24" s="193" t="str">
        <f t="shared" si="1"/>
        <v>Honduras</v>
      </c>
      <c r="W24" s="194"/>
      <c r="X24" s="194"/>
      <c r="Y24" s="194"/>
      <c r="Z24" s="194"/>
      <c r="AA24" s="194"/>
      <c r="AB24" s="194"/>
      <c r="AC24" s="194"/>
      <c r="AD24" s="195" t="str">
        <f>IF(AND(I24&lt;&gt;"",K24&lt;&gt;"",R24&lt;&gt;"",T24&lt;&gt;""),IF(AND(I24=R24,K24=T24),Setup!$D$10,IF((I24-K24)=(R24-T24),Setup!$D$11,IF(AND((I24&gt;K24),(R24&gt;T24)),Setup!$D$12,IF(AND((K24&gt;I24),(T24&gt;R24)),Setup!$D$12,0)))),"")</f>
        <v/>
      </c>
      <c r="AE24" s="183"/>
      <c r="CP24" s="168"/>
      <c r="CQ24" s="186"/>
      <c r="CR24" s="187"/>
      <c r="CS24" s="168"/>
    </row>
    <row r="25" spans="2:97" s="166" customFormat="1" ht="15" customHeight="1">
      <c r="B25" s="182"/>
      <c r="C25" s="181">
        <f>Tournament!D26</f>
        <v>11</v>
      </c>
      <c r="D25" s="181" t="str">
        <f>Tournament!E26</f>
        <v>F</v>
      </c>
      <c r="E25" s="188">
        <f>Tournament!F26</f>
        <v>41805.791666666664</v>
      </c>
      <c r="F25" s="189">
        <f>Tournament!G26</f>
        <v>41805.791666666664</v>
      </c>
      <c r="G25" s="190" t="str">
        <f>Tournament!H26</f>
        <v>Argentina</v>
      </c>
      <c r="H25" s="180"/>
      <c r="I25" s="9"/>
      <c r="J25" s="191" t="s">
        <v>3088</v>
      </c>
      <c r="K25" s="9"/>
      <c r="L25" s="180"/>
      <c r="M25" s="180" t="str">
        <f>Tournament!N26</f>
        <v>Bosnia-Herzegovina</v>
      </c>
      <c r="N25" s="183"/>
      <c r="P25" s="192" t="str">
        <f t="shared" si="0"/>
        <v>Argentina</v>
      </c>
      <c r="Q25" s="193"/>
      <c r="R25" s="194" t="str">
        <f>IF(Tournament!J26&lt;&gt;"",Tournament!J26,"")</f>
        <v/>
      </c>
      <c r="S25" s="194" t="s">
        <v>3088</v>
      </c>
      <c r="T25" s="194" t="str">
        <f>IF(Tournament!L26&lt;&gt;"",Tournament!L26,"")</f>
        <v/>
      </c>
      <c r="U25" s="193"/>
      <c r="V25" s="193" t="str">
        <f t="shared" si="1"/>
        <v>Bosnia-Herzegovina</v>
      </c>
      <c r="W25" s="194"/>
      <c r="X25" s="194"/>
      <c r="Y25" s="194"/>
      <c r="Z25" s="194"/>
      <c r="AA25" s="194"/>
      <c r="AB25" s="194"/>
      <c r="AC25" s="194"/>
      <c r="AD25" s="195" t="str">
        <f>IF(AND(I25&lt;&gt;"",K25&lt;&gt;"",R25&lt;&gt;"",T25&lt;&gt;""),IF(AND(I25=R25,K25=T25),Setup!$D$10,IF((I25-K25)=(R25-T25),Setup!$D$11,IF(AND((I25&gt;K25),(R25&gt;T25)),Setup!$D$12,IF(AND((K25&gt;I25),(T25&gt;R25)),Setup!$D$12,0)))),"")</f>
        <v/>
      </c>
      <c r="AE25" s="183"/>
      <c r="CP25" s="168"/>
      <c r="CQ25" s="186"/>
      <c r="CR25" s="187"/>
      <c r="CS25" s="168"/>
    </row>
    <row r="26" spans="2:97" s="166" customFormat="1" ht="15" customHeight="1">
      <c r="B26" s="182"/>
      <c r="C26" s="181">
        <f>Tournament!D27</f>
        <v>12</v>
      </c>
      <c r="D26" s="181" t="str">
        <f>Tournament!E27</f>
        <v>F</v>
      </c>
      <c r="E26" s="188">
        <f>Tournament!F27</f>
        <v>41806.666666666664</v>
      </c>
      <c r="F26" s="189">
        <f>Tournament!G27</f>
        <v>41806.666666666664</v>
      </c>
      <c r="G26" s="190" t="str">
        <f>Tournament!H27</f>
        <v>Iran</v>
      </c>
      <c r="H26" s="180"/>
      <c r="I26" s="9"/>
      <c r="J26" s="191" t="s">
        <v>3088</v>
      </c>
      <c r="K26" s="9"/>
      <c r="L26" s="180"/>
      <c r="M26" s="180" t="str">
        <f>Tournament!N27</f>
        <v>Nigeria</v>
      </c>
      <c r="N26" s="183"/>
      <c r="P26" s="192" t="str">
        <f t="shared" si="0"/>
        <v>Iran</v>
      </c>
      <c r="Q26" s="193"/>
      <c r="R26" s="194" t="str">
        <f>IF(Tournament!J27&lt;&gt;"",Tournament!J27,"")</f>
        <v/>
      </c>
      <c r="S26" s="194" t="s">
        <v>3088</v>
      </c>
      <c r="T26" s="194" t="str">
        <f>IF(Tournament!L27&lt;&gt;"",Tournament!L27,"")</f>
        <v/>
      </c>
      <c r="U26" s="193"/>
      <c r="V26" s="193" t="str">
        <f t="shared" si="1"/>
        <v>Nigeria</v>
      </c>
      <c r="W26" s="194"/>
      <c r="X26" s="194"/>
      <c r="Y26" s="194"/>
      <c r="Z26" s="194"/>
      <c r="AA26" s="194"/>
      <c r="AB26" s="194"/>
      <c r="AC26" s="194"/>
      <c r="AD26" s="195" t="str">
        <f>IF(AND(I26&lt;&gt;"",K26&lt;&gt;"",R26&lt;&gt;"",T26&lt;&gt;""),IF(AND(I26=R26,K26=T26),Setup!$D$10,IF((I26-K26)=(R26-T26),Setup!$D$11,IF(AND((I26&gt;K26),(R26&gt;T26)),Setup!$D$12,IF(AND((K26&gt;I26),(T26&gt;R26)),Setup!$D$12,0)))),"")</f>
        <v/>
      </c>
      <c r="AE26" s="183"/>
      <c r="CP26" s="168"/>
      <c r="CQ26" s="186"/>
      <c r="CR26" s="187"/>
      <c r="CS26" s="168"/>
    </row>
    <row r="27" spans="2:97" s="166" customFormat="1" ht="15" customHeight="1">
      <c r="B27" s="182"/>
      <c r="C27" s="181">
        <f>Tournament!D28</f>
        <v>13</v>
      </c>
      <c r="D27" s="181" t="str">
        <f>Tournament!E28</f>
        <v>G</v>
      </c>
      <c r="E27" s="188">
        <f>Tournament!F28</f>
        <v>41806.541666666664</v>
      </c>
      <c r="F27" s="189">
        <f>Tournament!G28</f>
        <v>41806.541666666664</v>
      </c>
      <c r="G27" s="190" t="str">
        <f>Tournament!H28</f>
        <v>Germany</v>
      </c>
      <c r="H27" s="180"/>
      <c r="I27" s="9"/>
      <c r="J27" s="191" t="s">
        <v>3088</v>
      </c>
      <c r="K27" s="9"/>
      <c r="L27" s="180"/>
      <c r="M27" s="180" t="str">
        <f>Tournament!N28</f>
        <v>Portugal</v>
      </c>
      <c r="N27" s="183"/>
      <c r="P27" s="192" t="str">
        <f t="shared" si="0"/>
        <v>Germany</v>
      </c>
      <c r="Q27" s="193"/>
      <c r="R27" s="194" t="str">
        <f>IF(Tournament!J28&lt;&gt;"",Tournament!J28,"")</f>
        <v/>
      </c>
      <c r="S27" s="194" t="s">
        <v>3088</v>
      </c>
      <c r="T27" s="194" t="str">
        <f>IF(Tournament!L28&lt;&gt;"",Tournament!L28,"")</f>
        <v/>
      </c>
      <c r="U27" s="193"/>
      <c r="V27" s="193" t="str">
        <f t="shared" si="1"/>
        <v>Portugal</v>
      </c>
      <c r="W27" s="194"/>
      <c r="X27" s="194"/>
      <c r="Y27" s="194"/>
      <c r="Z27" s="194"/>
      <c r="AA27" s="194"/>
      <c r="AB27" s="194"/>
      <c r="AC27" s="194"/>
      <c r="AD27" s="195" t="str">
        <f>IF(AND(I27&lt;&gt;"",K27&lt;&gt;"",R27&lt;&gt;"",T27&lt;&gt;""),IF(AND(I27=R27,K27=T27),Setup!$D$10,IF((I27-K27)=(R27-T27),Setup!$D$11,IF(AND((I27&gt;K27),(R27&gt;T27)),Setup!$D$12,IF(AND((K27&gt;I27),(T27&gt;R27)),Setup!$D$12,0)))),"")</f>
        <v/>
      </c>
      <c r="AE27" s="183"/>
      <c r="CP27" s="168"/>
      <c r="CQ27" s="186"/>
      <c r="CR27" s="187"/>
      <c r="CS27" s="168"/>
    </row>
    <row r="28" spans="2:97" s="166" customFormat="1" ht="15" customHeight="1">
      <c r="B28" s="182"/>
      <c r="C28" s="181">
        <f>Tournament!D29</f>
        <v>14</v>
      </c>
      <c r="D28" s="181" t="str">
        <f>Tournament!E29</f>
        <v>G</v>
      </c>
      <c r="E28" s="188">
        <f>Tournament!F29</f>
        <v>41806.791666666664</v>
      </c>
      <c r="F28" s="189">
        <f>Tournament!G29</f>
        <v>41806.791666666664</v>
      </c>
      <c r="G28" s="190" t="str">
        <f>Tournament!H29</f>
        <v>Ghana</v>
      </c>
      <c r="H28" s="180"/>
      <c r="I28" s="9"/>
      <c r="J28" s="191" t="s">
        <v>3088</v>
      </c>
      <c r="K28" s="9"/>
      <c r="L28" s="180"/>
      <c r="M28" s="180" t="str">
        <f>Tournament!N29</f>
        <v>USA</v>
      </c>
      <c r="N28" s="183"/>
      <c r="P28" s="192" t="str">
        <f t="shared" si="0"/>
        <v>Ghana</v>
      </c>
      <c r="Q28" s="193"/>
      <c r="R28" s="194" t="str">
        <f>IF(Tournament!J29&lt;&gt;"",Tournament!J29,"")</f>
        <v/>
      </c>
      <c r="S28" s="194" t="s">
        <v>3088</v>
      </c>
      <c r="T28" s="194" t="str">
        <f>IF(Tournament!L29&lt;&gt;"",Tournament!L29,"")</f>
        <v/>
      </c>
      <c r="U28" s="193"/>
      <c r="V28" s="193" t="str">
        <f t="shared" si="1"/>
        <v>USA</v>
      </c>
      <c r="W28" s="194"/>
      <c r="X28" s="194"/>
      <c r="Y28" s="194"/>
      <c r="Z28" s="194"/>
      <c r="AA28" s="194"/>
      <c r="AB28" s="194"/>
      <c r="AC28" s="194"/>
      <c r="AD28" s="195" t="str">
        <f>IF(AND(I28&lt;&gt;"",K28&lt;&gt;"",R28&lt;&gt;"",T28&lt;&gt;""),IF(AND(I28=R28,K28=T28),Setup!$D$10,IF((I28-K28)=(R28-T28),Setup!$D$11,IF(AND((I28&gt;K28),(R28&gt;T28)),Setup!$D$12,IF(AND((K28&gt;I28),(T28&gt;R28)),Setup!$D$12,0)))),"")</f>
        <v/>
      </c>
      <c r="AE28" s="183"/>
      <c r="CP28" s="168"/>
      <c r="CQ28" s="186"/>
      <c r="CR28" s="187"/>
      <c r="CS28" s="168"/>
    </row>
    <row r="29" spans="2:97" s="166" customFormat="1" ht="15" customHeight="1">
      <c r="B29" s="182"/>
      <c r="C29" s="181">
        <f>Tournament!D30</f>
        <v>15</v>
      </c>
      <c r="D29" s="181" t="str">
        <f>Tournament!E30</f>
        <v>H</v>
      </c>
      <c r="E29" s="188">
        <f>Tournament!F30</f>
        <v>41807.541666666664</v>
      </c>
      <c r="F29" s="189">
        <f>Tournament!G30</f>
        <v>41807.541666666664</v>
      </c>
      <c r="G29" s="190" t="str">
        <f>Tournament!H30</f>
        <v>Belgium</v>
      </c>
      <c r="H29" s="180"/>
      <c r="I29" s="9"/>
      <c r="J29" s="191" t="s">
        <v>3088</v>
      </c>
      <c r="K29" s="9"/>
      <c r="L29" s="180"/>
      <c r="M29" s="180" t="str">
        <f>Tournament!N30</f>
        <v>Algeria</v>
      </c>
      <c r="N29" s="183"/>
      <c r="P29" s="192" t="str">
        <f t="shared" si="0"/>
        <v>Belgium</v>
      </c>
      <c r="Q29" s="193"/>
      <c r="R29" s="194" t="str">
        <f>IF(Tournament!J30&lt;&gt;"",Tournament!J30,"")</f>
        <v/>
      </c>
      <c r="S29" s="194" t="s">
        <v>3088</v>
      </c>
      <c r="T29" s="194" t="str">
        <f>IF(Tournament!L30&lt;&gt;"",Tournament!L30,"")</f>
        <v/>
      </c>
      <c r="U29" s="193"/>
      <c r="V29" s="193" t="str">
        <f t="shared" si="1"/>
        <v>Algeria</v>
      </c>
      <c r="W29" s="194"/>
      <c r="X29" s="194"/>
      <c r="Y29" s="194"/>
      <c r="Z29" s="194"/>
      <c r="AA29" s="194"/>
      <c r="AB29" s="194"/>
      <c r="AC29" s="194"/>
      <c r="AD29" s="195" t="str">
        <f>IF(AND(I29&lt;&gt;"",K29&lt;&gt;"",R29&lt;&gt;"",T29&lt;&gt;""),IF(AND(I29=R29,K29=T29),Setup!$D$10,IF((I29-K29)=(R29-T29),Setup!$D$11,IF(AND((I29&gt;K29),(R29&gt;T29)),Setup!$D$12,IF(AND((K29&gt;I29),(T29&gt;R29)),Setup!$D$12,0)))),"")</f>
        <v/>
      </c>
      <c r="AE29" s="183"/>
      <c r="CP29" s="168"/>
      <c r="CQ29" s="186"/>
      <c r="CR29" s="187"/>
      <c r="CS29" s="168"/>
    </row>
    <row r="30" spans="2:97" s="166" customFormat="1" ht="15" customHeight="1">
      <c r="B30" s="182"/>
      <c r="C30" s="181">
        <f>Tournament!D31</f>
        <v>16</v>
      </c>
      <c r="D30" s="181" t="str">
        <f>Tournament!E31</f>
        <v>H</v>
      </c>
      <c r="E30" s="188">
        <f>Tournament!F31</f>
        <v>41807.791666666664</v>
      </c>
      <c r="F30" s="189">
        <f>Tournament!G31</f>
        <v>41807.791666666664</v>
      </c>
      <c r="G30" s="190" t="str">
        <f>Tournament!H31</f>
        <v>Russia</v>
      </c>
      <c r="H30" s="180"/>
      <c r="I30" s="9"/>
      <c r="J30" s="191" t="s">
        <v>3088</v>
      </c>
      <c r="K30" s="9"/>
      <c r="L30" s="180"/>
      <c r="M30" s="180" t="str">
        <f>Tournament!N31</f>
        <v>South Korea</v>
      </c>
      <c r="N30" s="183"/>
      <c r="P30" s="192" t="str">
        <f t="shared" si="0"/>
        <v>Russia</v>
      </c>
      <c r="Q30" s="193"/>
      <c r="R30" s="194" t="str">
        <f>IF(Tournament!J31&lt;&gt;"",Tournament!J31,"")</f>
        <v/>
      </c>
      <c r="S30" s="194" t="s">
        <v>3088</v>
      </c>
      <c r="T30" s="194" t="str">
        <f>IF(Tournament!L31&lt;&gt;"",Tournament!L31,"")</f>
        <v/>
      </c>
      <c r="U30" s="193"/>
      <c r="V30" s="193" t="str">
        <f t="shared" si="1"/>
        <v>South Korea</v>
      </c>
      <c r="W30" s="194"/>
      <c r="X30" s="194"/>
      <c r="Y30" s="194"/>
      <c r="Z30" s="194"/>
      <c r="AA30" s="194"/>
      <c r="AB30" s="194"/>
      <c r="AC30" s="194"/>
      <c r="AD30" s="195" t="str">
        <f>IF(AND(I30&lt;&gt;"",K30&lt;&gt;"",R30&lt;&gt;"",T30&lt;&gt;""),IF(AND(I30=R30,K30=T30),Setup!$D$10,IF((I30-K30)=(R30-T30),Setup!$D$11,IF(AND((I30&gt;K30),(R30&gt;T30)),Setup!$D$12,IF(AND((K30&gt;I30),(T30&gt;R30)),Setup!$D$12,0)))),"")</f>
        <v/>
      </c>
      <c r="AE30" s="183"/>
      <c r="CP30" s="168"/>
      <c r="CQ30" s="186"/>
      <c r="CR30" s="187"/>
      <c r="CS30" s="168"/>
    </row>
    <row r="31" spans="2:97" s="166" customFormat="1" ht="15" customHeight="1">
      <c r="B31" s="182"/>
      <c r="C31" s="181">
        <f>Tournament!D32</f>
        <v>17</v>
      </c>
      <c r="D31" s="181" t="str">
        <f>Tournament!E32</f>
        <v>A</v>
      </c>
      <c r="E31" s="188">
        <f>Tournament!F32</f>
        <v>41807.666666666664</v>
      </c>
      <c r="F31" s="189">
        <f>Tournament!G32</f>
        <v>41807.666666666664</v>
      </c>
      <c r="G31" s="190" t="str">
        <f>Tournament!H32</f>
        <v>Brazil</v>
      </c>
      <c r="H31" s="180"/>
      <c r="I31" s="9"/>
      <c r="J31" s="191" t="s">
        <v>3088</v>
      </c>
      <c r="K31" s="9"/>
      <c r="L31" s="180"/>
      <c r="M31" s="180" t="str">
        <f>Tournament!N32</f>
        <v>Mexico</v>
      </c>
      <c r="N31" s="183"/>
      <c r="P31" s="192" t="str">
        <f t="shared" si="0"/>
        <v>Brazil</v>
      </c>
      <c r="Q31" s="193"/>
      <c r="R31" s="194" t="str">
        <f>IF(Tournament!J32&lt;&gt;"",Tournament!J32,"")</f>
        <v/>
      </c>
      <c r="S31" s="194" t="s">
        <v>3088</v>
      </c>
      <c r="T31" s="194" t="str">
        <f>IF(Tournament!L32&lt;&gt;"",Tournament!L32,"")</f>
        <v/>
      </c>
      <c r="U31" s="193"/>
      <c r="V31" s="193" t="str">
        <f t="shared" si="1"/>
        <v>Mexico</v>
      </c>
      <c r="W31" s="194"/>
      <c r="X31" s="194"/>
      <c r="Y31" s="194"/>
      <c r="Z31" s="194"/>
      <c r="AA31" s="194"/>
      <c r="AB31" s="194"/>
      <c r="AC31" s="194"/>
      <c r="AD31" s="195" t="str">
        <f>IF(AND(I31&lt;&gt;"",K31&lt;&gt;"",R31&lt;&gt;"",T31&lt;&gt;""),IF(AND(I31=R31,K31=T31),Setup!$D$10,IF((I31-K31)=(R31-T31),Setup!$D$11,IF(AND((I31&gt;K31),(R31&gt;T31)),Setup!$D$12,IF(AND((K31&gt;I31),(T31&gt;R31)),Setup!$D$12,0)))),"")</f>
        <v/>
      </c>
      <c r="AE31" s="183"/>
      <c r="CP31" s="168"/>
      <c r="CQ31" s="186"/>
      <c r="CR31" s="187"/>
      <c r="CS31" s="168"/>
    </row>
    <row r="32" spans="2:97" s="166" customFormat="1" ht="15" customHeight="1">
      <c r="B32" s="182"/>
      <c r="C32" s="181">
        <f>Tournament!D33</f>
        <v>18</v>
      </c>
      <c r="D32" s="181" t="str">
        <f>Tournament!E33</f>
        <v>A</v>
      </c>
      <c r="E32" s="188">
        <f>Tournament!F33</f>
        <v>41808.791666666664</v>
      </c>
      <c r="F32" s="189">
        <f>Tournament!G33</f>
        <v>41808.791666666664</v>
      </c>
      <c r="G32" s="190" t="str">
        <f>Tournament!H33</f>
        <v>Cameroon</v>
      </c>
      <c r="H32" s="180"/>
      <c r="I32" s="9"/>
      <c r="J32" s="191" t="s">
        <v>3088</v>
      </c>
      <c r="K32" s="9"/>
      <c r="L32" s="180"/>
      <c r="M32" s="180" t="str">
        <f>Tournament!N33</f>
        <v>Croatia</v>
      </c>
      <c r="N32" s="183"/>
      <c r="P32" s="192" t="str">
        <f t="shared" si="0"/>
        <v>Cameroon</v>
      </c>
      <c r="Q32" s="193"/>
      <c r="R32" s="194" t="str">
        <f>IF(Tournament!J33&lt;&gt;"",Tournament!J33,"")</f>
        <v/>
      </c>
      <c r="S32" s="194" t="s">
        <v>3088</v>
      </c>
      <c r="T32" s="194" t="str">
        <f>IF(Tournament!L33&lt;&gt;"",Tournament!L33,"")</f>
        <v/>
      </c>
      <c r="U32" s="193"/>
      <c r="V32" s="193" t="str">
        <f t="shared" si="1"/>
        <v>Croatia</v>
      </c>
      <c r="W32" s="194"/>
      <c r="X32" s="194"/>
      <c r="Y32" s="194"/>
      <c r="Z32" s="194"/>
      <c r="AA32" s="194"/>
      <c r="AB32" s="194"/>
      <c r="AC32" s="194"/>
      <c r="AD32" s="195" t="str">
        <f>IF(AND(I32&lt;&gt;"",K32&lt;&gt;"",R32&lt;&gt;"",T32&lt;&gt;""),IF(AND(I32=R32,K32=T32),Setup!$D$10,IF((I32-K32)=(R32-T32),Setup!$D$11,IF(AND((I32&gt;K32),(R32&gt;T32)),Setup!$D$12,IF(AND((K32&gt;I32),(T32&gt;R32)),Setup!$D$12,0)))),"")</f>
        <v/>
      </c>
      <c r="AE32" s="183"/>
      <c r="CP32" s="168"/>
      <c r="CQ32" s="186"/>
      <c r="CR32" s="187"/>
      <c r="CS32" s="168"/>
    </row>
    <row r="33" spans="2:97" s="166" customFormat="1" ht="15" customHeight="1">
      <c r="B33" s="182"/>
      <c r="C33" s="181">
        <f>Tournament!D34</f>
        <v>19</v>
      </c>
      <c r="D33" s="181" t="str">
        <f>Tournament!E34</f>
        <v>B</v>
      </c>
      <c r="E33" s="188">
        <f>Tournament!F34</f>
        <v>41808.666666666664</v>
      </c>
      <c r="F33" s="189">
        <f>Tournament!G34</f>
        <v>41808.666666666664</v>
      </c>
      <c r="G33" s="190" t="str">
        <f>Tournament!H34</f>
        <v>Spain</v>
      </c>
      <c r="H33" s="180"/>
      <c r="I33" s="9"/>
      <c r="J33" s="191" t="s">
        <v>3088</v>
      </c>
      <c r="K33" s="9"/>
      <c r="L33" s="180"/>
      <c r="M33" s="180" t="str">
        <f>Tournament!N34</f>
        <v>Chile</v>
      </c>
      <c r="N33" s="183"/>
      <c r="P33" s="192" t="str">
        <f t="shared" si="0"/>
        <v>Spain</v>
      </c>
      <c r="Q33" s="193"/>
      <c r="R33" s="194" t="str">
        <f>IF(Tournament!J34&lt;&gt;"",Tournament!J34,"")</f>
        <v/>
      </c>
      <c r="S33" s="194" t="s">
        <v>3088</v>
      </c>
      <c r="T33" s="194" t="str">
        <f>IF(Tournament!L34&lt;&gt;"",Tournament!L34,"")</f>
        <v/>
      </c>
      <c r="U33" s="193"/>
      <c r="V33" s="193" t="str">
        <f t="shared" si="1"/>
        <v>Chile</v>
      </c>
      <c r="W33" s="194"/>
      <c r="X33" s="194"/>
      <c r="Y33" s="194"/>
      <c r="Z33" s="194"/>
      <c r="AA33" s="194"/>
      <c r="AB33" s="194"/>
      <c r="AC33" s="194"/>
      <c r="AD33" s="195" t="str">
        <f>IF(AND(I33&lt;&gt;"",K33&lt;&gt;"",R33&lt;&gt;"",T33&lt;&gt;""),IF(AND(I33=R33,K33=T33),Setup!$D$10,IF((I33-K33)=(R33-T33),Setup!$D$11,IF(AND((I33&gt;K33),(R33&gt;T33)),Setup!$D$12,IF(AND((K33&gt;I33),(T33&gt;R33)),Setup!$D$12,0)))),"")</f>
        <v/>
      </c>
      <c r="AE33" s="183"/>
      <c r="CP33" s="168"/>
      <c r="CQ33" s="186"/>
      <c r="CR33" s="187"/>
      <c r="CS33" s="168"/>
    </row>
    <row r="34" spans="2:97" s="166" customFormat="1" ht="15" customHeight="1">
      <c r="B34" s="182"/>
      <c r="C34" s="181">
        <f>Tournament!D35</f>
        <v>20</v>
      </c>
      <c r="D34" s="181" t="str">
        <f>Tournament!E35</f>
        <v>B</v>
      </c>
      <c r="E34" s="188">
        <f>Tournament!F35</f>
        <v>41808.541666666664</v>
      </c>
      <c r="F34" s="189">
        <f>Tournament!G35</f>
        <v>41808.541666666664</v>
      </c>
      <c r="G34" s="190" t="str">
        <f>Tournament!H35</f>
        <v>Australia</v>
      </c>
      <c r="H34" s="180"/>
      <c r="I34" s="9"/>
      <c r="J34" s="191" t="s">
        <v>3088</v>
      </c>
      <c r="K34" s="9"/>
      <c r="L34" s="180"/>
      <c r="M34" s="180" t="str">
        <f>Tournament!N35</f>
        <v>Netherlands</v>
      </c>
      <c r="N34" s="183"/>
      <c r="P34" s="192" t="str">
        <f t="shared" si="0"/>
        <v>Australia</v>
      </c>
      <c r="Q34" s="193"/>
      <c r="R34" s="194" t="str">
        <f>IF(Tournament!J35&lt;&gt;"",Tournament!J35,"")</f>
        <v/>
      </c>
      <c r="S34" s="194" t="s">
        <v>3088</v>
      </c>
      <c r="T34" s="194" t="str">
        <f>IF(Tournament!L35&lt;&gt;"",Tournament!L35,"")</f>
        <v/>
      </c>
      <c r="U34" s="193"/>
      <c r="V34" s="193" t="str">
        <f t="shared" si="1"/>
        <v>Netherlands</v>
      </c>
      <c r="W34" s="194"/>
      <c r="X34" s="194"/>
      <c r="Y34" s="194"/>
      <c r="Z34" s="194"/>
      <c r="AA34" s="194"/>
      <c r="AB34" s="194"/>
      <c r="AC34" s="194"/>
      <c r="AD34" s="195" t="str">
        <f>IF(AND(I34&lt;&gt;"",K34&lt;&gt;"",R34&lt;&gt;"",T34&lt;&gt;""),IF(AND(I34=R34,K34=T34),Setup!$D$10,IF((I34-K34)=(R34-T34),Setup!$D$11,IF(AND((I34&gt;K34),(R34&gt;T34)),Setup!$D$12,IF(AND((K34&gt;I34),(T34&gt;R34)),Setup!$D$12,0)))),"")</f>
        <v/>
      </c>
      <c r="AE34" s="183"/>
      <c r="CP34" s="168"/>
      <c r="CQ34" s="186"/>
      <c r="CR34" s="187"/>
      <c r="CS34" s="168"/>
    </row>
    <row r="35" spans="2:97" s="166" customFormat="1" ht="15" customHeight="1">
      <c r="B35" s="182"/>
      <c r="C35" s="181">
        <f>Tournament!D36</f>
        <v>21</v>
      </c>
      <c r="D35" s="181" t="str">
        <f>Tournament!E36</f>
        <v>C</v>
      </c>
      <c r="E35" s="188">
        <f>Tournament!F36</f>
        <v>41809.541666666664</v>
      </c>
      <c r="F35" s="189">
        <f>Tournament!G36</f>
        <v>41809.541666666664</v>
      </c>
      <c r="G35" s="190" t="str">
        <f>Tournament!H36</f>
        <v>Colombia</v>
      </c>
      <c r="H35" s="180"/>
      <c r="I35" s="9"/>
      <c r="J35" s="191" t="s">
        <v>3088</v>
      </c>
      <c r="K35" s="9"/>
      <c r="L35" s="180"/>
      <c r="M35" s="180" t="str">
        <f>Tournament!N36</f>
        <v>Ivory Coast</v>
      </c>
      <c r="N35" s="183"/>
      <c r="P35" s="192" t="str">
        <f t="shared" si="0"/>
        <v>Colombia</v>
      </c>
      <c r="Q35" s="193"/>
      <c r="R35" s="194" t="str">
        <f>IF(Tournament!J36&lt;&gt;"",Tournament!J36,"")</f>
        <v/>
      </c>
      <c r="S35" s="194" t="s">
        <v>3088</v>
      </c>
      <c r="T35" s="194" t="str">
        <f>IF(Tournament!L36&lt;&gt;"",Tournament!L36,"")</f>
        <v/>
      </c>
      <c r="U35" s="193"/>
      <c r="V35" s="193" t="str">
        <f t="shared" si="1"/>
        <v>Ivory Coast</v>
      </c>
      <c r="W35" s="194"/>
      <c r="X35" s="194"/>
      <c r="Y35" s="194"/>
      <c r="Z35" s="194"/>
      <c r="AA35" s="194"/>
      <c r="AB35" s="194"/>
      <c r="AC35" s="194"/>
      <c r="AD35" s="195" t="str">
        <f>IF(AND(I35&lt;&gt;"",K35&lt;&gt;"",R35&lt;&gt;"",T35&lt;&gt;""),IF(AND(I35=R35,K35=T35),Setup!$D$10,IF((I35-K35)=(R35-T35),Setup!$D$11,IF(AND((I35&gt;K35),(R35&gt;T35)),Setup!$D$12,IF(AND((K35&gt;I35),(T35&gt;R35)),Setup!$D$12,0)))),"")</f>
        <v/>
      </c>
      <c r="AE35" s="183"/>
      <c r="CP35" s="168"/>
      <c r="CQ35" s="186"/>
      <c r="CR35" s="187"/>
      <c r="CS35" s="168"/>
    </row>
    <row r="36" spans="2:97" s="166" customFormat="1" ht="15" customHeight="1">
      <c r="B36" s="182"/>
      <c r="C36" s="181">
        <f>Tournament!D37</f>
        <v>22</v>
      </c>
      <c r="D36" s="181" t="str">
        <f>Tournament!E37</f>
        <v>C</v>
      </c>
      <c r="E36" s="188">
        <f>Tournament!F37</f>
        <v>41809.791666666664</v>
      </c>
      <c r="F36" s="189">
        <f>Tournament!G37</f>
        <v>41809.791666666664</v>
      </c>
      <c r="G36" s="190" t="str">
        <f>Tournament!H37</f>
        <v>Japan</v>
      </c>
      <c r="H36" s="180"/>
      <c r="I36" s="9"/>
      <c r="J36" s="191" t="s">
        <v>3088</v>
      </c>
      <c r="K36" s="9"/>
      <c r="L36" s="180"/>
      <c r="M36" s="180" t="str">
        <f>Tournament!N37</f>
        <v>Greece</v>
      </c>
      <c r="N36" s="183"/>
      <c r="P36" s="192" t="str">
        <f t="shared" si="0"/>
        <v>Japan</v>
      </c>
      <c r="Q36" s="193"/>
      <c r="R36" s="194" t="str">
        <f>IF(Tournament!J37&lt;&gt;"",Tournament!J37,"")</f>
        <v/>
      </c>
      <c r="S36" s="194" t="s">
        <v>3088</v>
      </c>
      <c r="T36" s="194" t="str">
        <f>IF(Tournament!L37&lt;&gt;"",Tournament!L37,"")</f>
        <v/>
      </c>
      <c r="U36" s="193"/>
      <c r="V36" s="193" t="str">
        <f t="shared" si="1"/>
        <v>Greece</v>
      </c>
      <c r="W36" s="194"/>
      <c r="X36" s="194"/>
      <c r="Y36" s="194"/>
      <c r="Z36" s="194"/>
      <c r="AA36" s="194"/>
      <c r="AB36" s="194"/>
      <c r="AC36" s="194"/>
      <c r="AD36" s="195" t="str">
        <f>IF(AND(I36&lt;&gt;"",K36&lt;&gt;"",R36&lt;&gt;"",T36&lt;&gt;""),IF(AND(I36=R36,K36=T36),Setup!$D$10,IF((I36-K36)=(R36-T36),Setup!$D$11,IF(AND((I36&gt;K36),(R36&gt;T36)),Setup!$D$12,IF(AND((K36&gt;I36),(T36&gt;R36)),Setup!$D$12,0)))),"")</f>
        <v/>
      </c>
      <c r="AE36" s="183"/>
      <c r="CP36" s="168"/>
      <c r="CQ36" s="186"/>
      <c r="CR36" s="187"/>
      <c r="CS36" s="168"/>
    </row>
    <row r="37" spans="2:97" s="166" customFormat="1" ht="15" customHeight="1">
      <c r="B37" s="182"/>
      <c r="C37" s="181">
        <f>Tournament!D38</f>
        <v>23</v>
      </c>
      <c r="D37" s="181" t="str">
        <f>Tournament!E38</f>
        <v>D</v>
      </c>
      <c r="E37" s="188">
        <f>Tournament!F38</f>
        <v>41809.666666666664</v>
      </c>
      <c r="F37" s="189">
        <f>Tournament!G38</f>
        <v>41809.666666666664</v>
      </c>
      <c r="G37" s="190" t="str">
        <f>Tournament!H38</f>
        <v>Uruguay</v>
      </c>
      <c r="H37" s="180"/>
      <c r="I37" s="9"/>
      <c r="J37" s="191" t="s">
        <v>3088</v>
      </c>
      <c r="K37" s="9"/>
      <c r="L37" s="180"/>
      <c r="M37" s="180" t="str">
        <f>Tournament!N38</f>
        <v>England</v>
      </c>
      <c r="N37" s="183"/>
      <c r="P37" s="192" t="str">
        <f t="shared" si="0"/>
        <v>Uruguay</v>
      </c>
      <c r="Q37" s="193"/>
      <c r="R37" s="194" t="str">
        <f>IF(Tournament!J38&lt;&gt;"",Tournament!J38,"")</f>
        <v/>
      </c>
      <c r="S37" s="194" t="s">
        <v>3088</v>
      </c>
      <c r="T37" s="194" t="str">
        <f>IF(Tournament!L38&lt;&gt;"",Tournament!L38,"")</f>
        <v/>
      </c>
      <c r="U37" s="193"/>
      <c r="V37" s="193" t="str">
        <f t="shared" si="1"/>
        <v>England</v>
      </c>
      <c r="W37" s="194"/>
      <c r="X37" s="194"/>
      <c r="Y37" s="194"/>
      <c r="Z37" s="194"/>
      <c r="AA37" s="194"/>
      <c r="AB37" s="194"/>
      <c r="AC37" s="194"/>
      <c r="AD37" s="195" t="str">
        <f>IF(AND(I37&lt;&gt;"",K37&lt;&gt;"",R37&lt;&gt;"",T37&lt;&gt;""),IF(AND(I37=R37,K37=T37),Setup!$D$10,IF((I37-K37)=(R37-T37),Setup!$D$11,IF(AND((I37&gt;K37),(R37&gt;T37)),Setup!$D$12,IF(AND((K37&gt;I37),(T37&gt;R37)),Setup!$D$12,0)))),"")</f>
        <v/>
      </c>
      <c r="AE37" s="183"/>
      <c r="CP37" s="168"/>
      <c r="CQ37" s="186"/>
      <c r="CR37" s="187"/>
      <c r="CS37" s="168"/>
    </row>
    <row r="38" spans="2:97" s="166" customFormat="1" ht="15" customHeight="1">
      <c r="B38" s="182"/>
      <c r="C38" s="181">
        <f>Tournament!D39</f>
        <v>24</v>
      </c>
      <c r="D38" s="181" t="str">
        <f>Tournament!E39</f>
        <v>D</v>
      </c>
      <c r="E38" s="188">
        <f>Tournament!F39</f>
        <v>41810.541666666664</v>
      </c>
      <c r="F38" s="189">
        <f>Tournament!G39</f>
        <v>41810.541666666664</v>
      </c>
      <c r="G38" s="190" t="str">
        <f>Tournament!H39</f>
        <v>Italy</v>
      </c>
      <c r="H38" s="180"/>
      <c r="I38" s="9"/>
      <c r="J38" s="191" t="s">
        <v>3088</v>
      </c>
      <c r="K38" s="9"/>
      <c r="L38" s="180"/>
      <c r="M38" s="180" t="str">
        <f>Tournament!N39</f>
        <v>Costa Rica</v>
      </c>
      <c r="N38" s="183"/>
      <c r="P38" s="192" t="str">
        <f t="shared" si="0"/>
        <v>Italy</v>
      </c>
      <c r="Q38" s="193"/>
      <c r="R38" s="194" t="str">
        <f>IF(Tournament!J39&lt;&gt;"",Tournament!J39,"")</f>
        <v/>
      </c>
      <c r="S38" s="194" t="s">
        <v>3088</v>
      </c>
      <c r="T38" s="194" t="str">
        <f>IF(Tournament!L39&lt;&gt;"",Tournament!L39,"")</f>
        <v/>
      </c>
      <c r="U38" s="193"/>
      <c r="V38" s="193" t="str">
        <f t="shared" si="1"/>
        <v>Costa Rica</v>
      </c>
      <c r="W38" s="194"/>
      <c r="X38" s="194"/>
      <c r="Y38" s="194"/>
      <c r="Z38" s="194"/>
      <c r="AA38" s="194"/>
      <c r="AB38" s="194"/>
      <c r="AC38" s="194"/>
      <c r="AD38" s="195" t="str">
        <f>IF(AND(I38&lt;&gt;"",K38&lt;&gt;"",R38&lt;&gt;"",T38&lt;&gt;""),IF(AND(I38=R38,K38=T38),Setup!$D$10,IF((I38-K38)=(R38-T38),Setup!$D$11,IF(AND((I38&gt;K38),(R38&gt;T38)),Setup!$D$12,IF(AND((K38&gt;I38),(T38&gt;R38)),Setup!$D$12,0)))),"")</f>
        <v/>
      </c>
      <c r="AE38" s="183"/>
      <c r="CP38" s="168"/>
      <c r="CQ38" s="186"/>
      <c r="CR38" s="187"/>
      <c r="CS38" s="168"/>
    </row>
    <row r="39" spans="2:97" s="166" customFormat="1" ht="15" customHeight="1">
      <c r="B39" s="182"/>
      <c r="C39" s="181">
        <f>Tournament!D40</f>
        <v>25</v>
      </c>
      <c r="D39" s="181" t="str">
        <f>Tournament!E40</f>
        <v>E</v>
      </c>
      <c r="E39" s="188">
        <f>Tournament!F40</f>
        <v>41810.666666666664</v>
      </c>
      <c r="F39" s="189">
        <f>Tournament!G40</f>
        <v>41810.666666666664</v>
      </c>
      <c r="G39" s="190" t="str">
        <f>Tournament!H40</f>
        <v>Switzerland</v>
      </c>
      <c r="H39" s="180"/>
      <c r="I39" s="9"/>
      <c r="J39" s="191" t="s">
        <v>3088</v>
      </c>
      <c r="K39" s="9"/>
      <c r="L39" s="180"/>
      <c r="M39" s="180" t="str">
        <f>Tournament!N40</f>
        <v>France</v>
      </c>
      <c r="N39" s="183"/>
      <c r="P39" s="192" t="str">
        <f t="shared" si="0"/>
        <v>Switzerland</v>
      </c>
      <c r="Q39" s="193"/>
      <c r="R39" s="194" t="str">
        <f>IF(Tournament!J40&lt;&gt;"",Tournament!J40,"")</f>
        <v/>
      </c>
      <c r="S39" s="194" t="s">
        <v>3088</v>
      </c>
      <c r="T39" s="194" t="str">
        <f>IF(Tournament!L40&lt;&gt;"",Tournament!L40,"")</f>
        <v/>
      </c>
      <c r="U39" s="193"/>
      <c r="V39" s="193" t="str">
        <f t="shared" si="1"/>
        <v>France</v>
      </c>
      <c r="W39" s="194"/>
      <c r="X39" s="194"/>
      <c r="Y39" s="194"/>
      <c r="Z39" s="194"/>
      <c r="AA39" s="194"/>
      <c r="AB39" s="194"/>
      <c r="AC39" s="194"/>
      <c r="AD39" s="195" t="str">
        <f>IF(AND(I39&lt;&gt;"",K39&lt;&gt;"",R39&lt;&gt;"",T39&lt;&gt;""),IF(AND(I39=R39,K39=T39),Setup!$D$10,IF((I39-K39)=(R39-T39),Setup!$D$11,IF(AND((I39&gt;K39),(R39&gt;T39)),Setup!$D$12,IF(AND((K39&gt;I39),(T39&gt;R39)),Setup!$D$12,0)))),"")</f>
        <v/>
      </c>
      <c r="AE39" s="183"/>
      <c r="CP39" s="168"/>
      <c r="CQ39" s="186"/>
      <c r="CR39" s="187"/>
      <c r="CS39" s="168"/>
    </row>
    <row r="40" spans="2:97" s="166" customFormat="1" ht="15" customHeight="1">
      <c r="B40" s="182"/>
      <c r="C40" s="181">
        <f>Tournament!D41</f>
        <v>26</v>
      </c>
      <c r="D40" s="181" t="str">
        <f>Tournament!E41</f>
        <v>E</v>
      </c>
      <c r="E40" s="188">
        <f>Tournament!F41</f>
        <v>41810.791666666664</v>
      </c>
      <c r="F40" s="189">
        <f>Tournament!G41</f>
        <v>41810.791666666664</v>
      </c>
      <c r="G40" s="190" t="str">
        <f>Tournament!H41</f>
        <v>Honduras</v>
      </c>
      <c r="H40" s="180"/>
      <c r="I40" s="9"/>
      <c r="J40" s="191" t="s">
        <v>3088</v>
      </c>
      <c r="K40" s="9"/>
      <c r="L40" s="180"/>
      <c r="M40" s="180" t="str">
        <f>Tournament!N41</f>
        <v>Ecuador</v>
      </c>
      <c r="N40" s="183"/>
      <c r="P40" s="192" t="str">
        <f t="shared" si="0"/>
        <v>Honduras</v>
      </c>
      <c r="Q40" s="193"/>
      <c r="R40" s="194" t="str">
        <f>IF(Tournament!J41&lt;&gt;"",Tournament!J41,"")</f>
        <v/>
      </c>
      <c r="S40" s="194" t="s">
        <v>3088</v>
      </c>
      <c r="T40" s="194" t="str">
        <f>IF(Tournament!L41&lt;&gt;"",Tournament!L41,"")</f>
        <v/>
      </c>
      <c r="U40" s="193"/>
      <c r="V40" s="193" t="str">
        <f t="shared" si="1"/>
        <v>Ecuador</v>
      </c>
      <c r="W40" s="194"/>
      <c r="X40" s="194"/>
      <c r="Y40" s="194"/>
      <c r="Z40" s="194"/>
      <c r="AA40" s="194"/>
      <c r="AB40" s="194"/>
      <c r="AC40" s="194"/>
      <c r="AD40" s="195" t="str">
        <f>IF(AND(I40&lt;&gt;"",K40&lt;&gt;"",R40&lt;&gt;"",T40&lt;&gt;""),IF(AND(I40=R40,K40=T40),Setup!$D$10,IF((I40-K40)=(R40-T40),Setup!$D$11,IF(AND((I40&gt;K40),(R40&gt;T40)),Setup!$D$12,IF(AND((K40&gt;I40),(T40&gt;R40)),Setup!$D$12,0)))),"")</f>
        <v/>
      </c>
      <c r="AE40" s="183"/>
      <c r="CP40" s="168"/>
      <c r="CQ40" s="196"/>
      <c r="CR40" s="187"/>
      <c r="CS40" s="168"/>
    </row>
    <row r="41" spans="2:97" s="166" customFormat="1" ht="15" customHeight="1">
      <c r="B41" s="182"/>
      <c r="C41" s="181">
        <f>Tournament!D42</f>
        <v>27</v>
      </c>
      <c r="D41" s="181" t="str">
        <f>Tournament!E42</f>
        <v>F</v>
      </c>
      <c r="E41" s="188">
        <f>Tournament!F42</f>
        <v>41811.541666666664</v>
      </c>
      <c r="F41" s="189">
        <f>Tournament!G42</f>
        <v>41811.541666666664</v>
      </c>
      <c r="G41" s="190" t="str">
        <f>Tournament!H42</f>
        <v>Argentina</v>
      </c>
      <c r="H41" s="180"/>
      <c r="I41" s="9"/>
      <c r="J41" s="191" t="s">
        <v>3088</v>
      </c>
      <c r="K41" s="9"/>
      <c r="L41" s="180"/>
      <c r="M41" s="180" t="str">
        <f>Tournament!N42</f>
        <v>Iran</v>
      </c>
      <c r="N41" s="183"/>
      <c r="P41" s="192" t="str">
        <f t="shared" si="0"/>
        <v>Argentina</v>
      </c>
      <c r="Q41" s="193"/>
      <c r="R41" s="194" t="str">
        <f>IF(Tournament!J42&lt;&gt;"",Tournament!J42,"")</f>
        <v/>
      </c>
      <c r="S41" s="194" t="s">
        <v>3088</v>
      </c>
      <c r="T41" s="194" t="str">
        <f>IF(Tournament!L42&lt;&gt;"",Tournament!L42,"")</f>
        <v/>
      </c>
      <c r="U41" s="193"/>
      <c r="V41" s="193" t="str">
        <f t="shared" si="1"/>
        <v>Iran</v>
      </c>
      <c r="W41" s="194"/>
      <c r="X41" s="194"/>
      <c r="Y41" s="194"/>
      <c r="Z41" s="194"/>
      <c r="AA41" s="194"/>
      <c r="AB41" s="194"/>
      <c r="AC41" s="194"/>
      <c r="AD41" s="195" t="str">
        <f>IF(AND(I41&lt;&gt;"",K41&lt;&gt;"",R41&lt;&gt;"",T41&lt;&gt;""),IF(AND(I41=R41,K41=T41),Setup!$D$10,IF((I41-K41)=(R41-T41),Setup!$D$11,IF(AND((I41&gt;K41),(R41&gt;T41)),Setup!$D$12,IF(AND((K41&gt;I41),(T41&gt;R41)),Setup!$D$12,0)))),"")</f>
        <v/>
      </c>
      <c r="AE41" s="183"/>
      <c r="CP41" s="168"/>
      <c r="CQ41" s="196"/>
      <c r="CR41" s="187"/>
      <c r="CS41" s="168"/>
    </row>
    <row r="42" spans="2:97" s="166" customFormat="1" ht="15" customHeight="1">
      <c r="B42" s="182"/>
      <c r="C42" s="181">
        <f>Tournament!D43</f>
        <v>28</v>
      </c>
      <c r="D42" s="181" t="str">
        <f>Tournament!E43</f>
        <v>F</v>
      </c>
      <c r="E42" s="188">
        <f>Tournament!F43</f>
        <v>41811.791666666664</v>
      </c>
      <c r="F42" s="189">
        <f>Tournament!G43</f>
        <v>41811.791666666664</v>
      </c>
      <c r="G42" s="190" t="str">
        <f>Tournament!H43</f>
        <v>Nigeria</v>
      </c>
      <c r="H42" s="180"/>
      <c r="I42" s="9"/>
      <c r="J42" s="191" t="s">
        <v>3088</v>
      </c>
      <c r="K42" s="9"/>
      <c r="L42" s="180"/>
      <c r="M42" s="180" t="str">
        <f>Tournament!N43</f>
        <v>Bosnia-Herzegovina</v>
      </c>
      <c r="N42" s="183"/>
      <c r="P42" s="192" t="str">
        <f t="shared" si="0"/>
        <v>Nigeria</v>
      </c>
      <c r="Q42" s="193"/>
      <c r="R42" s="194" t="str">
        <f>IF(Tournament!J43&lt;&gt;"",Tournament!J43,"")</f>
        <v/>
      </c>
      <c r="S42" s="194" t="s">
        <v>3088</v>
      </c>
      <c r="T42" s="194" t="str">
        <f>IF(Tournament!L43&lt;&gt;"",Tournament!L43,"")</f>
        <v/>
      </c>
      <c r="U42" s="193"/>
      <c r="V42" s="193" t="str">
        <f t="shared" si="1"/>
        <v>Bosnia-Herzegovina</v>
      </c>
      <c r="W42" s="194"/>
      <c r="X42" s="194"/>
      <c r="Y42" s="194"/>
      <c r="Z42" s="194"/>
      <c r="AA42" s="194"/>
      <c r="AB42" s="194"/>
      <c r="AC42" s="194"/>
      <c r="AD42" s="195" t="str">
        <f>IF(AND(I42&lt;&gt;"",K42&lt;&gt;"",R42&lt;&gt;"",T42&lt;&gt;""),IF(AND(I42=R42,K42=T42),Setup!$D$10,IF((I42-K42)=(R42-T42),Setup!$D$11,IF(AND((I42&gt;K42),(R42&gt;T42)),Setup!$D$12,IF(AND((K42&gt;I42),(T42&gt;R42)),Setup!$D$12,0)))),"")</f>
        <v/>
      </c>
      <c r="AE42" s="183"/>
      <c r="CP42" s="168"/>
      <c r="CQ42" s="168"/>
      <c r="CR42" s="187"/>
      <c r="CS42" s="168"/>
    </row>
    <row r="43" spans="2:97" s="166" customFormat="1" ht="15" customHeight="1">
      <c r="B43" s="182"/>
      <c r="C43" s="181">
        <f>Tournament!D44</f>
        <v>29</v>
      </c>
      <c r="D43" s="181" t="str">
        <f>Tournament!E44</f>
        <v>G</v>
      </c>
      <c r="E43" s="188">
        <f>Tournament!F44</f>
        <v>41811.666666666664</v>
      </c>
      <c r="F43" s="189">
        <f>Tournament!G44</f>
        <v>41811.666666666664</v>
      </c>
      <c r="G43" s="190" t="str">
        <f>Tournament!H44</f>
        <v>Germany</v>
      </c>
      <c r="H43" s="180"/>
      <c r="I43" s="9"/>
      <c r="J43" s="191" t="s">
        <v>3088</v>
      </c>
      <c r="K43" s="9"/>
      <c r="L43" s="180"/>
      <c r="M43" s="180" t="str">
        <f>Tournament!N44</f>
        <v>Ghana</v>
      </c>
      <c r="N43" s="183"/>
      <c r="P43" s="192" t="str">
        <f t="shared" si="0"/>
        <v>Germany</v>
      </c>
      <c r="Q43" s="193"/>
      <c r="R43" s="194" t="str">
        <f>IF(Tournament!J44&lt;&gt;"",Tournament!J44,"")</f>
        <v/>
      </c>
      <c r="S43" s="194" t="s">
        <v>3088</v>
      </c>
      <c r="T43" s="194" t="str">
        <f>IF(Tournament!L44&lt;&gt;"",Tournament!L44,"")</f>
        <v/>
      </c>
      <c r="U43" s="193"/>
      <c r="V43" s="193" t="str">
        <f t="shared" si="1"/>
        <v>Ghana</v>
      </c>
      <c r="W43" s="194"/>
      <c r="X43" s="194"/>
      <c r="Y43" s="194"/>
      <c r="Z43" s="194"/>
      <c r="AA43" s="194"/>
      <c r="AB43" s="194"/>
      <c r="AC43" s="194"/>
      <c r="AD43" s="195" t="str">
        <f>IF(AND(I43&lt;&gt;"",K43&lt;&gt;"",R43&lt;&gt;"",T43&lt;&gt;""),IF(AND(I43=R43,K43=T43),Setup!$D$10,IF((I43-K43)=(R43-T43),Setup!$D$11,IF(AND((I43&gt;K43),(R43&gt;T43)),Setup!$D$12,IF(AND((K43&gt;I43),(T43&gt;R43)),Setup!$D$12,0)))),"")</f>
        <v/>
      </c>
      <c r="AE43" s="183"/>
      <c r="CP43" s="168"/>
      <c r="CQ43" s="168"/>
      <c r="CR43" s="187"/>
      <c r="CS43" s="168"/>
    </row>
    <row r="44" spans="2:97" s="166" customFormat="1" ht="15" customHeight="1">
      <c r="B44" s="182"/>
      <c r="C44" s="181">
        <f>Tournament!D45</f>
        <v>30</v>
      </c>
      <c r="D44" s="181" t="str">
        <f>Tournament!E45</f>
        <v>G</v>
      </c>
      <c r="E44" s="188">
        <f>Tournament!F45</f>
        <v>41812.791666666664</v>
      </c>
      <c r="F44" s="189">
        <f>Tournament!G45</f>
        <v>41812.791666666664</v>
      </c>
      <c r="G44" s="190" t="str">
        <f>Tournament!H45</f>
        <v>USA</v>
      </c>
      <c r="H44" s="180"/>
      <c r="I44" s="9"/>
      <c r="J44" s="191" t="s">
        <v>3088</v>
      </c>
      <c r="K44" s="9"/>
      <c r="L44" s="180"/>
      <c r="M44" s="180" t="str">
        <f>Tournament!N45</f>
        <v>Portugal</v>
      </c>
      <c r="N44" s="183"/>
      <c r="P44" s="192" t="str">
        <f t="shared" si="0"/>
        <v>USA</v>
      </c>
      <c r="Q44" s="193"/>
      <c r="R44" s="194" t="str">
        <f>IF(Tournament!J45&lt;&gt;"",Tournament!J45,"")</f>
        <v/>
      </c>
      <c r="S44" s="194" t="s">
        <v>3088</v>
      </c>
      <c r="T44" s="194" t="str">
        <f>IF(Tournament!L45&lt;&gt;"",Tournament!L45,"")</f>
        <v/>
      </c>
      <c r="U44" s="193"/>
      <c r="V44" s="193" t="str">
        <f t="shared" si="1"/>
        <v>Portugal</v>
      </c>
      <c r="W44" s="194"/>
      <c r="X44" s="194"/>
      <c r="Y44" s="194"/>
      <c r="Z44" s="194"/>
      <c r="AA44" s="194"/>
      <c r="AB44" s="194"/>
      <c r="AC44" s="194"/>
      <c r="AD44" s="195" t="str">
        <f>IF(AND(I44&lt;&gt;"",K44&lt;&gt;"",R44&lt;&gt;"",T44&lt;&gt;""),IF(AND(I44=R44,K44=T44),Setup!$D$10,IF((I44-K44)=(R44-T44),Setup!$D$11,IF(AND((I44&gt;K44),(R44&gt;T44)),Setup!$D$12,IF(AND((K44&gt;I44),(T44&gt;R44)),Setup!$D$12,0)))),"")</f>
        <v/>
      </c>
      <c r="AE44" s="183"/>
      <c r="CP44" s="168"/>
      <c r="CQ44" s="168"/>
      <c r="CR44" s="187"/>
      <c r="CS44" s="168"/>
    </row>
    <row r="45" spans="2:97" s="166" customFormat="1" ht="15" customHeight="1">
      <c r="B45" s="182"/>
      <c r="C45" s="181">
        <f>Tournament!D46</f>
        <v>31</v>
      </c>
      <c r="D45" s="181" t="str">
        <f>Tournament!E46</f>
        <v>H</v>
      </c>
      <c r="E45" s="188">
        <f>Tournament!F46</f>
        <v>41812.541666666664</v>
      </c>
      <c r="F45" s="189">
        <f>Tournament!G46</f>
        <v>41812.541666666664</v>
      </c>
      <c r="G45" s="190" t="str">
        <f>Tournament!H46</f>
        <v>Belgium</v>
      </c>
      <c r="H45" s="180"/>
      <c r="I45" s="9"/>
      <c r="J45" s="191" t="s">
        <v>3088</v>
      </c>
      <c r="K45" s="9"/>
      <c r="L45" s="180"/>
      <c r="M45" s="180" t="str">
        <f>Tournament!N46</f>
        <v>Russia</v>
      </c>
      <c r="N45" s="183"/>
      <c r="P45" s="192" t="str">
        <f t="shared" si="0"/>
        <v>Belgium</v>
      </c>
      <c r="Q45" s="193"/>
      <c r="R45" s="194" t="str">
        <f>IF(Tournament!J46&lt;&gt;"",Tournament!J46,"")</f>
        <v/>
      </c>
      <c r="S45" s="194" t="s">
        <v>3088</v>
      </c>
      <c r="T45" s="194" t="str">
        <f>IF(Tournament!L46&lt;&gt;"",Tournament!L46,"")</f>
        <v/>
      </c>
      <c r="U45" s="193"/>
      <c r="V45" s="193" t="str">
        <f t="shared" si="1"/>
        <v>Russia</v>
      </c>
      <c r="W45" s="194"/>
      <c r="X45" s="194"/>
      <c r="Y45" s="194"/>
      <c r="Z45" s="194"/>
      <c r="AA45" s="194"/>
      <c r="AB45" s="194"/>
      <c r="AC45" s="194"/>
      <c r="AD45" s="195" t="str">
        <f>IF(AND(I45&lt;&gt;"",K45&lt;&gt;"",R45&lt;&gt;"",T45&lt;&gt;""),IF(AND(I45=R45,K45=T45),Setup!$D$10,IF((I45-K45)=(R45-T45),Setup!$D$11,IF(AND((I45&gt;K45),(R45&gt;T45)),Setup!$D$12,IF(AND((K45&gt;I45),(T45&gt;R45)),Setup!$D$12,0)))),"")</f>
        <v/>
      </c>
      <c r="AE45" s="183"/>
      <c r="CP45" s="168"/>
      <c r="CQ45" s="168"/>
      <c r="CR45" s="187"/>
      <c r="CS45" s="168"/>
    </row>
    <row r="46" spans="2:97" s="166" customFormat="1" ht="15" customHeight="1">
      <c r="B46" s="182"/>
      <c r="C46" s="181">
        <f>Tournament!D47</f>
        <v>32</v>
      </c>
      <c r="D46" s="181" t="str">
        <f>Tournament!E47</f>
        <v>H</v>
      </c>
      <c r="E46" s="188">
        <f>Tournament!F47</f>
        <v>41812.666666666664</v>
      </c>
      <c r="F46" s="189">
        <f>Tournament!G47</f>
        <v>41812.666666666664</v>
      </c>
      <c r="G46" s="190" t="str">
        <f>Tournament!H47</f>
        <v>South Korea</v>
      </c>
      <c r="H46" s="180"/>
      <c r="I46" s="9"/>
      <c r="J46" s="191" t="s">
        <v>3088</v>
      </c>
      <c r="K46" s="9"/>
      <c r="L46" s="180"/>
      <c r="M46" s="180" t="str">
        <f>Tournament!N47</f>
        <v>Algeria</v>
      </c>
      <c r="N46" s="183"/>
      <c r="P46" s="192" t="str">
        <f t="shared" si="0"/>
        <v>South Korea</v>
      </c>
      <c r="Q46" s="193"/>
      <c r="R46" s="194" t="str">
        <f>IF(Tournament!J47&lt;&gt;"",Tournament!J47,"")</f>
        <v/>
      </c>
      <c r="S46" s="194" t="s">
        <v>3088</v>
      </c>
      <c r="T46" s="194" t="str">
        <f>IF(Tournament!L47&lt;&gt;"",Tournament!L47,"")</f>
        <v/>
      </c>
      <c r="U46" s="193"/>
      <c r="V46" s="193" t="str">
        <f t="shared" si="1"/>
        <v>Algeria</v>
      </c>
      <c r="W46" s="194"/>
      <c r="X46" s="194"/>
      <c r="Y46" s="194"/>
      <c r="Z46" s="194"/>
      <c r="AA46" s="194"/>
      <c r="AB46" s="194"/>
      <c r="AC46" s="194"/>
      <c r="AD46" s="195" t="str">
        <f>IF(AND(I46&lt;&gt;"",K46&lt;&gt;"",R46&lt;&gt;"",T46&lt;&gt;""),IF(AND(I46=R46,K46=T46),Setup!$D$10,IF((I46-K46)=(R46-T46),Setup!$D$11,IF(AND((I46&gt;K46),(R46&gt;T46)),Setup!$D$12,IF(AND((K46&gt;I46),(T46&gt;R46)),Setup!$D$12,0)))),"")</f>
        <v/>
      </c>
      <c r="AE46" s="183"/>
      <c r="CP46" s="168"/>
      <c r="CQ46" s="168"/>
      <c r="CR46" s="187"/>
      <c r="CS46" s="168"/>
    </row>
    <row r="47" spans="2:97" s="166" customFormat="1" ht="15" customHeight="1">
      <c r="B47" s="182"/>
      <c r="C47" s="181">
        <f>Tournament!D48</f>
        <v>33</v>
      </c>
      <c r="D47" s="181" t="str">
        <f>Tournament!E48</f>
        <v>A</v>
      </c>
      <c r="E47" s="188">
        <f>Tournament!F48</f>
        <v>41813.708333333336</v>
      </c>
      <c r="F47" s="189">
        <f>Tournament!G48</f>
        <v>41813.708333333336</v>
      </c>
      <c r="G47" s="190" t="str">
        <f>Tournament!H48</f>
        <v>Cameroon</v>
      </c>
      <c r="H47" s="180"/>
      <c r="I47" s="9"/>
      <c r="J47" s="191" t="s">
        <v>3088</v>
      </c>
      <c r="K47" s="9"/>
      <c r="L47" s="180"/>
      <c r="M47" s="180" t="str">
        <f>Tournament!N48</f>
        <v>Brazil</v>
      </c>
      <c r="N47" s="183"/>
      <c r="P47" s="192" t="str">
        <f t="shared" si="0"/>
        <v>Cameroon</v>
      </c>
      <c r="Q47" s="193"/>
      <c r="R47" s="194" t="str">
        <f>IF(Tournament!J48&lt;&gt;"",Tournament!J48,"")</f>
        <v/>
      </c>
      <c r="S47" s="194" t="s">
        <v>3088</v>
      </c>
      <c r="T47" s="194" t="str">
        <f>IF(Tournament!L48&lt;&gt;"",Tournament!L48,"")</f>
        <v/>
      </c>
      <c r="U47" s="193"/>
      <c r="V47" s="193" t="str">
        <f t="shared" si="1"/>
        <v>Brazil</v>
      </c>
      <c r="W47" s="194"/>
      <c r="X47" s="194"/>
      <c r="Y47" s="194"/>
      <c r="Z47" s="194"/>
      <c r="AA47" s="194"/>
      <c r="AB47" s="194"/>
      <c r="AC47" s="194"/>
      <c r="AD47" s="195" t="str">
        <f>IF(AND(I47&lt;&gt;"",K47&lt;&gt;"",R47&lt;&gt;"",T47&lt;&gt;""),IF(AND(I47=R47,K47=T47),Setup!$D$10,IF((I47-K47)=(R47-T47),Setup!$D$11,IF(AND((I47&gt;K47),(R47&gt;T47)),Setup!$D$12,IF(AND((K47&gt;I47),(T47&gt;R47)),Setup!$D$12,0)))),"")</f>
        <v/>
      </c>
      <c r="AE47" s="183"/>
      <c r="CP47" s="168"/>
      <c r="CQ47" s="168"/>
      <c r="CR47" s="187"/>
      <c r="CS47" s="168"/>
    </row>
    <row r="48" spans="2:97" s="166" customFormat="1" ht="15" customHeight="1">
      <c r="B48" s="182"/>
      <c r="C48" s="181">
        <f>Tournament!D49</f>
        <v>34</v>
      </c>
      <c r="D48" s="181" t="str">
        <f>Tournament!E49</f>
        <v>A</v>
      </c>
      <c r="E48" s="188">
        <f>Tournament!F49</f>
        <v>41813.708333333336</v>
      </c>
      <c r="F48" s="189">
        <f>Tournament!G49</f>
        <v>41813.708333333336</v>
      </c>
      <c r="G48" s="190" t="str">
        <f>Tournament!H49</f>
        <v>Croatia</v>
      </c>
      <c r="H48" s="180"/>
      <c r="I48" s="9"/>
      <c r="J48" s="191" t="s">
        <v>3088</v>
      </c>
      <c r="K48" s="9"/>
      <c r="L48" s="180"/>
      <c r="M48" s="180" t="str">
        <f>Tournament!N49</f>
        <v>Mexico</v>
      </c>
      <c r="N48" s="183"/>
      <c r="P48" s="192" t="str">
        <f t="shared" si="0"/>
        <v>Croatia</v>
      </c>
      <c r="Q48" s="193"/>
      <c r="R48" s="194" t="str">
        <f>IF(Tournament!J49&lt;&gt;"",Tournament!J49,"")</f>
        <v/>
      </c>
      <c r="S48" s="194" t="s">
        <v>3088</v>
      </c>
      <c r="T48" s="194" t="str">
        <f>IF(Tournament!L49&lt;&gt;"",Tournament!L49,"")</f>
        <v/>
      </c>
      <c r="U48" s="193"/>
      <c r="V48" s="193" t="str">
        <f t="shared" si="1"/>
        <v>Mexico</v>
      </c>
      <c r="W48" s="194"/>
      <c r="X48" s="194"/>
      <c r="Y48" s="194"/>
      <c r="Z48" s="194"/>
      <c r="AA48" s="194"/>
      <c r="AB48" s="194"/>
      <c r="AC48" s="194"/>
      <c r="AD48" s="195" t="str">
        <f>IF(AND(I48&lt;&gt;"",K48&lt;&gt;"",R48&lt;&gt;"",T48&lt;&gt;""),IF(AND(I48=R48,K48=T48),Setup!$D$10,IF((I48-K48)=(R48-T48),Setup!$D$11,IF(AND((I48&gt;K48),(R48&gt;T48)),Setup!$D$12,IF(AND((K48&gt;I48),(T48&gt;R48)),Setup!$D$12,0)))),"")</f>
        <v/>
      </c>
      <c r="AE48" s="183"/>
      <c r="CP48" s="168"/>
      <c r="CQ48" s="168"/>
      <c r="CR48" s="187"/>
      <c r="CS48" s="168"/>
    </row>
    <row r="49" spans="2:97" s="166" customFormat="1" ht="15" customHeight="1">
      <c r="B49" s="182"/>
      <c r="C49" s="181">
        <f>Tournament!D50</f>
        <v>35</v>
      </c>
      <c r="D49" s="181" t="str">
        <f>Tournament!E50</f>
        <v>B</v>
      </c>
      <c r="E49" s="188">
        <f>Tournament!F50</f>
        <v>41813.541666666664</v>
      </c>
      <c r="F49" s="189">
        <f>Tournament!G50</f>
        <v>41813.541666666664</v>
      </c>
      <c r="G49" s="190" t="str">
        <f>Tournament!H50</f>
        <v>Australia</v>
      </c>
      <c r="H49" s="180"/>
      <c r="I49" s="9"/>
      <c r="J49" s="191" t="s">
        <v>3088</v>
      </c>
      <c r="K49" s="9"/>
      <c r="L49" s="180"/>
      <c r="M49" s="180" t="str">
        <f>Tournament!N50</f>
        <v>Spain</v>
      </c>
      <c r="N49" s="183"/>
      <c r="P49" s="192" t="str">
        <f t="shared" si="0"/>
        <v>Australia</v>
      </c>
      <c r="Q49" s="193"/>
      <c r="R49" s="194" t="str">
        <f>IF(Tournament!J50&lt;&gt;"",Tournament!J50,"")</f>
        <v/>
      </c>
      <c r="S49" s="194" t="s">
        <v>3088</v>
      </c>
      <c r="T49" s="194" t="str">
        <f>IF(Tournament!L50&lt;&gt;"",Tournament!L50,"")</f>
        <v/>
      </c>
      <c r="U49" s="193"/>
      <c r="V49" s="193" t="str">
        <f t="shared" si="1"/>
        <v>Spain</v>
      </c>
      <c r="W49" s="194"/>
      <c r="X49" s="194"/>
      <c r="Y49" s="194"/>
      <c r="Z49" s="194"/>
      <c r="AA49" s="194"/>
      <c r="AB49" s="194"/>
      <c r="AC49" s="194"/>
      <c r="AD49" s="195" t="str">
        <f>IF(AND(I49&lt;&gt;"",K49&lt;&gt;"",R49&lt;&gt;"",T49&lt;&gt;""),IF(AND(I49=R49,K49=T49),Setup!$D$10,IF((I49-K49)=(R49-T49),Setup!$D$11,IF(AND((I49&gt;K49),(R49&gt;T49)),Setup!$D$12,IF(AND((K49&gt;I49),(T49&gt;R49)),Setup!$D$12,0)))),"")</f>
        <v/>
      </c>
      <c r="AE49" s="183"/>
      <c r="CP49" s="168"/>
      <c r="CQ49" s="168"/>
      <c r="CR49" s="187"/>
      <c r="CS49" s="168"/>
    </row>
    <row r="50" spans="2:97" s="166" customFormat="1" ht="15" customHeight="1">
      <c r="B50" s="182"/>
      <c r="C50" s="181">
        <f>Tournament!D51</f>
        <v>36</v>
      </c>
      <c r="D50" s="181" t="str">
        <f>Tournament!E51</f>
        <v>B</v>
      </c>
      <c r="E50" s="188">
        <f>Tournament!F51</f>
        <v>41813.541666666664</v>
      </c>
      <c r="F50" s="189">
        <f>Tournament!G51</f>
        <v>41813.541666666664</v>
      </c>
      <c r="G50" s="190" t="str">
        <f>Tournament!H51</f>
        <v>Netherlands</v>
      </c>
      <c r="H50" s="180"/>
      <c r="I50" s="9"/>
      <c r="J50" s="191" t="s">
        <v>3088</v>
      </c>
      <c r="K50" s="9"/>
      <c r="L50" s="180"/>
      <c r="M50" s="180" t="str">
        <f>Tournament!N51</f>
        <v>Chile</v>
      </c>
      <c r="N50" s="183"/>
      <c r="P50" s="192" t="str">
        <f t="shared" si="0"/>
        <v>Netherlands</v>
      </c>
      <c r="Q50" s="193"/>
      <c r="R50" s="194" t="str">
        <f>IF(Tournament!J51&lt;&gt;"",Tournament!J51,"")</f>
        <v/>
      </c>
      <c r="S50" s="194" t="s">
        <v>3088</v>
      </c>
      <c r="T50" s="194" t="str">
        <f>IF(Tournament!L51&lt;&gt;"",Tournament!L51,"")</f>
        <v/>
      </c>
      <c r="U50" s="193"/>
      <c r="V50" s="193" t="str">
        <f t="shared" si="1"/>
        <v>Chile</v>
      </c>
      <c r="W50" s="194"/>
      <c r="X50" s="194"/>
      <c r="Y50" s="194"/>
      <c r="Z50" s="194"/>
      <c r="AA50" s="194"/>
      <c r="AB50" s="194"/>
      <c r="AC50" s="194"/>
      <c r="AD50" s="195" t="str">
        <f>IF(AND(I50&lt;&gt;"",K50&lt;&gt;"",R50&lt;&gt;"",T50&lt;&gt;""),IF(AND(I50=R50,K50=T50),Setup!$D$10,IF((I50-K50)=(R50-T50),Setup!$D$11,IF(AND((I50&gt;K50),(R50&gt;T50)),Setup!$D$12,IF(AND((K50&gt;I50),(T50&gt;R50)),Setup!$D$12,0)))),"")</f>
        <v/>
      </c>
      <c r="AE50" s="183"/>
      <c r="CP50" s="168"/>
      <c r="CQ50" s="168"/>
      <c r="CR50" s="187"/>
      <c r="CS50" s="168"/>
    </row>
    <row r="51" spans="2:97" s="166" customFormat="1" ht="15" customHeight="1">
      <c r="B51" s="182"/>
      <c r="C51" s="181">
        <f>Tournament!D52</f>
        <v>37</v>
      </c>
      <c r="D51" s="181" t="str">
        <f>Tournament!E52</f>
        <v>C</v>
      </c>
      <c r="E51" s="188">
        <f>Tournament!F52</f>
        <v>41814.708333333336</v>
      </c>
      <c r="F51" s="189">
        <f>Tournament!G52</f>
        <v>41814.708333333336</v>
      </c>
      <c r="G51" s="190" t="str">
        <f>Tournament!H52</f>
        <v>Japan</v>
      </c>
      <c r="H51" s="180"/>
      <c r="I51" s="9"/>
      <c r="J51" s="191" t="s">
        <v>3088</v>
      </c>
      <c r="K51" s="9"/>
      <c r="L51" s="180"/>
      <c r="M51" s="180" t="str">
        <f>Tournament!N52</f>
        <v>Colombia</v>
      </c>
      <c r="N51" s="183"/>
      <c r="P51" s="192" t="str">
        <f t="shared" si="0"/>
        <v>Japan</v>
      </c>
      <c r="Q51" s="193"/>
      <c r="R51" s="194" t="str">
        <f>IF(Tournament!J52&lt;&gt;"",Tournament!J52,"")</f>
        <v/>
      </c>
      <c r="S51" s="194" t="s">
        <v>3088</v>
      </c>
      <c r="T51" s="194" t="str">
        <f>IF(Tournament!L52&lt;&gt;"",Tournament!L52,"")</f>
        <v/>
      </c>
      <c r="U51" s="193"/>
      <c r="V51" s="193" t="str">
        <f t="shared" si="1"/>
        <v>Colombia</v>
      </c>
      <c r="W51" s="194"/>
      <c r="X51" s="194"/>
      <c r="Y51" s="194"/>
      <c r="Z51" s="194"/>
      <c r="AA51" s="194"/>
      <c r="AB51" s="194"/>
      <c r="AC51" s="194"/>
      <c r="AD51" s="195" t="str">
        <f>IF(AND(I51&lt;&gt;"",K51&lt;&gt;"",R51&lt;&gt;"",T51&lt;&gt;""),IF(AND(I51=R51,K51=T51),Setup!$D$10,IF((I51-K51)=(R51-T51),Setup!$D$11,IF(AND((I51&gt;K51),(R51&gt;T51)),Setup!$D$12,IF(AND((K51&gt;I51),(T51&gt;R51)),Setup!$D$12,0)))),"")</f>
        <v/>
      </c>
      <c r="AE51" s="183"/>
      <c r="CP51" s="168"/>
      <c r="CQ51" s="168"/>
      <c r="CR51" s="187"/>
      <c r="CS51" s="168"/>
    </row>
    <row r="52" spans="2:97" s="166" customFormat="1" ht="15" customHeight="1">
      <c r="B52" s="182"/>
      <c r="C52" s="181">
        <f>Tournament!D53</f>
        <v>38</v>
      </c>
      <c r="D52" s="181" t="str">
        <f>Tournament!E53</f>
        <v>C</v>
      </c>
      <c r="E52" s="188">
        <f>Tournament!F53</f>
        <v>41814.708333333336</v>
      </c>
      <c r="F52" s="189">
        <f>Tournament!G53</f>
        <v>41814.708333333336</v>
      </c>
      <c r="G52" s="190" t="str">
        <f>Tournament!H53</f>
        <v>Greece</v>
      </c>
      <c r="H52" s="180"/>
      <c r="I52" s="9"/>
      <c r="J52" s="191" t="s">
        <v>3088</v>
      </c>
      <c r="K52" s="9"/>
      <c r="L52" s="180"/>
      <c r="M52" s="180" t="str">
        <f>Tournament!N53</f>
        <v>Ivory Coast</v>
      </c>
      <c r="N52" s="183"/>
      <c r="P52" s="192" t="str">
        <f t="shared" si="0"/>
        <v>Greece</v>
      </c>
      <c r="Q52" s="193"/>
      <c r="R52" s="194" t="str">
        <f>IF(Tournament!J53&lt;&gt;"",Tournament!J53,"")</f>
        <v/>
      </c>
      <c r="S52" s="194" t="s">
        <v>3088</v>
      </c>
      <c r="T52" s="194" t="str">
        <f>IF(Tournament!L53&lt;&gt;"",Tournament!L53,"")</f>
        <v/>
      </c>
      <c r="U52" s="193"/>
      <c r="V52" s="193" t="str">
        <f t="shared" si="1"/>
        <v>Ivory Coast</v>
      </c>
      <c r="W52" s="194"/>
      <c r="X52" s="194"/>
      <c r="Y52" s="194"/>
      <c r="Z52" s="194"/>
      <c r="AA52" s="194"/>
      <c r="AB52" s="194"/>
      <c r="AC52" s="194"/>
      <c r="AD52" s="195" t="str">
        <f>IF(AND(I52&lt;&gt;"",K52&lt;&gt;"",R52&lt;&gt;"",T52&lt;&gt;""),IF(AND(I52=R52,K52=T52),Setup!$D$10,IF((I52-K52)=(R52-T52),Setup!$D$11,IF(AND((I52&gt;K52),(R52&gt;T52)),Setup!$D$12,IF(AND((K52&gt;I52),(T52&gt;R52)),Setup!$D$12,0)))),"")</f>
        <v/>
      </c>
      <c r="AE52" s="183"/>
      <c r="CP52" s="168"/>
      <c r="CQ52" s="168"/>
      <c r="CR52" s="187"/>
      <c r="CS52" s="168"/>
    </row>
    <row r="53" spans="2:97" s="166" customFormat="1" ht="15" customHeight="1">
      <c r="B53" s="182"/>
      <c r="C53" s="181">
        <f>Tournament!D54</f>
        <v>39</v>
      </c>
      <c r="D53" s="181" t="str">
        <f>Tournament!E54</f>
        <v>D</v>
      </c>
      <c r="E53" s="188">
        <f>Tournament!F54</f>
        <v>41814.541666666664</v>
      </c>
      <c r="F53" s="189">
        <f>Tournament!G54</f>
        <v>41814.541666666664</v>
      </c>
      <c r="G53" s="190" t="str">
        <f>Tournament!H54</f>
        <v>Italy</v>
      </c>
      <c r="H53" s="180"/>
      <c r="I53" s="9"/>
      <c r="J53" s="191" t="s">
        <v>3088</v>
      </c>
      <c r="K53" s="9"/>
      <c r="L53" s="180"/>
      <c r="M53" s="180" t="str">
        <f>Tournament!N54</f>
        <v>Uruguay</v>
      </c>
      <c r="N53" s="183"/>
      <c r="P53" s="192" t="str">
        <f t="shared" si="0"/>
        <v>Italy</v>
      </c>
      <c r="Q53" s="193"/>
      <c r="R53" s="194" t="str">
        <f>IF(Tournament!J54&lt;&gt;"",Tournament!J54,"")</f>
        <v/>
      </c>
      <c r="S53" s="194" t="s">
        <v>3088</v>
      </c>
      <c r="T53" s="194" t="str">
        <f>IF(Tournament!L54&lt;&gt;"",Tournament!L54,"")</f>
        <v/>
      </c>
      <c r="U53" s="193"/>
      <c r="V53" s="193" t="str">
        <f t="shared" si="1"/>
        <v>Uruguay</v>
      </c>
      <c r="W53" s="194"/>
      <c r="X53" s="194"/>
      <c r="Y53" s="194"/>
      <c r="Z53" s="194"/>
      <c r="AA53" s="194"/>
      <c r="AB53" s="194"/>
      <c r="AC53" s="194"/>
      <c r="AD53" s="195" t="str">
        <f>IF(AND(I53&lt;&gt;"",K53&lt;&gt;"",R53&lt;&gt;"",T53&lt;&gt;""),IF(AND(I53=R53,K53=T53),Setup!$D$10,IF((I53-K53)=(R53-T53),Setup!$D$11,IF(AND((I53&gt;K53),(R53&gt;T53)),Setup!$D$12,IF(AND((K53&gt;I53),(T53&gt;R53)),Setup!$D$12,0)))),"")</f>
        <v/>
      </c>
      <c r="AE53" s="183"/>
      <c r="CP53" s="168"/>
      <c r="CQ53" s="168"/>
      <c r="CR53" s="187"/>
      <c r="CS53" s="168"/>
    </row>
    <row r="54" spans="2:97" s="166" customFormat="1" ht="15" customHeight="1">
      <c r="B54" s="182"/>
      <c r="C54" s="181">
        <f>Tournament!D55</f>
        <v>40</v>
      </c>
      <c r="D54" s="181" t="str">
        <f>Tournament!E55</f>
        <v>D</v>
      </c>
      <c r="E54" s="188">
        <f>Tournament!F55</f>
        <v>41814.541666666664</v>
      </c>
      <c r="F54" s="189">
        <f>Tournament!G55</f>
        <v>41814.541666666664</v>
      </c>
      <c r="G54" s="190" t="str">
        <f>Tournament!H55</f>
        <v>Costa Rica</v>
      </c>
      <c r="H54" s="180"/>
      <c r="I54" s="9"/>
      <c r="J54" s="191" t="s">
        <v>3088</v>
      </c>
      <c r="K54" s="9"/>
      <c r="L54" s="180"/>
      <c r="M54" s="180" t="str">
        <f>Tournament!N55</f>
        <v>England</v>
      </c>
      <c r="N54" s="183"/>
      <c r="P54" s="192" t="str">
        <f t="shared" si="0"/>
        <v>Costa Rica</v>
      </c>
      <c r="Q54" s="193"/>
      <c r="R54" s="194" t="str">
        <f>IF(Tournament!J55&lt;&gt;"",Tournament!J55,"")</f>
        <v/>
      </c>
      <c r="S54" s="194" t="s">
        <v>3088</v>
      </c>
      <c r="T54" s="194" t="str">
        <f>IF(Tournament!L55&lt;&gt;"",Tournament!L55,"")</f>
        <v/>
      </c>
      <c r="U54" s="193"/>
      <c r="V54" s="193" t="str">
        <f t="shared" si="1"/>
        <v>England</v>
      </c>
      <c r="W54" s="194"/>
      <c r="X54" s="194"/>
      <c r="Y54" s="194"/>
      <c r="Z54" s="194"/>
      <c r="AA54" s="194"/>
      <c r="AB54" s="194"/>
      <c r="AC54" s="194"/>
      <c r="AD54" s="195" t="str">
        <f>IF(AND(I54&lt;&gt;"",K54&lt;&gt;"",R54&lt;&gt;"",T54&lt;&gt;""),IF(AND(I54=R54,K54=T54),Setup!$D$10,IF((I54-K54)=(R54-T54),Setup!$D$11,IF(AND((I54&gt;K54),(R54&gt;T54)),Setup!$D$12,IF(AND((K54&gt;I54),(T54&gt;R54)),Setup!$D$12,0)))),"")</f>
        <v/>
      </c>
      <c r="AE54" s="183"/>
      <c r="CP54" s="168"/>
      <c r="CQ54" s="168"/>
      <c r="CR54" s="187"/>
      <c r="CS54" s="168"/>
    </row>
    <row r="55" spans="2:97" s="166" customFormat="1" ht="15" customHeight="1">
      <c r="B55" s="182"/>
      <c r="C55" s="181">
        <f>Tournament!D56</f>
        <v>41</v>
      </c>
      <c r="D55" s="181" t="str">
        <f>Tournament!E56</f>
        <v>E</v>
      </c>
      <c r="E55" s="188">
        <f>Tournament!F56</f>
        <v>41815.708333333336</v>
      </c>
      <c r="F55" s="189">
        <f>Tournament!G56</f>
        <v>41815.708333333336</v>
      </c>
      <c r="G55" s="190" t="str">
        <f>Tournament!H56</f>
        <v>Honduras</v>
      </c>
      <c r="H55" s="180"/>
      <c r="I55" s="9"/>
      <c r="J55" s="191" t="s">
        <v>3088</v>
      </c>
      <c r="K55" s="9"/>
      <c r="L55" s="180"/>
      <c r="M55" s="180" t="str">
        <f>Tournament!N56</f>
        <v>Switzerland</v>
      </c>
      <c r="N55" s="183"/>
      <c r="P55" s="192" t="str">
        <f t="shared" si="0"/>
        <v>Honduras</v>
      </c>
      <c r="Q55" s="193"/>
      <c r="R55" s="194" t="str">
        <f>IF(Tournament!J56&lt;&gt;"",Tournament!J56,"")</f>
        <v/>
      </c>
      <c r="S55" s="194" t="s">
        <v>3088</v>
      </c>
      <c r="T55" s="194" t="str">
        <f>IF(Tournament!L56&lt;&gt;"",Tournament!L56,"")</f>
        <v/>
      </c>
      <c r="U55" s="193"/>
      <c r="V55" s="193" t="str">
        <f t="shared" si="1"/>
        <v>Switzerland</v>
      </c>
      <c r="W55" s="194"/>
      <c r="X55" s="194"/>
      <c r="Y55" s="194"/>
      <c r="Z55" s="194"/>
      <c r="AA55" s="194"/>
      <c r="AB55" s="194"/>
      <c r="AC55" s="194"/>
      <c r="AD55" s="195" t="str">
        <f>IF(AND(I55&lt;&gt;"",K55&lt;&gt;"",R55&lt;&gt;"",T55&lt;&gt;""),IF(AND(I55=R55,K55=T55),Setup!$D$10,IF((I55-K55)=(R55-T55),Setup!$D$11,IF(AND((I55&gt;K55),(R55&gt;T55)),Setup!$D$12,IF(AND((K55&gt;I55),(T55&gt;R55)),Setup!$D$12,0)))),"")</f>
        <v/>
      </c>
      <c r="AE55" s="183"/>
      <c r="CP55" s="168"/>
      <c r="CQ55" s="168"/>
      <c r="CR55" s="187"/>
      <c r="CS55" s="168"/>
    </row>
    <row r="56" spans="2:97" s="166" customFormat="1" ht="15" customHeight="1">
      <c r="B56" s="182"/>
      <c r="C56" s="181">
        <f>Tournament!D57</f>
        <v>42</v>
      </c>
      <c r="D56" s="181" t="str">
        <f>Tournament!E57</f>
        <v>E</v>
      </c>
      <c r="E56" s="188">
        <f>Tournament!F57</f>
        <v>41815.708333333336</v>
      </c>
      <c r="F56" s="189">
        <f>Tournament!G57</f>
        <v>41815.708333333336</v>
      </c>
      <c r="G56" s="190" t="str">
        <f>Tournament!H57</f>
        <v>Ecuador</v>
      </c>
      <c r="H56" s="180"/>
      <c r="I56" s="9"/>
      <c r="J56" s="191" t="s">
        <v>3088</v>
      </c>
      <c r="K56" s="9"/>
      <c r="L56" s="180"/>
      <c r="M56" s="180" t="str">
        <f>Tournament!N57</f>
        <v>France</v>
      </c>
      <c r="N56" s="183"/>
      <c r="P56" s="192" t="str">
        <f t="shared" si="0"/>
        <v>Ecuador</v>
      </c>
      <c r="Q56" s="193"/>
      <c r="R56" s="194" t="str">
        <f>IF(Tournament!J57&lt;&gt;"",Tournament!J57,"")</f>
        <v/>
      </c>
      <c r="S56" s="194" t="s">
        <v>3088</v>
      </c>
      <c r="T56" s="194" t="str">
        <f>IF(Tournament!L57&lt;&gt;"",Tournament!L57,"")</f>
        <v/>
      </c>
      <c r="U56" s="193"/>
      <c r="V56" s="193" t="str">
        <f t="shared" si="1"/>
        <v>France</v>
      </c>
      <c r="W56" s="194"/>
      <c r="X56" s="194"/>
      <c r="Y56" s="194"/>
      <c r="Z56" s="194"/>
      <c r="AA56" s="194"/>
      <c r="AB56" s="194"/>
      <c r="AC56" s="194"/>
      <c r="AD56" s="195" t="str">
        <f>IF(AND(I56&lt;&gt;"",K56&lt;&gt;"",R56&lt;&gt;"",T56&lt;&gt;""),IF(AND(I56=R56,K56=T56),Setup!$D$10,IF((I56-K56)=(R56-T56),Setup!$D$11,IF(AND((I56&gt;K56),(R56&gt;T56)),Setup!$D$12,IF(AND((K56&gt;I56),(T56&gt;R56)),Setup!$D$12,0)))),"")</f>
        <v/>
      </c>
      <c r="AE56" s="183"/>
      <c r="CP56" s="168"/>
      <c r="CQ56" s="168"/>
      <c r="CR56" s="187"/>
      <c r="CS56" s="168"/>
    </row>
    <row r="57" spans="2:97" s="166" customFormat="1" ht="15" customHeight="1">
      <c r="B57" s="182"/>
      <c r="C57" s="181">
        <f>Tournament!D58</f>
        <v>43</v>
      </c>
      <c r="D57" s="181" t="str">
        <f>Tournament!E58</f>
        <v>F</v>
      </c>
      <c r="E57" s="188">
        <f>Tournament!F58</f>
        <v>41815.541666666664</v>
      </c>
      <c r="F57" s="189">
        <f>Tournament!G58</f>
        <v>41815.541666666664</v>
      </c>
      <c r="G57" s="190" t="str">
        <f>Tournament!H58</f>
        <v>Nigeria</v>
      </c>
      <c r="H57" s="180"/>
      <c r="I57" s="9"/>
      <c r="J57" s="191" t="s">
        <v>3088</v>
      </c>
      <c r="K57" s="9"/>
      <c r="L57" s="180"/>
      <c r="M57" s="180" t="str">
        <f>Tournament!N58</f>
        <v>Argentina</v>
      </c>
      <c r="N57" s="183"/>
      <c r="P57" s="192" t="str">
        <f t="shared" si="0"/>
        <v>Nigeria</v>
      </c>
      <c r="Q57" s="193"/>
      <c r="R57" s="194" t="str">
        <f>IF(Tournament!J58&lt;&gt;"",Tournament!J58,"")</f>
        <v/>
      </c>
      <c r="S57" s="194" t="s">
        <v>3088</v>
      </c>
      <c r="T57" s="194" t="str">
        <f>IF(Tournament!L58&lt;&gt;"",Tournament!L58,"")</f>
        <v/>
      </c>
      <c r="U57" s="193"/>
      <c r="V57" s="193" t="str">
        <f t="shared" si="1"/>
        <v>Argentina</v>
      </c>
      <c r="W57" s="194"/>
      <c r="X57" s="194"/>
      <c r="Y57" s="194"/>
      <c r="Z57" s="194"/>
      <c r="AA57" s="194"/>
      <c r="AB57" s="194"/>
      <c r="AC57" s="194"/>
      <c r="AD57" s="195" t="str">
        <f>IF(AND(I57&lt;&gt;"",K57&lt;&gt;"",R57&lt;&gt;"",T57&lt;&gt;""),IF(AND(I57=R57,K57=T57),Setup!$D$10,IF((I57-K57)=(R57-T57),Setup!$D$11,IF(AND((I57&gt;K57),(R57&gt;T57)),Setup!$D$12,IF(AND((K57&gt;I57),(T57&gt;R57)),Setup!$D$12,0)))),"")</f>
        <v/>
      </c>
      <c r="AE57" s="183"/>
      <c r="CP57" s="168"/>
      <c r="CQ57" s="168"/>
      <c r="CR57" s="187"/>
      <c r="CS57" s="168"/>
    </row>
    <row r="58" spans="2:97" s="166" customFormat="1" ht="15" customHeight="1">
      <c r="B58" s="182"/>
      <c r="C58" s="181">
        <f>Tournament!D59</f>
        <v>44</v>
      </c>
      <c r="D58" s="181" t="str">
        <f>Tournament!E59</f>
        <v>F</v>
      </c>
      <c r="E58" s="188">
        <f>Tournament!F59</f>
        <v>41815.541666666664</v>
      </c>
      <c r="F58" s="189">
        <f>Tournament!G59</f>
        <v>41815.541666666664</v>
      </c>
      <c r="G58" s="190" t="str">
        <f>Tournament!H59</f>
        <v>Bosnia-Herzegovina</v>
      </c>
      <c r="H58" s="180"/>
      <c r="I58" s="9"/>
      <c r="J58" s="191" t="s">
        <v>3088</v>
      </c>
      <c r="K58" s="9"/>
      <c r="L58" s="180"/>
      <c r="M58" s="180" t="str">
        <f>Tournament!N59</f>
        <v>Iran</v>
      </c>
      <c r="N58" s="183"/>
      <c r="P58" s="192" t="str">
        <f t="shared" si="0"/>
        <v>Bosnia-Herzegovina</v>
      </c>
      <c r="Q58" s="193"/>
      <c r="R58" s="194" t="str">
        <f>IF(Tournament!J59&lt;&gt;"",Tournament!J59,"")</f>
        <v/>
      </c>
      <c r="S58" s="194" t="s">
        <v>3088</v>
      </c>
      <c r="T58" s="194" t="str">
        <f>IF(Tournament!L59&lt;&gt;"",Tournament!L59,"")</f>
        <v/>
      </c>
      <c r="U58" s="193"/>
      <c r="V58" s="193" t="str">
        <f t="shared" si="1"/>
        <v>Iran</v>
      </c>
      <c r="W58" s="194"/>
      <c r="X58" s="194"/>
      <c r="Y58" s="194"/>
      <c r="Z58" s="194"/>
      <c r="AA58" s="194"/>
      <c r="AB58" s="194"/>
      <c r="AC58" s="194"/>
      <c r="AD58" s="195" t="str">
        <f>IF(AND(I58&lt;&gt;"",K58&lt;&gt;"",R58&lt;&gt;"",T58&lt;&gt;""),IF(AND(I58=R58,K58=T58),Setup!$D$10,IF((I58-K58)=(R58-T58),Setup!$D$11,IF(AND((I58&gt;K58),(R58&gt;T58)),Setup!$D$12,IF(AND((K58&gt;I58),(T58&gt;R58)),Setup!$D$12,0)))),"")</f>
        <v/>
      </c>
      <c r="AE58" s="183"/>
      <c r="CP58" s="168"/>
      <c r="CQ58" s="168"/>
      <c r="CR58" s="187"/>
      <c r="CS58" s="168"/>
    </row>
    <row r="59" spans="2:97" s="166" customFormat="1" ht="15" customHeight="1">
      <c r="B59" s="182"/>
      <c r="C59" s="181">
        <f>Tournament!D60</f>
        <v>45</v>
      </c>
      <c r="D59" s="181" t="str">
        <f>Tournament!E60</f>
        <v>G</v>
      </c>
      <c r="E59" s="188">
        <f>Tournament!F60</f>
        <v>41816.541666666664</v>
      </c>
      <c r="F59" s="189">
        <f>Tournament!G60</f>
        <v>41816.541666666664</v>
      </c>
      <c r="G59" s="190" t="str">
        <f>Tournament!H60</f>
        <v>USA</v>
      </c>
      <c r="H59" s="180"/>
      <c r="I59" s="9"/>
      <c r="J59" s="191" t="s">
        <v>3088</v>
      </c>
      <c r="K59" s="9"/>
      <c r="L59" s="180"/>
      <c r="M59" s="180" t="str">
        <f>Tournament!N60</f>
        <v>Germany</v>
      </c>
      <c r="N59" s="183"/>
      <c r="P59" s="192" t="str">
        <f t="shared" si="0"/>
        <v>USA</v>
      </c>
      <c r="Q59" s="193"/>
      <c r="R59" s="194" t="str">
        <f>IF(Tournament!J60&lt;&gt;"",Tournament!J60,"")</f>
        <v/>
      </c>
      <c r="S59" s="194" t="s">
        <v>3088</v>
      </c>
      <c r="T59" s="194" t="str">
        <f>IF(Tournament!L60&lt;&gt;"",Tournament!L60,"")</f>
        <v/>
      </c>
      <c r="U59" s="193"/>
      <c r="V59" s="193" t="str">
        <f t="shared" si="1"/>
        <v>Germany</v>
      </c>
      <c r="W59" s="194"/>
      <c r="X59" s="194"/>
      <c r="Y59" s="194"/>
      <c r="Z59" s="194"/>
      <c r="AA59" s="194"/>
      <c r="AB59" s="194"/>
      <c r="AC59" s="194"/>
      <c r="AD59" s="195" t="str">
        <f>IF(AND(I59&lt;&gt;"",K59&lt;&gt;"",R59&lt;&gt;"",T59&lt;&gt;""),IF(AND(I59=R59,K59=T59),Setup!$D$10,IF((I59-K59)=(R59-T59),Setup!$D$11,IF(AND((I59&gt;K59),(R59&gt;T59)),Setup!$D$12,IF(AND((K59&gt;I59),(T59&gt;R59)),Setup!$D$12,0)))),"")</f>
        <v/>
      </c>
      <c r="AE59" s="183"/>
      <c r="CP59" s="168"/>
      <c r="CQ59" s="168"/>
      <c r="CR59" s="187"/>
      <c r="CS59" s="168"/>
    </row>
    <row r="60" spans="2:97" s="166" customFormat="1" ht="15" customHeight="1">
      <c r="B60" s="182"/>
      <c r="C60" s="181">
        <f>Tournament!D61</f>
        <v>46</v>
      </c>
      <c r="D60" s="181" t="str">
        <f>Tournament!E61</f>
        <v>G</v>
      </c>
      <c r="E60" s="188">
        <f>Tournament!F61</f>
        <v>41816.541666666664</v>
      </c>
      <c r="F60" s="189">
        <f>Tournament!G61</f>
        <v>41816.541666666664</v>
      </c>
      <c r="G60" s="190" t="str">
        <f>Tournament!H61</f>
        <v>Portugal</v>
      </c>
      <c r="H60" s="180"/>
      <c r="I60" s="9"/>
      <c r="J60" s="191" t="s">
        <v>3088</v>
      </c>
      <c r="K60" s="9"/>
      <c r="L60" s="180"/>
      <c r="M60" s="180" t="str">
        <f>Tournament!N61</f>
        <v>Ghana</v>
      </c>
      <c r="N60" s="183"/>
      <c r="P60" s="192" t="str">
        <f t="shared" si="0"/>
        <v>Portugal</v>
      </c>
      <c r="Q60" s="193"/>
      <c r="R60" s="194" t="str">
        <f>IF(Tournament!J61&lt;&gt;"",Tournament!J61,"")</f>
        <v/>
      </c>
      <c r="S60" s="194" t="s">
        <v>3088</v>
      </c>
      <c r="T60" s="194" t="str">
        <f>IF(Tournament!L61&lt;&gt;"",Tournament!L61,"")</f>
        <v/>
      </c>
      <c r="U60" s="193"/>
      <c r="V60" s="193" t="str">
        <f t="shared" si="1"/>
        <v>Ghana</v>
      </c>
      <c r="W60" s="194"/>
      <c r="X60" s="194"/>
      <c r="Y60" s="194"/>
      <c r="Z60" s="194"/>
      <c r="AA60" s="194"/>
      <c r="AB60" s="194"/>
      <c r="AC60" s="194"/>
      <c r="AD60" s="195" t="str">
        <f>IF(AND(I60&lt;&gt;"",K60&lt;&gt;"",R60&lt;&gt;"",T60&lt;&gt;""),IF(AND(I60=R60,K60=T60),Setup!$D$10,IF((I60-K60)=(R60-T60),Setup!$D$11,IF(AND((I60&gt;K60),(R60&gt;T60)),Setup!$D$12,IF(AND((K60&gt;I60),(T60&gt;R60)),Setup!$D$12,0)))),"")</f>
        <v/>
      </c>
      <c r="AE60" s="183"/>
      <c r="CN60" s="168"/>
      <c r="CO60" s="168"/>
      <c r="CP60" s="187"/>
      <c r="CQ60" s="168"/>
    </row>
    <row r="61" spans="2:97" s="166" customFormat="1" ht="15" customHeight="1">
      <c r="B61" s="182"/>
      <c r="C61" s="181">
        <f>Tournament!D62</f>
        <v>47</v>
      </c>
      <c r="D61" s="181" t="str">
        <f>Tournament!E62</f>
        <v>H</v>
      </c>
      <c r="E61" s="188">
        <f>Tournament!F62</f>
        <v>41816.708333333336</v>
      </c>
      <c r="F61" s="189">
        <f>Tournament!G62</f>
        <v>41816.708333333336</v>
      </c>
      <c r="G61" s="190" t="str">
        <f>Tournament!H62</f>
        <v>South Korea</v>
      </c>
      <c r="H61" s="180"/>
      <c r="I61" s="9"/>
      <c r="J61" s="191" t="s">
        <v>3088</v>
      </c>
      <c r="K61" s="9"/>
      <c r="L61" s="180"/>
      <c r="M61" s="180" t="str">
        <f>Tournament!N62</f>
        <v>Belgium</v>
      </c>
      <c r="N61" s="183"/>
      <c r="P61" s="192" t="str">
        <f t="shared" si="0"/>
        <v>South Korea</v>
      </c>
      <c r="Q61" s="193"/>
      <c r="R61" s="194" t="str">
        <f>IF(Tournament!J62&lt;&gt;"",Tournament!J62,"")</f>
        <v/>
      </c>
      <c r="S61" s="194" t="s">
        <v>3088</v>
      </c>
      <c r="T61" s="194" t="str">
        <f>IF(Tournament!L62&lt;&gt;"",Tournament!L62,"")</f>
        <v/>
      </c>
      <c r="U61" s="193"/>
      <c r="V61" s="193" t="str">
        <f t="shared" si="1"/>
        <v>Belgium</v>
      </c>
      <c r="W61" s="194"/>
      <c r="X61" s="194"/>
      <c r="Y61" s="194"/>
      <c r="Z61" s="194"/>
      <c r="AA61" s="194"/>
      <c r="AB61" s="194"/>
      <c r="AC61" s="194"/>
      <c r="AD61" s="195" t="str">
        <f>IF(AND(I61&lt;&gt;"",K61&lt;&gt;"",R61&lt;&gt;"",T61&lt;&gt;""),IF(AND(I61=R61,K61=T61),Setup!$D$10,IF((I61-K61)=(R61-T61),Setup!$D$11,IF(AND((I61&gt;K61),(R61&gt;T61)),Setup!$D$12,IF(AND((K61&gt;I61),(T61&gt;R61)),Setup!$D$12,0)))),"")</f>
        <v/>
      </c>
      <c r="AE61" s="183"/>
      <c r="CM61" s="168"/>
      <c r="CN61" s="168"/>
      <c r="CO61" s="187"/>
      <c r="CP61" s="168"/>
    </row>
    <row r="62" spans="2:97" s="166" customFormat="1" ht="15" customHeight="1">
      <c r="B62" s="182"/>
      <c r="C62" s="181">
        <f>Tournament!D63</f>
        <v>48</v>
      </c>
      <c r="D62" s="181" t="str">
        <f>Tournament!E63</f>
        <v>H</v>
      </c>
      <c r="E62" s="188">
        <f>Tournament!F63</f>
        <v>41816.708333333336</v>
      </c>
      <c r="F62" s="189">
        <f>Tournament!G63</f>
        <v>41816.708333333336</v>
      </c>
      <c r="G62" s="190" t="str">
        <f>Tournament!H63</f>
        <v>Algeria</v>
      </c>
      <c r="H62" s="180"/>
      <c r="I62" s="9"/>
      <c r="J62" s="191" t="s">
        <v>3088</v>
      </c>
      <c r="K62" s="9"/>
      <c r="L62" s="180"/>
      <c r="M62" s="180" t="str">
        <f>Tournament!N63</f>
        <v>Russia</v>
      </c>
      <c r="N62" s="183"/>
      <c r="P62" s="192" t="str">
        <f t="shared" si="0"/>
        <v>Algeria</v>
      </c>
      <c r="Q62" s="193"/>
      <c r="R62" s="194" t="str">
        <f>IF(Tournament!J63&lt;&gt;"",Tournament!J63,"")</f>
        <v/>
      </c>
      <c r="S62" s="194" t="s">
        <v>3088</v>
      </c>
      <c r="T62" s="194" t="str">
        <f>IF(Tournament!L63&lt;&gt;"",Tournament!L63,"")</f>
        <v/>
      </c>
      <c r="U62" s="193"/>
      <c r="V62" s="193" t="str">
        <f t="shared" si="1"/>
        <v>Russia</v>
      </c>
      <c r="AD62" s="195" t="str">
        <f>IF(AND(I62&lt;&gt;"",K62&lt;&gt;"",R62&lt;&gt;"",T62&lt;&gt;""),IF(AND(I62=R62,K62=T62),Setup!$D$10,IF((I62-K62)=(R62-T62),Setup!$D$11,IF(AND((I62&gt;K62),(R62&gt;T62)),Setup!$D$12,IF(AND((K62&gt;I62),(T62&gt;R62)),Setup!$D$12,0)))),"")</f>
        <v/>
      </c>
      <c r="AE62" s="183"/>
      <c r="CM62" s="168"/>
      <c r="CN62" s="168"/>
      <c r="CO62" s="187"/>
      <c r="CP62" s="168"/>
    </row>
    <row r="63" spans="2:97" s="166" customFormat="1" ht="15" customHeight="1">
      <c r="B63" s="182"/>
      <c r="C63" s="181"/>
      <c r="D63" s="181"/>
      <c r="E63" s="188"/>
      <c r="F63" s="189"/>
      <c r="G63" s="190"/>
      <c r="H63" s="180"/>
      <c r="I63" s="191"/>
      <c r="J63" s="191"/>
      <c r="K63" s="191"/>
      <c r="L63" s="180"/>
      <c r="M63" s="180"/>
      <c r="N63" s="183"/>
      <c r="P63" s="192"/>
      <c r="Q63" s="193"/>
      <c r="R63" s="194"/>
      <c r="S63" s="194"/>
      <c r="T63" s="194"/>
      <c r="U63" s="193"/>
      <c r="V63" s="193"/>
      <c r="AD63" s="181"/>
      <c r="AE63" s="183"/>
      <c r="CM63" s="168"/>
      <c r="CN63" s="168"/>
      <c r="CO63" s="187"/>
      <c r="CP63" s="168"/>
    </row>
    <row r="64" spans="2:97" s="166" customFormat="1" ht="15" customHeight="1">
      <c r="B64" s="300" t="s">
        <v>3544</v>
      </c>
      <c r="C64" s="301"/>
      <c r="D64" s="301"/>
      <c r="E64" s="301"/>
      <c r="F64" s="301"/>
      <c r="G64" s="301"/>
      <c r="H64" s="301"/>
      <c r="I64" s="301"/>
      <c r="J64" s="301"/>
      <c r="K64" s="301"/>
      <c r="L64" s="301"/>
      <c r="M64" s="301"/>
      <c r="N64" s="302"/>
      <c r="P64" s="303" t="str">
        <f>B64</f>
        <v>Knock Out Stages</v>
      </c>
      <c r="Q64" s="304"/>
      <c r="R64" s="304"/>
      <c r="S64" s="304"/>
      <c r="T64" s="304"/>
      <c r="U64" s="304"/>
      <c r="V64" s="304"/>
      <c r="W64" s="304"/>
      <c r="X64" s="304"/>
      <c r="Y64" s="304"/>
      <c r="Z64" s="304"/>
      <c r="AA64" s="304"/>
      <c r="AB64" s="304"/>
      <c r="AC64" s="304"/>
      <c r="AD64" s="304"/>
      <c r="AE64" s="305"/>
      <c r="CM64" s="168"/>
      <c r="CN64" s="168"/>
      <c r="CO64" s="187"/>
      <c r="CP64" s="168"/>
    </row>
    <row r="65" spans="2:94" s="166" customFormat="1" ht="15" customHeight="1">
      <c r="B65" s="182"/>
      <c r="C65" s="181"/>
      <c r="D65" s="181"/>
      <c r="E65" s="188"/>
      <c r="F65" s="189"/>
      <c r="G65" s="190"/>
      <c r="H65" s="180"/>
      <c r="I65" s="191"/>
      <c r="J65" s="191"/>
      <c r="K65" s="191"/>
      <c r="L65" s="180"/>
      <c r="M65" s="180"/>
      <c r="N65" s="183"/>
      <c r="P65" s="192"/>
      <c r="Q65" s="193"/>
      <c r="R65" s="299" t="s">
        <v>3554</v>
      </c>
      <c r="S65" s="299"/>
      <c r="T65" s="299"/>
      <c r="U65" s="193"/>
      <c r="V65" s="193"/>
      <c r="W65" s="299" t="s">
        <v>3546</v>
      </c>
      <c r="X65" s="299"/>
      <c r="Y65" s="299"/>
      <c r="Z65" s="197"/>
      <c r="AA65" s="299" t="s">
        <v>3547</v>
      </c>
      <c r="AB65" s="299"/>
      <c r="AC65" s="299"/>
      <c r="AD65" s="181"/>
      <c r="AE65" s="183"/>
      <c r="CM65" s="168"/>
      <c r="CN65" s="168"/>
      <c r="CO65" s="187"/>
      <c r="CP65" s="168"/>
    </row>
    <row r="66" spans="2:94" s="166" customFormat="1" ht="15" customHeight="1">
      <c r="B66" s="182"/>
      <c r="C66" s="181">
        <v>49</v>
      </c>
      <c r="D66" s="181" t="s">
        <v>3548</v>
      </c>
      <c r="E66" s="188">
        <f>Tournament!F69</f>
        <v>41818.541666666664</v>
      </c>
      <c r="F66" s="189">
        <f>Tournament!G69</f>
        <v>41818.541666666664</v>
      </c>
      <c r="G66" s="190" t="str">
        <f>Tournament!H69</f>
        <v>Group A Winner</v>
      </c>
      <c r="H66" s="180"/>
      <c r="I66" s="9"/>
      <c r="J66" s="191" t="s">
        <v>3088</v>
      </c>
      <c r="K66" s="9"/>
      <c r="L66" s="180"/>
      <c r="M66" s="198" t="str">
        <f>Tournament!N69</f>
        <v>Group B Runner Up</v>
      </c>
      <c r="N66" s="183"/>
      <c r="P66" s="192" t="str">
        <f t="shared" ref="P66:P81" si="2">G66</f>
        <v>Group A Winner</v>
      </c>
      <c r="Q66" s="193"/>
      <c r="R66" s="194" t="str">
        <f>IF($Z$67=0,IF($Z$66=0,IF(Tournament!J70&lt;&gt;"",Tournament!J70,""),IF(Tournament!J70&lt;&gt;"",Tournament!J70+Tournament!J71,"")),IF(Tournament!J69&lt;&gt;"",Tournament!J69,""))</f>
        <v/>
      </c>
      <c r="S66" s="194" t="s">
        <v>3088</v>
      </c>
      <c r="T66" s="194" t="str">
        <f>IF($Z$67=0,IF($Z$66=0,IF(Tournament!L70&lt;&gt;"",Tournament!L70,""),IF(Tournament!L70&lt;&gt;"",Tournament!L70+Tournament!L71,"")),IF(Tournament!L69&lt;&gt;"",Tournament!L69,""))</f>
        <v/>
      </c>
      <c r="U66" s="193"/>
      <c r="V66" s="193" t="str">
        <f t="shared" ref="V66:V81" si="3">M66</f>
        <v>Group B Runner Up</v>
      </c>
      <c r="W66" s="191" t="str">
        <f>IF(Tournament!J71&lt;&gt;"",Tournament!J71,"")</f>
        <v/>
      </c>
      <c r="X66" s="199" t="s">
        <v>3088</v>
      </c>
      <c r="Y66" s="191" t="str">
        <f>IF(Tournament!L71&lt;&gt;"",Tournament!L71,"")</f>
        <v/>
      </c>
      <c r="Z66" s="199">
        <f>Setup!E16</f>
        <v>1</v>
      </c>
      <c r="AA66" s="191" t="str">
        <f>IF(Tournament!J72&lt;&gt;"",Tournament!J72,"")</f>
        <v/>
      </c>
      <c r="AB66" s="194" t="s">
        <v>3088</v>
      </c>
      <c r="AC66" s="191" t="str">
        <f>IF(Tournament!L72&lt;&gt;"",Tournament!L72,"")</f>
        <v/>
      </c>
      <c r="AD66" s="195" t="str">
        <f>IF(AND(I66&lt;&gt;"",K66&lt;&gt;"",R66&lt;&gt;"",T66&lt;&gt;""),IF(AND(I66=R66,K66=T66),Setup!$D$20,IF((I66-K66)=(R66-T66),Setup!$D$21,IF(AND((I66&gt;K66),(R66&gt;T66)),Setup!$D$22,IF(AND((K66&gt;I66),(T66&gt;R66)),Setup!$D$22,0)))),"")</f>
        <v/>
      </c>
      <c r="AE66" s="183"/>
      <c r="CM66" s="168"/>
      <c r="CN66" s="168"/>
      <c r="CO66" s="187"/>
      <c r="CP66" s="168"/>
    </row>
    <row r="67" spans="2:94" s="166" customFormat="1" ht="15" customHeight="1">
      <c r="B67" s="182"/>
      <c r="C67" s="181">
        <v>50</v>
      </c>
      <c r="D67" s="181" t="str">
        <f>D66</f>
        <v>R16</v>
      </c>
      <c r="E67" s="188">
        <f>Tournament!F75</f>
        <v>41818.708333333336</v>
      </c>
      <c r="F67" s="189">
        <f>Tournament!G75</f>
        <v>41818.708333333336</v>
      </c>
      <c r="G67" s="190" t="str">
        <f>Tournament!H75</f>
        <v>Group C Winner</v>
      </c>
      <c r="H67" s="180"/>
      <c r="I67" s="9"/>
      <c r="J67" s="191" t="s">
        <v>3088</v>
      </c>
      <c r="K67" s="9"/>
      <c r="L67" s="180"/>
      <c r="M67" s="198" t="str">
        <f>Tournament!N75</f>
        <v>Group D Runner Up</v>
      </c>
      <c r="N67" s="183"/>
      <c r="P67" s="192" t="str">
        <f t="shared" si="2"/>
        <v>Group C Winner</v>
      </c>
      <c r="Q67" s="193"/>
      <c r="R67" s="194" t="str">
        <f>IF($Z$67=0,IF($Z$66=0,IF(Tournament!J76&lt;&gt;"",Tournament!J76,""),IF(Tournament!J76&lt;&gt;"",Tournament!J76+Tournament!J77,"")),IF(Tournament!J75&lt;&gt;"",Tournament!J75,""))</f>
        <v/>
      </c>
      <c r="S67" s="194" t="s">
        <v>3088</v>
      </c>
      <c r="T67" s="194" t="str">
        <f>IF($Z$67=0,IF($Z$66=0,IF(Tournament!L76&lt;&gt;"",Tournament!L76,""),IF(Tournament!L76&lt;&gt;"",Tournament!L76+Tournament!L77,"")),IF(Tournament!L75&lt;&gt;"",Tournament!L75,""))</f>
        <v/>
      </c>
      <c r="U67" s="193"/>
      <c r="V67" s="193" t="str">
        <f t="shared" si="3"/>
        <v>Group D Runner Up</v>
      </c>
      <c r="W67" s="191" t="str">
        <f>IF(Tournament!J77&lt;&gt;"",Tournament!J77,"")</f>
        <v/>
      </c>
      <c r="X67" s="199" t="s">
        <v>3088</v>
      </c>
      <c r="Y67" s="191" t="str">
        <f>IF(Tournament!L77&lt;&gt;"",Tournament!L77,"")</f>
        <v/>
      </c>
      <c r="Z67" s="199">
        <f>Setup!E17</f>
        <v>0</v>
      </c>
      <c r="AA67" s="191" t="str">
        <f>IF(Tournament!J78&lt;&gt;"",Tournament!J78,"")</f>
        <v/>
      </c>
      <c r="AB67" s="194" t="s">
        <v>3088</v>
      </c>
      <c r="AC67" s="191" t="str">
        <f>IF(Tournament!L78&lt;&gt;"",Tournament!L78,"")</f>
        <v/>
      </c>
      <c r="AD67" s="195" t="str">
        <f>IF(AND(I67&lt;&gt;"",K67&lt;&gt;"",R67&lt;&gt;"",T67&lt;&gt;""),IF(AND(I67=R67,K67=T67),Setup!$D$20,IF((I67-K67)=(R67-T67),Setup!$D$21,IF(AND((I67&gt;K67),(R67&gt;T67)),Setup!$D$22,IF(AND((K67&gt;I67),(T67&gt;R67)),Setup!$D$22,0)))),"")</f>
        <v/>
      </c>
      <c r="AE67" s="183"/>
      <c r="CM67" s="168"/>
      <c r="CN67" s="168"/>
      <c r="CO67" s="187"/>
      <c r="CP67" s="168"/>
    </row>
    <row r="68" spans="2:94" s="166" customFormat="1" ht="15" customHeight="1">
      <c r="B68" s="182"/>
      <c r="C68" s="181">
        <v>52</v>
      </c>
      <c r="D68" s="181" t="str">
        <f t="shared" ref="D68:D73" si="4">D67</f>
        <v>R16</v>
      </c>
      <c r="E68" s="188">
        <f>Tournament!F81</f>
        <v>41819.708333333336</v>
      </c>
      <c r="F68" s="189">
        <f>Tournament!G81</f>
        <v>41819.708333333336</v>
      </c>
      <c r="G68" s="190" t="str">
        <f>Tournament!H81</f>
        <v>Group D Winner</v>
      </c>
      <c r="H68" s="180"/>
      <c r="I68" s="9"/>
      <c r="J68" s="191" t="s">
        <v>3088</v>
      </c>
      <c r="K68" s="9"/>
      <c r="L68" s="180"/>
      <c r="M68" s="198" t="str">
        <f>Tournament!N81</f>
        <v>Group C Runner Up</v>
      </c>
      <c r="N68" s="183"/>
      <c r="P68" s="192" t="str">
        <f t="shared" si="2"/>
        <v>Group D Winner</v>
      </c>
      <c r="Q68" s="193"/>
      <c r="R68" s="194" t="str">
        <f>IF($Z$67=0,IF($Z$66=0,IF(Tournament!J82&lt;&gt;"",Tournament!J82,""),IF(Tournament!J82&lt;&gt;"",Tournament!J82+Tournament!J83,"")),IF(Tournament!J81&lt;&gt;"",Tournament!J81,""))</f>
        <v/>
      </c>
      <c r="S68" s="194" t="s">
        <v>3088</v>
      </c>
      <c r="T68" s="194" t="str">
        <f>IF($Z$67=0,IF($Z$66=0,IF(Tournament!L82&lt;&gt;"",Tournament!L82,""),IF(Tournament!L82&lt;&gt;"",Tournament!L82+Tournament!L83,"")),IF(Tournament!L81&lt;&gt;"",Tournament!L81,""))</f>
        <v/>
      </c>
      <c r="U68" s="193"/>
      <c r="V68" s="193" t="str">
        <f t="shared" si="3"/>
        <v>Group C Runner Up</v>
      </c>
      <c r="W68" s="191" t="str">
        <f>IF(Tournament!J83&lt;&gt;"",Tournament!J83,"")</f>
        <v/>
      </c>
      <c r="X68" s="199" t="s">
        <v>3088</v>
      </c>
      <c r="Y68" s="191" t="str">
        <f>IF(Tournament!L83&lt;&gt;"",Tournament!L83,"")</f>
        <v/>
      </c>
      <c r="Z68" s="191"/>
      <c r="AA68" s="191" t="str">
        <f>IF(Tournament!J84&lt;&gt;"",Tournament!J84,"")</f>
        <v/>
      </c>
      <c r="AB68" s="194" t="s">
        <v>3088</v>
      </c>
      <c r="AC68" s="191" t="str">
        <f>IF(Tournament!L84&lt;&gt;"",Tournament!L84,"")</f>
        <v/>
      </c>
      <c r="AD68" s="195" t="str">
        <f>IF(AND(I68&lt;&gt;"",K68&lt;&gt;"",R68&lt;&gt;"",T68&lt;&gt;""),IF(AND(I68=R68,K68=T68),Setup!$D$20,IF((I68-K68)=(R68-T68),Setup!$D$21,IF(AND((I68&gt;K68),(R68&gt;T68)),Setup!$D$22,IF(AND((K68&gt;I68),(T68&gt;R68)),Setup!$D$22,0)))),"")</f>
        <v/>
      </c>
      <c r="AE68" s="183"/>
      <c r="CM68" s="168"/>
      <c r="CN68" s="168"/>
      <c r="CO68" s="187"/>
      <c r="CP68" s="168"/>
    </row>
    <row r="69" spans="2:94" s="166" customFormat="1" ht="15" customHeight="1">
      <c r="B69" s="182"/>
      <c r="C69" s="181">
        <v>51</v>
      </c>
      <c r="D69" s="181" t="str">
        <f t="shared" si="4"/>
        <v>R16</v>
      </c>
      <c r="E69" s="188">
        <f>Tournament!F87</f>
        <v>41819.541666666664</v>
      </c>
      <c r="F69" s="189">
        <f>Tournament!G93</f>
        <v>41820.541666666664</v>
      </c>
      <c r="G69" s="190" t="str">
        <f>Tournament!H87</f>
        <v>Group B Winner</v>
      </c>
      <c r="H69" s="180"/>
      <c r="I69" s="9"/>
      <c r="J69" s="191" t="s">
        <v>3088</v>
      </c>
      <c r="K69" s="9"/>
      <c r="L69" s="180"/>
      <c r="M69" s="198" t="str">
        <f>Tournament!N87</f>
        <v>Group A Runner Up</v>
      </c>
      <c r="N69" s="183"/>
      <c r="P69" s="192" t="str">
        <f t="shared" si="2"/>
        <v>Group B Winner</v>
      </c>
      <c r="Q69" s="193"/>
      <c r="R69" s="194" t="str">
        <f>IF($Z$67=0,IF($Z$66=0,IF(Tournament!J88&lt;&gt;"",Tournament!J88,""),IF(Tournament!J88&lt;&gt;"",Tournament!J88+Tournament!J89,"")),IF(Tournament!J87&lt;&gt;"",Tournament!J87,""))</f>
        <v/>
      </c>
      <c r="S69" s="194" t="s">
        <v>3088</v>
      </c>
      <c r="T69" s="194" t="str">
        <f>IF($Z$67=0,IF($Z$66=0,IF(Tournament!L88&lt;&gt;"",Tournament!L88,""),IF(Tournament!L88&lt;&gt;"",Tournament!L88+Tournament!L89,"")),IF(Tournament!L87&lt;&gt;"",Tournament!L87,""))</f>
        <v/>
      </c>
      <c r="U69" s="193"/>
      <c r="V69" s="193" t="str">
        <f t="shared" si="3"/>
        <v>Group A Runner Up</v>
      </c>
      <c r="W69" s="191" t="str">
        <f>IF(Tournament!J89&lt;&gt;"",Tournament!J89,"")</f>
        <v/>
      </c>
      <c r="X69" s="199" t="s">
        <v>3088</v>
      </c>
      <c r="Y69" s="191" t="str">
        <f>IF(Tournament!L89&lt;&gt;"",Tournament!L89,"")</f>
        <v/>
      </c>
      <c r="Z69" s="191"/>
      <c r="AA69" s="191" t="str">
        <f>IF(Tournament!J90&lt;&gt;"",Tournament!J90,"")</f>
        <v/>
      </c>
      <c r="AB69" s="194" t="s">
        <v>3088</v>
      </c>
      <c r="AC69" s="191" t="str">
        <f>IF(Tournament!L90&lt;&gt;"",Tournament!L90,"")</f>
        <v/>
      </c>
      <c r="AD69" s="195" t="str">
        <f>IF(AND(I69&lt;&gt;"",K69&lt;&gt;"",R69&lt;&gt;"",T69&lt;&gt;""),IF(AND(I69=R69,K69=T69),Setup!$D$20,IF((I69-K69)=(R69-T69),Setup!$D$21,IF(AND((I69&gt;K69),(R69&gt;T69)),Setup!$D$22,IF(AND((K69&gt;I69),(T69&gt;R69)),Setup!$D$22,0)))),"")</f>
        <v/>
      </c>
      <c r="AE69" s="183"/>
      <c r="CM69" s="168"/>
      <c r="CN69" s="168"/>
      <c r="CO69" s="187"/>
      <c r="CP69" s="168"/>
    </row>
    <row r="70" spans="2:94" s="166" customFormat="1" ht="15" customHeight="1">
      <c r="B70" s="182"/>
      <c r="C70" s="181">
        <v>53</v>
      </c>
      <c r="D70" s="181" t="str">
        <f t="shared" si="4"/>
        <v>R16</v>
      </c>
      <c r="E70" s="188">
        <f>Tournament!F93</f>
        <v>41820.541666666664</v>
      </c>
      <c r="F70" s="189">
        <f>Tournament!G93</f>
        <v>41820.541666666664</v>
      </c>
      <c r="G70" s="190" t="str">
        <f>Tournament!H93</f>
        <v>Group E Winner</v>
      </c>
      <c r="H70" s="180"/>
      <c r="I70" s="9"/>
      <c r="J70" s="191" t="s">
        <v>3088</v>
      </c>
      <c r="K70" s="9"/>
      <c r="L70" s="180"/>
      <c r="M70" s="198" t="str">
        <f>Tournament!N93</f>
        <v>Group F Runner Up</v>
      </c>
      <c r="N70" s="183"/>
      <c r="P70" s="192" t="str">
        <f t="shared" si="2"/>
        <v>Group E Winner</v>
      </c>
      <c r="Q70" s="193"/>
      <c r="R70" s="194" t="str">
        <f>IF($Z$67=0,IF($Z$66=0,IF(Tournament!J94&lt;&gt;"",Tournament!J94,""),IF(Tournament!J94&lt;&gt;"",Tournament!J94+Tournament!J95,"")),IF(Tournament!J93&lt;&gt;"",Tournament!J93,""))</f>
        <v/>
      </c>
      <c r="S70" s="194" t="s">
        <v>3088</v>
      </c>
      <c r="T70" s="194" t="str">
        <f>IF($Z$67=0,IF($Z$66=0,IF(Tournament!L94&lt;&gt;"",Tournament!L94,""),IF(Tournament!L94&lt;&gt;"",Tournament!L94+Tournament!L95,"")),IF(Tournament!L93&lt;&gt;"",Tournament!L93,""))</f>
        <v/>
      </c>
      <c r="U70" s="193"/>
      <c r="V70" s="193" t="str">
        <f t="shared" si="3"/>
        <v>Group F Runner Up</v>
      </c>
      <c r="W70" s="191" t="str">
        <f>IF(Tournament!J95&lt;&gt;"",Tournament!J95,"")</f>
        <v/>
      </c>
      <c r="X70" s="199" t="s">
        <v>3088</v>
      </c>
      <c r="Y70" s="191" t="str">
        <f>IF(Tournament!L95&lt;&gt;"",Tournament!L95,"")</f>
        <v/>
      </c>
      <c r="Z70" s="191"/>
      <c r="AA70" s="191" t="str">
        <f>IF(Tournament!J96&lt;&gt;"",Tournament!J96,"")</f>
        <v/>
      </c>
      <c r="AB70" s="194" t="s">
        <v>3088</v>
      </c>
      <c r="AC70" s="191" t="str">
        <f>IF(Tournament!L96&lt;&gt;"",Tournament!L96,"")</f>
        <v/>
      </c>
      <c r="AD70" s="195" t="str">
        <f>IF(AND(I70&lt;&gt;"",K70&lt;&gt;"",R70&lt;&gt;"",T70&lt;&gt;""),IF(AND(I70=R70,K70=T70),Setup!$D$20,IF((I70-K70)=(R70-T70),Setup!$D$21,IF(AND((I70&gt;K70),(R70&gt;T70)),Setup!$D$22,IF(AND((K70&gt;I70),(T70&gt;R70)),Setup!$D$22,0)))),"")</f>
        <v/>
      </c>
      <c r="AE70" s="183"/>
      <c r="CM70" s="168"/>
      <c r="CN70" s="168"/>
      <c r="CO70" s="187"/>
      <c r="CP70" s="168"/>
    </row>
    <row r="71" spans="2:94" s="166" customFormat="1" ht="15" customHeight="1">
      <c r="B71" s="182"/>
      <c r="C71" s="181">
        <v>54</v>
      </c>
      <c r="D71" s="181" t="str">
        <f t="shared" si="4"/>
        <v>R16</v>
      </c>
      <c r="E71" s="188">
        <f>Tournament!F99</f>
        <v>41820.708333333336</v>
      </c>
      <c r="F71" s="189">
        <f>Tournament!G99</f>
        <v>41820.708333333336</v>
      </c>
      <c r="G71" s="190" t="str">
        <f>Tournament!H99</f>
        <v>Group G Winner</v>
      </c>
      <c r="H71" s="180"/>
      <c r="I71" s="9"/>
      <c r="J71" s="191" t="s">
        <v>3088</v>
      </c>
      <c r="K71" s="9"/>
      <c r="L71" s="180"/>
      <c r="M71" s="198" t="str">
        <f>Tournament!N99</f>
        <v>Group H Runner Up</v>
      </c>
      <c r="N71" s="183"/>
      <c r="P71" s="192" t="str">
        <f t="shared" si="2"/>
        <v>Group G Winner</v>
      </c>
      <c r="Q71" s="193"/>
      <c r="R71" s="194" t="str">
        <f>IF($Z$67=0,IF($Z$66=0,IF(Tournament!J100&lt;&gt;"",Tournament!J100,""),IF(Tournament!J100&lt;&gt;"",Tournament!J100+Tournament!J101,"")),IF(Tournament!J99&lt;&gt;"",Tournament!J99,""))</f>
        <v/>
      </c>
      <c r="S71" s="194" t="s">
        <v>3088</v>
      </c>
      <c r="T71" s="194" t="str">
        <f>IF($Z$67=0,IF($Z$66=0,IF(Tournament!L100&lt;&gt;"",Tournament!L100,""),IF(Tournament!L100&lt;&gt;"",Tournament!L100+Tournament!L101,"")),IF(Tournament!L99&lt;&gt;"",Tournament!L99,""))</f>
        <v/>
      </c>
      <c r="U71" s="193"/>
      <c r="V71" s="193" t="str">
        <f t="shared" si="3"/>
        <v>Group H Runner Up</v>
      </c>
      <c r="W71" s="191" t="str">
        <f>IF(Tournament!J101&lt;&gt;"",Tournament!J101,"")</f>
        <v/>
      </c>
      <c r="X71" s="199" t="s">
        <v>3088</v>
      </c>
      <c r="Y71" s="191" t="str">
        <f>IF(Tournament!L101&lt;&gt;"",Tournament!L101,"")</f>
        <v/>
      </c>
      <c r="Z71" s="191"/>
      <c r="AA71" s="191" t="str">
        <f>IF(Tournament!J102&lt;&gt;"",Tournament!J102,"")</f>
        <v/>
      </c>
      <c r="AB71" s="194" t="s">
        <v>3088</v>
      </c>
      <c r="AC71" s="191" t="str">
        <f>IF(Tournament!L102&lt;&gt;"",Tournament!L102,"")</f>
        <v/>
      </c>
      <c r="AD71" s="195" t="str">
        <f>IF(AND(I71&lt;&gt;"",K71&lt;&gt;"",R71&lt;&gt;"",T71&lt;&gt;""),IF(AND(I71=R71,K71=T71),Setup!$D$20,IF((I71-K71)=(R71-T71),Setup!$D$21,IF(AND((I71&gt;K71),(R71&gt;T71)),Setup!$D$22,IF(AND((K71&gt;I71),(T71&gt;R71)),Setup!$D$22,0)))),"")</f>
        <v/>
      </c>
      <c r="AE71" s="183"/>
      <c r="CM71" s="168"/>
      <c r="CN71" s="168"/>
      <c r="CO71" s="187"/>
      <c r="CP71" s="168"/>
    </row>
    <row r="72" spans="2:94" s="166" customFormat="1" ht="15" customHeight="1">
      <c r="B72" s="182"/>
      <c r="C72" s="181">
        <v>55</v>
      </c>
      <c r="D72" s="181" t="str">
        <f t="shared" si="4"/>
        <v>R16</v>
      </c>
      <c r="E72" s="188">
        <f>Tournament!F105</f>
        <v>41821.541666666664</v>
      </c>
      <c r="F72" s="189">
        <f>Tournament!G105</f>
        <v>41821.541666666664</v>
      </c>
      <c r="G72" s="190" t="str">
        <f>Tournament!H105</f>
        <v>Group F Winner</v>
      </c>
      <c r="H72" s="180"/>
      <c r="I72" s="9"/>
      <c r="J72" s="191" t="s">
        <v>3088</v>
      </c>
      <c r="K72" s="9"/>
      <c r="L72" s="180"/>
      <c r="M72" s="198" t="str">
        <f>Tournament!N105</f>
        <v>Group E Runner Up</v>
      </c>
      <c r="N72" s="183"/>
      <c r="P72" s="192" t="str">
        <f t="shared" si="2"/>
        <v>Group F Winner</v>
      </c>
      <c r="Q72" s="193"/>
      <c r="R72" s="194" t="str">
        <f>IF($Z$67=0,IF($Z$66=0,IF(Tournament!J106&lt;&gt;"",Tournament!J106,""),IF(Tournament!J106&lt;&gt;"",Tournament!J106+Tournament!J107,"")),IF(Tournament!J105&lt;&gt;"",Tournament!J105,""))</f>
        <v/>
      </c>
      <c r="S72" s="194" t="s">
        <v>3088</v>
      </c>
      <c r="T72" s="194" t="str">
        <f>IF($Z$67=0,IF($Z$66=0,IF(Tournament!L106&lt;&gt;"",Tournament!L106,""),IF(Tournament!L106&lt;&gt;"",Tournament!L106+Tournament!L107,"")),IF(Tournament!L105&lt;&gt;"",Tournament!L105,""))</f>
        <v/>
      </c>
      <c r="U72" s="193"/>
      <c r="V72" s="193" t="str">
        <f t="shared" si="3"/>
        <v>Group E Runner Up</v>
      </c>
      <c r="W72" s="191" t="str">
        <f>IF(Tournament!J107&lt;&gt;"",Tournament!J107,"")</f>
        <v/>
      </c>
      <c r="X72" s="199" t="s">
        <v>3088</v>
      </c>
      <c r="Y72" s="191" t="str">
        <f>IF(Tournament!L107&lt;&gt;"",Tournament!L107,"")</f>
        <v/>
      </c>
      <c r="Z72" s="191"/>
      <c r="AA72" s="191" t="str">
        <f>IF(Tournament!J108&lt;&gt;"",Tournament!J108,"")</f>
        <v/>
      </c>
      <c r="AB72" s="194" t="s">
        <v>3088</v>
      </c>
      <c r="AC72" s="191" t="str">
        <f>IF(Tournament!L108&lt;&gt;"",Tournament!L108,"")</f>
        <v/>
      </c>
      <c r="AD72" s="195" t="str">
        <f>IF(AND(I72&lt;&gt;"",K72&lt;&gt;"",R72&lt;&gt;"",T72&lt;&gt;""),IF(AND(I72=R72,K72=T72),Setup!$D$20,IF((I72-K72)=(R72-T72),Setup!$D$21,IF(AND((I72&gt;K72),(R72&gt;T72)),Setup!$D$22,IF(AND((K72&gt;I72),(T72&gt;R72)),Setup!$D$22,0)))),"")</f>
        <v/>
      </c>
      <c r="AE72" s="183"/>
      <c r="CM72" s="168"/>
      <c r="CN72" s="168"/>
      <c r="CO72" s="187"/>
      <c r="CP72" s="168"/>
    </row>
    <row r="73" spans="2:94" s="166" customFormat="1" ht="15" customHeight="1">
      <c r="B73" s="182"/>
      <c r="C73" s="181">
        <v>56</v>
      </c>
      <c r="D73" s="181" t="str">
        <f t="shared" si="4"/>
        <v>R16</v>
      </c>
      <c r="E73" s="188">
        <f>Tournament!F111</f>
        <v>41821.708333333336</v>
      </c>
      <c r="F73" s="189">
        <f>Tournament!G111</f>
        <v>41821.708333333336</v>
      </c>
      <c r="G73" s="190" t="str">
        <f>Tournament!H111</f>
        <v>Group H Winner</v>
      </c>
      <c r="H73" s="180"/>
      <c r="I73" s="9"/>
      <c r="J73" s="191" t="s">
        <v>3088</v>
      </c>
      <c r="K73" s="9"/>
      <c r="L73" s="180"/>
      <c r="M73" s="198" t="str">
        <f>Tournament!N111</f>
        <v>Group G Runner Up</v>
      </c>
      <c r="N73" s="183"/>
      <c r="P73" s="192" t="str">
        <f t="shared" si="2"/>
        <v>Group H Winner</v>
      </c>
      <c r="Q73" s="193"/>
      <c r="R73" s="194" t="str">
        <f>IF($Z$67=0,IF($Z$66=0,IF(Tournament!J112&lt;&gt;"",Tournament!J112,""),IF(Tournament!J112&lt;&gt;"",Tournament!J112+Tournament!J113,"")),IF(Tournament!J111&lt;&gt;"",Tournament!J111,""))</f>
        <v/>
      </c>
      <c r="S73" s="194" t="s">
        <v>3088</v>
      </c>
      <c r="T73" s="194" t="str">
        <f>IF($Z$67=0,IF($Z$66=0,IF(Tournament!L112&lt;&gt;"",Tournament!L112,""),IF(Tournament!L112&lt;&gt;"",Tournament!L112+Tournament!L113,"")),IF(Tournament!L111&lt;&gt;"",Tournament!L111,""))</f>
        <v/>
      </c>
      <c r="U73" s="193"/>
      <c r="V73" s="193" t="str">
        <f t="shared" si="3"/>
        <v>Group G Runner Up</v>
      </c>
      <c r="W73" s="191" t="str">
        <f>IF(Tournament!J113&lt;&gt;"",Tournament!J113,"")</f>
        <v/>
      </c>
      <c r="X73" s="199" t="s">
        <v>3088</v>
      </c>
      <c r="Y73" s="191" t="str">
        <f>IF(Tournament!L113&lt;&gt;"",Tournament!L113,"")</f>
        <v/>
      </c>
      <c r="Z73" s="191"/>
      <c r="AA73" s="191" t="str">
        <f>IF(Tournament!J114&lt;&gt;"",Tournament!J114,"")</f>
        <v/>
      </c>
      <c r="AB73" s="194" t="s">
        <v>3088</v>
      </c>
      <c r="AC73" s="191" t="str">
        <f>IF(Tournament!L114&lt;&gt;"",Tournament!L114,"")</f>
        <v/>
      </c>
      <c r="AD73" s="195" t="str">
        <f>IF(AND(I73&lt;&gt;"",K73&lt;&gt;"",R73&lt;&gt;"",T73&lt;&gt;""),IF(AND(I73=R73,K73=T73),Setup!$D$20,IF((I73-K73)=(R73-T73),Setup!$D$21,IF(AND((I73&gt;K73),(R73&gt;T73)),Setup!$D$22,IF(AND((K73&gt;I73),(T73&gt;R73)),Setup!$D$22,0)))),"")</f>
        <v/>
      </c>
      <c r="AE73" s="183"/>
      <c r="CM73" s="168"/>
      <c r="CN73" s="168"/>
      <c r="CO73" s="187"/>
      <c r="CP73" s="168"/>
    </row>
    <row r="74" spans="2:94" s="166" customFormat="1" ht="15" customHeight="1">
      <c r="B74" s="182"/>
      <c r="C74" s="181">
        <v>58</v>
      </c>
      <c r="D74" s="181" t="s">
        <v>3549</v>
      </c>
      <c r="E74" s="188">
        <f>Tournament!T69</f>
        <v>41824.541666666664</v>
      </c>
      <c r="F74" s="189">
        <f>Tournament!U69</f>
        <v>41824.541666666664</v>
      </c>
      <c r="G74" s="190" t="str">
        <f>Tournament!Y69</f>
        <v>Match 53 Winner</v>
      </c>
      <c r="H74" s="180"/>
      <c r="I74" s="9"/>
      <c r="J74" s="191" t="s">
        <v>3088</v>
      </c>
      <c r="K74" s="9"/>
      <c r="L74" s="180"/>
      <c r="M74" s="198" t="str">
        <f>Tournament!AE69</f>
        <v>Match 54 Winner</v>
      </c>
      <c r="N74" s="183"/>
      <c r="P74" s="192" t="str">
        <f t="shared" si="2"/>
        <v>Match 53 Winner</v>
      </c>
      <c r="Q74" s="193"/>
      <c r="R74" s="194" t="str">
        <f>IF($Z$67=0,IF($Z$66=0,IF(Tournament!AA70&lt;&gt;"",Tournament!AA70,""),IF(Tournament!AA70&lt;&gt;"",Tournament!AA70+Tournament!AA71,"")),IF(Tournament!AA69&lt;&gt;"",Tournament!AA69,""))</f>
        <v/>
      </c>
      <c r="S74" s="194" t="s">
        <v>3088</v>
      </c>
      <c r="T74" s="194" t="str">
        <f>IF($Z$67=0,IF($Z$66=0,IF(Tournament!AC70&lt;&gt;"",Tournament!AC70,""),IF(Tournament!AC70&lt;&gt;"",Tournament!AC70+Tournament!AC71,"")),IF(Tournament!AC69&lt;&gt;"",Tournament!AC69,""))</f>
        <v/>
      </c>
      <c r="U74" s="193"/>
      <c r="V74" s="193" t="str">
        <f t="shared" si="3"/>
        <v>Match 54 Winner</v>
      </c>
      <c r="W74" s="191" t="str">
        <f>IF(Tournament!AA71&lt;&gt;"",Tournament!AA71,"")</f>
        <v/>
      </c>
      <c r="X74" s="199" t="s">
        <v>3088</v>
      </c>
      <c r="Y74" s="191" t="str">
        <f>IF(Tournament!AC71&lt;&gt;"",Tournament!AC71,"")</f>
        <v/>
      </c>
      <c r="Z74" s="191"/>
      <c r="AA74" s="191" t="str">
        <f>IF(Tournament!AA72&lt;&gt;"",Tournament!AA72,"")</f>
        <v/>
      </c>
      <c r="AB74" s="194" t="s">
        <v>3088</v>
      </c>
      <c r="AC74" s="191" t="str">
        <f>IF(Tournament!AC72&lt;&gt;"",Tournament!AC72,"")</f>
        <v/>
      </c>
      <c r="AD74" s="195" t="str">
        <f>IF(AND(I74&lt;&gt;"",K74&lt;&gt;"",R74&lt;&gt;"",T74&lt;&gt;""),IF(AND(I74=R74,K74=T74),Setup!$E$20,IF((I74-K74)=(R74-T74),Setup!$E$21,IF(AND((I74&gt;K74),(R74&gt;T74)),Setup!$E$22,IF(AND((K74&gt;I74),(T74&gt;R74)),Setup!$E$22,0)))),"")</f>
        <v/>
      </c>
      <c r="AE74" s="183"/>
      <c r="CM74" s="168"/>
      <c r="CN74" s="168"/>
      <c r="CO74" s="187"/>
      <c r="CP74" s="168"/>
    </row>
    <row r="75" spans="2:94" s="166" customFormat="1" ht="15" customHeight="1">
      <c r="B75" s="182"/>
      <c r="C75" s="181">
        <v>57</v>
      </c>
      <c r="D75" s="181" t="str">
        <f>D74</f>
        <v>QF</v>
      </c>
      <c r="E75" s="188">
        <f>Tournament!T74</f>
        <v>41824.708333333336</v>
      </c>
      <c r="F75" s="189">
        <f>Tournament!U74</f>
        <v>41824.708333333336</v>
      </c>
      <c r="G75" s="190" t="str">
        <f>Tournament!Y74</f>
        <v>Match 49 Winner</v>
      </c>
      <c r="H75" s="180"/>
      <c r="I75" s="9"/>
      <c r="J75" s="191" t="s">
        <v>3088</v>
      </c>
      <c r="K75" s="9"/>
      <c r="L75" s="180"/>
      <c r="M75" s="198" t="str">
        <f>Tournament!AE74</f>
        <v>Match 50 Winner</v>
      </c>
      <c r="N75" s="183"/>
      <c r="P75" s="192" t="str">
        <f t="shared" si="2"/>
        <v>Match 49 Winner</v>
      </c>
      <c r="Q75" s="193"/>
      <c r="R75" s="194" t="str">
        <f>IF($Z$67=0,IF($Z$66=0,IF(Tournament!AA75&lt;&gt;"",Tournament!AA75,""),IF(Tournament!AA75&lt;&gt;"",Tournament!AA75+Tournament!AA76,"")),IF(Tournament!AA74&lt;&gt;"",Tournament!AA74,""))</f>
        <v/>
      </c>
      <c r="S75" s="194" t="s">
        <v>3088</v>
      </c>
      <c r="T75" s="194" t="str">
        <f>IF($Z$67=0,IF($Z$66=0,IF(Tournament!AC75&lt;&gt;"",Tournament!AC75,""),IF(Tournament!AC75&lt;&gt;"",Tournament!AC75+Tournament!AC76,"")),IF(Tournament!AC74&lt;&gt;"",Tournament!AC74,""))</f>
        <v/>
      </c>
      <c r="U75" s="193"/>
      <c r="V75" s="193" t="str">
        <f t="shared" si="3"/>
        <v>Match 50 Winner</v>
      </c>
      <c r="W75" s="191" t="str">
        <f>IF(Tournament!AA76&lt;&gt;"",Tournament!AA76,"")</f>
        <v/>
      </c>
      <c r="X75" s="199" t="s">
        <v>3088</v>
      </c>
      <c r="Y75" s="191" t="str">
        <f>IF(Tournament!AC76&lt;&gt;"",Tournament!AC76,"")</f>
        <v/>
      </c>
      <c r="Z75" s="191"/>
      <c r="AA75" s="191" t="str">
        <f>IF(Tournament!AA77&lt;&gt;"",Tournament!AA77,"")</f>
        <v/>
      </c>
      <c r="AB75" s="194" t="s">
        <v>3088</v>
      </c>
      <c r="AC75" s="191" t="str">
        <f>IF(Tournament!AC77&lt;&gt;"",Tournament!AC77,"")</f>
        <v/>
      </c>
      <c r="AD75" s="195" t="str">
        <f>IF(AND(I75&lt;&gt;"",K75&lt;&gt;"",R75&lt;&gt;"",T75&lt;&gt;""),IF(AND(I75=R75,K75=T75),Setup!$E$20,IF((I75-K75)=(R75-T75),Setup!$E$21,IF(AND((I75&gt;K75),(R75&gt;T75)),Setup!$E$22,IF(AND((K75&gt;I75),(T75&gt;R75)),Setup!$E$22,0)))),"")</f>
        <v/>
      </c>
      <c r="AE75" s="183"/>
      <c r="CM75" s="168"/>
      <c r="CN75" s="168"/>
      <c r="CO75" s="187"/>
      <c r="CP75" s="168"/>
    </row>
    <row r="76" spans="2:94" s="166" customFormat="1" ht="15" customHeight="1">
      <c r="B76" s="182"/>
      <c r="C76" s="181">
        <v>59</v>
      </c>
      <c r="D76" s="181" t="str">
        <f>D75</f>
        <v>QF</v>
      </c>
      <c r="E76" s="188">
        <f>Tournament!T79</f>
        <v>41825.708333333336</v>
      </c>
      <c r="F76" s="189">
        <f>Tournament!U79</f>
        <v>41825.708333333336</v>
      </c>
      <c r="G76" s="190" t="str">
        <f>Tournament!Y79</f>
        <v>Match 51 Winner</v>
      </c>
      <c r="H76" s="180"/>
      <c r="I76" s="9"/>
      <c r="J76" s="191" t="s">
        <v>3088</v>
      </c>
      <c r="K76" s="9"/>
      <c r="L76" s="180"/>
      <c r="M76" s="198" t="str">
        <f>Tournament!AE79</f>
        <v>Match 52 Winner</v>
      </c>
      <c r="N76" s="183"/>
      <c r="P76" s="192" t="str">
        <f t="shared" si="2"/>
        <v>Match 51 Winner</v>
      </c>
      <c r="Q76" s="193"/>
      <c r="R76" s="194" t="str">
        <f>IF($Z$67=0,IF($Z$66=0,IF(Tournament!AA80&lt;&gt;"",Tournament!AA80,""),IF(Tournament!AA80&lt;&gt;"",Tournament!AA80+Tournament!AA81,"")),IF(Tournament!AA79&lt;&gt;"",Tournament!AA79,""))</f>
        <v/>
      </c>
      <c r="S76" s="194" t="s">
        <v>3088</v>
      </c>
      <c r="T76" s="194" t="str">
        <f>IF($Z$67=0,IF($Z$66=0,IF(Tournament!AC80&lt;&gt;"",Tournament!AC80,""),IF(Tournament!AC80&lt;&gt;"",Tournament!AC80+Tournament!AC81,"")),IF(Tournament!AC79&lt;&gt;"",Tournament!AC79,""))</f>
        <v/>
      </c>
      <c r="U76" s="193"/>
      <c r="V76" s="193" t="str">
        <f t="shared" si="3"/>
        <v>Match 52 Winner</v>
      </c>
      <c r="W76" s="191" t="str">
        <f>IF(Tournament!AA81&lt;&gt;"",Tournament!AA81,"")</f>
        <v/>
      </c>
      <c r="X76" s="199" t="s">
        <v>3088</v>
      </c>
      <c r="Y76" s="191" t="str">
        <f>IF(Tournament!AC81&lt;&gt;"",Tournament!AC81,"")</f>
        <v/>
      </c>
      <c r="Z76" s="191"/>
      <c r="AA76" s="191" t="str">
        <f>IF(Tournament!AA82&lt;&gt;"",Tournament!AA82,"")</f>
        <v/>
      </c>
      <c r="AB76" s="194" t="s">
        <v>3088</v>
      </c>
      <c r="AC76" s="191" t="str">
        <f>IF(Tournament!AC82&lt;&gt;"",Tournament!AC82,"")</f>
        <v/>
      </c>
      <c r="AD76" s="195" t="str">
        <f>IF(AND(I76&lt;&gt;"",K76&lt;&gt;"",R76&lt;&gt;"",T76&lt;&gt;""),IF(AND(I76=R76,K76=T76),Setup!$E$20,IF((I76-K76)=(R76-T76),Setup!$E$21,IF(AND((I76&gt;K76),(R76&gt;T76)),Setup!$E$22,IF(AND((K76&gt;I76),(T76&gt;R76)),Setup!$E$22,0)))),"")</f>
        <v/>
      </c>
      <c r="AE76" s="183"/>
      <c r="CM76" s="168"/>
      <c r="CN76" s="168"/>
      <c r="CO76" s="187"/>
      <c r="CP76" s="168"/>
    </row>
    <row r="77" spans="2:94" s="166" customFormat="1" ht="15" customHeight="1">
      <c r="B77" s="182"/>
      <c r="C77" s="181">
        <v>60</v>
      </c>
      <c r="D77" s="181" t="str">
        <f>D76</f>
        <v>QF</v>
      </c>
      <c r="E77" s="188">
        <f>Tournament!T84</f>
        <v>41825.541666666664</v>
      </c>
      <c r="F77" s="189">
        <f>Tournament!U84</f>
        <v>41825.541666666664</v>
      </c>
      <c r="G77" s="190" t="str">
        <f>Tournament!Y84</f>
        <v>Match 55 Winner</v>
      </c>
      <c r="H77" s="180"/>
      <c r="I77" s="9"/>
      <c r="J77" s="191" t="s">
        <v>3088</v>
      </c>
      <c r="K77" s="9"/>
      <c r="L77" s="180"/>
      <c r="M77" s="198" t="str">
        <f>Tournament!AE84</f>
        <v>Match 56 Winner</v>
      </c>
      <c r="N77" s="183"/>
      <c r="P77" s="192" t="str">
        <f t="shared" si="2"/>
        <v>Match 55 Winner</v>
      </c>
      <c r="Q77" s="193"/>
      <c r="R77" s="194" t="str">
        <f>IF($Z$67=0,IF($Z$66=0,IF(Tournament!AA85&lt;&gt;"",Tournament!AA85,""),IF(Tournament!AA85&lt;&gt;"",Tournament!AA85+Tournament!AA86,"")),IF(Tournament!AA84&lt;&gt;"",Tournament!AA84,""))</f>
        <v/>
      </c>
      <c r="S77" s="194" t="s">
        <v>3088</v>
      </c>
      <c r="T77" s="194" t="str">
        <f>IF($Z$67=0,IF($Z$66=0,IF(Tournament!AC85&lt;&gt;"",Tournament!AC85,""),IF(Tournament!AC85&lt;&gt;"",Tournament!AC85+Tournament!AC86,"")),IF(Tournament!AC84&lt;&gt;"",Tournament!AC84,""))</f>
        <v/>
      </c>
      <c r="U77" s="193"/>
      <c r="V77" s="193" t="str">
        <f t="shared" si="3"/>
        <v>Match 56 Winner</v>
      </c>
      <c r="W77" s="191" t="str">
        <f>IF(Tournament!AA86&lt;&gt;"",Tournament!AA86,"")</f>
        <v/>
      </c>
      <c r="X77" s="199" t="s">
        <v>3088</v>
      </c>
      <c r="Y77" s="191" t="str">
        <f>IF(Tournament!AC86&lt;&gt;"",Tournament!AC86,"")</f>
        <v/>
      </c>
      <c r="Z77" s="191"/>
      <c r="AA77" s="191" t="str">
        <f>IF(Tournament!AA87&lt;&gt;"",Tournament!AA87,"")</f>
        <v/>
      </c>
      <c r="AB77" s="194" t="s">
        <v>3088</v>
      </c>
      <c r="AC77" s="191" t="str">
        <f>IF(Tournament!AC87&lt;&gt;"",Tournament!AC87,"")</f>
        <v/>
      </c>
      <c r="AD77" s="195" t="str">
        <f>IF(AND(I77&lt;&gt;"",K77&lt;&gt;"",R77&lt;&gt;"",T77&lt;&gt;""),IF(AND(I77=R77,K77=T77),Setup!$E$20,IF((I77-K77)=(R77-T77),Setup!$E$21,IF(AND((I77&gt;K77),(R77&gt;T77)),Setup!$E$22,IF(AND((K77&gt;I77),(T77&gt;R77)),Setup!$E$22,0)))),"")</f>
        <v/>
      </c>
      <c r="AE77" s="183"/>
      <c r="CM77" s="168"/>
      <c r="CN77" s="168"/>
      <c r="CO77" s="187"/>
      <c r="CP77" s="168"/>
    </row>
    <row r="78" spans="2:94" s="166" customFormat="1" ht="15" customHeight="1">
      <c r="B78" s="182"/>
      <c r="C78" s="181">
        <v>61</v>
      </c>
      <c r="D78" s="181" t="s">
        <v>3550</v>
      </c>
      <c r="E78" s="188">
        <f>Tournament!T92</f>
        <v>41828.708333333336</v>
      </c>
      <c r="F78" s="189">
        <f>Tournament!U92</f>
        <v>41828.708333333336</v>
      </c>
      <c r="G78" s="190" t="str">
        <f>Tournament!Y92</f>
        <v>Match 57 Winner</v>
      </c>
      <c r="H78" s="180"/>
      <c r="I78" s="9"/>
      <c r="J78" s="191" t="s">
        <v>3088</v>
      </c>
      <c r="K78" s="9"/>
      <c r="L78" s="180"/>
      <c r="M78" s="198" t="str">
        <f>Tournament!AE92</f>
        <v>Match 58 Winner</v>
      </c>
      <c r="N78" s="183"/>
      <c r="P78" s="192" t="str">
        <f t="shared" si="2"/>
        <v>Match 57 Winner</v>
      </c>
      <c r="Q78" s="193"/>
      <c r="R78" s="194" t="str">
        <f>IF($Z$67=0,IF($Z$66=0,IF(Tournament!AA93&lt;&gt;"",Tournament!AA93,""),IF(Tournament!AA93&lt;&gt;"",Tournament!AA93+Tournament!AA94,"")),IF(Tournament!AA92&lt;&gt;"",Tournament!AA92,""))</f>
        <v/>
      </c>
      <c r="S78" s="194" t="s">
        <v>3088</v>
      </c>
      <c r="T78" s="194" t="str">
        <f>IF($Z$67=0,IF($Z$66=0,IF(Tournament!AC93&lt;&gt;"",Tournament!AC93,""),IF(Tournament!AC93&lt;&gt;"",Tournament!AC93+Tournament!AC94,"")),IF(Tournament!AC92&lt;&gt;"",Tournament!AC92,""))</f>
        <v/>
      </c>
      <c r="U78" s="193"/>
      <c r="V78" s="193" t="str">
        <f t="shared" si="3"/>
        <v>Match 58 Winner</v>
      </c>
      <c r="W78" s="191" t="str">
        <f>IF(Tournament!AA94&lt;&gt;"",Tournament!AA94,"")</f>
        <v/>
      </c>
      <c r="X78" s="199" t="s">
        <v>3088</v>
      </c>
      <c r="Y78" s="191" t="str">
        <f>IF(Tournament!AC94&lt;&gt;"",Tournament!AC94,"")</f>
        <v/>
      </c>
      <c r="Z78" s="191"/>
      <c r="AA78" s="191" t="str">
        <f>IF(Tournament!AA95&lt;&gt;"",Tournament!AA95,"")</f>
        <v/>
      </c>
      <c r="AB78" s="194" t="s">
        <v>3088</v>
      </c>
      <c r="AC78" s="191" t="str">
        <f>IF(Tournament!AC95&lt;&gt;"",Tournament!AC95,"")</f>
        <v/>
      </c>
      <c r="AD78" s="195" t="str">
        <f>IF(AND(I78&lt;&gt;"",K78&lt;&gt;"",R78&lt;&gt;"",T78&lt;&gt;""),IF(AND(I78=R78,K78=T78),Setup!$F$20,IF((I78-K78)=(R78-T78),Setup!$F$21,IF(AND((I78&gt;K78),(R78&gt;T78)),Setup!$F$22,IF(AND((K78&gt;I78),(T78&gt;R78)),Setup!$F$22,0)))),"")</f>
        <v/>
      </c>
      <c r="AE78" s="183"/>
      <c r="CM78" s="168"/>
      <c r="CN78" s="168"/>
      <c r="CO78" s="187"/>
      <c r="CP78" s="168"/>
    </row>
    <row r="79" spans="2:94" s="166" customFormat="1" ht="15" customHeight="1">
      <c r="B79" s="182"/>
      <c r="C79" s="181">
        <v>62</v>
      </c>
      <c r="D79" s="181" t="str">
        <f>D78</f>
        <v>SF</v>
      </c>
      <c r="E79" s="188">
        <f>Tournament!T97</f>
        <v>41829.708333333336</v>
      </c>
      <c r="F79" s="189">
        <f>Tournament!U97</f>
        <v>41829.708333333336</v>
      </c>
      <c r="G79" s="190" t="str">
        <f>Tournament!Y97</f>
        <v>Match 59 Winner</v>
      </c>
      <c r="H79" s="180"/>
      <c r="I79" s="9"/>
      <c r="J79" s="191" t="s">
        <v>3088</v>
      </c>
      <c r="K79" s="9"/>
      <c r="L79" s="180"/>
      <c r="M79" s="198" t="str">
        <f>Tournament!AE97</f>
        <v>Match 60 Winner</v>
      </c>
      <c r="N79" s="183"/>
      <c r="P79" s="192" t="str">
        <f t="shared" si="2"/>
        <v>Match 59 Winner</v>
      </c>
      <c r="Q79" s="193"/>
      <c r="R79" s="194" t="str">
        <f>IF($Z$67=0,IF($Z$66=0,IF(Tournament!AA98&lt;&gt;"",Tournament!AA98,""),IF(Tournament!AA98&lt;&gt;"",Tournament!AA98+Tournament!AA99,"")),IF(Tournament!AA97&lt;&gt;"",Tournament!AA97,""))</f>
        <v/>
      </c>
      <c r="S79" s="194" t="s">
        <v>3088</v>
      </c>
      <c r="T79" s="194" t="str">
        <f>IF($Z$67=0,IF($Z$66=0,IF(Tournament!AC98&lt;&gt;"",Tournament!AC98,""),IF(Tournament!AC98&lt;&gt;"",Tournament!AC98+Tournament!AC99,"")),IF(Tournament!AC97&lt;&gt;"",Tournament!AC97,""))</f>
        <v/>
      </c>
      <c r="U79" s="193"/>
      <c r="V79" s="193" t="str">
        <f t="shared" si="3"/>
        <v>Match 60 Winner</v>
      </c>
      <c r="W79" s="191" t="str">
        <f>IF(Tournament!AA99&lt;&gt;"",Tournament!AA99,"")</f>
        <v/>
      </c>
      <c r="X79" s="199" t="s">
        <v>3088</v>
      </c>
      <c r="Y79" s="191" t="str">
        <f>IF(Tournament!AC99&lt;&gt;"",Tournament!AC99,"")</f>
        <v/>
      </c>
      <c r="Z79" s="191"/>
      <c r="AA79" s="191" t="str">
        <f>IF(Tournament!AA100&lt;&gt;"",Tournament!AA100,"")</f>
        <v/>
      </c>
      <c r="AB79" s="194" t="s">
        <v>3088</v>
      </c>
      <c r="AC79" s="191" t="str">
        <f>IF(Tournament!AC100&lt;&gt;"",Tournament!AC100,"")</f>
        <v/>
      </c>
      <c r="AD79" s="195" t="str">
        <f>IF(AND(I79&lt;&gt;"",K79&lt;&gt;"",R79&lt;&gt;"",T79&lt;&gt;""),IF(AND(I79=R79,K79=T79),Setup!$F$20,IF((I79-K79)=(R79-T79),Setup!$F$21,IF(AND((I79&gt;K79),(R79&gt;T79)),Setup!$F$22,IF(AND((K79&gt;I79),(T79&gt;R79)),Setup!$F$22,0)))),"")</f>
        <v/>
      </c>
      <c r="AE79" s="183"/>
      <c r="CM79" s="168"/>
      <c r="CN79" s="168"/>
      <c r="CO79" s="187"/>
      <c r="CP79" s="168"/>
    </row>
    <row r="80" spans="2:94" s="166" customFormat="1" ht="15" customHeight="1">
      <c r="B80" s="182"/>
      <c r="C80" s="181">
        <v>63</v>
      </c>
      <c r="D80" s="181" t="s">
        <v>3551</v>
      </c>
      <c r="E80" s="188">
        <f>Tournament!T105</f>
        <v>41832.708333333336</v>
      </c>
      <c r="F80" s="189">
        <f>Tournament!U105</f>
        <v>41832.708333333336</v>
      </c>
      <c r="G80" s="190" t="str">
        <f>Tournament!Y105</f>
        <v>Match 61 Loser</v>
      </c>
      <c r="H80" s="180"/>
      <c r="I80" s="9"/>
      <c r="J80" s="191" t="s">
        <v>3088</v>
      </c>
      <c r="K80" s="9"/>
      <c r="L80" s="180"/>
      <c r="M80" s="198" t="str">
        <f>Tournament!AE105</f>
        <v>Match 62 Loser</v>
      </c>
      <c r="N80" s="183"/>
      <c r="P80" s="192" t="str">
        <f t="shared" si="2"/>
        <v>Match 61 Loser</v>
      </c>
      <c r="Q80" s="193"/>
      <c r="R80" s="194" t="str">
        <f>IF($Z$67=0,IF($Z$66=0,IF(Tournament!AA106&lt;&gt;"",Tournament!AA106,""),IF(Tournament!AA106&lt;&gt;"",Tournament!AA106+Tournament!AA107,"")),IF(Tournament!AA105&lt;&gt;"",Tournament!AA105,""))</f>
        <v/>
      </c>
      <c r="S80" s="194" t="s">
        <v>3088</v>
      </c>
      <c r="T80" s="194" t="str">
        <f>IF($Z$67=0,IF($Z$66=0,IF(Tournament!AC106&lt;&gt;"",Tournament!AC106,""),IF(Tournament!AC106&lt;&gt;"",Tournament!AC106+Tournament!AC107,"")),IF(Tournament!AC105&lt;&gt;"",Tournament!AC105,""))</f>
        <v/>
      </c>
      <c r="U80" s="193"/>
      <c r="V80" s="193" t="str">
        <f t="shared" si="3"/>
        <v>Match 62 Loser</v>
      </c>
      <c r="W80" s="191" t="str">
        <f>IF(Tournament!AA107&lt;&gt;"",Tournament!AA107,"")</f>
        <v/>
      </c>
      <c r="X80" s="199" t="s">
        <v>3088</v>
      </c>
      <c r="Y80" s="191" t="str">
        <f>IF(Tournament!AC107&lt;&gt;"",Tournament!AC107,"")</f>
        <v/>
      </c>
      <c r="Z80" s="191"/>
      <c r="AA80" s="191" t="str">
        <f>IF(Tournament!AA108&lt;&gt;"",Tournament!AA108,"")</f>
        <v/>
      </c>
      <c r="AB80" s="194" t="s">
        <v>3088</v>
      </c>
      <c r="AC80" s="191" t="str">
        <f>IF(Tournament!AC108&lt;&gt;"",Tournament!AC108,"")</f>
        <v/>
      </c>
      <c r="AD80" s="195" t="str">
        <f>IF(AND(I80&lt;&gt;"",K80&lt;&gt;"",R80&lt;&gt;"",T80&lt;&gt;""),IF(AND(I80=R80,K80=T80),Setup!$G$20,IF((I80-K80)=(R80-T80),Setup!$G$21,IF(AND((I80&gt;K80),(R80&gt;T80)),Setup!$G$22,IF(AND((K80&gt;I80),(T80&gt;R80)),Setup!$G$22,0)))),"")</f>
        <v/>
      </c>
      <c r="AE80" s="183"/>
      <c r="CM80" s="168"/>
      <c r="CN80" s="168"/>
      <c r="CO80" s="187"/>
      <c r="CP80" s="168"/>
    </row>
    <row r="81" spans="2:94" s="166" customFormat="1" ht="15" customHeight="1">
      <c r="B81" s="182"/>
      <c r="C81" s="181">
        <v>64</v>
      </c>
      <c r="D81" s="181" t="s">
        <v>3105</v>
      </c>
      <c r="E81" s="188">
        <f>Tournament!T113</f>
        <v>41833.666666666664</v>
      </c>
      <c r="F81" s="189">
        <f>Tournament!U113</f>
        <v>41833.666666666664</v>
      </c>
      <c r="G81" s="190" t="str">
        <f>Tournament!Y113</f>
        <v>Match 61 Winner</v>
      </c>
      <c r="H81" s="180"/>
      <c r="I81" s="9"/>
      <c r="J81" s="191" t="s">
        <v>3088</v>
      </c>
      <c r="K81" s="9"/>
      <c r="L81" s="180"/>
      <c r="M81" s="198" t="str">
        <f>Tournament!AE113</f>
        <v>Match 62 Winner</v>
      </c>
      <c r="N81" s="183"/>
      <c r="P81" s="192" t="str">
        <f t="shared" si="2"/>
        <v>Match 61 Winner</v>
      </c>
      <c r="Q81" s="193"/>
      <c r="R81" s="194" t="str">
        <f>IF($Z$67=0,IF($Z$66=0,IF(Tournament!AA114&lt;&gt;"",Tournament!AA114,""),IF(Tournament!AA114&lt;&gt;"",Tournament!AA114+Tournament!AA115,"")),IF(Tournament!AA113&lt;&gt;"",Tournament!AA113,""))</f>
        <v/>
      </c>
      <c r="S81" s="194" t="s">
        <v>3088</v>
      </c>
      <c r="T81" s="194" t="str">
        <f>IF($Z$67=0,IF($Z$66=0,IF(Tournament!AC114&lt;&gt;"",Tournament!AC114,""),IF(Tournament!AC114&lt;&gt;"",Tournament!AC114+Tournament!AC115,"")),IF(Tournament!AC113&lt;&gt;"",Tournament!AC113,""))</f>
        <v/>
      </c>
      <c r="U81" s="193"/>
      <c r="V81" s="193" t="str">
        <f t="shared" si="3"/>
        <v>Match 62 Winner</v>
      </c>
      <c r="W81" s="191" t="str">
        <f>IF(Tournament!AA115&lt;&gt;"",Tournament!AA115,"")</f>
        <v/>
      </c>
      <c r="X81" s="199" t="s">
        <v>3088</v>
      </c>
      <c r="Y81" s="191" t="str">
        <f>IF(Tournament!AC115&lt;&gt;"",Tournament!AC115,"")</f>
        <v/>
      </c>
      <c r="Z81" s="191"/>
      <c r="AA81" s="191" t="str">
        <f>IF(Tournament!AA116&lt;&gt;"",Tournament!AA116,"")</f>
        <v/>
      </c>
      <c r="AB81" s="194" t="s">
        <v>3088</v>
      </c>
      <c r="AC81" s="191" t="str">
        <f>IF(Tournament!AC116&lt;&gt;"",Tournament!AC116,"")</f>
        <v/>
      </c>
      <c r="AD81" s="195" t="str">
        <f>IF(AND(I81&lt;&gt;"",K81&lt;&gt;"",R81&lt;&gt;"",T81&lt;&gt;""),IF(AND(I81=R81,K81=T81),Setup!$H$20,IF((I81-K81)=(R81-T81),Setup!$H$21,IF(AND((I81&gt;K81),(R81&gt;T81)),Setup!$H$22,IF(AND((K81&gt;I81),(T81&gt;R81)),Setup!$H$22,0)))),"")</f>
        <v/>
      </c>
      <c r="AE81" s="183"/>
      <c r="CM81" s="168"/>
      <c r="CN81" s="168"/>
      <c r="CO81" s="187"/>
      <c r="CP81" s="168"/>
    </row>
    <row r="82" spans="2:94" s="166" customFormat="1" ht="15" customHeight="1">
      <c r="B82" s="200"/>
      <c r="C82" s="201"/>
      <c r="D82" s="201"/>
      <c r="E82" s="201"/>
      <c r="F82" s="201"/>
      <c r="G82" s="201"/>
      <c r="H82" s="201"/>
      <c r="I82" s="201"/>
      <c r="J82" s="202"/>
      <c r="K82" s="201"/>
      <c r="L82" s="201"/>
      <c r="M82" s="201"/>
      <c r="N82" s="203"/>
      <c r="P82" s="200"/>
      <c r="Q82" s="201"/>
      <c r="R82" s="201"/>
      <c r="S82" s="202"/>
      <c r="T82" s="201"/>
      <c r="U82" s="201"/>
      <c r="V82" s="201"/>
      <c r="W82" s="201"/>
      <c r="X82" s="202"/>
      <c r="Y82" s="201"/>
      <c r="Z82" s="201"/>
      <c r="AA82" s="201"/>
      <c r="AB82" s="202"/>
      <c r="AC82" s="201"/>
      <c r="AD82" s="202"/>
      <c r="AE82" s="203"/>
      <c r="CM82" s="168"/>
      <c r="CN82" s="168"/>
      <c r="CO82" s="187"/>
      <c r="CP82" s="168"/>
    </row>
    <row r="83" spans="2:94" s="166" customFormat="1" ht="15" customHeight="1">
      <c r="B83" s="166" t="s">
        <v>3905</v>
      </c>
      <c r="N83" s="180"/>
      <c r="AD83" s="167"/>
      <c r="CM83" s="168"/>
      <c r="CN83" s="168"/>
      <c r="CO83" s="187"/>
      <c r="CP83" s="168"/>
    </row>
    <row r="84" spans="2:94" s="166" customFormat="1" ht="15" hidden="1" customHeight="1">
      <c r="N84" s="180"/>
      <c r="AD84" s="167"/>
      <c r="CM84" s="168"/>
      <c r="CN84" s="168"/>
      <c r="CO84" s="187"/>
      <c r="CP84" s="168"/>
    </row>
    <row r="85" spans="2:94" s="166" customFormat="1" ht="15" hidden="1" customHeight="1">
      <c r="N85" s="180"/>
      <c r="AD85" s="167"/>
      <c r="CM85" s="168"/>
      <c r="CN85" s="168"/>
      <c r="CO85" s="187"/>
      <c r="CP85" s="168"/>
    </row>
    <row r="86" spans="2:94" s="166" customFormat="1" ht="15" hidden="1" customHeight="1">
      <c r="N86" s="180"/>
      <c r="AD86" s="167"/>
      <c r="CM86" s="168"/>
      <c r="CN86" s="168"/>
      <c r="CO86" s="187"/>
      <c r="CP86" s="168"/>
    </row>
    <row r="87" spans="2:94" s="166" customFormat="1" ht="15" hidden="1" customHeight="1">
      <c r="N87" s="180"/>
      <c r="AD87" s="167"/>
      <c r="CM87" s="168"/>
      <c r="CN87" s="168"/>
      <c r="CO87" s="187"/>
      <c r="CP87" s="168"/>
    </row>
    <row r="88" spans="2:94" s="166" customFormat="1" ht="15" hidden="1" customHeight="1">
      <c r="N88" s="180"/>
      <c r="AD88" s="167"/>
      <c r="CM88" s="168"/>
      <c r="CN88" s="168"/>
      <c r="CO88" s="187"/>
      <c r="CP88" s="168"/>
    </row>
    <row r="89" spans="2:94" s="166" customFormat="1" ht="15" hidden="1" customHeight="1">
      <c r="N89" s="180"/>
      <c r="AD89" s="167"/>
      <c r="CM89" s="168"/>
      <c r="CN89" s="168"/>
      <c r="CO89" s="187"/>
      <c r="CP89" s="168"/>
    </row>
    <row r="90" spans="2:94" s="166" customFormat="1" ht="15" hidden="1" customHeight="1">
      <c r="N90" s="180"/>
      <c r="AD90" s="167"/>
      <c r="CM90" s="168"/>
      <c r="CN90" s="168"/>
      <c r="CO90" s="187"/>
      <c r="CP90" s="168"/>
    </row>
    <row r="91" spans="2:94" s="166" customFormat="1" ht="15" hidden="1" customHeight="1">
      <c r="N91" s="180"/>
      <c r="AD91" s="167"/>
      <c r="CM91" s="168"/>
      <c r="CN91" s="168"/>
      <c r="CO91" s="187"/>
      <c r="CP91" s="168"/>
    </row>
    <row r="92" spans="2:94" s="166" customFormat="1" ht="15" hidden="1" customHeight="1">
      <c r="N92" s="180"/>
      <c r="AD92" s="167"/>
      <c r="CM92" s="168"/>
      <c r="CN92" s="168"/>
      <c r="CO92" s="187"/>
      <c r="CP92" s="168"/>
    </row>
    <row r="93" spans="2:94" s="166" customFormat="1" ht="15" hidden="1" customHeight="1">
      <c r="N93" s="180"/>
      <c r="AD93" s="167"/>
      <c r="CM93" s="168"/>
      <c r="CN93" s="168"/>
      <c r="CO93" s="187"/>
      <c r="CP93" s="168"/>
    </row>
    <row r="94" spans="2:94" s="166" customFormat="1" ht="15" hidden="1" customHeight="1">
      <c r="N94" s="180"/>
      <c r="AD94" s="167"/>
      <c r="CM94" s="168"/>
      <c r="CN94" s="168"/>
      <c r="CO94" s="187"/>
      <c r="CP94" s="168"/>
    </row>
    <row r="95" spans="2:94" s="166" customFormat="1" ht="15" hidden="1" customHeight="1">
      <c r="N95" s="180"/>
      <c r="AD95" s="167"/>
      <c r="CM95" s="168"/>
      <c r="CN95" s="168"/>
      <c r="CO95" s="187"/>
      <c r="CP95" s="168"/>
    </row>
    <row r="96" spans="2:94" s="166" customFormat="1" ht="15" hidden="1" customHeight="1">
      <c r="N96" s="180"/>
      <c r="AD96" s="167"/>
      <c r="CM96" s="168"/>
      <c r="CN96" s="168"/>
      <c r="CO96" s="187"/>
      <c r="CP96" s="168"/>
    </row>
    <row r="97" spans="14:94" s="166" customFormat="1" ht="15" hidden="1" customHeight="1">
      <c r="N97" s="180"/>
      <c r="AD97" s="167"/>
      <c r="CM97" s="168"/>
      <c r="CN97" s="168"/>
      <c r="CO97" s="187"/>
      <c r="CP97" s="168"/>
    </row>
    <row r="98" spans="14:94" s="166" customFormat="1" ht="15" hidden="1" customHeight="1">
      <c r="N98" s="180"/>
      <c r="AD98" s="167"/>
      <c r="CM98" s="168"/>
      <c r="CN98" s="168"/>
      <c r="CO98" s="187"/>
      <c r="CP98" s="168"/>
    </row>
    <row r="99" spans="14:94" s="166" customFormat="1" ht="15" hidden="1" customHeight="1">
      <c r="N99" s="180"/>
      <c r="AD99" s="167"/>
      <c r="CM99" s="168"/>
      <c r="CN99" s="168"/>
      <c r="CO99" s="187"/>
      <c r="CP99" s="168"/>
    </row>
    <row r="100" spans="14:94" s="166" customFormat="1" ht="15" hidden="1" customHeight="1">
      <c r="N100" s="180"/>
      <c r="AD100" s="167"/>
      <c r="CM100" s="168"/>
      <c r="CN100" s="168"/>
      <c r="CO100" s="187"/>
      <c r="CP100" s="168"/>
    </row>
    <row r="101" spans="14:94" s="166" customFormat="1" ht="15" hidden="1" customHeight="1">
      <c r="N101" s="180"/>
      <c r="AD101" s="167"/>
      <c r="CM101" s="168"/>
      <c r="CN101" s="168"/>
      <c r="CO101" s="187"/>
      <c r="CP101" s="168"/>
    </row>
    <row r="102" spans="14:94" s="166" customFormat="1" ht="15" hidden="1" customHeight="1">
      <c r="N102" s="180"/>
      <c r="AD102" s="167"/>
      <c r="CM102" s="168"/>
      <c r="CN102" s="168"/>
      <c r="CO102" s="187"/>
      <c r="CP102" s="168"/>
    </row>
    <row r="103" spans="14:94" s="166" customFormat="1" ht="15" hidden="1" customHeight="1">
      <c r="N103" s="180"/>
      <c r="AD103" s="167"/>
      <c r="CM103" s="168"/>
      <c r="CN103" s="168"/>
      <c r="CO103" s="187"/>
      <c r="CP103" s="168"/>
    </row>
    <row r="104" spans="14:94" s="166" customFormat="1" ht="15" hidden="1" customHeight="1">
      <c r="N104" s="180"/>
      <c r="AD104" s="167"/>
      <c r="CM104" s="168"/>
      <c r="CN104" s="168"/>
      <c r="CO104" s="187"/>
      <c r="CP104" s="168"/>
    </row>
    <row r="105" spans="14:94" s="166" customFormat="1" ht="15" hidden="1" customHeight="1">
      <c r="N105" s="180"/>
      <c r="AD105" s="167"/>
      <c r="CM105" s="168"/>
      <c r="CN105" s="168"/>
      <c r="CO105" s="187"/>
      <c r="CP105" s="168"/>
    </row>
    <row r="106" spans="14:94" s="166" customFormat="1" ht="15" hidden="1" customHeight="1">
      <c r="N106" s="180"/>
      <c r="AD106" s="167"/>
      <c r="CM106" s="168"/>
      <c r="CN106" s="168"/>
      <c r="CO106" s="187"/>
      <c r="CP106" s="168"/>
    </row>
    <row r="107" spans="14:94" s="166" customFormat="1" ht="15" hidden="1" customHeight="1">
      <c r="N107" s="180"/>
      <c r="AD107" s="167"/>
      <c r="CM107" s="168"/>
      <c r="CN107" s="168"/>
      <c r="CO107" s="187"/>
      <c r="CP107" s="168"/>
    </row>
    <row r="108" spans="14:94" s="166" customFormat="1" ht="15" hidden="1" customHeight="1">
      <c r="N108" s="180"/>
      <c r="AD108" s="167"/>
      <c r="CM108" s="168"/>
      <c r="CN108" s="168"/>
      <c r="CO108" s="187"/>
      <c r="CP108" s="168"/>
    </row>
    <row r="109" spans="14:94" s="166" customFormat="1" ht="15" hidden="1" customHeight="1">
      <c r="N109" s="180"/>
      <c r="AD109" s="167"/>
      <c r="CM109" s="168"/>
      <c r="CN109" s="168"/>
      <c r="CO109" s="187"/>
      <c r="CP109" s="168"/>
    </row>
    <row r="110" spans="14:94" s="166" customFormat="1" ht="15" hidden="1" customHeight="1">
      <c r="N110" s="180"/>
      <c r="AD110" s="167"/>
      <c r="CM110" s="168"/>
      <c r="CN110" s="168"/>
      <c r="CO110" s="187"/>
      <c r="CP110" s="168"/>
    </row>
    <row r="111" spans="14:94" s="166" customFormat="1" ht="15" hidden="1" customHeight="1">
      <c r="N111" s="180"/>
      <c r="AD111" s="167"/>
      <c r="CM111" s="168"/>
      <c r="CN111" s="168"/>
      <c r="CO111" s="187"/>
      <c r="CP111" s="168"/>
    </row>
    <row r="112" spans="14:94" s="166" customFormat="1" ht="15" hidden="1" customHeight="1">
      <c r="N112" s="180"/>
      <c r="AD112" s="167"/>
      <c r="CM112" s="168"/>
      <c r="CN112" s="168"/>
      <c r="CO112" s="187"/>
      <c r="CP112" s="168"/>
    </row>
    <row r="113" spans="2:94" s="166" customFormat="1" ht="15" hidden="1" customHeight="1">
      <c r="N113" s="180"/>
      <c r="AD113" s="167"/>
      <c r="CM113" s="168"/>
      <c r="CN113" s="168"/>
      <c r="CO113" s="187"/>
      <c r="CP113" s="168"/>
    </row>
    <row r="114" spans="2:94" s="166" customFormat="1" ht="15" hidden="1" customHeight="1">
      <c r="N114" s="180"/>
      <c r="AD114" s="167"/>
      <c r="CM114" s="168"/>
      <c r="CN114" s="168"/>
      <c r="CO114" s="187"/>
      <c r="CP114" s="168"/>
    </row>
    <row r="115" spans="2:94" s="166" customFormat="1" ht="15" hidden="1" customHeight="1">
      <c r="N115" s="180"/>
      <c r="AD115" s="167"/>
      <c r="CM115" s="168"/>
      <c r="CN115" s="168"/>
      <c r="CO115" s="187"/>
      <c r="CP115" s="168"/>
    </row>
    <row r="116" spans="2:94" s="166" customFormat="1" ht="15" hidden="1" customHeight="1">
      <c r="N116" s="180"/>
      <c r="AD116" s="167"/>
      <c r="CM116" s="168"/>
      <c r="CN116" s="168"/>
      <c r="CO116" s="187"/>
      <c r="CP116" s="168"/>
    </row>
    <row r="117" spans="2:94" s="166" customFormat="1" ht="15" hidden="1" customHeight="1">
      <c r="N117" s="180"/>
      <c r="AD117" s="167"/>
      <c r="CM117" s="168"/>
      <c r="CN117" s="168"/>
      <c r="CO117" s="187"/>
      <c r="CP117" s="168"/>
    </row>
    <row r="118" spans="2:94" s="166" customFormat="1" ht="15" hidden="1" customHeight="1">
      <c r="N118" s="180"/>
      <c r="AD118" s="167"/>
      <c r="CM118" s="168"/>
      <c r="CN118" s="168"/>
      <c r="CO118" s="187"/>
      <c r="CP118" s="168"/>
    </row>
    <row r="119" spans="2:94" s="166" customFormat="1" ht="15" hidden="1" customHeight="1">
      <c r="N119" s="180"/>
      <c r="AD119" s="167"/>
      <c r="CM119" s="168"/>
      <c r="CN119" s="168"/>
      <c r="CO119" s="187"/>
      <c r="CP119" s="168"/>
    </row>
    <row r="120" spans="2:94" s="166" customFormat="1" ht="15" hidden="1" customHeight="1">
      <c r="N120" s="180"/>
      <c r="AD120" s="167"/>
      <c r="CM120" s="168"/>
      <c r="CN120" s="168"/>
      <c r="CO120" s="187" t="s">
        <v>1404</v>
      </c>
      <c r="CP120" s="168"/>
    </row>
    <row r="121" spans="2:94" s="166" customFormat="1" ht="15" hidden="1" customHeight="1">
      <c r="N121" s="180"/>
      <c r="AD121" s="167"/>
      <c r="CM121" s="168"/>
      <c r="CN121" s="168"/>
      <c r="CO121" s="187" t="s">
        <v>1405</v>
      </c>
      <c r="CP121" s="168"/>
    </row>
    <row r="122" spans="2:94" s="166" customFormat="1" ht="15" hidden="1" customHeight="1">
      <c r="N122" s="180"/>
      <c r="AD122" s="167"/>
      <c r="CM122" s="168"/>
      <c r="CN122" s="168"/>
      <c r="CO122" s="187" t="s">
        <v>1406</v>
      </c>
      <c r="CP122" s="168"/>
    </row>
    <row r="123" spans="2:94" s="166" customFormat="1" ht="15" hidden="1" customHeight="1">
      <c r="N123" s="180"/>
      <c r="AD123" s="167"/>
      <c r="CM123" s="168"/>
      <c r="CN123" s="168"/>
      <c r="CO123" s="187" t="s">
        <v>1407</v>
      </c>
      <c r="CP123" s="168"/>
    </row>
    <row r="124" spans="2:94" s="166" customFormat="1" ht="15" hidden="1" customHeight="1">
      <c r="N124" s="180"/>
      <c r="AD124" s="167"/>
      <c r="CM124" s="168"/>
      <c r="CN124" s="168"/>
      <c r="CO124" s="187" t="s">
        <v>1408</v>
      </c>
      <c r="CP124" s="168"/>
    </row>
    <row r="125" spans="2:94" s="166" customFormat="1" ht="15" hidden="1" customHeight="1">
      <c r="B125" s="180"/>
      <c r="C125" s="180"/>
      <c r="D125" s="180"/>
      <c r="E125" s="180"/>
      <c r="F125" s="180"/>
      <c r="G125" s="180"/>
      <c r="H125" s="180"/>
      <c r="I125" s="180"/>
      <c r="J125" s="181"/>
      <c r="K125" s="180"/>
      <c r="L125" s="180"/>
      <c r="M125" s="180"/>
      <c r="N125" s="180"/>
      <c r="P125" s="180"/>
      <c r="Q125" s="180"/>
      <c r="R125" s="180"/>
      <c r="S125" s="181"/>
      <c r="T125" s="180"/>
      <c r="U125" s="180"/>
      <c r="V125" s="180"/>
      <c r="W125" s="180"/>
      <c r="X125" s="181"/>
      <c r="Y125" s="180"/>
      <c r="Z125" s="180"/>
      <c r="AA125" s="180"/>
      <c r="AB125" s="181"/>
      <c r="AC125" s="180"/>
      <c r="AD125" s="167"/>
      <c r="CM125" s="168"/>
      <c r="CN125" s="168"/>
      <c r="CO125" s="187" t="s">
        <v>1409</v>
      </c>
      <c r="CP125" s="168"/>
    </row>
    <row r="126" spans="2:94" s="166" customFormat="1" ht="15" hidden="1" customHeight="1">
      <c r="B126" s="180"/>
      <c r="C126" s="180"/>
      <c r="D126" s="180"/>
      <c r="E126" s="180"/>
      <c r="F126" s="180"/>
      <c r="G126" s="180"/>
      <c r="H126" s="180"/>
      <c r="I126" s="180"/>
      <c r="J126" s="181"/>
      <c r="K126" s="180"/>
      <c r="L126" s="180"/>
      <c r="M126" s="180"/>
      <c r="N126" s="180"/>
      <c r="P126" s="180"/>
      <c r="Q126" s="180"/>
      <c r="R126" s="180"/>
      <c r="S126" s="181"/>
      <c r="T126" s="180"/>
      <c r="U126" s="180"/>
      <c r="V126" s="180"/>
      <c r="W126" s="180"/>
      <c r="X126" s="181"/>
      <c r="Y126" s="180"/>
      <c r="Z126" s="180"/>
      <c r="AA126" s="180"/>
      <c r="AB126" s="181"/>
      <c r="AC126" s="180"/>
      <c r="AD126" s="167"/>
      <c r="CM126" s="168"/>
      <c r="CN126" s="168"/>
      <c r="CO126" s="187" t="s">
        <v>1410</v>
      </c>
      <c r="CP126" s="168"/>
    </row>
  </sheetData>
  <sheetProtection password="CE4F" sheet="1" objects="1" scenarios="1" formatCells="0" formatColumns="0" formatRows="0" insertColumns="0" insertRows="0" insertHyperlinks="0" sort="0" autoFilter="0" pivotTables="0"/>
  <mergeCells count="23">
    <mergeCell ref="B4:C4"/>
    <mergeCell ref="D4:M4"/>
    <mergeCell ref="H5:L5"/>
    <mergeCell ref="AC5:AE5"/>
    <mergeCell ref="B6:C7"/>
    <mergeCell ref="D6:F6"/>
    <mergeCell ref="H6:L6"/>
    <mergeCell ref="D7:F7"/>
    <mergeCell ref="H7:L7"/>
    <mergeCell ref="AC7:AE7"/>
    <mergeCell ref="B9:N9"/>
    <mergeCell ref="P9:AE9"/>
    <mergeCell ref="B11:N11"/>
    <mergeCell ref="P11:AE11"/>
    <mergeCell ref="I13:K13"/>
    <mergeCell ref="R13:T13"/>
    <mergeCell ref="W13:Y13"/>
    <mergeCell ref="AA13:AC13"/>
    <mergeCell ref="B64:N64"/>
    <mergeCell ref="P64:AE64"/>
    <mergeCell ref="R65:T65"/>
    <mergeCell ref="W65:Y65"/>
    <mergeCell ref="AA65:AC65"/>
  </mergeCells>
  <conditionalFormatting sqref="G15:G62 G66:G81">
    <cfRule type="expression" dxfId="179" priority="21" stopIfTrue="1">
      <formula>I15&gt;K15</formula>
    </cfRule>
    <cfRule type="expression" dxfId="178" priority="22" stopIfTrue="1">
      <formula>I15&lt;K15</formula>
    </cfRule>
  </conditionalFormatting>
  <conditionalFormatting sqref="M15:M62">
    <cfRule type="expression" dxfId="177" priority="23" stopIfTrue="1">
      <formula>K15&gt;I15</formula>
    </cfRule>
    <cfRule type="expression" dxfId="176" priority="24" stopIfTrue="1">
      <formula>K15&lt;I15</formula>
    </cfRule>
  </conditionalFormatting>
  <conditionalFormatting sqref="S15:S62 S66:S81">
    <cfRule type="expression" dxfId="175" priority="25" stopIfTrue="1">
      <formula>AND($R15&lt;&gt;"",$T15&lt;&gt;"")</formula>
    </cfRule>
  </conditionalFormatting>
  <conditionalFormatting sqref="P15:R62 P66:R81 T66:T81">
    <cfRule type="expression" dxfId="174" priority="26" stopIfTrue="1">
      <formula>AND($R15&gt;$T15,$R15&lt;&gt;"",$T15&lt;&gt;"")</formula>
    </cfRule>
    <cfRule type="expression" dxfId="173" priority="27" stopIfTrue="1">
      <formula>AND($R15&lt;$T15,$R15&lt;&gt;"",$T15&lt;&gt;"")</formula>
    </cfRule>
    <cfRule type="expression" dxfId="172" priority="28" stopIfTrue="1">
      <formula>AND($R15&lt;&gt;"",$T15&lt;&gt;"")</formula>
    </cfRule>
  </conditionalFormatting>
  <conditionalFormatting sqref="U66:V81 T15:V62">
    <cfRule type="expression" dxfId="171" priority="29" stopIfTrue="1">
      <formula>AND($T15&gt;$R15,$R15&lt;&gt;"",$T15&lt;&gt;"")</formula>
    </cfRule>
    <cfRule type="expression" dxfId="170" priority="30" stopIfTrue="1">
      <formula>AND($T15&lt;$R15,$R15&lt;&gt;"",$T15&lt;&gt;"")</formula>
    </cfRule>
    <cfRule type="expression" dxfId="169" priority="31" stopIfTrue="1">
      <formula>AND($R15&lt;&gt;"",$T15&lt;&gt;"")</formula>
    </cfRule>
  </conditionalFormatting>
  <conditionalFormatting sqref="O15">
    <cfRule type="expression" dxfId="168" priority="32" stopIfTrue="1">
      <formula>#REF!&gt;#REF!</formula>
    </cfRule>
    <cfRule type="expression" dxfId="167" priority="33" stopIfTrue="1">
      <formula>#REF!&lt;#REF!</formula>
    </cfRule>
  </conditionalFormatting>
  <conditionalFormatting sqref="I15:I62 K15:K62 K66:K81 I66:I81">
    <cfRule type="expression" dxfId="166" priority="34" stopIfTrue="1">
      <formula>ISBLANK(I15)</formula>
    </cfRule>
  </conditionalFormatting>
  <conditionalFormatting sqref="X15:X61">
    <cfRule type="expression" dxfId="165" priority="14" stopIfTrue="1">
      <formula>AND($R15&lt;&gt;"",$T15&lt;&gt;"")</formula>
    </cfRule>
  </conditionalFormatting>
  <conditionalFormatting sqref="W15:W61">
    <cfRule type="expression" dxfId="164" priority="15" stopIfTrue="1">
      <formula>AND($R15&gt;$T15,$R15&lt;&gt;"",$T15&lt;&gt;"")</formula>
    </cfRule>
    <cfRule type="expression" dxfId="163" priority="16" stopIfTrue="1">
      <formula>AND($R15&lt;$T15,$R15&lt;&gt;"",$T15&lt;&gt;"")</formula>
    </cfRule>
    <cfRule type="expression" dxfId="162" priority="17" stopIfTrue="1">
      <formula>AND($R15&lt;&gt;"",$T15&lt;&gt;"")</formula>
    </cfRule>
  </conditionalFormatting>
  <conditionalFormatting sqref="Y15:Z61">
    <cfRule type="expression" dxfId="161" priority="18" stopIfTrue="1">
      <formula>AND($T15&gt;$R15,$R15&lt;&gt;"",$T15&lt;&gt;"")</formula>
    </cfRule>
    <cfRule type="expression" dxfId="160" priority="19" stopIfTrue="1">
      <formula>AND($T15&lt;$R15,$R15&lt;&gt;"",$T15&lt;&gt;"")</formula>
    </cfRule>
    <cfRule type="expression" dxfId="159" priority="20" stopIfTrue="1">
      <formula>AND($R15&lt;&gt;"",$T15&lt;&gt;"")</formula>
    </cfRule>
  </conditionalFormatting>
  <conditionalFormatting sqref="AB15:AB61">
    <cfRule type="expression" dxfId="158" priority="7" stopIfTrue="1">
      <formula>AND($R15&lt;&gt;"",$T15&lt;&gt;"")</formula>
    </cfRule>
  </conditionalFormatting>
  <conditionalFormatting sqref="AA15:AA61">
    <cfRule type="expression" dxfId="157" priority="8" stopIfTrue="1">
      <formula>AND($R15&gt;$T15,$R15&lt;&gt;"",$T15&lt;&gt;"")</formula>
    </cfRule>
    <cfRule type="expression" dxfId="156" priority="9" stopIfTrue="1">
      <formula>AND($R15&lt;$T15,$R15&lt;&gt;"",$T15&lt;&gt;"")</formula>
    </cfRule>
    <cfRule type="expression" dxfId="155" priority="10" stopIfTrue="1">
      <formula>AND($R15&lt;&gt;"",$T15&lt;&gt;"")</formula>
    </cfRule>
  </conditionalFormatting>
  <conditionalFormatting sqref="AC15:AC61">
    <cfRule type="expression" dxfId="154" priority="11" stopIfTrue="1">
      <formula>AND($T15&gt;$R15,$R15&lt;&gt;"",$T15&lt;&gt;"")</formula>
    </cfRule>
    <cfRule type="expression" dxfId="153" priority="12" stopIfTrue="1">
      <formula>AND($T15&lt;$R15,$R15&lt;&gt;"",$T15&lt;&gt;"")</formula>
    </cfRule>
    <cfRule type="expression" dxfId="152" priority="13" stopIfTrue="1">
      <formula>AND($R15&lt;&gt;"",$T15&lt;&gt;"")</formula>
    </cfRule>
  </conditionalFormatting>
  <conditionalFormatting sqref="M66:M81">
    <cfRule type="expression" dxfId="151" priority="35">
      <formula>K66&gt;I66</formula>
    </cfRule>
    <cfRule type="expression" dxfId="150" priority="36">
      <formula>$K66&lt;$I66</formula>
    </cfRule>
  </conditionalFormatting>
  <conditionalFormatting sqref="X66:X81">
    <cfRule type="expression" dxfId="149" priority="6">
      <formula>AND($W66&lt;&gt;"",$Y66&lt;&gt;"")</formula>
    </cfRule>
  </conditionalFormatting>
  <conditionalFormatting sqref="AB66:AB81">
    <cfRule type="expression" dxfId="148" priority="5">
      <formula>AND($AA66&lt;&gt;"",$AC66&lt;&gt;"")</formula>
    </cfRule>
  </conditionalFormatting>
  <conditionalFormatting sqref="AA65:AC65">
    <cfRule type="expression" dxfId="147" priority="4">
      <formula>$Z$67=1</formula>
    </cfRule>
  </conditionalFormatting>
  <conditionalFormatting sqref="W65:Y65">
    <cfRule type="expression" dxfId="146" priority="3">
      <formula>OR($Z$66=1,$Z$67=1)</formula>
    </cfRule>
  </conditionalFormatting>
  <conditionalFormatting sqref="W66:Y81">
    <cfRule type="expression" dxfId="145" priority="2">
      <formula>OR($Z$66=1,$Z$67=1)</formula>
    </cfRule>
  </conditionalFormatting>
  <conditionalFormatting sqref="AA66:AC81">
    <cfRule type="expression" dxfId="144" priority="1">
      <formula>$Z$67=1</formula>
    </cfRule>
  </conditionalFormatting>
  <printOptions horizontalCentered="1" verticalCentered="1"/>
  <pageMargins left="0.39" right="0.32" top="0.28999999999999998" bottom="0.39" header="0.21" footer="0.26"/>
  <pageSetup scale="59" orientation="portrait" horizontalDpi="300" verticalDpi="300" r:id="rId1"/>
  <headerFooter alignWithMargins="0">
    <oddFooter xml:space="preserve">&amp;C
</oddFooter>
  </headerFooter>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S126"/>
  <sheetViews>
    <sheetView showGridLines="0" zoomScaleNormal="100" workbookViewId="0">
      <selection activeCell="C82" sqref="C82"/>
    </sheetView>
  </sheetViews>
  <sheetFormatPr defaultColWidth="0" defaultRowHeight="14.4" customHeight="1" zeroHeight="1"/>
  <cols>
    <col min="1" max="1" width="2.44140625" style="204" customWidth="1"/>
    <col min="2" max="2" width="3.6640625" style="204" customWidth="1"/>
    <col min="3" max="3" width="4.109375" style="204" customWidth="1"/>
    <col min="4" max="4" width="6.33203125" style="204" customWidth="1"/>
    <col min="5" max="5" width="8.21875" style="204" customWidth="1"/>
    <col min="6" max="6" width="6.88671875" style="205" customWidth="1"/>
    <col min="7" max="7" width="20.6640625" style="204" customWidth="1"/>
    <col min="8" max="8" width="1.77734375" style="204" customWidth="1"/>
    <col min="9" max="9" width="3.44140625" style="204" customWidth="1"/>
    <col min="10" max="10" width="1.77734375" style="206" customWidth="1"/>
    <col min="11" max="11" width="3.44140625" style="204" customWidth="1"/>
    <col min="12" max="12" width="1.6640625" style="204" customWidth="1"/>
    <col min="13" max="13" width="20.6640625" style="204" customWidth="1"/>
    <col min="14" max="14" width="2.44140625" style="204" customWidth="1"/>
    <col min="15" max="15" width="1.77734375" style="204" customWidth="1"/>
    <col min="16" max="16" width="20.6640625" style="204" customWidth="1"/>
    <col min="17" max="17" width="1.6640625" style="204" customWidth="1"/>
    <col min="18" max="18" width="3.44140625" style="204" customWidth="1"/>
    <col min="19" max="19" width="1.77734375" style="206" customWidth="1"/>
    <col min="20" max="20" width="3.44140625" style="204" customWidth="1"/>
    <col min="21" max="21" width="1.6640625" style="204" customWidth="1"/>
    <col min="22" max="22" width="17.5546875" style="204" customWidth="1"/>
    <col min="23" max="23" width="3.44140625" style="204" customWidth="1"/>
    <col min="24" max="24" width="1.77734375" style="206" customWidth="1"/>
    <col min="25" max="25" width="3.44140625" style="204" customWidth="1"/>
    <col min="26" max="26" width="1.77734375" style="204" customWidth="1"/>
    <col min="27" max="27" width="3.44140625" style="204" customWidth="1"/>
    <col min="28" max="28" width="1.77734375" style="206" customWidth="1"/>
    <col min="29" max="29" width="3.44140625" style="204" customWidth="1"/>
    <col min="30" max="30" width="5.77734375" style="206" customWidth="1"/>
    <col min="31" max="31" width="9.109375" style="204" customWidth="1"/>
    <col min="32" max="32" width="2.6640625" style="204" customWidth="1"/>
    <col min="33" max="33" width="9.109375" style="204" hidden="1" customWidth="1"/>
    <col min="34" max="90" width="0" style="204" hidden="1" customWidth="1"/>
    <col min="91" max="94" width="0" style="207" hidden="1" customWidth="1"/>
    <col min="95" max="97" width="0" style="204" hidden="1" customWidth="1"/>
    <col min="98" max="16384" width="9.109375" style="204" hidden="1"/>
  </cols>
  <sheetData>
    <row r="1" spans="2:97" s="166" customFormat="1" ht="15" customHeight="1">
      <c r="J1" s="167"/>
      <c r="S1" s="167"/>
      <c r="X1" s="167"/>
      <c r="AB1" s="167"/>
      <c r="AD1" s="167"/>
      <c r="CM1" s="168"/>
      <c r="CN1" s="168"/>
      <c r="CO1" s="168"/>
      <c r="CP1" s="168"/>
    </row>
    <row r="2" spans="2:97" s="166" customFormat="1" ht="15" customHeight="1">
      <c r="J2" s="167"/>
      <c r="S2" s="167"/>
      <c r="X2" s="167"/>
      <c r="AB2" s="167"/>
      <c r="AD2" s="167"/>
      <c r="CM2" s="168"/>
      <c r="CN2" s="168"/>
      <c r="CO2" s="168"/>
      <c r="CP2" s="168"/>
    </row>
    <row r="3" spans="2:97" s="166" customFormat="1" ht="15" customHeight="1">
      <c r="J3" s="167"/>
      <c r="S3" s="167"/>
      <c r="X3" s="167"/>
      <c r="AB3" s="167"/>
      <c r="AD3" s="167"/>
      <c r="CM3" s="168"/>
      <c r="CN3" s="168"/>
      <c r="CO3" s="168"/>
      <c r="CP3" s="168"/>
    </row>
    <row r="4" spans="2:97" s="166" customFormat="1" ht="25.05" customHeight="1">
      <c r="B4" s="297" t="s">
        <v>3871</v>
      </c>
      <c r="C4" s="298"/>
      <c r="D4" s="307" t="str">
        <f ca="1">IF(INDIRECT("'Player Name'!"&amp;"$c"&amp;B8)&lt;&gt;"",INDIRECT("'Player Name'!"&amp;"$c"&amp;B8),"")</f>
        <v>John 12</v>
      </c>
      <c r="E4" s="308"/>
      <c r="F4" s="308"/>
      <c r="G4" s="308"/>
      <c r="H4" s="308"/>
      <c r="I4" s="308"/>
      <c r="J4" s="308"/>
      <c r="K4" s="308"/>
      <c r="L4" s="308"/>
      <c r="M4" s="309"/>
      <c r="S4" s="167"/>
      <c r="X4" s="167"/>
      <c r="AB4" s="167"/>
      <c r="CM4" s="168"/>
      <c r="CN4" s="168"/>
      <c r="CO4" s="168"/>
      <c r="CP4" s="168"/>
    </row>
    <row r="5" spans="2:97" s="173" customFormat="1" ht="15" customHeight="1">
      <c r="B5" s="169"/>
      <c r="C5" s="169"/>
      <c r="D5" s="170"/>
      <c r="E5" s="170"/>
      <c r="F5" s="170"/>
      <c r="G5" s="171" t="s">
        <v>848</v>
      </c>
      <c r="H5" s="294" t="s">
        <v>3872</v>
      </c>
      <c r="I5" s="294"/>
      <c r="J5" s="294"/>
      <c r="K5" s="294"/>
      <c r="L5" s="295"/>
      <c r="M5" s="171" t="s">
        <v>3870</v>
      </c>
      <c r="N5" s="166"/>
      <c r="O5" s="166"/>
      <c r="P5" s="172"/>
      <c r="Q5" s="166"/>
      <c r="R5" s="166"/>
      <c r="S5" s="167"/>
      <c r="T5" s="166"/>
      <c r="U5" s="166"/>
      <c r="V5" s="166"/>
      <c r="W5" s="166"/>
      <c r="X5" s="167"/>
      <c r="Y5" s="166"/>
      <c r="Z5" s="166"/>
      <c r="AA5" s="166"/>
      <c r="AB5" s="167"/>
      <c r="AC5" s="296"/>
      <c r="AD5" s="296"/>
      <c r="AE5" s="296"/>
      <c r="CM5" s="174"/>
      <c r="CN5" s="174"/>
      <c r="CO5" s="174"/>
      <c r="CP5" s="174"/>
    </row>
    <row r="6" spans="2:97" s="166" customFormat="1" ht="15" customHeight="1">
      <c r="B6" s="318">
        <f>B8-5</f>
        <v>12</v>
      </c>
      <c r="C6" s="318"/>
      <c r="D6" s="315" t="s">
        <v>3868</v>
      </c>
      <c r="E6" s="315"/>
      <c r="F6" s="315"/>
      <c r="G6" s="175">
        <f>SUM(AD15:AD62)</f>
        <v>0</v>
      </c>
      <c r="H6" s="310">
        <f>SUM(AD66:AD81)</f>
        <v>0</v>
      </c>
      <c r="I6" s="311"/>
      <c r="J6" s="311"/>
      <c r="K6" s="311"/>
      <c r="L6" s="311"/>
      <c r="M6" s="176">
        <f>H6+G6</f>
        <v>0</v>
      </c>
      <c r="X6" s="167"/>
      <c r="AB6" s="167"/>
      <c r="CM6" s="168"/>
      <c r="CN6" s="168"/>
      <c r="CO6" s="168"/>
      <c r="CP6" s="168"/>
    </row>
    <row r="7" spans="2:97" s="166" customFormat="1" ht="15" customHeight="1">
      <c r="B7" s="318"/>
      <c r="C7" s="319"/>
      <c r="D7" s="316" t="s">
        <v>3869</v>
      </c>
      <c r="E7" s="317"/>
      <c r="F7" s="317"/>
      <c r="G7" s="177"/>
      <c r="H7" s="312"/>
      <c r="I7" s="312"/>
      <c r="J7" s="312"/>
      <c r="K7" s="312"/>
      <c r="L7" s="313"/>
      <c r="M7" s="178">
        <f ca="1">INDEX('Player Leaderboard'!$A$9:$A$23,MATCH($D4,'Player Leaderboard'!$B$9:$B$23,0),0)</f>
        <v>12</v>
      </c>
      <c r="P7" s="210" t="str">
        <f>HYPERLINK("["&amp;Setup!$C$5&amp;"]'Player ("&amp;B8-6&amp;")'!B6","&lt;&lt; Previous Player ("&amp;B8-6&amp;")")</f>
        <v>&lt;&lt; Previous Player (11)</v>
      </c>
      <c r="S7" s="167"/>
      <c r="X7" s="167"/>
      <c r="AB7" s="167"/>
      <c r="AC7" s="320" t="str">
        <f>HYPERLINK("["&amp;Setup!$C$5&amp;"]'Player ("&amp;B8-4&amp;")'!B6","Next Player ("&amp;B8-4&amp;") &gt;&gt;")</f>
        <v>Next Player (13) &gt;&gt;</v>
      </c>
      <c r="AD7" s="320"/>
      <c r="AE7" s="320"/>
      <c r="CM7" s="168"/>
      <c r="CN7" s="168"/>
      <c r="CO7" s="168"/>
      <c r="CP7" s="168"/>
    </row>
    <row r="8" spans="2:97" s="166" customFormat="1" ht="15" customHeight="1">
      <c r="B8" s="208">
        <v>17</v>
      </c>
      <c r="J8" s="167"/>
      <c r="S8" s="167"/>
      <c r="X8" s="167"/>
      <c r="AB8" s="167"/>
      <c r="AD8" s="167"/>
      <c r="CM8" s="168"/>
      <c r="CN8" s="168"/>
      <c r="CO8" s="168"/>
      <c r="CP8" s="168"/>
    </row>
    <row r="9" spans="2:97" s="166" customFormat="1" ht="15" customHeight="1">
      <c r="B9" s="314" t="s">
        <v>491</v>
      </c>
      <c r="C9" s="314"/>
      <c r="D9" s="314"/>
      <c r="E9" s="314"/>
      <c r="F9" s="314"/>
      <c r="G9" s="314"/>
      <c r="H9" s="314"/>
      <c r="I9" s="314"/>
      <c r="J9" s="314"/>
      <c r="K9" s="314"/>
      <c r="L9" s="314"/>
      <c r="M9" s="314"/>
      <c r="N9" s="314"/>
      <c r="P9" s="303" t="s">
        <v>492</v>
      </c>
      <c r="Q9" s="304"/>
      <c r="R9" s="304"/>
      <c r="S9" s="304"/>
      <c r="T9" s="304"/>
      <c r="U9" s="304"/>
      <c r="V9" s="304"/>
      <c r="W9" s="304"/>
      <c r="X9" s="304"/>
      <c r="Y9" s="304"/>
      <c r="Z9" s="304"/>
      <c r="AA9" s="304"/>
      <c r="AB9" s="304"/>
      <c r="AC9" s="304"/>
      <c r="AD9" s="304"/>
      <c r="AE9" s="305"/>
      <c r="CM9" s="168"/>
      <c r="CN9" s="168"/>
      <c r="CO9" s="168"/>
      <c r="CP9" s="168"/>
    </row>
    <row r="10" spans="2:97" s="166" customFormat="1" ht="15" customHeight="1">
      <c r="B10" s="180"/>
      <c r="C10" s="180"/>
      <c r="D10" s="180"/>
      <c r="E10" s="180"/>
      <c r="F10" s="180"/>
      <c r="G10" s="180"/>
      <c r="H10" s="180"/>
      <c r="I10" s="180"/>
      <c r="J10" s="181"/>
      <c r="K10" s="180"/>
      <c r="L10" s="180"/>
      <c r="M10" s="180"/>
      <c r="N10" s="180"/>
      <c r="O10" s="180"/>
      <c r="P10" s="180"/>
      <c r="Q10" s="180"/>
      <c r="R10" s="180"/>
      <c r="S10" s="180"/>
      <c r="T10" s="180"/>
      <c r="U10" s="180"/>
      <c r="V10" s="180"/>
      <c r="W10" s="180"/>
      <c r="X10" s="180"/>
      <c r="Y10" s="180"/>
      <c r="Z10" s="180"/>
      <c r="AA10" s="180"/>
      <c r="AB10" s="180"/>
      <c r="AC10" s="180"/>
      <c r="AD10" s="180"/>
      <c r="AE10" s="180"/>
      <c r="AF10" s="180"/>
      <c r="AG10" s="180"/>
      <c r="CM10" s="168"/>
      <c r="CN10" s="168"/>
      <c r="CO10" s="168"/>
      <c r="CP10" s="168"/>
    </row>
    <row r="11" spans="2:97" s="166" customFormat="1" ht="15" customHeight="1">
      <c r="B11" s="300" t="str">
        <f>Tournament!B10</f>
        <v>Group Stages</v>
      </c>
      <c r="C11" s="301"/>
      <c r="D11" s="301"/>
      <c r="E11" s="301"/>
      <c r="F11" s="301"/>
      <c r="G11" s="301"/>
      <c r="H11" s="301"/>
      <c r="I11" s="301"/>
      <c r="J11" s="301"/>
      <c r="K11" s="301"/>
      <c r="L11" s="301"/>
      <c r="M11" s="301"/>
      <c r="N11" s="302"/>
      <c r="P11" s="303" t="str">
        <f>B11</f>
        <v>Group Stages</v>
      </c>
      <c r="Q11" s="304"/>
      <c r="R11" s="304"/>
      <c r="S11" s="304"/>
      <c r="T11" s="304"/>
      <c r="U11" s="304"/>
      <c r="V11" s="304"/>
      <c r="W11" s="304"/>
      <c r="X11" s="304"/>
      <c r="Y11" s="304"/>
      <c r="Z11" s="304"/>
      <c r="AA11" s="304"/>
      <c r="AB11" s="304"/>
      <c r="AC11" s="304"/>
      <c r="AD11" s="304"/>
      <c r="AE11" s="305"/>
      <c r="CM11" s="168"/>
      <c r="CN11" s="168"/>
      <c r="CO11" s="168"/>
      <c r="CP11" s="168"/>
    </row>
    <row r="12" spans="2:97" s="166" customFormat="1" ht="15" customHeight="1">
      <c r="B12" s="182"/>
      <c r="C12" s="180"/>
      <c r="D12" s="180"/>
      <c r="E12" s="180"/>
      <c r="F12" s="180"/>
      <c r="G12" s="180"/>
      <c r="H12" s="180"/>
      <c r="I12" s="180"/>
      <c r="J12" s="181"/>
      <c r="K12" s="180"/>
      <c r="L12" s="180"/>
      <c r="M12" s="180"/>
      <c r="N12" s="183"/>
      <c r="P12" s="182"/>
      <c r="Q12" s="180"/>
      <c r="R12" s="180"/>
      <c r="S12" s="180"/>
      <c r="T12" s="180"/>
      <c r="U12" s="180"/>
      <c r="V12" s="180"/>
      <c r="W12" s="180"/>
      <c r="X12" s="180"/>
      <c r="Y12" s="180"/>
      <c r="Z12" s="180"/>
      <c r="AA12" s="180"/>
      <c r="AB12" s="180"/>
      <c r="AC12" s="180"/>
      <c r="AD12" s="180"/>
      <c r="AE12" s="183"/>
      <c r="CM12" s="168"/>
      <c r="CN12" s="168"/>
      <c r="CO12" s="168"/>
      <c r="CP12" s="168"/>
    </row>
    <row r="13" spans="2:97" s="166" customFormat="1" ht="15" customHeight="1">
      <c r="B13" s="182"/>
      <c r="C13" s="184" t="str">
        <f>Tournament!D14</f>
        <v>Match #</v>
      </c>
      <c r="D13" s="184" t="str">
        <f>Tournament!E14</f>
        <v>Group</v>
      </c>
      <c r="E13" s="184" t="str">
        <f>Tournament!F14</f>
        <v>Date</v>
      </c>
      <c r="F13" s="184" t="str">
        <f>Tournament!G14</f>
        <v>Time</v>
      </c>
      <c r="G13" s="184" t="str">
        <f>Tournament!H14</f>
        <v>Country</v>
      </c>
      <c r="H13" s="184"/>
      <c r="I13" s="306" t="str">
        <f>Tournament!J14</f>
        <v>Score</v>
      </c>
      <c r="J13" s="306"/>
      <c r="K13" s="306"/>
      <c r="L13" s="184"/>
      <c r="M13" s="184" t="str">
        <f>Tournament!N14</f>
        <v>Country</v>
      </c>
      <c r="N13" s="183"/>
      <c r="P13" s="185" t="str">
        <f>G13</f>
        <v>Country</v>
      </c>
      <c r="Q13" s="184"/>
      <c r="R13" s="306" t="str">
        <f>I13</f>
        <v>Score</v>
      </c>
      <c r="S13" s="306"/>
      <c r="T13" s="306"/>
      <c r="U13" s="184"/>
      <c r="V13" s="184" t="str">
        <f>M13</f>
        <v>Country</v>
      </c>
      <c r="W13" s="306"/>
      <c r="X13" s="306"/>
      <c r="Y13" s="306"/>
      <c r="Z13" s="184"/>
      <c r="AA13" s="306"/>
      <c r="AB13" s="306"/>
      <c r="AC13" s="306"/>
      <c r="AD13" s="184" t="s">
        <v>3277</v>
      </c>
      <c r="AE13" s="183"/>
      <c r="CP13" s="168"/>
      <c r="CQ13" s="186"/>
      <c r="CR13" s="187"/>
      <c r="CS13" s="168"/>
    </row>
    <row r="14" spans="2:97" s="166" customFormat="1" ht="15" customHeight="1">
      <c r="B14" s="182"/>
      <c r="C14" s="180"/>
      <c r="D14" s="180"/>
      <c r="E14" s="180"/>
      <c r="F14" s="180"/>
      <c r="G14" s="180"/>
      <c r="H14" s="180"/>
      <c r="I14" s="180"/>
      <c r="J14" s="180"/>
      <c r="K14" s="180"/>
      <c r="L14" s="180"/>
      <c r="M14" s="180"/>
      <c r="N14" s="183"/>
      <c r="P14" s="182"/>
      <c r="Q14" s="180"/>
      <c r="R14" s="180"/>
      <c r="S14" s="180"/>
      <c r="T14" s="180"/>
      <c r="U14" s="180"/>
      <c r="V14" s="180"/>
      <c r="W14" s="180"/>
      <c r="X14" s="180"/>
      <c r="Y14" s="180"/>
      <c r="Z14" s="180"/>
      <c r="AA14" s="180"/>
      <c r="AB14" s="180"/>
      <c r="AC14" s="180"/>
      <c r="AD14" s="181"/>
      <c r="AE14" s="183"/>
      <c r="CP14" s="168"/>
      <c r="CQ14" s="186"/>
      <c r="CR14" s="187"/>
      <c r="CS14" s="168"/>
    </row>
    <row r="15" spans="2:97" s="166" customFormat="1" ht="15" customHeight="1">
      <c r="B15" s="182"/>
      <c r="C15" s="181">
        <f>Tournament!D16</f>
        <v>1</v>
      </c>
      <c r="D15" s="181" t="str">
        <f>Tournament!E16</f>
        <v>A</v>
      </c>
      <c r="E15" s="188">
        <f>Tournament!F16</f>
        <v>41802.708333333336</v>
      </c>
      <c r="F15" s="189">
        <f>Tournament!G16</f>
        <v>41802.708333333336</v>
      </c>
      <c r="G15" s="190" t="str">
        <f>Tournament!H16</f>
        <v>Brazil</v>
      </c>
      <c r="H15" s="180"/>
      <c r="I15" s="9"/>
      <c r="J15" s="191" t="s">
        <v>3088</v>
      </c>
      <c r="K15" s="9"/>
      <c r="L15" s="180"/>
      <c r="M15" s="180" t="str">
        <f>Tournament!N16</f>
        <v>Croatia</v>
      </c>
      <c r="N15" s="183"/>
      <c r="O15" s="180"/>
      <c r="P15" s="192" t="str">
        <f>G15</f>
        <v>Brazil</v>
      </c>
      <c r="Q15" s="193"/>
      <c r="R15" s="194">
        <f>IF(Tournament!J16&lt;&gt;"",Tournament!J16,"")</f>
        <v>3</v>
      </c>
      <c r="S15" s="194" t="s">
        <v>3088</v>
      </c>
      <c r="T15" s="194">
        <f>IF(Tournament!L16&lt;&gt;"",Tournament!L16,"")</f>
        <v>1</v>
      </c>
      <c r="U15" s="193"/>
      <c r="V15" s="193" t="str">
        <f>M15</f>
        <v>Croatia</v>
      </c>
      <c r="W15" s="194"/>
      <c r="X15" s="194"/>
      <c r="Y15" s="194"/>
      <c r="Z15" s="194"/>
      <c r="AA15" s="194"/>
      <c r="AB15" s="194"/>
      <c r="AC15" s="194"/>
      <c r="AD15" s="195" t="str">
        <f>IF(AND(I15&lt;&gt;"",K15&lt;&gt;"",R15&lt;&gt;"",T15&lt;&gt;""),IF(AND(I15=R15,K15=T15),Setup!$D$10,IF((I15-K15)=(R15-T15),Setup!$D$11,IF(AND((I15&gt;K15),(R15&gt;T15)),Setup!$D$12,IF(AND((K15&gt;I15),(T15&gt;R15)),Setup!$D$12,0)))),"")</f>
        <v/>
      </c>
      <c r="AE15" s="183"/>
      <c r="CP15" s="168"/>
      <c r="CQ15" s="186"/>
      <c r="CR15" s="187"/>
      <c r="CS15" s="168"/>
    </row>
    <row r="16" spans="2:97" s="166" customFormat="1" ht="15" customHeight="1">
      <c r="B16" s="182"/>
      <c r="C16" s="181">
        <f>Tournament!D17</f>
        <v>2</v>
      </c>
      <c r="D16" s="181" t="str">
        <f>Tournament!E17</f>
        <v>A</v>
      </c>
      <c r="E16" s="188">
        <f>Tournament!F17</f>
        <v>41803.541666666664</v>
      </c>
      <c r="F16" s="189">
        <f>Tournament!G17</f>
        <v>41803.541666666664</v>
      </c>
      <c r="G16" s="190" t="str">
        <f>Tournament!H17</f>
        <v>Mexico</v>
      </c>
      <c r="H16" s="180"/>
      <c r="I16" s="9"/>
      <c r="J16" s="191" t="s">
        <v>3088</v>
      </c>
      <c r="K16" s="9"/>
      <c r="L16" s="180"/>
      <c r="M16" s="180" t="str">
        <f>Tournament!N17</f>
        <v>Cameroon</v>
      </c>
      <c r="N16" s="183"/>
      <c r="P16" s="192" t="str">
        <f t="shared" ref="P16:P62" si="0">G16</f>
        <v>Mexico</v>
      </c>
      <c r="Q16" s="193"/>
      <c r="R16" s="194">
        <f>IF(Tournament!J17&lt;&gt;"",Tournament!J17,"")</f>
        <v>1</v>
      </c>
      <c r="S16" s="194" t="s">
        <v>3088</v>
      </c>
      <c r="T16" s="194">
        <f>IF(Tournament!L17&lt;&gt;"",Tournament!L17,"")</f>
        <v>0</v>
      </c>
      <c r="U16" s="193"/>
      <c r="V16" s="193" t="str">
        <f t="shared" ref="V16:V62" si="1">M16</f>
        <v>Cameroon</v>
      </c>
      <c r="W16" s="194"/>
      <c r="X16" s="194"/>
      <c r="Y16" s="194"/>
      <c r="Z16" s="194"/>
      <c r="AA16" s="194"/>
      <c r="AB16" s="194"/>
      <c r="AC16" s="194"/>
      <c r="AD16" s="195" t="str">
        <f>IF(AND(I16&lt;&gt;"",K16&lt;&gt;"",R16&lt;&gt;"",T16&lt;&gt;""),IF(AND(I16=R16,K16=T16),Setup!$D$10,IF((I16-K16)=(R16-T16),Setup!$D$11,IF(AND((I16&gt;K16),(R16&gt;T16)),Setup!$D$12,IF(AND((K16&gt;I16),(T16&gt;R16)),Setup!$D$12,0)))),"")</f>
        <v/>
      </c>
      <c r="AE16" s="183"/>
      <c r="AI16" s="179" t="s">
        <v>3904</v>
      </c>
      <c r="CP16" s="168"/>
      <c r="CQ16" s="186"/>
      <c r="CR16" s="187"/>
      <c r="CS16" s="168"/>
    </row>
    <row r="17" spans="2:97" s="166" customFormat="1" ht="15" customHeight="1">
      <c r="B17" s="182"/>
      <c r="C17" s="181">
        <f>Tournament!D18</f>
        <v>3</v>
      </c>
      <c r="D17" s="181" t="str">
        <f>Tournament!E18</f>
        <v>B</v>
      </c>
      <c r="E17" s="188">
        <f>Tournament!F18</f>
        <v>41803.666666666664</v>
      </c>
      <c r="F17" s="189">
        <f>Tournament!G18</f>
        <v>41803.666666666664</v>
      </c>
      <c r="G17" s="190" t="str">
        <f>Tournament!H18</f>
        <v>Spain</v>
      </c>
      <c r="H17" s="180"/>
      <c r="I17" s="9"/>
      <c r="J17" s="191" t="s">
        <v>3088</v>
      </c>
      <c r="K17" s="9"/>
      <c r="L17" s="180"/>
      <c r="M17" s="180" t="str">
        <f>Tournament!N18</f>
        <v>Netherlands</v>
      </c>
      <c r="N17" s="183"/>
      <c r="P17" s="192" t="str">
        <f t="shared" si="0"/>
        <v>Spain</v>
      </c>
      <c r="Q17" s="193"/>
      <c r="R17" s="194">
        <f>IF(Tournament!J18&lt;&gt;"",Tournament!J18,"")</f>
        <v>1</v>
      </c>
      <c r="S17" s="194" t="s">
        <v>3088</v>
      </c>
      <c r="T17" s="194">
        <f>IF(Tournament!L18&lt;&gt;"",Tournament!L18,"")</f>
        <v>5</v>
      </c>
      <c r="U17" s="193"/>
      <c r="V17" s="193" t="str">
        <f t="shared" si="1"/>
        <v>Netherlands</v>
      </c>
      <c r="W17" s="194"/>
      <c r="X17" s="194"/>
      <c r="Y17" s="194"/>
      <c r="Z17" s="194"/>
      <c r="AA17" s="194"/>
      <c r="AB17" s="194"/>
      <c r="AC17" s="194"/>
      <c r="AD17" s="195" t="str">
        <f>IF(AND(I17&lt;&gt;"",K17&lt;&gt;"",R17&lt;&gt;"",T17&lt;&gt;""),IF(AND(I17=R17,K17=T17),Setup!$D$10,IF((I17-K17)=(R17-T17),Setup!$D$11,IF(AND((I17&gt;K17),(R17&gt;T17)),Setup!$D$12,IF(AND((K17&gt;I17),(T17&gt;R17)),Setup!$D$12,0)))),"")</f>
        <v/>
      </c>
      <c r="AE17" s="183"/>
      <c r="CP17" s="168"/>
      <c r="CQ17" s="186"/>
      <c r="CR17" s="187"/>
      <c r="CS17" s="168"/>
    </row>
    <row r="18" spans="2:97" s="166" customFormat="1" ht="15" customHeight="1">
      <c r="B18" s="182"/>
      <c r="C18" s="181">
        <f>Tournament!D19</f>
        <v>4</v>
      </c>
      <c r="D18" s="181" t="str">
        <f>Tournament!E19</f>
        <v>B</v>
      </c>
      <c r="E18" s="188">
        <f>Tournament!F19</f>
        <v>41803.791666666664</v>
      </c>
      <c r="F18" s="189">
        <f>Tournament!G19</f>
        <v>41803.791666666664</v>
      </c>
      <c r="G18" s="190" t="str">
        <f>Tournament!H19</f>
        <v>Chile</v>
      </c>
      <c r="H18" s="180"/>
      <c r="I18" s="9"/>
      <c r="J18" s="191" t="s">
        <v>3088</v>
      </c>
      <c r="K18" s="9"/>
      <c r="L18" s="180"/>
      <c r="M18" s="180" t="str">
        <f>Tournament!N19</f>
        <v>Australia</v>
      </c>
      <c r="N18" s="183"/>
      <c r="P18" s="192" t="str">
        <f t="shared" si="0"/>
        <v>Chile</v>
      </c>
      <c r="Q18" s="193"/>
      <c r="R18" s="194">
        <f>IF(Tournament!J19&lt;&gt;"",Tournament!J19,"")</f>
        <v>3</v>
      </c>
      <c r="S18" s="194" t="s">
        <v>3088</v>
      </c>
      <c r="T18" s="194">
        <f>IF(Tournament!L19&lt;&gt;"",Tournament!L19,"")</f>
        <v>1</v>
      </c>
      <c r="U18" s="193"/>
      <c r="V18" s="193" t="str">
        <f t="shared" si="1"/>
        <v>Australia</v>
      </c>
      <c r="W18" s="194"/>
      <c r="X18" s="194"/>
      <c r="Y18" s="194"/>
      <c r="Z18" s="194"/>
      <c r="AA18" s="194"/>
      <c r="AB18" s="194"/>
      <c r="AC18" s="194"/>
      <c r="AD18" s="195" t="str">
        <f>IF(AND(I18&lt;&gt;"",K18&lt;&gt;"",R18&lt;&gt;"",T18&lt;&gt;""),IF(AND(I18=R18,K18=T18),Setup!$D$10,IF((I18-K18)=(R18-T18),Setup!$D$11,IF(AND((I18&gt;K18),(R18&gt;T18)),Setup!$D$12,IF(AND((K18&gt;I18),(T18&gt;R18)),Setup!$D$12,0)))),"")</f>
        <v/>
      </c>
      <c r="AE18" s="183"/>
      <c r="CP18" s="168"/>
      <c r="CQ18" s="186"/>
      <c r="CR18" s="187"/>
      <c r="CS18" s="168"/>
    </row>
    <row r="19" spans="2:97" s="166" customFormat="1" ht="15" customHeight="1">
      <c r="B19" s="182"/>
      <c r="C19" s="181">
        <f>Tournament!D20</f>
        <v>5</v>
      </c>
      <c r="D19" s="181" t="str">
        <f>Tournament!E20</f>
        <v>C</v>
      </c>
      <c r="E19" s="188">
        <f>Tournament!F20</f>
        <v>41804.541666666664</v>
      </c>
      <c r="F19" s="189">
        <f>Tournament!G20</f>
        <v>41804.541666666664</v>
      </c>
      <c r="G19" s="190" t="str">
        <f>Tournament!H20</f>
        <v>Colombia</v>
      </c>
      <c r="H19" s="180"/>
      <c r="I19" s="9"/>
      <c r="J19" s="191" t="s">
        <v>3088</v>
      </c>
      <c r="K19" s="9"/>
      <c r="L19" s="180"/>
      <c r="M19" s="180" t="str">
        <f>Tournament!N20</f>
        <v>Greece</v>
      </c>
      <c r="N19" s="183"/>
      <c r="P19" s="192" t="str">
        <f t="shared" si="0"/>
        <v>Colombia</v>
      </c>
      <c r="Q19" s="193"/>
      <c r="R19" s="194" t="str">
        <f>IF(Tournament!J20&lt;&gt;"",Tournament!J20,"")</f>
        <v/>
      </c>
      <c r="S19" s="194" t="s">
        <v>3088</v>
      </c>
      <c r="T19" s="194" t="str">
        <f>IF(Tournament!L20&lt;&gt;"",Tournament!L20,"")</f>
        <v/>
      </c>
      <c r="U19" s="193"/>
      <c r="V19" s="193" t="str">
        <f t="shared" si="1"/>
        <v>Greece</v>
      </c>
      <c r="W19" s="194"/>
      <c r="X19" s="194"/>
      <c r="Y19" s="194"/>
      <c r="Z19" s="194"/>
      <c r="AA19" s="194"/>
      <c r="AB19" s="194"/>
      <c r="AC19" s="194"/>
      <c r="AD19" s="195" t="str">
        <f>IF(AND(I19&lt;&gt;"",K19&lt;&gt;"",R19&lt;&gt;"",T19&lt;&gt;""),IF(AND(I19=R19,K19=T19),Setup!$D$10,IF((I19-K19)=(R19-T19),Setup!$D$11,IF(AND((I19&gt;K19),(R19&gt;T19)),Setup!$D$12,IF(AND((K19&gt;I19),(T19&gt;R19)),Setup!$D$12,0)))),"")</f>
        <v/>
      </c>
      <c r="AE19" s="183"/>
      <c r="CP19" s="168"/>
      <c r="CQ19" s="186"/>
      <c r="CR19" s="187"/>
      <c r="CS19" s="168"/>
    </row>
    <row r="20" spans="2:97" s="166" customFormat="1" ht="15" customHeight="1">
      <c r="B20" s="182"/>
      <c r="C20" s="181">
        <f>Tournament!D21</f>
        <v>6</v>
      </c>
      <c r="D20" s="181" t="str">
        <f>Tournament!E21</f>
        <v>C</v>
      </c>
      <c r="E20" s="188">
        <f>Tournament!F21</f>
        <v>41804.916666666664</v>
      </c>
      <c r="F20" s="189">
        <f>Tournament!G21</f>
        <v>41804.916666666664</v>
      </c>
      <c r="G20" s="190" t="str">
        <f>Tournament!H21</f>
        <v>Ivory Coast</v>
      </c>
      <c r="H20" s="180"/>
      <c r="I20" s="9"/>
      <c r="J20" s="191" t="s">
        <v>3088</v>
      </c>
      <c r="K20" s="9"/>
      <c r="L20" s="180"/>
      <c r="M20" s="180" t="str">
        <f>Tournament!N21</f>
        <v>Japan</v>
      </c>
      <c r="N20" s="183"/>
      <c r="P20" s="192" t="str">
        <f t="shared" si="0"/>
        <v>Ivory Coast</v>
      </c>
      <c r="Q20" s="193"/>
      <c r="R20" s="194" t="str">
        <f>IF(Tournament!J21&lt;&gt;"",Tournament!J21,"")</f>
        <v/>
      </c>
      <c r="S20" s="194" t="s">
        <v>3088</v>
      </c>
      <c r="T20" s="194" t="str">
        <f>IF(Tournament!L21&lt;&gt;"",Tournament!L21,"")</f>
        <v/>
      </c>
      <c r="U20" s="193"/>
      <c r="V20" s="193" t="str">
        <f t="shared" si="1"/>
        <v>Japan</v>
      </c>
      <c r="W20" s="194"/>
      <c r="X20" s="194"/>
      <c r="Y20" s="194"/>
      <c r="Z20" s="194"/>
      <c r="AA20" s="194"/>
      <c r="AB20" s="194"/>
      <c r="AC20" s="194"/>
      <c r="AD20" s="195" t="str">
        <f>IF(AND(I20&lt;&gt;"",K20&lt;&gt;"",R20&lt;&gt;"",T20&lt;&gt;""),IF(AND(I20=R20,K20=T20),Setup!$D$10,IF((I20-K20)=(R20-T20),Setup!$D$11,IF(AND((I20&gt;K20),(R20&gt;T20)),Setup!$D$12,IF(AND((K20&gt;I20),(T20&gt;R20)),Setup!$D$12,0)))),"")</f>
        <v/>
      </c>
      <c r="AE20" s="183"/>
      <c r="CP20" s="168"/>
      <c r="CQ20" s="186"/>
      <c r="CR20" s="187"/>
      <c r="CS20" s="168"/>
    </row>
    <row r="21" spans="2:97" s="166" customFormat="1" ht="15" customHeight="1">
      <c r="B21" s="182"/>
      <c r="C21" s="181">
        <f>Tournament!D22</f>
        <v>7</v>
      </c>
      <c r="D21" s="181" t="str">
        <f>Tournament!E22</f>
        <v>D</v>
      </c>
      <c r="E21" s="188">
        <f>Tournament!F22</f>
        <v>41804.666666666664</v>
      </c>
      <c r="F21" s="189">
        <f>Tournament!G22</f>
        <v>41804.666666666664</v>
      </c>
      <c r="G21" s="190" t="str">
        <f>Tournament!H22</f>
        <v>Uruguay</v>
      </c>
      <c r="H21" s="180"/>
      <c r="I21" s="9"/>
      <c r="J21" s="191" t="s">
        <v>3088</v>
      </c>
      <c r="K21" s="9"/>
      <c r="L21" s="180"/>
      <c r="M21" s="180" t="str">
        <f>Tournament!N22</f>
        <v>Costa Rica</v>
      </c>
      <c r="N21" s="183"/>
      <c r="P21" s="192" t="str">
        <f t="shared" si="0"/>
        <v>Uruguay</v>
      </c>
      <c r="Q21" s="193"/>
      <c r="R21" s="194" t="str">
        <f>IF(Tournament!J22&lt;&gt;"",Tournament!J22,"")</f>
        <v/>
      </c>
      <c r="S21" s="194" t="s">
        <v>3088</v>
      </c>
      <c r="T21" s="194" t="str">
        <f>IF(Tournament!L22&lt;&gt;"",Tournament!L22,"")</f>
        <v/>
      </c>
      <c r="U21" s="193"/>
      <c r="V21" s="193" t="str">
        <f t="shared" si="1"/>
        <v>Costa Rica</v>
      </c>
      <c r="W21" s="194"/>
      <c r="X21" s="194"/>
      <c r="Y21" s="194"/>
      <c r="Z21" s="194"/>
      <c r="AA21" s="194"/>
      <c r="AB21" s="194"/>
      <c r="AC21" s="194"/>
      <c r="AD21" s="195" t="str">
        <f>IF(AND(I21&lt;&gt;"",K21&lt;&gt;"",R21&lt;&gt;"",T21&lt;&gt;""),IF(AND(I21=R21,K21=T21),Setup!$D$10,IF((I21-K21)=(R21-T21),Setup!$D$11,IF(AND((I21&gt;K21),(R21&gt;T21)),Setup!$D$12,IF(AND((K21&gt;I21),(T21&gt;R21)),Setup!$D$12,0)))),"")</f>
        <v/>
      </c>
      <c r="AE21" s="183"/>
      <c r="CP21" s="168"/>
      <c r="CQ21" s="196"/>
      <c r="CR21" s="187"/>
      <c r="CS21" s="168"/>
    </row>
    <row r="22" spans="2:97" s="166" customFormat="1" ht="15" customHeight="1">
      <c r="B22" s="182"/>
      <c r="C22" s="181">
        <f>Tournament!D23</f>
        <v>8</v>
      </c>
      <c r="D22" s="181" t="str">
        <f>Tournament!E23</f>
        <v>D</v>
      </c>
      <c r="E22" s="188">
        <f>Tournament!F23</f>
        <v>41804.791666666664</v>
      </c>
      <c r="F22" s="189">
        <f>Tournament!G23</f>
        <v>41804.791666666664</v>
      </c>
      <c r="G22" s="190" t="str">
        <f>Tournament!H23</f>
        <v>England</v>
      </c>
      <c r="H22" s="180"/>
      <c r="I22" s="9"/>
      <c r="J22" s="191" t="s">
        <v>3088</v>
      </c>
      <c r="K22" s="9"/>
      <c r="L22" s="180"/>
      <c r="M22" s="180" t="str">
        <f>Tournament!N23</f>
        <v>Italy</v>
      </c>
      <c r="N22" s="183"/>
      <c r="P22" s="192" t="str">
        <f t="shared" si="0"/>
        <v>England</v>
      </c>
      <c r="Q22" s="193"/>
      <c r="R22" s="194" t="str">
        <f>IF(Tournament!J23&lt;&gt;"",Tournament!J23,"")</f>
        <v/>
      </c>
      <c r="S22" s="194" t="s">
        <v>3088</v>
      </c>
      <c r="T22" s="194" t="str">
        <f>IF(Tournament!L23&lt;&gt;"",Tournament!L23,"")</f>
        <v/>
      </c>
      <c r="U22" s="193"/>
      <c r="V22" s="193" t="str">
        <f t="shared" si="1"/>
        <v>Italy</v>
      </c>
      <c r="W22" s="194"/>
      <c r="X22" s="194"/>
      <c r="Y22" s="194"/>
      <c r="Z22" s="194"/>
      <c r="AA22" s="194"/>
      <c r="AB22" s="194"/>
      <c r="AC22" s="194"/>
      <c r="AD22" s="195" t="str">
        <f>IF(AND(I22&lt;&gt;"",K22&lt;&gt;"",R22&lt;&gt;"",T22&lt;&gt;""),IF(AND(I22=R22,K22=T22),Setup!$D$10,IF((I22-K22)=(R22-T22),Setup!$D$11,IF(AND((I22&gt;K22),(R22&gt;T22)),Setup!$D$12,IF(AND((K22&gt;I22),(T22&gt;R22)),Setup!$D$12,0)))),"")</f>
        <v/>
      </c>
      <c r="AE22" s="183"/>
      <c r="CP22" s="168"/>
      <c r="CQ22" s="186"/>
      <c r="CR22" s="187"/>
      <c r="CS22" s="168"/>
    </row>
    <row r="23" spans="2:97" s="166" customFormat="1" ht="15" customHeight="1">
      <c r="B23" s="182"/>
      <c r="C23" s="181">
        <f>Tournament!D24</f>
        <v>9</v>
      </c>
      <c r="D23" s="181" t="str">
        <f>Tournament!E24</f>
        <v>E</v>
      </c>
      <c r="E23" s="188">
        <f>Tournament!F24</f>
        <v>41805.541666666664</v>
      </c>
      <c r="F23" s="189">
        <f>Tournament!G24</f>
        <v>41805.541666666664</v>
      </c>
      <c r="G23" s="190" t="str">
        <f>Tournament!H24</f>
        <v>Switzerland</v>
      </c>
      <c r="H23" s="180"/>
      <c r="I23" s="9"/>
      <c r="J23" s="191" t="s">
        <v>3088</v>
      </c>
      <c r="K23" s="9"/>
      <c r="L23" s="180"/>
      <c r="M23" s="180" t="str">
        <f>Tournament!N24</f>
        <v>Ecuador</v>
      </c>
      <c r="N23" s="183"/>
      <c r="P23" s="192" t="str">
        <f t="shared" si="0"/>
        <v>Switzerland</v>
      </c>
      <c r="Q23" s="193"/>
      <c r="R23" s="194" t="str">
        <f>IF(Tournament!J24&lt;&gt;"",Tournament!J24,"")</f>
        <v/>
      </c>
      <c r="S23" s="194" t="s">
        <v>3088</v>
      </c>
      <c r="T23" s="194" t="str">
        <f>IF(Tournament!L24&lt;&gt;"",Tournament!L24,"")</f>
        <v/>
      </c>
      <c r="U23" s="193"/>
      <c r="V23" s="193" t="str">
        <f t="shared" si="1"/>
        <v>Ecuador</v>
      </c>
      <c r="W23" s="194"/>
      <c r="X23" s="194"/>
      <c r="Y23" s="194"/>
      <c r="Z23" s="194"/>
      <c r="AA23" s="194"/>
      <c r="AB23" s="194"/>
      <c r="AC23" s="194"/>
      <c r="AD23" s="195" t="str">
        <f>IF(AND(I23&lt;&gt;"",K23&lt;&gt;"",R23&lt;&gt;"",T23&lt;&gt;""),IF(AND(I23=R23,K23=T23),Setup!$D$10,IF((I23-K23)=(R23-T23),Setup!$D$11,IF(AND((I23&gt;K23),(R23&gt;T23)),Setup!$D$12,IF(AND((K23&gt;I23),(T23&gt;R23)),Setup!$D$12,0)))),"")</f>
        <v/>
      </c>
      <c r="AE23" s="183"/>
      <c r="CP23" s="168"/>
      <c r="CQ23" s="186"/>
      <c r="CR23" s="187"/>
      <c r="CS23" s="168"/>
    </row>
    <row r="24" spans="2:97" s="166" customFormat="1" ht="15" customHeight="1">
      <c r="B24" s="182"/>
      <c r="C24" s="181">
        <f>Tournament!D25</f>
        <v>10</v>
      </c>
      <c r="D24" s="181" t="str">
        <f>Tournament!E25</f>
        <v>E</v>
      </c>
      <c r="E24" s="188">
        <f>Tournament!F25</f>
        <v>41805.666666666664</v>
      </c>
      <c r="F24" s="189">
        <f>Tournament!G25</f>
        <v>41805.666666666664</v>
      </c>
      <c r="G24" s="190" t="str">
        <f>Tournament!H25</f>
        <v>France</v>
      </c>
      <c r="H24" s="180"/>
      <c r="I24" s="9"/>
      <c r="J24" s="191" t="s">
        <v>3088</v>
      </c>
      <c r="K24" s="9"/>
      <c r="L24" s="180"/>
      <c r="M24" s="180" t="str">
        <f>Tournament!N25</f>
        <v>Honduras</v>
      </c>
      <c r="N24" s="183"/>
      <c r="P24" s="192" t="str">
        <f t="shared" si="0"/>
        <v>France</v>
      </c>
      <c r="Q24" s="193"/>
      <c r="R24" s="194" t="str">
        <f>IF(Tournament!J25&lt;&gt;"",Tournament!J25,"")</f>
        <v/>
      </c>
      <c r="S24" s="194" t="s">
        <v>3088</v>
      </c>
      <c r="T24" s="194" t="str">
        <f>IF(Tournament!L25&lt;&gt;"",Tournament!L25,"")</f>
        <v/>
      </c>
      <c r="U24" s="193"/>
      <c r="V24" s="193" t="str">
        <f t="shared" si="1"/>
        <v>Honduras</v>
      </c>
      <c r="W24" s="194"/>
      <c r="X24" s="194"/>
      <c r="Y24" s="194"/>
      <c r="Z24" s="194"/>
      <c r="AA24" s="194"/>
      <c r="AB24" s="194"/>
      <c r="AC24" s="194"/>
      <c r="AD24" s="195" t="str">
        <f>IF(AND(I24&lt;&gt;"",K24&lt;&gt;"",R24&lt;&gt;"",T24&lt;&gt;""),IF(AND(I24=R24,K24=T24),Setup!$D$10,IF((I24-K24)=(R24-T24),Setup!$D$11,IF(AND((I24&gt;K24),(R24&gt;T24)),Setup!$D$12,IF(AND((K24&gt;I24),(T24&gt;R24)),Setup!$D$12,0)))),"")</f>
        <v/>
      </c>
      <c r="AE24" s="183"/>
      <c r="CP24" s="168"/>
      <c r="CQ24" s="186"/>
      <c r="CR24" s="187"/>
      <c r="CS24" s="168"/>
    </row>
    <row r="25" spans="2:97" s="166" customFormat="1" ht="15" customHeight="1">
      <c r="B25" s="182"/>
      <c r="C25" s="181">
        <f>Tournament!D26</f>
        <v>11</v>
      </c>
      <c r="D25" s="181" t="str">
        <f>Tournament!E26</f>
        <v>F</v>
      </c>
      <c r="E25" s="188">
        <f>Tournament!F26</f>
        <v>41805.791666666664</v>
      </c>
      <c r="F25" s="189">
        <f>Tournament!G26</f>
        <v>41805.791666666664</v>
      </c>
      <c r="G25" s="190" t="str">
        <f>Tournament!H26</f>
        <v>Argentina</v>
      </c>
      <c r="H25" s="180"/>
      <c r="I25" s="9"/>
      <c r="J25" s="191" t="s">
        <v>3088</v>
      </c>
      <c r="K25" s="9"/>
      <c r="L25" s="180"/>
      <c r="M25" s="180" t="str">
        <f>Tournament!N26</f>
        <v>Bosnia-Herzegovina</v>
      </c>
      <c r="N25" s="183"/>
      <c r="P25" s="192" t="str">
        <f t="shared" si="0"/>
        <v>Argentina</v>
      </c>
      <c r="Q25" s="193"/>
      <c r="R25" s="194" t="str">
        <f>IF(Tournament!J26&lt;&gt;"",Tournament!J26,"")</f>
        <v/>
      </c>
      <c r="S25" s="194" t="s">
        <v>3088</v>
      </c>
      <c r="T25" s="194" t="str">
        <f>IF(Tournament!L26&lt;&gt;"",Tournament!L26,"")</f>
        <v/>
      </c>
      <c r="U25" s="193"/>
      <c r="V25" s="193" t="str">
        <f t="shared" si="1"/>
        <v>Bosnia-Herzegovina</v>
      </c>
      <c r="W25" s="194"/>
      <c r="X25" s="194"/>
      <c r="Y25" s="194"/>
      <c r="Z25" s="194"/>
      <c r="AA25" s="194"/>
      <c r="AB25" s="194"/>
      <c r="AC25" s="194"/>
      <c r="AD25" s="195" t="str">
        <f>IF(AND(I25&lt;&gt;"",K25&lt;&gt;"",R25&lt;&gt;"",T25&lt;&gt;""),IF(AND(I25=R25,K25=T25),Setup!$D$10,IF((I25-K25)=(R25-T25),Setup!$D$11,IF(AND((I25&gt;K25),(R25&gt;T25)),Setup!$D$12,IF(AND((K25&gt;I25),(T25&gt;R25)),Setup!$D$12,0)))),"")</f>
        <v/>
      </c>
      <c r="AE25" s="183"/>
      <c r="CP25" s="168"/>
      <c r="CQ25" s="186"/>
      <c r="CR25" s="187"/>
      <c r="CS25" s="168"/>
    </row>
    <row r="26" spans="2:97" s="166" customFormat="1" ht="15" customHeight="1">
      <c r="B26" s="182"/>
      <c r="C26" s="181">
        <f>Tournament!D27</f>
        <v>12</v>
      </c>
      <c r="D26" s="181" t="str">
        <f>Tournament!E27</f>
        <v>F</v>
      </c>
      <c r="E26" s="188">
        <f>Tournament!F27</f>
        <v>41806.666666666664</v>
      </c>
      <c r="F26" s="189">
        <f>Tournament!G27</f>
        <v>41806.666666666664</v>
      </c>
      <c r="G26" s="190" t="str">
        <f>Tournament!H27</f>
        <v>Iran</v>
      </c>
      <c r="H26" s="180"/>
      <c r="I26" s="9"/>
      <c r="J26" s="191" t="s">
        <v>3088</v>
      </c>
      <c r="K26" s="9"/>
      <c r="L26" s="180"/>
      <c r="M26" s="180" t="str">
        <f>Tournament!N27</f>
        <v>Nigeria</v>
      </c>
      <c r="N26" s="183"/>
      <c r="P26" s="192" t="str">
        <f t="shared" si="0"/>
        <v>Iran</v>
      </c>
      <c r="Q26" s="193"/>
      <c r="R26" s="194" t="str">
        <f>IF(Tournament!J27&lt;&gt;"",Tournament!J27,"")</f>
        <v/>
      </c>
      <c r="S26" s="194" t="s">
        <v>3088</v>
      </c>
      <c r="T26" s="194" t="str">
        <f>IF(Tournament!L27&lt;&gt;"",Tournament!L27,"")</f>
        <v/>
      </c>
      <c r="U26" s="193"/>
      <c r="V26" s="193" t="str">
        <f t="shared" si="1"/>
        <v>Nigeria</v>
      </c>
      <c r="W26" s="194"/>
      <c r="X26" s="194"/>
      <c r="Y26" s="194"/>
      <c r="Z26" s="194"/>
      <c r="AA26" s="194"/>
      <c r="AB26" s="194"/>
      <c r="AC26" s="194"/>
      <c r="AD26" s="195" t="str">
        <f>IF(AND(I26&lt;&gt;"",K26&lt;&gt;"",R26&lt;&gt;"",T26&lt;&gt;""),IF(AND(I26=R26,K26=T26),Setup!$D$10,IF((I26-K26)=(R26-T26),Setup!$D$11,IF(AND((I26&gt;K26),(R26&gt;T26)),Setup!$D$12,IF(AND((K26&gt;I26),(T26&gt;R26)),Setup!$D$12,0)))),"")</f>
        <v/>
      </c>
      <c r="AE26" s="183"/>
      <c r="CP26" s="168"/>
      <c r="CQ26" s="186"/>
      <c r="CR26" s="187"/>
      <c r="CS26" s="168"/>
    </row>
    <row r="27" spans="2:97" s="166" customFormat="1" ht="15" customHeight="1">
      <c r="B27" s="182"/>
      <c r="C27" s="181">
        <f>Tournament!D28</f>
        <v>13</v>
      </c>
      <c r="D27" s="181" t="str">
        <f>Tournament!E28</f>
        <v>G</v>
      </c>
      <c r="E27" s="188">
        <f>Tournament!F28</f>
        <v>41806.541666666664</v>
      </c>
      <c r="F27" s="189">
        <f>Tournament!G28</f>
        <v>41806.541666666664</v>
      </c>
      <c r="G27" s="190" t="str">
        <f>Tournament!H28</f>
        <v>Germany</v>
      </c>
      <c r="H27" s="180"/>
      <c r="I27" s="9"/>
      <c r="J27" s="191" t="s">
        <v>3088</v>
      </c>
      <c r="K27" s="9"/>
      <c r="L27" s="180"/>
      <c r="M27" s="180" t="str">
        <f>Tournament!N28</f>
        <v>Portugal</v>
      </c>
      <c r="N27" s="183"/>
      <c r="P27" s="192" t="str">
        <f t="shared" si="0"/>
        <v>Germany</v>
      </c>
      <c r="Q27" s="193"/>
      <c r="R27" s="194" t="str">
        <f>IF(Tournament!J28&lt;&gt;"",Tournament!J28,"")</f>
        <v/>
      </c>
      <c r="S27" s="194" t="s">
        <v>3088</v>
      </c>
      <c r="T27" s="194" t="str">
        <f>IF(Tournament!L28&lt;&gt;"",Tournament!L28,"")</f>
        <v/>
      </c>
      <c r="U27" s="193"/>
      <c r="V27" s="193" t="str">
        <f t="shared" si="1"/>
        <v>Portugal</v>
      </c>
      <c r="W27" s="194"/>
      <c r="X27" s="194"/>
      <c r="Y27" s="194"/>
      <c r="Z27" s="194"/>
      <c r="AA27" s="194"/>
      <c r="AB27" s="194"/>
      <c r="AC27" s="194"/>
      <c r="AD27" s="195" t="str">
        <f>IF(AND(I27&lt;&gt;"",K27&lt;&gt;"",R27&lt;&gt;"",T27&lt;&gt;""),IF(AND(I27=R27,K27=T27),Setup!$D$10,IF((I27-K27)=(R27-T27),Setup!$D$11,IF(AND((I27&gt;K27),(R27&gt;T27)),Setup!$D$12,IF(AND((K27&gt;I27),(T27&gt;R27)),Setup!$D$12,0)))),"")</f>
        <v/>
      </c>
      <c r="AE27" s="183"/>
      <c r="CP27" s="168"/>
      <c r="CQ27" s="186"/>
      <c r="CR27" s="187"/>
      <c r="CS27" s="168"/>
    </row>
    <row r="28" spans="2:97" s="166" customFormat="1" ht="15" customHeight="1">
      <c r="B28" s="182"/>
      <c r="C28" s="181">
        <f>Tournament!D29</f>
        <v>14</v>
      </c>
      <c r="D28" s="181" t="str">
        <f>Tournament!E29</f>
        <v>G</v>
      </c>
      <c r="E28" s="188">
        <f>Tournament!F29</f>
        <v>41806.791666666664</v>
      </c>
      <c r="F28" s="189">
        <f>Tournament!G29</f>
        <v>41806.791666666664</v>
      </c>
      <c r="G28" s="190" t="str">
        <f>Tournament!H29</f>
        <v>Ghana</v>
      </c>
      <c r="H28" s="180"/>
      <c r="I28" s="9"/>
      <c r="J28" s="191" t="s">
        <v>3088</v>
      </c>
      <c r="K28" s="9"/>
      <c r="L28" s="180"/>
      <c r="M28" s="180" t="str">
        <f>Tournament!N29</f>
        <v>USA</v>
      </c>
      <c r="N28" s="183"/>
      <c r="P28" s="192" t="str">
        <f t="shared" si="0"/>
        <v>Ghana</v>
      </c>
      <c r="Q28" s="193"/>
      <c r="R28" s="194" t="str">
        <f>IF(Tournament!J29&lt;&gt;"",Tournament!J29,"")</f>
        <v/>
      </c>
      <c r="S28" s="194" t="s">
        <v>3088</v>
      </c>
      <c r="T28" s="194" t="str">
        <f>IF(Tournament!L29&lt;&gt;"",Tournament!L29,"")</f>
        <v/>
      </c>
      <c r="U28" s="193"/>
      <c r="V28" s="193" t="str">
        <f t="shared" si="1"/>
        <v>USA</v>
      </c>
      <c r="W28" s="194"/>
      <c r="X28" s="194"/>
      <c r="Y28" s="194"/>
      <c r="Z28" s="194"/>
      <c r="AA28" s="194"/>
      <c r="AB28" s="194"/>
      <c r="AC28" s="194"/>
      <c r="AD28" s="195" t="str">
        <f>IF(AND(I28&lt;&gt;"",K28&lt;&gt;"",R28&lt;&gt;"",T28&lt;&gt;""),IF(AND(I28=R28,K28=T28),Setup!$D$10,IF((I28-K28)=(R28-T28),Setup!$D$11,IF(AND((I28&gt;K28),(R28&gt;T28)),Setup!$D$12,IF(AND((K28&gt;I28),(T28&gt;R28)),Setup!$D$12,0)))),"")</f>
        <v/>
      </c>
      <c r="AE28" s="183"/>
      <c r="CP28" s="168"/>
      <c r="CQ28" s="186"/>
      <c r="CR28" s="187"/>
      <c r="CS28" s="168"/>
    </row>
    <row r="29" spans="2:97" s="166" customFormat="1" ht="15" customHeight="1">
      <c r="B29" s="182"/>
      <c r="C29" s="181">
        <f>Tournament!D30</f>
        <v>15</v>
      </c>
      <c r="D29" s="181" t="str">
        <f>Tournament!E30</f>
        <v>H</v>
      </c>
      <c r="E29" s="188">
        <f>Tournament!F30</f>
        <v>41807.541666666664</v>
      </c>
      <c r="F29" s="189">
        <f>Tournament!G30</f>
        <v>41807.541666666664</v>
      </c>
      <c r="G29" s="190" t="str">
        <f>Tournament!H30</f>
        <v>Belgium</v>
      </c>
      <c r="H29" s="180"/>
      <c r="I29" s="9"/>
      <c r="J29" s="191" t="s">
        <v>3088</v>
      </c>
      <c r="K29" s="9"/>
      <c r="L29" s="180"/>
      <c r="M29" s="180" t="str">
        <f>Tournament!N30</f>
        <v>Algeria</v>
      </c>
      <c r="N29" s="183"/>
      <c r="P29" s="192" t="str">
        <f t="shared" si="0"/>
        <v>Belgium</v>
      </c>
      <c r="Q29" s="193"/>
      <c r="R29" s="194" t="str">
        <f>IF(Tournament!J30&lt;&gt;"",Tournament!J30,"")</f>
        <v/>
      </c>
      <c r="S29" s="194" t="s">
        <v>3088</v>
      </c>
      <c r="T29" s="194" t="str">
        <f>IF(Tournament!L30&lt;&gt;"",Tournament!L30,"")</f>
        <v/>
      </c>
      <c r="U29" s="193"/>
      <c r="V29" s="193" t="str">
        <f t="shared" si="1"/>
        <v>Algeria</v>
      </c>
      <c r="W29" s="194"/>
      <c r="X29" s="194"/>
      <c r="Y29" s="194"/>
      <c r="Z29" s="194"/>
      <c r="AA29" s="194"/>
      <c r="AB29" s="194"/>
      <c r="AC29" s="194"/>
      <c r="AD29" s="195" t="str">
        <f>IF(AND(I29&lt;&gt;"",K29&lt;&gt;"",R29&lt;&gt;"",T29&lt;&gt;""),IF(AND(I29=R29,K29=T29),Setup!$D$10,IF((I29-K29)=(R29-T29),Setup!$D$11,IF(AND((I29&gt;K29),(R29&gt;T29)),Setup!$D$12,IF(AND((K29&gt;I29),(T29&gt;R29)),Setup!$D$12,0)))),"")</f>
        <v/>
      </c>
      <c r="AE29" s="183"/>
      <c r="CP29" s="168"/>
      <c r="CQ29" s="186"/>
      <c r="CR29" s="187"/>
      <c r="CS29" s="168"/>
    </row>
    <row r="30" spans="2:97" s="166" customFormat="1" ht="15" customHeight="1">
      <c r="B30" s="182"/>
      <c r="C30" s="181">
        <f>Tournament!D31</f>
        <v>16</v>
      </c>
      <c r="D30" s="181" t="str">
        <f>Tournament!E31</f>
        <v>H</v>
      </c>
      <c r="E30" s="188">
        <f>Tournament!F31</f>
        <v>41807.791666666664</v>
      </c>
      <c r="F30" s="189">
        <f>Tournament!G31</f>
        <v>41807.791666666664</v>
      </c>
      <c r="G30" s="190" t="str">
        <f>Tournament!H31</f>
        <v>Russia</v>
      </c>
      <c r="H30" s="180"/>
      <c r="I30" s="9"/>
      <c r="J30" s="191" t="s">
        <v>3088</v>
      </c>
      <c r="K30" s="9"/>
      <c r="L30" s="180"/>
      <c r="M30" s="180" t="str">
        <f>Tournament!N31</f>
        <v>South Korea</v>
      </c>
      <c r="N30" s="183"/>
      <c r="P30" s="192" t="str">
        <f t="shared" si="0"/>
        <v>Russia</v>
      </c>
      <c r="Q30" s="193"/>
      <c r="R30" s="194" t="str">
        <f>IF(Tournament!J31&lt;&gt;"",Tournament!J31,"")</f>
        <v/>
      </c>
      <c r="S30" s="194" t="s">
        <v>3088</v>
      </c>
      <c r="T30" s="194" t="str">
        <f>IF(Tournament!L31&lt;&gt;"",Tournament!L31,"")</f>
        <v/>
      </c>
      <c r="U30" s="193"/>
      <c r="V30" s="193" t="str">
        <f t="shared" si="1"/>
        <v>South Korea</v>
      </c>
      <c r="W30" s="194"/>
      <c r="X30" s="194"/>
      <c r="Y30" s="194"/>
      <c r="Z30" s="194"/>
      <c r="AA30" s="194"/>
      <c r="AB30" s="194"/>
      <c r="AC30" s="194"/>
      <c r="AD30" s="195" t="str">
        <f>IF(AND(I30&lt;&gt;"",K30&lt;&gt;"",R30&lt;&gt;"",T30&lt;&gt;""),IF(AND(I30=R30,K30=T30),Setup!$D$10,IF((I30-K30)=(R30-T30),Setup!$D$11,IF(AND((I30&gt;K30),(R30&gt;T30)),Setup!$D$12,IF(AND((K30&gt;I30),(T30&gt;R30)),Setup!$D$12,0)))),"")</f>
        <v/>
      </c>
      <c r="AE30" s="183"/>
      <c r="CP30" s="168"/>
      <c r="CQ30" s="186"/>
      <c r="CR30" s="187"/>
      <c r="CS30" s="168"/>
    </row>
    <row r="31" spans="2:97" s="166" customFormat="1" ht="15" customHeight="1">
      <c r="B31" s="182"/>
      <c r="C31" s="181">
        <f>Tournament!D32</f>
        <v>17</v>
      </c>
      <c r="D31" s="181" t="str">
        <f>Tournament!E32</f>
        <v>A</v>
      </c>
      <c r="E31" s="188">
        <f>Tournament!F32</f>
        <v>41807.666666666664</v>
      </c>
      <c r="F31" s="189">
        <f>Tournament!G32</f>
        <v>41807.666666666664</v>
      </c>
      <c r="G31" s="190" t="str">
        <f>Tournament!H32</f>
        <v>Brazil</v>
      </c>
      <c r="H31" s="180"/>
      <c r="I31" s="9"/>
      <c r="J31" s="191" t="s">
        <v>3088</v>
      </c>
      <c r="K31" s="9"/>
      <c r="L31" s="180"/>
      <c r="M31" s="180" t="str">
        <f>Tournament!N32</f>
        <v>Mexico</v>
      </c>
      <c r="N31" s="183"/>
      <c r="P31" s="192" t="str">
        <f t="shared" si="0"/>
        <v>Brazil</v>
      </c>
      <c r="Q31" s="193"/>
      <c r="R31" s="194" t="str">
        <f>IF(Tournament!J32&lt;&gt;"",Tournament!J32,"")</f>
        <v/>
      </c>
      <c r="S31" s="194" t="s">
        <v>3088</v>
      </c>
      <c r="T31" s="194" t="str">
        <f>IF(Tournament!L32&lt;&gt;"",Tournament!L32,"")</f>
        <v/>
      </c>
      <c r="U31" s="193"/>
      <c r="V31" s="193" t="str">
        <f t="shared" si="1"/>
        <v>Mexico</v>
      </c>
      <c r="W31" s="194"/>
      <c r="X31" s="194"/>
      <c r="Y31" s="194"/>
      <c r="Z31" s="194"/>
      <c r="AA31" s="194"/>
      <c r="AB31" s="194"/>
      <c r="AC31" s="194"/>
      <c r="AD31" s="195" t="str">
        <f>IF(AND(I31&lt;&gt;"",K31&lt;&gt;"",R31&lt;&gt;"",T31&lt;&gt;""),IF(AND(I31=R31,K31=T31),Setup!$D$10,IF((I31-K31)=(R31-T31),Setup!$D$11,IF(AND((I31&gt;K31),(R31&gt;T31)),Setup!$D$12,IF(AND((K31&gt;I31),(T31&gt;R31)),Setup!$D$12,0)))),"")</f>
        <v/>
      </c>
      <c r="AE31" s="183"/>
      <c r="CP31" s="168"/>
      <c r="CQ31" s="186"/>
      <c r="CR31" s="187"/>
      <c r="CS31" s="168"/>
    </row>
    <row r="32" spans="2:97" s="166" customFormat="1" ht="15" customHeight="1">
      <c r="B32" s="182"/>
      <c r="C32" s="181">
        <f>Tournament!D33</f>
        <v>18</v>
      </c>
      <c r="D32" s="181" t="str">
        <f>Tournament!E33</f>
        <v>A</v>
      </c>
      <c r="E32" s="188">
        <f>Tournament!F33</f>
        <v>41808.791666666664</v>
      </c>
      <c r="F32" s="189">
        <f>Tournament!G33</f>
        <v>41808.791666666664</v>
      </c>
      <c r="G32" s="190" t="str">
        <f>Tournament!H33</f>
        <v>Cameroon</v>
      </c>
      <c r="H32" s="180"/>
      <c r="I32" s="9"/>
      <c r="J32" s="191" t="s">
        <v>3088</v>
      </c>
      <c r="K32" s="9"/>
      <c r="L32" s="180"/>
      <c r="M32" s="180" t="str">
        <f>Tournament!N33</f>
        <v>Croatia</v>
      </c>
      <c r="N32" s="183"/>
      <c r="P32" s="192" t="str">
        <f t="shared" si="0"/>
        <v>Cameroon</v>
      </c>
      <c r="Q32" s="193"/>
      <c r="R32" s="194" t="str">
        <f>IF(Tournament!J33&lt;&gt;"",Tournament!J33,"")</f>
        <v/>
      </c>
      <c r="S32" s="194" t="s">
        <v>3088</v>
      </c>
      <c r="T32" s="194" t="str">
        <f>IF(Tournament!L33&lt;&gt;"",Tournament!L33,"")</f>
        <v/>
      </c>
      <c r="U32" s="193"/>
      <c r="V32" s="193" t="str">
        <f t="shared" si="1"/>
        <v>Croatia</v>
      </c>
      <c r="W32" s="194"/>
      <c r="X32" s="194"/>
      <c r="Y32" s="194"/>
      <c r="Z32" s="194"/>
      <c r="AA32" s="194"/>
      <c r="AB32" s="194"/>
      <c r="AC32" s="194"/>
      <c r="AD32" s="195" t="str">
        <f>IF(AND(I32&lt;&gt;"",K32&lt;&gt;"",R32&lt;&gt;"",T32&lt;&gt;""),IF(AND(I32=R32,K32=T32),Setup!$D$10,IF((I32-K32)=(R32-T32),Setup!$D$11,IF(AND((I32&gt;K32),(R32&gt;T32)),Setup!$D$12,IF(AND((K32&gt;I32),(T32&gt;R32)),Setup!$D$12,0)))),"")</f>
        <v/>
      </c>
      <c r="AE32" s="183"/>
      <c r="CP32" s="168"/>
      <c r="CQ32" s="186"/>
      <c r="CR32" s="187"/>
      <c r="CS32" s="168"/>
    </row>
    <row r="33" spans="2:97" s="166" customFormat="1" ht="15" customHeight="1">
      <c r="B33" s="182"/>
      <c r="C33" s="181">
        <f>Tournament!D34</f>
        <v>19</v>
      </c>
      <c r="D33" s="181" t="str">
        <f>Tournament!E34</f>
        <v>B</v>
      </c>
      <c r="E33" s="188">
        <f>Tournament!F34</f>
        <v>41808.666666666664</v>
      </c>
      <c r="F33" s="189">
        <f>Tournament!G34</f>
        <v>41808.666666666664</v>
      </c>
      <c r="G33" s="190" t="str">
        <f>Tournament!H34</f>
        <v>Spain</v>
      </c>
      <c r="H33" s="180"/>
      <c r="I33" s="9"/>
      <c r="J33" s="191" t="s">
        <v>3088</v>
      </c>
      <c r="K33" s="9"/>
      <c r="L33" s="180"/>
      <c r="M33" s="180" t="str">
        <f>Tournament!N34</f>
        <v>Chile</v>
      </c>
      <c r="N33" s="183"/>
      <c r="P33" s="192" t="str">
        <f t="shared" si="0"/>
        <v>Spain</v>
      </c>
      <c r="Q33" s="193"/>
      <c r="R33" s="194" t="str">
        <f>IF(Tournament!J34&lt;&gt;"",Tournament!J34,"")</f>
        <v/>
      </c>
      <c r="S33" s="194" t="s">
        <v>3088</v>
      </c>
      <c r="T33" s="194" t="str">
        <f>IF(Tournament!L34&lt;&gt;"",Tournament!L34,"")</f>
        <v/>
      </c>
      <c r="U33" s="193"/>
      <c r="V33" s="193" t="str">
        <f t="shared" si="1"/>
        <v>Chile</v>
      </c>
      <c r="W33" s="194"/>
      <c r="X33" s="194"/>
      <c r="Y33" s="194"/>
      <c r="Z33" s="194"/>
      <c r="AA33" s="194"/>
      <c r="AB33" s="194"/>
      <c r="AC33" s="194"/>
      <c r="AD33" s="195" t="str">
        <f>IF(AND(I33&lt;&gt;"",K33&lt;&gt;"",R33&lt;&gt;"",T33&lt;&gt;""),IF(AND(I33=R33,K33=T33),Setup!$D$10,IF((I33-K33)=(R33-T33),Setup!$D$11,IF(AND((I33&gt;K33),(R33&gt;T33)),Setup!$D$12,IF(AND((K33&gt;I33),(T33&gt;R33)),Setup!$D$12,0)))),"")</f>
        <v/>
      </c>
      <c r="AE33" s="183"/>
      <c r="CP33" s="168"/>
      <c r="CQ33" s="186"/>
      <c r="CR33" s="187"/>
      <c r="CS33" s="168"/>
    </row>
    <row r="34" spans="2:97" s="166" customFormat="1" ht="15" customHeight="1">
      <c r="B34" s="182"/>
      <c r="C34" s="181">
        <f>Tournament!D35</f>
        <v>20</v>
      </c>
      <c r="D34" s="181" t="str">
        <f>Tournament!E35</f>
        <v>B</v>
      </c>
      <c r="E34" s="188">
        <f>Tournament!F35</f>
        <v>41808.541666666664</v>
      </c>
      <c r="F34" s="189">
        <f>Tournament!G35</f>
        <v>41808.541666666664</v>
      </c>
      <c r="G34" s="190" t="str">
        <f>Tournament!H35</f>
        <v>Australia</v>
      </c>
      <c r="H34" s="180"/>
      <c r="I34" s="9"/>
      <c r="J34" s="191" t="s">
        <v>3088</v>
      </c>
      <c r="K34" s="9"/>
      <c r="L34" s="180"/>
      <c r="M34" s="180" t="str">
        <f>Tournament!N35</f>
        <v>Netherlands</v>
      </c>
      <c r="N34" s="183"/>
      <c r="P34" s="192" t="str">
        <f t="shared" si="0"/>
        <v>Australia</v>
      </c>
      <c r="Q34" s="193"/>
      <c r="R34" s="194" t="str">
        <f>IF(Tournament!J35&lt;&gt;"",Tournament!J35,"")</f>
        <v/>
      </c>
      <c r="S34" s="194" t="s">
        <v>3088</v>
      </c>
      <c r="T34" s="194" t="str">
        <f>IF(Tournament!L35&lt;&gt;"",Tournament!L35,"")</f>
        <v/>
      </c>
      <c r="U34" s="193"/>
      <c r="V34" s="193" t="str">
        <f t="shared" si="1"/>
        <v>Netherlands</v>
      </c>
      <c r="W34" s="194"/>
      <c r="X34" s="194"/>
      <c r="Y34" s="194"/>
      <c r="Z34" s="194"/>
      <c r="AA34" s="194"/>
      <c r="AB34" s="194"/>
      <c r="AC34" s="194"/>
      <c r="AD34" s="195" t="str">
        <f>IF(AND(I34&lt;&gt;"",K34&lt;&gt;"",R34&lt;&gt;"",T34&lt;&gt;""),IF(AND(I34=R34,K34=T34),Setup!$D$10,IF((I34-K34)=(R34-T34),Setup!$D$11,IF(AND((I34&gt;K34),(R34&gt;T34)),Setup!$D$12,IF(AND((K34&gt;I34),(T34&gt;R34)),Setup!$D$12,0)))),"")</f>
        <v/>
      </c>
      <c r="AE34" s="183"/>
      <c r="CP34" s="168"/>
      <c r="CQ34" s="186"/>
      <c r="CR34" s="187"/>
      <c r="CS34" s="168"/>
    </row>
    <row r="35" spans="2:97" s="166" customFormat="1" ht="15" customHeight="1">
      <c r="B35" s="182"/>
      <c r="C35" s="181">
        <f>Tournament!D36</f>
        <v>21</v>
      </c>
      <c r="D35" s="181" t="str">
        <f>Tournament!E36</f>
        <v>C</v>
      </c>
      <c r="E35" s="188">
        <f>Tournament!F36</f>
        <v>41809.541666666664</v>
      </c>
      <c r="F35" s="189">
        <f>Tournament!G36</f>
        <v>41809.541666666664</v>
      </c>
      <c r="G35" s="190" t="str">
        <f>Tournament!H36</f>
        <v>Colombia</v>
      </c>
      <c r="H35" s="180"/>
      <c r="I35" s="9"/>
      <c r="J35" s="191" t="s">
        <v>3088</v>
      </c>
      <c r="K35" s="9"/>
      <c r="L35" s="180"/>
      <c r="M35" s="180" t="str">
        <f>Tournament!N36</f>
        <v>Ivory Coast</v>
      </c>
      <c r="N35" s="183"/>
      <c r="P35" s="192" t="str">
        <f t="shared" si="0"/>
        <v>Colombia</v>
      </c>
      <c r="Q35" s="193"/>
      <c r="R35" s="194" t="str">
        <f>IF(Tournament!J36&lt;&gt;"",Tournament!J36,"")</f>
        <v/>
      </c>
      <c r="S35" s="194" t="s">
        <v>3088</v>
      </c>
      <c r="T35" s="194" t="str">
        <f>IF(Tournament!L36&lt;&gt;"",Tournament!L36,"")</f>
        <v/>
      </c>
      <c r="U35" s="193"/>
      <c r="V35" s="193" t="str">
        <f t="shared" si="1"/>
        <v>Ivory Coast</v>
      </c>
      <c r="W35" s="194"/>
      <c r="X35" s="194"/>
      <c r="Y35" s="194"/>
      <c r="Z35" s="194"/>
      <c r="AA35" s="194"/>
      <c r="AB35" s="194"/>
      <c r="AC35" s="194"/>
      <c r="AD35" s="195" t="str">
        <f>IF(AND(I35&lt;&gt;"",K35&lt;&gt;"",R35&lt;&gt;"",T35&lt;&gt;""),IF(AND(I35=R35,K35=T35),Setup!$D$10,IF((I35-K35)=(R35-T35),Setup!$D$11,IF(AND((I35&gt;K35),(R35&gt;T35)),Setup!$D$12,IF(AND((K35&gt;I35),(T35&gt;R35)),Setup!$D$12,0)))),"")</f>
        <v/>
      </c>
      <c r="AE35" s="183"/>
      <c r="CP35" s="168"/>
      <c r="CQ35" s="186"/>
      <c r="CR35" s="187"/>
      <c r="CS35" s="168"/>
    </row>
    <row r="36" spans="2:97" s="166" customFormat="1" ht="15" customHeight="1">
      <c r="B36" s="182"/>
      <c r="C36" s="181">
        <f>Tournament!D37</f>
        <v>22</v>
      </c>
      <c r="D36" s="181" t="str">
        <f>Tournament!E37</f>
        <v>C</v>
      </c>
      <c r="E36" s="188">
        <f>Tournament!F37</f>
        <v>41809.791666666664</v>
      </c>
      <c r="F36" s="189">
        <f>Tournament!G37</f>
        <v>41809.791666666664</v>
      </c>
      <c r="G36" s="190" t="str">
        <f>Tournament!H37</f>
        <v>Japan</v>
      </c>
      <c r="H36" s="180"/>
      <c r="I36" s="9"/>
      <c r="J36" s="191" t="s">
        <v>3088</v>
      </c>
      <c r="K36" s="9"/>
      <c r="L36" s="180"/>
      <c r="M36" s="180" t="str">
        <f>Tournament!N37</f>
        <v>Greece</v>
      </c>
      <c r="N36" s="183"/>
      <c r="P36" s="192" t="str">
        <f t="shared" si="0"/>
        <v>Japan</v>
      </c>
      <c r="Q36" s="193"/>
      <c r="R36" s="194" t="str">
        <f>IF(Tournament!J37&lt;&gt;"",Tournament!J37,"")</f>
        <v/>
      </c>
      <c r="S36" s="194" t="s">
        <v>3088</v>
      </c>
      <c r="T36" s="194" t="str">
        <f>IF(Tournament!L37&lt;&gt;"",Tournament!L37,"")</f>
        <v/>
      </c>
      <c r="U36" s="193"/>
      <c r="V36" s="193" t="str">
        <f t="shared" si="1"/>
        <v>Greece</v>
      </c>
      <c r="W36" s="194"/>
      <c r="X36" s="194"/>
      <c r="Y36" s="194"/>
      <c r="Z36" s="194"/>
      <c r="AA36" s="194"/>
      <c r="AB36" s="194"/>
      <c r="AC36" s="194"/>
      <c r="AD36" s="195" t="str">
        <f>IF(AND(I36&lt;&gt;"",K36&lt;&gt;"",R36&lt;&gt;"",T36&lt;&gt;""),IF(AND(I36=R36,K36=T36),Setup!$D$10,IF((I36-K36)=(R36-T36),Setup!$D$11,IF(AND((I36&gt;K36),(R36&gt;T36)),Setup!$D$12,IF(AND((K36&gt;I36),(T36&gt;R36)),Setup!$D$12,0)))),"")</f>
        <v/>
      </c>
      <c r="AE36" s="183"/>
      <c r="CP36" s="168"/>
      <c r="CQ36" s="186"/>
      <c r="CR36" s="187"/>
      <c r="CS36" s="168"/>
    </row>
    <row r="37" spans="2:97" s="166" customFormat="1" ht="15" customHeight="1">
      <c r="B37" s="182"/>
      <c r="C37" s="181">
        <f>Tournament!D38</f>
        <v>23</v>
      </c>
      <c r="D37" s="181" t="str">
        <f>Tournament!E38</f>
        <v>D</v>
      </c>
      <c r="E37" s="188">
        <f>Tournament!F38</f>
        <v>41809.666666666664</v>
      </c>
      <c r="F37" s="189">
        <f>Tournament!G38</f>
        <v>41809.666666666664</v>
      </c>
      <c r="G37" s="190" t="str">
        <f>Tournament!H38</f>
        <v>Uruguay</v>
      </c>
      <c r="H37" s="180"/>
      <c r="I37" s="9"/>
      <c r="J37" s="191" t="s">
        <v>3088</v>
      </c>
      <c r="K37" s="9"/>
      <c r="L37" s="180"/>
      <c r="M37" s="180" t="str">
        <f>Tournament!N38</f>
        <v>England</v>
      </c>
      <c r="N37" s="183"/>
      <c r="P37" s="192" t="str">
        <f t="shared" si="0"/>
        <v>Uruguay</v>
      </c>
      <c r="Q37" s="193"/>
      <c r="R37" s="194" t="str">
        <f>IF(Tournament!J38&lt;&gt;"",Tournament!J38,"")</f>
        <v/>
      </c>
      <c r="S37" s="194" t="s">
        <v>3088</v>
      </c>
      <c r="T37" s="194" t="str">
        <f>IF(Tournament!L38&lt;&gt;"",Tournament!L38,"")</f>
        <v/>
      </c>
      <c r="U37" s="193"/>
      <c r="V37" s="193" t="str">
        <f t="shared" si="1"/>
        <v>England</v>
      </c>
      <c r="W37" s="194"/>
      <c r="X37" s="194"/>
      <c r="Y37" s="194"/>
      <c r="Z37" s="194"/>
      <c r="AA37" s="194"/>
      <c r="AB37" s="194"/>
      <c r="AC37" s="194"/>
      <c r="AD37" s="195" t="str">
        <f>IF(AND(I37&lt;&gt;"",K37&lt;&gt;"",R37&lt;&gt;"",T37&lt;&gt;""),IF(AND(I37=R37,K37=T37),Setup!$D$10,IF((I37-K37)=(R37-T37),Setup!$D$11,IF(AND((I37&gt;K37),(R37&gt;T37)),Setup!$D$12,IF(AND((K37&gt;I37),(T37&gt;R37)),Setup!$D$12,0)))),"")</f>
        <v/>
      </c>
      <c r="AE37" s="183"/>
      <c r="CP37" s="168"/>
      <c r="CQ37" s="186"/>
      <c r="CR37" s="187"/>
      <c r="CS37" s="168"/>
    </row>
    <row r="38" spans="2:97" s="166" customFormat="1" ht="15" customHeight="1">
      <c r="B38" s="182"/>
      <c r="C38" s="181">
        <f>Tournament!D39</f>
        <v>24</v>
      </c>
      <c r="D38" s="181" t="str">
        <f>Tournament!E39</f>
        <v>D</v>
      </c>
      <c r="E38" s="188">
        <f>Tournament!F39</f>
        <v>41810.541666666664</v>
      </c>
      <c r="F38" s="189">
        <f>Tournament!G39</f>
        <v>41810.541666666664</v>
      </c>
      <c r="G38" s="190" t="str">
        <f>Tournament!H39</f>
        <v>Italy</v>
      </c>
      <c r="H38" s="180"/>
      <c r="I38" s="9"/>
      <c r="J38" s="191" t="s">
        <v>3088</v>
      </c>
      <c r="K38" s="9"/>
      <c r="L38" s="180"/>
      <c r="M38" s="180" t="str">
        <f>Tournament!N39</f>
        <v>Costa Rica</v>
      </c>
      <c r="N38" s="183"/>
      <c r="P38" s="192" t="str">
        <f t="shared" si="0"/>
        <v>Italy</v>
      </c>
      <c r="Q38" s="193"/>
      <c r="R38" s="194" t="str">
        <f>IF(Tournament!J39&lt;&gt;"",Tournament!J39,"")</f>
        <v/>
      </c>
      <c r="S38" s="194" t="s">
        <v>3088</v>
      </c>
      <c r="T38" s="194" t="str">
        <f>IF(Tournament!L39&lt;&gt;"",Tournament!L39,"")</f>
        <v/>
      </c>
      <c r="U38" s="193"/>
      <c r="V38" s="193" t="str">
        <f t="shared" si="1"/>
        <v>Costa Rica</v>
      </c>
      <c r="W38" s="194"/>
      <c r="X38" s="194"/>
      <c r="Y38" s="194"/>
      <c r="Z38" s="194"/>
      <c r="AA38" s="194"/>
      <c r="AB38" s="194"/>
      <c r="AC38" s="194"/>
      <c r="AD38" s="195" t="str">
        <f>IF(AND(I38&lt;&gt;"",K38&lt;&gt;"",R38&lt;&gt;"",T38&lt;&gt;""),IF(AND(I38=R38,K38=T38),Setup!$D$10,IF((I38-K38)=(R38-T38),Setup!$D$11,IF(AND((I38&gt;K38),(R38&gt;T38)),Setup!$D$12,IF(AND((K38&gt;I38),(T38&gt;R38)),Setup!$D$12,0)))),"")</f>
        <v/>
      </c>
      <c r="AE38" s="183"/>
      <c r="CP38" s="168"/>
      <c r="CQ38" s="186"/>
      <c r="CR38" s="187"/>
      <c r="CS38" s="168"/>
    </row>
    <row r="39" spans="2:97" s="166" customFormat="1" ht="15" customHeight="1">
      <c r="B39" s="182"/>
      <c r="C39" s="181">
        <f>Tournament!D40</f>
        <v>25</v>
      </c>
      <c r="D39" s="181" t="str">
        <f>Tournament!E40</f>
        <v>E</v>
      </c>
      <c r="E39" s="188">
        <f>Tournament!F40</f>
        <v>41810.666666666664</v>
      </c>
      <c r="F39" s="189">
        <f>Tournament!G40</f>
        <v>41810.666666666664</v>
      </c>
      <c r="G39" s="190" t="str">
        <f>Tournament!H40</f>
        <v>Switzerland</v>
      </c>
      <c r="H39" s="180"/>
      <c r="I39" s="9"/>
      <c r="J39" s="191" t="s">
        <v>3088</v>
      </c>
      <c r="K39" s="9"/>
      <c r="L39" s="180"/>
      <c r="M39" s="180" t="str">
        <f>Tournament!N40</f>
        <v>France</v>
      </c>
      <c r="N39" s="183"/>
      <c r="P39" s="192" t="str">
        <f t="shared" si="0"/>
        <v>Switzerland</v>
      </c>
      <c r="Q39" s="193"/>
      <c r="R39" s="194" t="str">
        <f>IF(Tournament!J40&lt;&gt;"",Tournament!J40,"")</f>
        <v/>
      </c>
      <c r="S39" s="194" t="s">
        <v>3088</v>
      </c>
      <c r="T39" s="194" t="str">
        <f>IF(Tournament!L40&lt;&gt;"",Tournament!L40,"")</f>
        <v/>
      </c>
      <c r="U39" s="193"/>
      <c r="V39" s="193" t="str">
        <f t="shared" si="1"/>
        <v>France</v>
      </c>
      <c r="W39" s="194"/>
      <c r="X39" s="194"/>
      <c r="Y39" s="194"/>
      <c r="Z39" s="194"/>
      <c r="AA39" s="194"/>
      <c r="AB39" s="194"/>
      <c r="AC39" s="194"/>
      <c r="AD39" s="195" t="str">
        <f>IF(AND(I39&lt;&gt;"",K39&lt;&gt;"",R39&lt;&gt;"",T39&lt;&gt;""),IF(AND(I39=R39,K39=T39),Setup!$D$10,IF((I39-K39)=(R39-T39),Setup!$D$11,IF(AND((I39&gt;K39),(R39&gt;T39)),Setup!$D$12,IF(AND((K39&gt;I39),(T39&gt;R39)),Setup!$D$12,0)))),"")</f>
        <v/>
      </c>
      <c r="AE39" s="183"/>
      <c r="CP39" s="168"/>
      <c r="CQ39" s="186"/>
      <c r="CR39" s="187"/>
      <c r="CS39" s="168"/>
    </row>
    <row r="40" spans="2:97" s="166" customFormat="1" ht="15" customHeight="1">
      <c r="B40" s="182"/>
      <c r="C40" s="181">
        <f>Tournament!D41</f>
        <v>26</v>
      </c>
      <c r="D40" s="181" t="str">
        <f>Tournament!E41</f>
        <v>E</v>
      </c>
      <c r="E40" s="188">
        <f>Tournament!F41</f>
        <v>41810.791666666664</v>
      </c>
      <c r="F40" s="189">
        <f>Tournament!G41</f>
        <v>41810.791666666664</v>
      </c>
      <c r="G40" s="190" t="str">
        <f>Tournament!H41</f>
        <v>Honduras</v>
      </c>
      <c r="H40" s="180"/>
      <c r="I40" s="9"/>
      <c r="J40" s="191" t="s">
        <v>3088</v>
      </c>
      <c r="K40" s="9"/>
      <c r="L40" s="180"/>
      <c r="M40" s="180" t="str">
        <f>Tournament!N41</f>
        <v>Ecuador</v>
      </c>
      <c r="N40" s="183"/>
      <c r="P40" s="192" t="str">
        <f t="shared" si="0"/>
        <v>Honduras</v>
      </c>
      <c r="Q40" s="193"/>
      <c r="R40" s="194" t="str">
        <f>IF(Tournament!J41&lt;&gt;"",Tournament!J41,"")</f>
        <v/>
      </c>
      <c r="S40" s="194" t="s">
        <v>3088</v>
      </c>
      <c r="T40" s="194" t="str">
        <f>IF(Tournament!L41&lt;&gt;"",Tournament!L41,"")</f>
        <v/>
      </c>
      <c r="U40" s="193"/>
      <c r="V40" s="193" t="str">
        <f t="shared" si="1"/>
        <v>Ecuador</v>
      </c>
      <c r="W40" s="194"/>
      <c r="X40" s="194"/>
      <c r="Y40" s="194"/>
      <c r="Z40" s="194"/>
      <c r="AA40" s="194"/>
      <c r="AB40" s="194"/>
      <c r="AC40" s="194"/>
      <c r="AD40" s="195" t="str">
        <f>IF(AND(I40&lt;&gt;"",K40&lt;&gt;"",R40&lt;&gt;"",T40&lt;&gt;""),IF(AND(I40=R40,K40=T40),Setup!$D$10,IF((I40-K40)=(R40-T40),Setup!$D$11,IF(AND((I40&gt;K40),(R40&gt;T40)),Setup!$D$12,IF(AND((K40&gt;I40),(T40&gt;R40)),Setup!$D$12,0)))),"")</f>
        <v/>
      </c>
      <c r="AE40" s="183"/>
      <c r="CP40" s="168"/>
      <c r="CQ40" s="196"/>
      <c r="CR40" s="187"/>
      <c r="CS40" s="168"/>
    </row>
    <row r="41" spans="2:97" s="166" customFormat="1" ht="15" customHeight="1">
      <c r="B41" s="182"/>
      <c r="C41" s="181">
        <f>Tournament!D42</f>
        <v>27</v>
      </c>
      <c r="D41" s="181" t="str">
        <f>Tournament!E42</f>
        <v>F</v>
      </c>
      <c r="E41" s="188">
        <f>Tournament!F42</f>
        <v>41811.541666666664</v>
      </c>
      <c r="F41" s="189">
        <f>Tournament!G42</f>
        <v>41811.541666666664</v>
      </c>
      <c r="G41" s="190" t="str">
        <f>Tournament!H42</f>
        <v>Argentina</v>
      </c>
      <c r="H41" s="180"/>
      <c r="I41" s="9"/>
      <c r="J41" s="191" t="s">
        <v>3088</v>
      </c>
      <c r="K41" s="9"/>
      <c r="L41" s="180"/>
      <c r="M41" s="180" t="str">
        <f>Tournament!N42</f>
        <v>Iran</v>
      </c>
      <c r="N41" s="183"/>
      <c r="P41" s="192" t="str">
        <f t="shared" si="0"/>
        <v>Argentina</v>
      </c>
      <c r="Q41" s="193"/>
      <c r="R41" s="194" t="str">
        <f>IF(Tournament!J42&lt;&gt;"",Tournament!J42,"")</f>
        <v/>
      </c>
      <c r="S41" s="194" t="s">
        <v>3088</v>
      </c>
      <c r="T41" s="194" t="str">
        <f>IF(Tournament!L42&lt;&gt;"",Tournament!L42,"")</f>
        <v/>
      </c>
      <c r="U41" s="193"/>
      <c r="V41" s="193" t="str">
        <f t="shared" si="1"/>
        <v>Iran</v>
      </c>
      <c r="W41" s="194"/>
      <c r="X41" s="194"/>
      <c r="Y41" s="194"/>
      <c r="Z41" s="194"/>
      <c r="AA41" s="194"/>
      <c r="AB41" s="194"/>
      <c r="AC41" s="194"/>
      <c r="AD41" s="195" t="str">
        <f>IF(AND(I41&lt;&gt;"",K41&lt;&gt;"",R41&lt;&gt;"",T41&lt;&gt;""),IF(AND(I41=R41,K41=T41),Setup!$D$10,IF((I41-K41)=(R41-T41),Setup!$D$11,IF(AND((I41&gt;K41),(R41&gt;T41)),Setup!$D$12,IF(AND((K41&gt;I41),(T41&gt;R41)),Setup!$D$12,0)))),"")</f>
        <v/>
      </c>
      <c r="AE41" s="183"/>
      <c r="CP41" s="168"/>
      <c r="CQ41" s="196"/>
      <c r="CR41" s="187"/>
      <c r="CS41" s="168"/>
    </row>
    <row r="42" spans="2:97" s="166" customFormat="1" ht="15" customHeight="1">
      <c r="B42" s="182"/>
      <c r="C42" s="181">
        <f>Tournament!D43</f>
        <v>28</v>
      </c>
      <c r="D42" s="181" t="str">
        <f>Tournament!E43</f>
        <v>F</v>
      </c>
      <c r="E42" s="188">
        <f>Tournament!F43</f>
        <v>41811.791666666664</v>
      </c>
      <c r="F42" s="189">
        <f>Tournament!G43</f>
        <v>41811.791666666664</v>
      </c>
      <c r="G42" s="190" t="str">
        <f>Tournament!H43</f>
        <v>Nigeria</v>
      </c>
      <c r="H42" s="180"/>
      <c r="I42" s="9"/>
      <c r="J42" s="191" t="s">
        <v>3088</v>
      </c>
      <c r="K42" s="9"/>
      <c r="L42" s="180"/>
      <c r="M42" s="180" t="str">
        <f>Tournament!N43</f>
        <v>Bosnia-Herzegovina</v>
      </c>
      <c r="N42" s="183"/>
      <c r="P42" s="192" t="str">
        <f t="shared" si="0"/>
        <v>Nigeria</v>
      </c>
      <c r="Q42" s="193"/>
      <c r="R42" s="194" t="str">
        <f>IF(Tournament!J43&lt;&gt;"",Tournament!J43,"")</f>
        <v/>
      </c>
      <c r="S42" s="194" t="s">
        <v>3088</v>
      </c>
      <c r="T42" s="194" t="str">
        <f>IF(Tournament!L43&lt;&gt;"",Tournament!L43,"")</f>
        <v/>
      </c>
      <c r="U42" s="193"/>
      <c r="V42" s="193" t="str">
        <f t="shared" si="1"/>
        <v>Bosnia-Herzegovina</v>
      </c>
      <c r="W42" s="194"/>
      <c r="X42" s="194"/>
      <c r="Y42" s="194"/>
      <c r="Z42" s="194"/>
      <c r="AA42" s="194"/>
      <c r="AB42" s="194"/>
      <c r="AC42" s="194"/>
      <c r="AD42" s="195" t="str">
        <f>IF(AND(I42&lt;&gt;"",K42&lt;&gt;"",R42&lt;&gt;"",T42&lt;&gt;""),IF(AND(I42=R42,K42=T42),Setup!$D$10,IF((I42-K42)=(R42-T42),Setup!$D$11,IF(AND((I42&gt;K42),(R42&gt;T42)),Setup!$D$12,IF(AND((K42&gt;I42),(T42&gt;R42)),Setup!$D$12,0)))),"")</f>
        <v/>
      </c>
      <c r="AE42" s="183"/>
      <c r="CP42" s="168"/>
      <c r="CQ42" s="168"/>
      <c r="CR42" s="187"/>
      <c r="CS42" s="168"/>
    </row>
    <row r="43" spans="2:97" s="166" customFormat="1" ht="15" customHeight="1">
      <c r="B43" s="182"/>
      <c r="C43" s="181">
        <f>Tournament!D44</f>
        <v>29</v>
      </c>
      <c r="D43" s="181" t="str">
        <f>Tournament!E44</f>
        <v>G</v>
      </c>
      <c r="E43" s="188">
        <f>Tournament!F44</f>
        <v>41811.666666666664</v>
      </c>
      <c r="F43" s="189">
        <f>Tournament!G44</f>
        <v>41811.666666666664</v>
      </c>
      <c r="G43" s="190" t="str">
        <f>Tournament!H44</f>
        <v>Germany</v>
      </c>
      <c r="H43" s="180"/>
      <c r="I43" s="9"/>
      <c r="J43" s="191" t="s">
        <v>3088</v>
      </c>
      <c r="K43" s="9"/>
      <c r="L43" s="180"/>
      <c r="M43" s="180" t="str">
        <f>Tournament!N44</f>
        <v>Ghana</v>
      </c>
      <c r="N43" s="183"/>
      <c r="P43" s="192" t="str">
        <f t="shared" si="0"/>
        <v>Germany</v>
      </c>
      <c r="Q43" s="193"/>
      <c r="R43" s="194" t="str">
        <f>IF(Tournament!J44&lt;&gt;"",Tournament!J44,"")</f>
        <v/>
      </c>
      <c r="S43" s="194" t="s">
        <v>3088</v>
      </c>
      <c r="T43" s="194" t="str">
        <f>IF(Tournament!L44&lt;&gt;"",Tournament!L44,"")</f>
        <v/>
      </c>
      <c r="U43" s="193"/>
      <c r="V43" s="193" t="str">
        <f t="shared" si="1"/>
        <v>Ghana</v>
      </c>
      <c r="W43" s="194"/>
      <c r="X43" s="194"/>
      <c r="Y43" s="194"/>
      <c r="Z43" s="194"/>
      <c r="AA43" s="194"/>
      <c r="AB43" s="194"/>
      <c r="AC43" s="194"/>
      <c r="AD43" s="195" t="str">
        <f>IF(AND(I43&lt;&gt;"",K43&lt;&gt;"",R43&lt;&gt;"",T43&lt;&gt;""),IF(AND(I43=R43,K43=T43),Setup!$D$10,IF((I43-K43)=(R43-T43),Setup!$D$11,IF(AND((I43&gt;K43),(R43&gt;T43)),Setup!$D$12,IF(AND((K43&gt;I43),(T43&gt;R43)),Setup!$D$12,0)))),"")</f>
        <v/>
      </c>
      <c r="AE43" s="183"/>
      <c r="CP43" s="168"/>
      <c r="CQ43" s="168"/>
      <c r="CR43" s="187"/>
      <c r="CS43" s="168"/>
    </row>
    <row r="44" spans="2:97" s="166" customFormat="1" ht="15" customHeight="1">
      <c r="B44" s="182"/>
      <c r="C44" s="181">
        <f>Tournament!D45</f>
        <v>30</v>
      </c>
      <c r="D44" s="181" t="str">
        <f>Tournament!E45</f>
        <v>G</v>
      </c>
      <c r="E44" s="188">
        <f>Tournament!F45</f>
        <v>41812.791666666664</v>
      </c>
      <c r="F44" s="189">
        <f>Tournament!G45</f>
        <v>41812.791666666664</v>
      </c>
      <c r="G44" s="190" t="str">
        <f>Tournament!H45</f>
        <v>USA</v>
      </c>
      <c r="H44" s="180"/>
      <c r="I44" s="9"/>
      <c r="J44" s="191" t="s">
        <v>3088</v>
      </c>
      <c r="K44" s="9"/>
      <c r="L44" s="180"/>
      <c r="M44" s="180" t="str">
        <f>Tournament!N45</f>
        <v>Portugal</v>
      </c>
      <c r="N44" s="183"/>
      <c r="P44" s="192" t="str">
        <f t="shared" si="0"/>
        <v>USA</v>
      </c>
      <c r="Q44" s="193"/>
      <c r="R44" s="194" t="str">
        <f>IF(Tournament!J45&lt;&gt;"",Tournament!J45,"")</f>
        <v/>
      </c>
      <c r="S44" s="194" t="s">
        <v>3088</v>
      </c>
      <c r="T44" s="194" t="str">
        <f>IF(Tournament!L45&lt;&gt;"",Tournament!L45,"")</f>
        <v/>
      </c>
      <c r="U44" s="193"/>
      <c r="V44" s="193" t="str">
        <f t="shared" si="1"/>
        <v>Portugal</v>
      </c>
      <c r="W44" s="194"/>
      <c r="X44" s="194"/>
      <c r="Y44" s="194"/>
      <c r="Z44" s="194"/>
      <c r="AA44" s="194"/>
      <c r="AB44" s="194"/>
      <c r="AC44" s="194"/>
      <c r="AD44" s="195" t="str">
        <f>IF(AND(I44&lt;&gt;"",K44&lt;&gt;"",R44&lt;&gt;"",T44&lt;&gt;""),IF(AND(I44=R44,K44=T44),Setup!$D$10,IF((I44-K44)=(R44-T44),Setup!$D$11,IF(AND((I44&gt;K44),(R44&gt;T44)),Setup!$D$12,IF(AND((K44&gt;I44),(T44&gt;R44)),Setup!$D$12,0)))),"")</f>
        <v/>
      </c>
      <c r="AE44" s="183"/>
      <c r="CP44" s="168"/>
      <c r="CQ44" s="168"/>
      <c r="CR44" s="187"/>
      <c r="CS44" s="168"/>
    </row>
    <row r="45" spans="2:97" s="166" customFormat="1" ht="15" customHeight="1">
      <c r="B45" s="182"/>
      <c r="C45" s="181">
        <f>Tournament!D46</f>
        <v>31</v>
      </c>
      <c r="D45" s="181" t="str">
        <f>Tournament!E46</f>
        <v>H</v>
      </c>
      <c r="E45" s="188">
        <f>Tournament!F46</f>
        <v>41812.541666666664</v>
      </c>
      <c r="F45" s="189">
        <f>Tournament!G46</f>
        <v>41812.541666666664</v>
      </c>
      <c r="G45" s="190" t="str">
        <f>Tournament!H46</f>
        <v>Belgium</v>
      </c>
      <c r="H45" s="180"/>
      <c r="I45" s="9"/>
      <c r="J45" s="191" t="s">
        <v>3088</v>
      </c>
      <c r="K45" s="9"/>
      <c r="L45" s="180"/>
      <c r="M45" s="180" t="str">
        <f>Tournament!N46</f>
        <v>Russia</v>
      </c>
      <c r="N45" s="183"/>
      <c r="P45" s="192" t="str">
        <f t="shared" si="0"/>
        <v>Belgium</v>
      </c>
      <c r="Q45" s="193"/>
      <c r="R45" s="194" t="str">
        <f>IF(Tournament!J46&lt;&gt;"",Tournament!J46,"")</f>
        <v/>
      </c>
      <c r="S45" s="194" t="s">
        <v>3088</v>
      </c>
      <c r="T45" s="194" t="str">
        <f>IF(Tournament!L46&lt;&gt;"",Tournament!L46,"")</f>
        <v/>
      </c>
      <c r="U45" s="193"/>
      <c r="V45" s="193" t="str">
        <f t="shared" si="1"/>
        <v>Russia</v>
      </c>
      <c r="W45" s="194"/>
      <c r="X45" s="194"/>
      <c r="Y45" s="194"/>
      <c r="Z45" s="194"/>
      <c r="AA45" s="194"/>
      <c r="AB45" s="194"/>
      <c r="AC45" s="194"/>
      <c r="AD45" s="195" t="str">
        <f>IF(AND(I45&lt;&gt;"",K45&lt;&gt;"",R45&lt;&gt;"",T45&lt;&gt;""),IF(AND(I45=R45,K45=T45),Setup!$D$10,IF((I45-K45)=(R45-T45),Setup!$D$11,IF(AND((I45&gt;K45),(R45&gt;T45)),Setup!$D$12,IF(AND((K45&gt;I45),(T45&gt;R45)),Setup!$D$12,0)))),"")</f>
        <v/>
      </c>
      <c r="AE45" s="183"/>
      <c r="CP45" s="168"/>
      <c r="CQ45" s="168"/>
      <c r="CR45" s="187"/>
      <c r="CS45" s="168"/>
    </row>
    <row r="46" spans="2:97" s="166" customFormat="1" ht="15" customHeight="1">
      <c r="B46" s="182"/>
      <c r="C46" s="181">
        <f>Tournament!D47</f>
        <v>32</v>
      </c>
      <c r="D46" s="181" t="str">
        <f>Tournament!E47</f>
        <v>H</v>
      </c>
      <c r="E46" s="188">
        <f>Tournament!F47</f>
        <v>41812.666666666664</v>
      </c>
      <c r="F46" s="189">
        <f>Tournament!G47</f>
        <v>41812.666666666664</v>
      </c>
      <c r="G46" s="190" t="str">
        <f>Tournament!H47</f>
        <v>South Korea</v>
      </c>
      <c r="H46" s="180"/>
      <c r="I46" s="9"/>
      <c r="J46" s="191" t="s">
        <v>3088</v>
      </c>
      <c r="K46" s="9"/>
      <c r="L46" s="180"/>
      <c r="M46" s="180" t="str">
        <f>Tournament!N47</f>
        <v>Algeria</v>
      </c>
      <c r="N46" s="183"/>
      <c r="P46" s="192" t="str">
        <f t="shared" si="0"/>
        <v>South Korea</v>
      </c>
      <c r="Q46" s="193"/>
      <c r="R46" s="194" t="str">
        <f>IF(Tournament!J47&lt;&gt;"",Tournament!J47,"")</f>
        <v/>
      </c>
      <c r="S46" s="194" t="s">
        <v>3088</v>
      </c>
      <c r="T46" s="194" t="str">
        <f>IF(Tournament!L47&lt;&gt;"",Tournament!L47,"")</f>
        <v/>
      </c>
      <c r="U46" s="193"/>
      <c r="V46" s="193" t="str">
        <f t="shared" si="1"/>
        <v>Algeria</v>
      </c>
      <c r="W46" s="194"/>
      <c r="X46" s="194"/>
      <c r="Y46" s="194"/>
      <c r="Z46" s="194"/>
      <c r="AA46" s="194"/>
      <c r="AB46" s="194"/>
      <c r="AC46" s="194"/>
      <c r="AD46" s="195" t="str">
        <f>IF(AND(I46&lt;&gt;"",K46&lt;&gt;"",R46&lt;&gt;"",T46&lt;&gt;""),IF(AND(I46=R46,K46=T46),Setup!$D$10,IF((I46-K46)=(R46-T46),Setup!$D$11,IF(AND((I46&gt;K46),(R46&gt;T46)),Setup!$D$12,IF(AND((K46&gt;I46),(T46&gt;R46)),Setup!$D$12,0)))),"")</f>
        <v/>
      </c>
      <c r="AE46" s="183"/>
      <c r="CP46" s="168"/>
      <c r="CQ46" s="168"/>
      <c r="CR46" s="187"/>
      <c r="CS46" s="168"/>
    </row>
    <row r="47" spans="2:97" s="166" customFormat="1" ht="15" customHeight="1">
      <c r="B47" s="182"/>
      <c r="C47" s="181">
        <f>Tournament!D48</f>
        <v>33</v>
      </c>
      <c r="D47" s="181" t="str">
        <f>Tournament!E48</f>
        <v>A</v>
      </c>
      <c r="E47" s="188">
        <f>Tournament!F48</f>
        <v>41813.708333333336</v>
      </c>
      <c r="F47" s="189">
        <f>Tournament!G48</f>
        <v>41813.708333333336</v>
      </c>
      <c r="G47" s="190" t="str">
        <f>Tournament!H48</f>
        <v>Cameroon</v>
      </c>
      <c r="H47" s="180"/>
      <c r="I47" s="9"/>
      <c r="J47" s="191" t="s">
        <v>3088</v>
      </c>
      <c r="K47" s="9"/>
      <c r="L47" s="180"/>
      <c r="M47" s="180" t="str">
        <f>Tournament!N48</f>
        <v>Brazil</v>
      </c>
      <c r="N47" s="183"/>
      <c r="P47" s="192" t="str">
        <f t="shared" si="0"/>
        <v>Cameroon</v>
      </c>
      <c r="Q47" s="193"/>
      <c r="R47" s="194" t="str">
        <f>IF(Tournament!J48&lt;&gt;"",Tournament!J48,"")</f>
        <v/>
      </c>
      <c r="S47" s="194" t="s">
        <v>3088</v>
      </c>
      <c r="T47" s="194" t="str">
        <f>IF(Tournament!L48&lt;&gt;"",Tournament!L48,"")</f>
        <v/>
      </c>
      <c r="U47" s="193"/>
      <c r="V47" s="193" t="str">
        <f t="shared" si="1"/>
        <v>Brazil</v>
      </c>
      <c r="W47" s="194"/>
      <c r="X47" s="194"/>
      <c r="Y47" s="194"/>
      <c r="Z47" s="194"/>
      <c r="AA47" s="194"/>
      <c r="AB47" s="194"/>
      <c r="AC47" s="194"/>
      <c r="AD47" s="195" t="str">
        <f>IF(AND(I47&lt;&gt;"",K47&lt;&gt;"",R47&lt;&gt;"",T47&lt;&gt;""),IF(AND(I47=R47,K47=T47),Setup!$D$10,IF((I47-K47)=(R47-T47),Setup!$D$11,IF(AND((I47&gt;K47),(R47&gt;T47)),Setup!$D$12,IF(AND((K47&gt;I47),(T47&gt;R47)),Setup!$D$12,0)))),"")</f>
        <v/>
      </c>
      <c r="AE47" s="183"/>
      <c r="CP47" s="168"/>
      <c r="CQ47" s="168"/>
      <c r="CR47" s="187"/>
      <c r="CS47" s="168"/>
    </row>
    <row r="48" spans="2:97" s="166" customFormat="1" ht="15" customHeight="1">
      <c r="B48" s="182"/>
      <c r="C48" s="181">
        <f>Tournament!D49</f>
        <v>34</v>
      </c>
      <c r="D48" s="181" t="str">
        <f>Tournament!E49</f>
        <v>A</v>
      </c>
      <c r="E48" s="188">
        <f>Tournament!F49</f>
        <v>41813.708333333336</v>
      </c>
      <c r="F48" s="189">
        <f>Tournament!G49</f>
        <v>41813.708333333336</v>
      </c>
      <c r="G48" s="190" t="str">
        <f>Tournament!H49</f>
        <v>Croatia</v>
      </c>
      <c r="H48" s="180"/>
      <c r="I48" s="9"/>
      <c r="J48" s="191" t="s">
        <v>3088</v>
      </c>
      <c r="K48" s="9"/>
      <c r="L48" s="180"/>
      <c r="M48" s="180" t="str">
        <f>Tournament!N49</f>
        <v>Mexico</v>
      </c>
      <c r="N48" s="183"/>
      <c r="P48" s="192" t="str">
        <f t="shared" si="0"/>
        <v>Croatia</v>
      </c>
      <c r="Q48" s="193"/>
      <c r="R48" s="194" t="str">
        <f>IF(Tournament!J49&lt;&gt;"",Tournament!J49,"")</f>
        <v/>
      </c>
      <c r="S48" s="194" t="s">
        <v>3088</v>
      </c>
      <c r="T48" s="194" t="str">
        <f>IF(Tournament!L49&lt;&gt;"",Tournament!L49,"")</f>
        <v/>
      </c>
      <c r="U48" s="193"/>
      <c r="V48" s="193" t="str">
        <f t="shared" si="1"/>
        <v>Mexico</v>
      </c>
      <c r="W48" s="194"/>
      <c r="X48" s="194"/>
      <c r="Y48" s="194"/>
      <c r="Z48" s="194"/>
      <c r="AA48" s="194"/>
      <c r="AB48" s="194"/>
      <c r="AC48" s="194"/>
      <c r="AD48" s="195" t="str">
        <f>IF(AND(I48&lt;&gt;"",K48&lt;&gt;"",R48&lt;&gt;"",T48&lt;&gt;""),IF(AND(I48=R48,K48=T48),Setup!$D$10,IF((I48-K48)=(R48-T48),Setup!$D$11,IF(AND((I48&gt;K48),(R48&gt;T48)),Setup!$D$12,IF(AND((K48&gt;I48),(T48&gt;R48)),Setup!$D$12,0)))),"")</f>
        <v/>
      </c>
      <c r="AE48" s="183"/>
      <c r="CP48" s="168"/>
      <c r="CQ48" s="168"/>
      <c r="CR48" s="187"/>
      <c r="CS48" s="168"/>
    </row>
    <row r="49" spans="2:97" s="166" customFormat="1" ht="15" customHeight="1">
      <c r="B49" s="182"/>
      <c r="C49" s="181">
        <f>Tournament!D50</f>
        <v>35</v>
      </c>
      <c r="D49" s="181" t="str">
        <f>Tournament!E50</f>
        <v>B</v>
      </c>
      <c r="E49" s="188">
        <f>Tournament!F50</f>
        <v>41813.541666666664</v>
      </c>
      <c r="F49" s="189">
        <f>Tournament!G50</f>
        <v>41813.541666666664</v>
      </c>
      <c r="G49" s="190" t="str">
        <f>Tournament!H50</f>
        <v>Australia</v>
      </c>
      <c r="H49" s="180"/>
      <c r="I49" s="9"/>
      <c r="J49" s="191" t="s">
        <v>3088</v>
      </c>
      <c r="K49" s="9"/>
      <c r="L49" s="180"/>
      <c r="M49" s="180" t="str">
        <f>Tournament!N50</f>
        <v>Spain</v>
      </c>
      <c r="N49" s="183"/>
      <c r="P49" s="192" t="str">
        <f t="shared" si="0"/>
        <v>Australia</v>
      </c>
      <c r="Q49" s="193"/>
      <c r="R49" s="194" t="str">
        <f>IF(Tournament!J50&lt;&gt;"",Tournament!J50,"")</f>
        <v/>
      </c>
      <c r="S49" s="194" t="s">
        <v>3088</v>
      </c>
      <c r="T49" s="194" t="str">
        <f>IF(Tournament!L50&lt;&gt;"",Tournament!L50,"")</f>
        <v/>
      </c>
      <c r="U49" s="193"/>
      <c r="V49" s="193" t="str">
        <f t="shared" si="1"/>
        <v>Spain</v>
      </c>
      <c r="W49" s="194"/>
      <c r="X49" s="194"/>
      <c r="Y49" s="194"/>
      <c r="Z49" s="194"/>
      <c r="AA49" s="194"/>
      <c r="AB49" s="194"/>
      <c r="AC49" s="194"/>
      <c r="AD49" s="195" t="str">
        <f>IF(AND(I49&lt;&gt;"",K49&lt;&gt;"",R49&lt;&gt;"",T49&lt;&gt;""),IF(AND(I49=R49,K49=T49),Setup!$D$10,IF((I49-K49)=(R49-T49),Setup!$D$11,IF(AND((I49&gt;K49),(R49&gt;T49)),Setup!$D$12,IF(AND((K49&gt;I49),(T49&gt;R49)),Setup!$D$12,0)))),"")</f>
        <v/>
      </c>
      <c r="AE49" s="183"/>
      <c r="CP49" s="168"/>
      <c r="CQ49" s="168"/>
      <c r="CR49" s="187"/>
      <c r="CS49" s="168"/>
    </row>
    <row r="50" spans="2:97" s="166" customFormat="1" ht="15" customHeight="1">
      <c r="B50" s="182"/>
      <c r="C50" s="181">
        <f>Tournament!D51</f>
        <v>36</v>
      </c>
      <c r="D50" s="181" t="str">
        <f>Tournament!E51</f>
        <v>B</v>
      </c>
      <c r="E50" s="188">
        <f>Tournament!F51</f>
        <v>41813.541666666664</v>
      </c>
      <c r="F50" s="189">
        <f>Tournament!G51</f>
        <v>41813.541666666664</v>
      </c>
      <c r="G50" s="190" t="str">
        <f>Tournament!H51</f>
        <v>Netherlands</v>
      </c>
      <c r="H50" s="180"/>
      <c r="I50" s="9"/>
      <c r="J50" s="191" t="s">
        <v>3088</v>
      </c>
      <c r="K50" s="9"/>
      <c r="L50" s="180"/>
      <c r="M50" s="180" t="str">
        <f>Tournament!N51</f>
        <v>Chile</v>
      </c>
      <c r="N50" s="183"/>
      <c r="P50" s="192" t="str">
        <f t="shared" si="0"/>
        <v>Netherlands</v>
      </c>
      <c r="Q50" s="193"/>
      <c r="R50" s="194" t="str">
        <f>IF(Tournament!J51&lt;&gt;"",Tournament!J51,"")</f>
        <v/>
      </c>
      <c r="S50" s="194" t="s">
        <v>3088</v>
      </c>
      <c r="T50" s="194" t="str">
        <f>IF(Tournament!L51&lt;&gt;"",Tournament!L51,"")</f>
        <v/>
      </c>
      <c r="U50" s="193"/>
      <c r="V50" s="193" t="str">
        <f t="shared" si="1"/>
        <v>Chile</v>
      </c>
      <c r="W50" s="194"/>
      <c r="X50" s="194"/>
      <c r="Y50" s="194"/>
      <c r="Z50" s="194"/>
      <c r="AA50" s="194"/>
      <c r="AB50" s="194"/>
      <c r="AC50" s="194"/>
      <c r="AD50" s="195" t="str">
        <f>IF(AND(I50&lt;&gt;"",K50&lt;&gt;"",R50&lt;&gt;"",T50&lt;&gt;""),IF(AND(I50=R50,K50=T50),Setup!$D$10,IF((I50-K50)=(R50-T50),Setup!$D$11,IF(AND((I50&gt;K50),(R50&gt;T50)),Setup!$D$12,IF(AND((K50&gt;I50),(T50&gt;R50)),Setup!$D$12,0)))),"")</f>
        <v/>
      </c>
      <c r="AE50" s="183"/>
      <c r="CP50" s="168"/>
      <c r="CQ50" s="168"/>
      <c r="CR50" s="187"/>
      <c r="CS50" s="168"/>
    </row>
    <row r="51" spans="2:97" s="166" customFormat="1" ht="15" customHeight="1">
      <c r="B51" s="182"/>
      <c r="C51" s="181">
        <f>Tournament!D52</f>
        <v>37</v>
      </c>
      <c r="D51" s="181" t="str">
        <f>Tournament!E52</f>
        <v>C</v>
      </c>
      <c r="E51" s="188">
        <f>Tournament!F52</f>
        <v>41814.708333333336</v>
      </c>
      <c r="F51" s="189">
        <f>Tournament!G52</f>
        <v>41814.708333333336</v>
      </c>
      <c r="G51" s="190" t="str">
        <f>Tournament!H52</f>
        <v>Japan</v>
      </c>
      <c r="H51" s="180"/>
      <c r="I51" s="9"/>
      <c r="J51" s="191" t="s">
        <v>3088</v>
      </c>
      <c r="K51" s="9"/>
      <c r="L51" s="180"/>
      <c r="M51" s="180" t="str">
        <f>Tournament!N52</f>
        <v>Colombia</v>
      </c>
      <c r="N51" s="183"/>
      <c r="P51" s="192" t="str">
        <f t="shared" si="0"/>
        <v>Japan</v>
      </c>
      <c r="Q51" s="193"/>
      <c r="R51" s="194" t="str">
        <f>IF(Tournament!J52&lt;&gt;"",Tournament!J52,"")</f>
        <v/>
      </c>
      <c r="S51" s="194" t="s">
        <v>3088</v>
      </c>
      <c r="T51" s="194" t="str">
        <f>IF(Tournament!L52&lt;&gt;"",Tournament!L52,"")</f>
        <v/>
      </c>
      <c r="U51" s="193"/>
      <c r="V51" s="193" t="str">
        <f t="shared" si="1"/>
        <v>Colombia</v>
      </c>
      <c r="W51" s="194"/>
      <c r="X51" s="194"/>
      <c r="Y51" s="194"/>
      <c r="Z51" s="194"/>
      <c r="AA51" s="194"/>
      <c r="AB51" s="194"/>
      <c r="AC51" s="194"/>
      <c r="AD51" s="195" t="str">
        <f>IF(AND(I51&lt;&gt;"",K51&lt;&gt;"",R51&lt;&gt;"",T51&lt;&gt;""),IF(AND(I51=R51,K51=T51),Setup!$D$10,IF((I51-K51)=(R51-T51),Setup!$D$11,IF(AND((I51&gt;K51),(R51&gt;T51)),Setup!$D$12,IF(AND((K51&gt;I51),(T51&gt;R51)),Setup!$D$12,0)))),"")</f>
        <v/>
      </c>
      <c r="AE51" s="183"/>
      <c r="CP51" s="168"/>
      <c r="CQ51" s="168"/>
      <c r="CR51" s="187"/>
      <c r="CS51" s="168"/>
    </row>
    <row r="52" spans="2:97" s="166" customFormat="1" ht="15" customHeight="1">
      <c r="B52" s="182"/>
      <c r="C52" s="181">
        <f>Tournament!D53</f>
        <v>38</v>
      </c>
      <c r="D52" s="181" t="str">
        <f>Tournament!E53</f>
        <v>C</v>
      </c>
      <c r="E52" s="188">
        <f>Tournament!F53</f>
        <v>41814.708333333336</v>
      </c>
      <c r="F52" s="189">
        <f>Tournament!G53</f>
        <v>41814.708333333336</v>
      </c>
      <c r="G52" s="190" t="str">
        <f>Tournament!H53</f>
        <v>Greece</v>
      </c>
      <c r="H52" s="180"/>
      <c r="I52" s="9"/>
      <c r="J52" s="191" t="s">
        <v>3088</v>
      </c>
      <c r="K52" s="9"/>
      <c r="L52" s="180"/>
      <c r="M52" s="180" t="str">
        <f>Tournament!N53</f>
        <v>Ivory Coast</v>
      </c>
      <c r="N52" s="183"/>
      <c r="P52" s="192" t="str">
        <f t="shared" si="0"/>
        <v>Greece</v>
      </c>
      <c r="Q52" s="193"/>
      <c r="R52" s="194" t="str">
        <f>IF(Tournament!J53&lt;&gt;"",Tournament!J53,"")</f>
        <v/>
      </c>
      <c r="S52" s="194" t="s">
        <v>3088</v>
      </c>
      <c r="T52" s="194" t="str">
        <f>IF(Tournament!L53&lt;&gt;"",Tournament!L53,"")</f>
        <v/>
      </c>
      <c r="U52" s="193"/>
      <c r="V52" s="193" t="str">
        <f t="shared" si="1"/>
        <v>Ivory Coast</v>
      </c>
      <c r="W52" s="194"/>
      <c r="X52" s="194"/>
      <c r="Y52" s="194"/>
      <c r="Z52" s="194"/>
      <c r="AA52" s="194"/>
      <c r="AB52" s="194"/>
      <c r="AC52" s="194"/>
      <c r="AD52" s="195" t="str">
        <f>IF(AND(I52&lt;&gt;"",K52&lt;&gt;"",R52&lt;&gt;"",T52&lt;&gt;""),IF(AND(I52=R52,K52=T52),Setup!$D$10,IF((I52-K52)=(R52-T52),Setup!$D$11,IF(AND((I52&gt;K52),(R52&gt;T52)),Setup!$D$12,IF(AND((K52&gt;I52),(T52&gt;R52)),Setup!$D$12,0)))),"")</f>
        <v/>
      </c>
      <c r="AE52" s="183"/>
      <c r="CP52" s="168"/>
      <c r="CQ52" s="168"/>
      <c r="CR52" s="187"/>
      <c r="CS52" s="168"/>
    </row>
    <row r="53" spans="2:97" s="166" customFormat="1" ht="15" customHeight="1">
      <c r="B53" s="182"/>
      <c r="C53" s="181">
        <f>Tournament!D54</f>
        <v>39</v>
      </c>
      <c r="D53" s="181" t="str">
        <f>Tournament!E54</f>
        <v>D</v>
      </c>
      <c r="E53" s="188">
        <f>Tournament!F54</f>
        <v>41814.541666666664</v>
      </c>
      <c r="F53" s="189">
        <f>Tournament!G54</f>
        <v>41814.541666666664</v>
      </c>
      <c r="G53" s="190" t="str">
        <f>Tournament!H54</f>
        <v>Italy</v>
      </c>
      <c r="H53" s="180"/>
      <c r="I53" s="9"/>
      <c r="J53" s="191" t="s">
        <v>3088</v>
      </c>
      <c r="K53" s="9"/>
      <c r="L53" s="180"/>
      <c r="M53" s="180" t="str">
        <f>Tournament!N54</f>
        <v>Uruguay</v>
      </c>
      <c r="N53" s="183"/>
      <c r="P53" s="192" t="str">
        <f t="shared" si="0"/>
        <v>Italy</v>
      </c>
      <c r="Q53" s="193"/>
      <c r="R53" s="194" t="str">
        <f>IF(Tournament!J54&lt;&gt;"",Tournament!J54,"")</f>
        <v/>
      </c>
      <c r="S53" s="194" t="s">
        <v>3088</v>
      </c>
      <c r="T53" s="194" t="str">
        <f>IF(Tournament!L54&lt;&gt;"",Tournament!L54,"")</f>
        <v/>
      </c>
      <c r="U53" s="193"/>
      <c r="V53" s="193" t="str">
        <f t="shared" si="1"/>
        <v>Uruguay</v>
      </c>
      <c r="W53" s="194"/>
      <c r="X53" s="194"/>
      <c r="Y53" s="194"/>
      <c r="Z53" s="194"/>
      <c r="AA53" s="194"/>
      <c r="AB53" s="194"/>
      <c r="AC53" s="194"/>
      <c r="AD53" s="195" t="str">
        <f>IF(AND(I53&lt;&gt;"",K53&lt;&gt;"",R53&lt;&gt;"",T53&lt;&gt;""),IF(AND(I53=R53,K53=T53),Setup!$D$10,IF((I53-K53)=(R53-T53),Setup!$D$11,IF(AND((I53&gt;K53),(R53&gt;T53)),Setup!$D$12,IF(AND((K53&gt;I53),(T53&gt;R53)),Setup!$D$12,0)))),"")</f>
        <v/>
      </c>
      <c r="AE53" s="183"/>
      <c r="CP53" s="168"/>
      <c r="CQ53" s="168"/>
      <c r="CR53" s="187"/>
      <c r="CS53" s="168"/>
    </row>
    <row r="54" spans="2:97" s="166" customFormat="1" ht="15" customHeight="1">
      <c r="B54" s="182"/>
      <c r="C54" s="181">
        <f>Tournament!D55</f>
        <v>40</v>
      </c>
      <c r="D54" s="181" t="str">
        <f>Tournament!E55</f>
        <v>D</v>
      </c>
      <c r="E54" s="188">
        <f>Tournament!F55</f>
        <v>41814.541666666664</v>
      </c>
      <c r="F54" s="189">
        <f>Tournament!G55</f>
        <v>41814.541666666664</v>
      </c>
      <c r="G54" s="190" t="str">
        <f>Tournament!H55</f>
        <v>Costa Rica</v>
      </c>
      <c r="H54" s="180"/>
      <c r="I54" s="9"/>
      <c r="J54" s="191" t="s">
        <v>3088</v>
      </c>
      <c r="K54" s="9"/>
      <c r="L54" s="180"/>
      <c r="M54" s="180" t="str">
        <f>Tournament!N55</f>
        <v>England</v>
      </c>
      <c r="N54" s="183"/>
      <c r="P54" s="192" t="str">
        <f t="shared" si="0"/>
        <v>Costa Rica</v>
      </c>
      <c r="Q54" s="193"/>
      <c r="R54" s="194" t="str">
        <f>IF(Tournament!J55&lt;&gt;"",Tournament!J55,"")</f>
        <v/>
      </c>
      <c r="S54" s="194" t="s">
        <v>3088</v>
      </c>
      <c r="T54" s="194" t="str">
        <f>IF(Tournament!L55&lt;&gt;"",Tournament!L55,"")</f>
        <v/>
      </c>
      <c r="U54" s="193"/>
      <c r="V54" s="193" t="str">
        <f t="shared" si="1"/>
        <v>England</v>
      </c>
      <c r="W54" s="194"/>
      <c r="X54" s="194"/>
      <c r="Y54" s="194"/>
      <c r="Z54" s="194"/>
      <c r="AA54" s="194"/>
      <c r="AB54" s="194"/>
      <c r="AC54" s="194"/>
      <c r="AD54" s="195" t="str">
        <f>IF(AND(I54&lt;&gt;"",K54&lt;&gt;"",R54&lt;&gt;"",T54&lt;&gt;""),IF(AND(I54=R54,K54=T54),Setup!$D$10,IF((I54-K54)=(R54-T54),Setup!$D$11,IF(AND((I54&gt;K54),(R54&gt;T54)),Setup!$D$12,IF(AND((K54&gt;I54),(T54&gt;R54)),Setup!$D$12,0)))),"")</f>
        <v/>
      </c>
      <c r="AE54" s="183"/>
      <c r="CP54" s="168"/>
      <c r="CQ54" s="168"/>
      <c r="CR54" s="187"/>
      <c r="CS54" s="168"/>
    </row>
    <row r="55" spans="2:97" s="166" customFormat="1" ht="15" customHeight="1">
      <c r="B55" s="182"/>
      <c r="C55" s="181">
        <f>Tournament!D56</f>
        <v>41</v>
      </c>
      <c r="D55" s="181" t="str">
        <f>Tournament!E56</f>
        <v>E</v>
      </c>
      <c r="E55" s="188">
        <f>Tournament!F56</f>
        <v>41815.708333333336</v>
      </c>
      <c r="F55" s="189">
        <f>Tournament!G56</f>
        <v>41815.708333333336</v>
      </c>
      <c r="G55" s="190" t="str">
        <f>Tournament!H56</f>
        <v>Honduras</v>
      </c>
      <c r="H55" s="180"/>
      <c r="I55" s="9"/>
      <c r="J55" s="191" t="s">
        <v>3088</v>
      </c>
      <c r="K55" s="9"/>
      <c r="L55" s="180"/>
      <c r="M55" s="180" t="str">
        <f>Tournament!N56</f>
        <v>Switzerland</v>
      </c>
      <c r="N55" s="183"/>
      <c r="P55" s="192" t="str">
        <f t="shared" si="0"/>
        <v>Honduras</v>
      </c>
      <c r="Q55" s="193"/>
      <c r="R55" s="194" t="str">
        <f>IF(Tournament!J56&lt;&gt;"",Tournament!J56,"")</f>
        <v/>
      </c>
      <c r="S55" s="194" t="s">
        <v>3088</v>
      </c>
      <c r="T55" s="194" t="str">
        <f>IF(Tournament!L56&lt;&gt;"",Tournament!L56,"")</f>
        <v/>
      </c>
      <c r="U55" s="193"/>
      <c r="V55" s="193" t="str">
        <f t="shared" si="1"/>
        <v>Switzerland</v>
      </c>
      <c r="W55" s="194"/>
      <c r="X55" s="194"/>
      <c r="Y55" s="194"/>
      <c r="Z55" s="194"/>
      <c r="AA55" s="194"/>
      <c r="AB55" s="194"/>
      <c r="AC55" s="194"/>
      <c r="AD55" s="195" t="str">
        <f>IF(AND(I55&lt;&gt;"",K55&lt;&gt;"",R55&lt;&gt;"",T55&lt;&gt;""),IF(AND(I55=R55,K55=T55),Setup!$D$10,IF((I55-K55)=(R55-T55),Setup!$D$11,IF(AND((I55&gt;K55),(R55&gt;T55)),Setup!$D$12,IF(AND((K55&gt;I55),(T55&gt;R55)),Setup!$D$12,0)))),"")</f>
        <v/>
      </c>
      <c r="AE55" s="183"/>
      <c r="CP55" s="168"/>
      <c r="CQ55" s="168"/>
      <c r="CR55" s="187"/>
      <c r="CS55" s="168"/>
    </row>
    <row r="56" spans="2:97" s="166" customFormat="1" ht="15" customHeight="1">
      <c r="B56" s="182"/>
      <c r="C56" s="181">
        <f>Tournament!D57</f>
        <v>42</v>
      </c>
      <c r="D56" s="181" t="str">
        <f>Tournament!E57</f>
        <v>E</v>
      </c>
      <c r="E56" s="188">
        <f>Tournament!F57</f>
        <v>41815.708333333336</v>
      </c>
      <c r="F56" s="189">
        <f>Tournament!G57</f>
        <v>41815.708333333336</v>
      </c>
      <c r="G56" s="190" t="str">
        <f>Tournament!H57</f>
        <v>Ecuador</v>
      </c>
      <c r="H56" s="180"/>
      <c r="I56" s="9"/>
      <c r="J56" s="191" t="s">
        <v>3088</v>
      </c>
      <c r="K56" s="9"/>
      <c r="L56" s="180"/>
      <c r="M56" s="180" t="str">
        <f>Tournament!N57</f>
        <v>France</v>
      </c>
      <c r="N56" s="183"/>
      <c r="P56" s="192" t="str">
        <f t="shared" si="0"/>
        <v>Ecuador</v>
      </c>
      <c r="Q56" s="193"/>
      <c r="R56" s="194" t="str">
        <f>IF(Tournament!J57&lt;&gt;"",Tournament!J57,"")</f>
        <v/>
      </c>
      <c r="S56" s="194" t="s">
        <v>3088</v>
      </c>
      <c r="T56" s="194" t="str">
        <f>IF(Tournament!L57&lt;&gt;"",Tournament!L57,"")</f>
        <v/>
      </c>
      <c r="U56" s="193"/>
      <c r="V56" s="193" t="str">
        <f t="shared" si="1"/>
        <v>France</v>
      </c>
      <c r="W56" s="194"/>
      <c r="X56" s="194"/>
      <c r="Y56" s="194"/>
      <c r="Z56" s="194"/>
      <c r="AA56" s="194"/>
      <c r="AB56" s="194"/>
      <c r="AC56" s="194"/>
      <c r="AD56" s="195" t="str">
        <f>IF(AND(I56&lt;&gt;"",K56&lt;&gt;"",R56&lt;&gt;"",T56&lt;&gt;""),IF(AND(I56=R56,K56=T56),Setup!$D$10,IF((I56-K56)=(R56-T56),Setup!$D$11,IF(AND((I56&gt;K56),(R56&gt;T56)),Setup!$D$12,IF(AND((K56&gt;I56),(T56&gt;R56)),Setup!$D$12,0)))),"")</f>
        <v/>
      </c>
      <c r="AE56" s="183"/>
      <c r="CP56" s="168"/>
      <c r="CQ56" s="168"/>
      <c r="CR56" s="187"/>
      <c r="CS56" s="168"/>
    </row>
    <row r="57" spans="2:97" s="166" customFormat="1" ht="15" customHeight="1">
      <c r="B57" s="182"/>
      <c r="C57" s="181">
        <f>Tournament!D58</f>
        <v>43</v>
      </c>
      <c r="D57" s="181" t="str">
        <f>Tournament!E58</f>
        <v>F</v>
      </c>
      <c r="E57" s="188">
        <f>Tournament!F58</f>
        <v>41815.541666666664</v>
      </c>
      <c r="F57" s="189">
        <f>Tournament!G58</f>
        <v>41815.541666666664</v>
      </c>
      <c r="G57" s="190" t="str">
        <f>Tournament!H58</f>
        <v>Nigeria</v>
      </c>
      <c r="H57" s="180"/>
      <c r="I57" s="9"/>
      <c r="J57" s="191" t="s">
        <v>3088</v>
      </c>
      <c r="K57" s="9"/>
      <c r="L57" s="180"/>
      <c r="M57" s="180" t="str">
        <f>Tournament!N58</f>
        <v>Argentina</v>
      </c>
      <c r="N57" s="183"/>
      <c r="P57" s="192" t="str">
        <f t="shared" si="0"/>
        <v>Nigeria</v>
      </c>
      <c r="Q57" s="193"/>
      <c r="R57" s="194" t="str">
        <f>IF(Tournament!J58&lt;&gt;"",Tournament!J58,"")</f>
        <v/>
      </c>
      <c r="S57" s="194" t="s">
        <v>3088</v>
      </c>
      <c r="T57" s="194" t="str">
        <f>IF(Tournament!L58&lt;&gt;"",Tournament!L58,"")</f>
        <v/>
      </c>
      <c r="U57" s="193"/>
      <c r="V57" s="193" t="str">
        <f t="shared" si="1"/>
        <v>Argentina</v>
      </c>
      <c r="W57" s="194"/>
      <c r="X57" s="194"/>
      <c r="Y57" s="194"/>
      <c r="Z57" s="194"/>
      <c r="AA57" s="194"/>
      <c r="AB57" s="194"/>
      <c r="AC57" s="194"/>
      <c r="AD57" s="195" t="str">
        <f>IF(AND(I57&lt;&gt;"",K57&lt;&gt;"",R57&lt;&gt;"",T57&lt;&gt;""),IF(AND(I57=R57,K57=T57),Setup!$D$10,IF((I57-K57)=(R57-T57),Setup!$D$11,IF(AND((I57&gt;K57),(R57&gt;T57)),Setup!$D$12,IF(AND((K57&gt;I57),(T57&gt;R57)),Setup!$D$12,0)))),"")</f>
        <v/>
      </c>
      <c r="AE57" s="183"/>
      <c r="CP57" s="168"/>
      <c r="CQ57" s="168"/>
      <c r="CR57" s="187"/>
      <c r="CS57" s="168"/>
    </row>
    <row r="58" spans="2:97" s="166" customFormat="1" ht="15" customHeight="1">
      <c r="B58" s="182"/>
      <c r="C58" s="181">
        <f>Tournament!D59</f>
        <v>44</v>
      </c>
      <c r="D58" s="181" t="str">
        <f>Tournament!E59</f>
        <v>F</v>
      </c>
      <c r="E58" s="188">
        <f>Tournament!F59</f>
        <v>41815.541666666664</v>
      </c>
      <c r="F58" s="189">
        <f>Tournament!G59</f>
        <v>41815.541666666664</v>
      </c>
      <c r="G58" s="190" t="str">
        <f>Tournament!H59</f>
        <v>Bosnia-Herzegovina</v>
      </c>
      <c r="H58" s="180"/>
      <c r="I58" s="9"/>
      <c r="J58" s="191" t="s">
        <v>3088</v>
      </c>
      <c r="K58" s="9"/>
      <c r="L58" s="180"/>
      <c r="M58" s="180" t="str">
        <f>Tournament!N59</f>
        <v>Iran</v>
      </c>
      <c r="N58" s="183"/>
      <c r="P58" s="192" t="str">
        <f t="shared" si="0"/>
        <v>Bosnia-Herzegovina</v>
      </c>
      <c r="Q58" s="193"/>
      <c r="R58" s="194" t="str">
        <f>IF(Tournament!J59&lt;&gt;"",Tournament!J59,"")</f>
        <v/>
      </c>
      <c r="S58" s="194" t="s">
        <v>3088</v>
      </c>
      <c r="T58" s="194" t="str">
        <f>IF(Tournament!L59&lt;&gt;"",Tournament!L59,"")</f>
        <v/>
      </c>
      <c r="U58" s="193"/>
      <c r="V58" s="193" t="str">
        <f t="shared" si="1"/>
        <v>Iran</v>
      </c>
      <c r="W58" s="194"/>
      <c r="X58" s="194"/>
      <c r="Y58" s="194"/>
      <c r="Z58" s="194"/>
      <c r="AA58" s="194"/>
      <c r="AB58" s="194"/>
      <c r="AC58" s="194"/>
      <c r="AD58" s="195" t="str">
        <f>IF(AND(I58&lt;&gt;"",K58&lt;&gt;"",R58&lt;&gt;"",T58&lt;&gt;""),IF(AND(I58=R58,K58=T58),Setup!$D$10,IF((I58-K58)=(R58-T58),Setup!$D$11,IF(AND((I58&gt;K58),(R58&gt;T58)),Setup!$D$12,IF(AND((K58&gt;I58),(T58&gt;R58)),Setup!$D$12,0)))),"")</f>
        <v/>
      </c>
      <c r="AE58" s="183"/>
      <c r="CP58" s="168"/>
      <c r="CQ58" s="168"/>
      <c r="CR58" s="187"/>
      <c r="CS58" s="168"/>
    </row>
    <row r="59" spans="2:97" s="166" customFormat="1" ht="15" customHeight="1">
      <c r="B59" s="182"/>
      <c r="C59" s="181">
        <f>Tournament!D60</f>
        <v>45</v>
      </c>
      <c r="D59" s="181" t="str">
        <f>Tournament!E60</f>
        <v>G</v>
      </c>
      <c r="E59" s="188">
        <f>Tournament!F60</f>
        <v>41816.541666666664</v>
      </c>
      <c r="F59" s="189">
        <f>Tournament!G60</f>
        <v>41816.541666666664</v>
      </c>
      <c r="G59" s="190" t="str">
        <f>Tournament!H60</f>
        <v>USA</v>
      </c>
      <c r="H59" s="180"/>
      <c r="I59" s="9"/>
      <c r="J59" s="191" t="s">
        <v>3088</v>
      </c>
      <c r="K59" s="9"/>
      <c r="L59" s="180"/>
      <c r="M59" s="180" t="str">
        <f>Tournament!N60</f>
        <v>Germany</v>
      </c>
      <c r="N59" s="183"/>
      <c r="P59" s="192" t="str">
        <f t="shared" si="0"/>
        <v>USA</v>
      </c>
      <c r="Q59" s="193"/>
      <c r="R59" s="194" t="str">
        <f>IF(Tournament!J60&lt;&gt;"",Tournament!J60,"")</f>
        <v/>
      </c>
      <c r="S59" s="194" t="s">
        <v>3088</v>
      </c>
      <c r="T59" s="194" t="str">
        <f>IF(Tournament!L60&lt;&gt;"",Tournament!L60,"")</f>
        <v/>
      </c>
      <c r="U59" s="193"/>
      <c r="V59" s="193" t="str">
        <f t="shared" si="1"/>
        <v>Germany</v>
      </c>
      <c r="W59" s="194"/>
      <c r="X59" s="194"/>
      <c r="Y59" s="194"/>
      <c r="Z59" s="194"/>
      <c r="AA59" s="194"/>
      <c r="AB59" s="194"/>
      <c r="AC59" s="194"/>
      <c r="AD59" s="195" t="str">
        <f>IF(AND(I59&lt;&gt;"",K59&lt;&gt;"",R59&lt;&gt;"",T59&lt;&gt;""),IF(AND(I59=R59,K59=T59),Setup!$D$10,IF((I59-K59)=(R59-T59),Setup!$D$11,IF(AND((I59&gt;K59),(R59&gt;T59)),Setup!$D$12,IF(AND((K59&gt;I59),(T59&gt;R59)),Setup!$D$12,0)))),"")</f>
        <v/>
      </c>
      <c r="AE59" s="183"/>
      <c r="CP59" s="168"/>
      <c r="CQ59" s="168"/>
      <c r="CR59" s="187"/>
      <c r="CS59" s="168"/>
    </row>
    <row r="60" spans="2:97" s="166" customFormat="1" ht="15" customHeight="1">
      <c r="B60" s="182"/>
      <c r="C60" s="181">
        <f>Tournament!D61</f>
        <v>46</v>
      </c>
      <c r="D60" s="181" t="str">
        <f>Tournament!E61</f>
        <v>G</v>
      </c>
      <c r="E60" s="188">
        <f>Tournament!F61</f>
        <v>41816.541666666664</v>
      </c>
      <c r="F60" s="189">
        <f>Tournament!G61</f>
        <v>41816.541666666664</v>
      </c>
      <c r="G60" s="190" t="str">
        <f>Tournament!H61</f>
        <v>Portugal</v>
      </c>
      <c r="H60" s="180"/>
      <c r="I60" s="9"/>
      <c r="J60" s="191" t="s">
        <v>3088</v>
      </c>
      <c r="K60" s="9"/>
      <c r="L60" s="180"/>
      <c r="M60" s="180" t="str">
        <f>Tournament!N61</f>
        <v>Ghana</v>
      </c>
      <c r="N60" s="183"/>
      <c r="P60" s="192" t="str">
        <f t="shared" si="0"/>
        <v>Portugal</v>
      </c>
      <c r="Q60" s="193"/>
      <c r="R60" s="194" t="str">
        <f>IF(Tournament!J61&lt;&gt;"",Tournament!J61,"")</f>
        <v/>
      </c>
      <c r="S60" s="194" t="s">
        <v>3088</v>
      </c>
      <c r="T60" s="194" t="str">
        <f>IF(Tournament!L61&lt;&gt;"",Tournament!L61,"")</f>
        <v/>
      </c>
      <c r="U60" s="193"/>
      <c r="V60" s="193" t="str">
        <f t="shared" si="1"/>
        <v>Ghana</v>
      </c>
      <c r="W60" s="194"/>
      <c r="X60" s="194"/>
      <c r="Y60" s="194"/>
      <c r="Z60" s="194"/>
      <c r="AA60" s="194"/>
      <c r="AB60" s="194"/>
      <c r="AC60" s="194"/>
      <c r="AD60" s="195" t="str">
        <f>IF(AND(I60&lt;&gt;"",K60&lt;&gt;"",R60&lt;&gt;"",T60&lt;&gt;""),IF(AND(I60=R60,K60=T60),Setup!$D$10,IF((I60-K60)=(R60-T60),Setup!$D$11,IF(AND((I60&gt;K60),(R60&gt;T60)),Setup!$D$12,IF(AND((K60&gt;I60),(T60&gt;R60)),Setup!$D$12,0)))),"")</f>
        <v/>
      </c>
      <c r="AE60" s="183"/>
      <c r="CN60" s="168"/>
      <c r="CO60" s="168"/>
      <c r="CP60" s="187"/>
      <c r="CQ60" s="168"/>
    </row>
    <row r="61" spans="2:97" s="166" customFormat="1" ht="15" customHeight="1">
      <c r="B61" s="182"/>
      <c r="C61" s="181">
        <f>Tournament!D62</f>
        <v>47</v>
      </c>
      <c r="D61" s="181" t="str">
        <f>Tournament!E62</f>
        <v>H</v>
      </c>
      <c r="E61" s="188">
        <f>Tournament!F62</f>
        <v>41816.708333333336</v>
      </c>
      <c r="F61" s="189">
        <f>Tournament!G62</f>
        <v>41816.708333333336</v>
      </c>
      <c r="G61" s="190" t="str">
        <f>Tournament!H62</f>
        <v>South Korea</v>
      </c>
      <c r="H61" s="180"/>
      <c r="I61" s="9"/>
      <c r="J61" s="191" t="s">
        <v>3088</v>
      </c>
      <c r="K61" s="9"/>
      <c r="L61" s="180"/>
      <c r="M61" s="180" t="str">
        <f>Tournament!N62</f>
        <v>Belgium</v>
      </c>
      <c r="N61" s="183"/>
      <c r="P61" s="192" t="str">
        <f t="shared" si="0"/>
        <v>South Korea</v>
      </c>
      <c r="Q61" s="193"/>
      <c r="R61" s="194" t="str">
        <f>IF(Tournament!J62&lt;&gt;"",Tournament!J62,"")</f>
        <v/>
      </c>
      <c r="S61" s="194" t="s">
        <v>3088</v>
      </c>
      <c r="T61" s="194" t="str">
        <f>IF(Tournament!L62&lt;&gt;"",Tournament!L62,"")</f>
        <v/>
      </c>
      <c r="U61" s="193"/>
      <c r="V61" s="193" t="str">
        <f t="shared" si="1"/>
        <v>Belgium</v>
      </c>
      <c r="W61" s="194"/>
      <c r="X61" s="194"/>
      <c r="Y61" s="194"/>
      <c r="Z61" s="194"/>
      <c r="AA61" s="194"/>
      <c r="AB61" s="194"/>
      <c r="AC61" s="194"/>
      <c r="AD61" s="195" t="str">
        <f>IF(AND(I61&lt;&gt;"",K61&lt;&gt;"",R61&lt;&gt;"",T61&lt;&gt;""),IF(AND(I61=R61,K61=T61),Setup!$D$10,IF((I61-K61)=(R61-T61),Setup!$D$11,IF(AND((I61&gt;K61),(R61&gt;T61)),Setup!$D$12,IF(AND((K61&gt;I61),(T61&gt;R61)),Setup!$D$12,0)))),"")</f>
        <v/>
      </c>
      <c r="AE61" s="183"/>
      <c r="CM61" s="168"/>
      <c r="CN61" s="168"/>
      <c r="CO61" s="187"/>
      <c r="CP61" s="168"/>
    </row>
    <row r="62" spans="2:97" s="166" customFormat="1" ht="15" customHeight="1">
      <c r="B62" s="182"/>
      <c r="C62" s="181">
        <f>Tournament!D63</f>
        <v>48</v>
      </c>
      <c r="D62" s="181" t="str">
        <f>Tournament!E63</f>
        <v>H</v>
      </c>
      <c r="E62" s="188">
        <f>Tournament!F63</f>
        <v>41816.708333333336</v>
      </c>
      <c r="F62" s="189">
        <f>Tournament!G63</f>
        <v>41816.708333333336</v>
      </c>
      <c r="G62" s="190" t="str">
        <f>Tournament!H63</f>
        <v>Algeria</v>
      </c>
      <c r="H62" s="180"/>
      <c r="I62" s="9"/>
      <c r="J62" s="191" t="s">
        <v>3088</v>
      </c>
      <c r="K62" s="9"/>
      <c r="L62" s="180"/>
      <c r="M62" s="180" t="str">
        <f>Tournament!N63</f>
        <v>Russia</v>
      </c>
      <c r="N62" s="183"/>
      <c r="P62" s="192" t="str">
        <f t="shared" si="0"/>
        <v>Algeria</v>
      </c>
      <c r="Q62" s="193"/>
      <c r="R62" s="194" t="str">
        <f>IF(Tournament!J63&lt;&gt;"",Tournament!J63,"")</f>
        <v/>
      </c>
      <c r="S62" s="194" t="s">
        <v>3088</v>
      </c>
      <c r="T62" s="194" t="str">
        <f>IF(Tournament!L63&lt;&gt;"",Tournament!L63,"")</f>
        <v/>
      </c>
      <c r="U62" s="193"/>
      <c r="V62" s="193" t="str">
        <f t="shared" si="1"/>
        <v>Russia</v>
      </c>
      <c r="AD62" s="195" t="str">
        <f>IF(AND(I62&lt;&gt;"",K62&lt;&gt;"",R62&lt;&gt;"",T62&lt;&gt;""),IF(AND(I62=R62,K62=T62),Setup!$D$10,IF((I62-K62)=(R62-T62),Setup!$D$11,IF(AND((I62&gt;K62),(R62&gt;T62)),Setup!$D$12,IF(AND((K62&gt;I62),(T62&gt;R62)),Setup!$D$12,0)))),"")</f>
        <v/>
      </c>
      <c r="AE62" s="183"/>
      <c r="CM62" s="168"/>
      <c r="CN62" s="168"/>
      <c r="CO62" s="187"/>
      <c r="CP62" s="168"/>
    </row>
    <row r="63" spans="2:97" s="166" customFormat="1" ht="15" customHeight="1">
      <c r="B63" s="182"/>
      <c r="C63" s="181"/>
      <c r="D63" s="181"/>
      <c r="E63" s="188"/>
      <c r="F63" s="189"/>
      <c r="G63" s="190"/>
      <c r="H63" s="180"/>
      <c r="I63" s="191"/>
      <c r="J63" s="191"/>
      <c r="K63" s="191"/>
      <c r="L63" s="180"/>
      <c r="M63" s="180"/>
      <c r="N63" s="183"/>
      <c r="P63" s="192"/>
      <c r="Q63" s="193"/>
      <c r="R63" s="194"/>
      <c r="S63" s="194"/>
      <c r="T63" s="194"/>
      <c r="U63" s="193"/>
      <c r="V63" s="193"/>
      <c r="AD63" s="181"/>
      <c r="AE63" s="183"/>
      <c r="CM63" s="168"/>
      <c r="CN63" s="168"/>
      <c r="CO63" s="187"/>
      <c r="CP63" s="168"/>
    </row>
    <row r="64" spans="2:97" s="166" customFormat="1" ht="15" customHeight="1">
      <c r="B64" s="300" t="s">
        <v>3544</v>
      </c>
      <c r="C64" s="301"/>
      <c r="D64" s="301"/>
      <c r="E64" s="301"/>
      <c r="F64" s="301"/>
      <c r="G64" s="301"/>
      <c r="H64" s="301"/>
      <c r="I64" s="301"/>
      <c r="J64" s="301"/>
      <c r="K64" s="301"/>
      <c r="L64" s="301"/>
      <c r="M64" s="301"/>
      <c r="N64" s="302"/>
      <c r="P64" s="303" t="str">
        <f>B64</f>
        <v>Knock Out Stages</v>
      </c>
      <c r="Q64" s="304"/>
      <c r="R64" s="304"/>
      <c r="S64" s="304"/>
      <c r="T64" s="304"/>
      <c r="U64" s="304"/>
      <c r="V64" s="304"/>
      <c r="W64" s="304"/>
      <c r="X64" s="304"/>
      <c r="Y64" s="304"/>
      <c r="Z64" s="304"/>
      <c r="AA64" s="304"/>
      <c r="AB64" s="304"/>
      <c r="AC64" s="304"/>
      <c r="AD64" s="304"/>
      <c r="AE64" s="305"/>
      <c r="CM64" s="168"/>
      <c r="CN64" s="168"/>
      <c r="CO64" s="187"/>
      <c r="CP64" s="168"/>
    </row>
    <row r="65" spans="2:94" s="166" customFormat="1" ht="15" customHeight="1">
      <c r="B65" s="182"/>
      <c r="C65" s="181"/>
      <c r="D65" s="181"/>
      <c r="E65" s="188"/>
      <c r="F65" s="189"/>
      <c r="G65" s="190"/>
      <c r="H65" s="180"/>
      <c r="I65" s="191"/>
      <c r="J65" s="191"/>
      <c r="K65" s="191"/>
      <c r="L65" s="180"/>
      <c r="M65" s="180"/>
      <c r="N65" s="183"/>
      <c r="P65" s="192"/>
      <c r="Q65" s="193"/>
      <c r="R65" s="299" t="s">
        <v>3554</v>
      </c>
      <c r="S65" s="299"/>
      <c r="T65" s="299"/>
      <c r="U65" s="193"/>
      <c r="V65" s="193"/>
      <c r="W65" s="299" t="s">
        <v>3546</v>
      </c>
      <c r="X65" s="299"/>
      <c r="Y65" s="299"/>
      <c r="Z65" s="197"/>
      <c r="AA65" s="299" t="s">
        <v>3547</v>
      </c>
      <c r="AB65" s="299"/>
      <c r="AC65" s="299"/>
      <c r="AD65" s="181"/>
      <c r="AE65" s="183"/>
      <c r="CM65" s="168"/>
      <c r="CN65" s="168"/>
      <c r="CO65" s="187"/>
      <c r="CP65" s="168"/>
    </row>
    <row r="66" spans="2:94" s="166" customFormat="1" ht="15" customHeight="1">
      <c r="B66" s="182"/>
      <c r="C66" s="181">
        <v>49</v>
      </c>
      <c r="D66" s="181" t="s">
        <v>3548</v>
      </c>
      <c r="E66" s="188">
        <f>Tournament!F69</f>
        <v>41818.541666666664</v>
      </c>
      <c r="F66" s="189">
        <f>Tournament!G69</f>
        <v>41818.541666666664</v>
      </c>
      <c r="G66" s="190" t="str">
        <f>Tournament!H69</f>
        <v>Group A Winner</v>
      </c>
      <c r="H66" s="180"/>
      <c r="I66" s="9"/>
      <c r="J66" s="191" t="s">
        <v>3088</v>
      </c>
      <c r="K66" s="9"/>
      <c r="L66" s="180"/>
      <c r="M66" s="198" t="str">
        <f>Tournament!N69</f>
        <v>Group B Runner Up</v>
      </c>
      <c r="N66" s="183"/>
      <c r="P66" s="192" t="str">
        <f t="shared" ref="P66:P81" si="2">G66</f>
        <v>Group A Winner</v>
      </c>
      <c r="Q66" s="193"/>
      <c r="R66" s="194" t="str">
        <f>IF($Z$67=0,IF($Z$66=0,IF(Tournament!J70&lt;&gt;"",Tournament!J70,""),IF(Tournament!J70&lt;&gt;"",Tournament!J70+Tournament!J71,"")),IF(Tournament!J69&lt;&gt;"",Tournament!J69,""))</f>
        <v/>
      </c>
      <c r="S66" s="194" t="s">
        <v>3088</v>
      </c>
      <c r="T66" s="194" t="str">
        <f>IF($Z$67=0,IF($Z$66=0,IF(Tournament!L70&lt;&gt;"",Tournament!L70,""),IF(Tournament!L70&lt;&gt;"",Tournament!L70+Tournament!L71,"")),IF(Tournament!L69&lt;&gt;"",Tournament!L69,""))</f>
        <v/>
      </c>
      <c r="U66" s="193"/>
      <c r="V66" s="193" t="str">
        <f t="shared" ref="V66:V81" si="3">M66</f>
        <v>Group B Runner Up</v>
      </c>
      <c r="W66" s="191" t="str">
        <f>IF(Tournament!J71&lt;&gt;"",Tournament!J71,"")</f>
        <v/>
      </c>
      <c r="X66" s="199" t="s">
        <v>3088</v>
      </c>
      <c r="Y66" s="191" t="str">
        <f>IF(Tournament!L71&lt;&gt;"",Tournament!L71,"")</f>
        <v/>
      </c>
      <c r="Z66" s="199">
        <f>Setup!E16</f>
        <v>1</v>
      </c>
      <c r="AA66" s="191" t="str">
        <f>IF(Tournament!J72&lt;&gt;"",Tournament!J72,"")</f>
        <v/>
      </c>
      <c r="AB66" s="194" t="s">
        <v>3088</v>
      </c>
      <c r="AC66" s="191" t="str">
        <f>IF(Tournament!L72&lt;&gt;"",Tournament!L72,"")</f>
        <v/>
      </c>
      <c r="AD66" s="195" t="str">
        <f>IF(AND(I66&lt;&gt;"",K66&lt;&gt;"",R66&lt;&gt;"",T66&lt;&gt;""),IF(AND(I66=R66,K66=T66),Setup!$D$20,IF((I66-K66)=(R66-T66),Setup!$D$21,IF(AND((I66&gt;K66),(R66&gt;T66)),Setup!$D$22,IF(AND((K66&gt;I66),(T66&gt;R66)),Setup!$D$22,0)))),"")</f>
        <v/>
      </c>
      <c r="AE66" s="183"/>
      <c r="CM66" s="168"/>
      <c r="CN66" s="168"/>
      <c r="CO66" s="187"/>
      <c r="CP66" s="168"/>
    </row>
    <row r="67" spans="2:94" s="166" customFormat="1" ht="15" customHeight="1">
      <c r="B67" s="182"/>
      <c r="C67" s="181">
        <v>50</v>
      </c>
      <c r="D67" s="181" t="str">
        <f>D66</f>
        <v>R16</v>
      </c>
      <c r="E67" s="188">
        <f>Tournament!F75</f>
        <v>41818.708333333336</v>
      </c>
      <c r="F67" s="189">
        <f>Tournament!G75</f>
        <v>41818.708333333336</v>
      </c>
      <c r="G67" s="190" t="str">
        <f>Tournament!H75</f>
        <v>Group C Winner</v>
      </c>
      <c r="H67" s="180"/>
      <c r="I67" s="9"/>
      <c r="J67" s="191" t="s">
        <v>3088</v>
      </c>
      <c r="K67" s="9"/>
      <c r="L67" s="180"/>
      <c r="M67" s="198" t="str">
        <f>Tournament!N75</f>
        <v>Group D Runner Up</v>
      </c>
      <c r="N67" s="183"/>
      <c r="P67" s="192" t="str">
        <f t="shared" si="2"/>
        <v>Group C Winner</v>
      </c>
      <c r="Q67" s="193"/>
      <c r="R67" s="194" t="str">
        <f>IF($Z$67=0,IF($Z$66=0,IF(Tournament!J76&lt;&gt;"",Tournament!J76,""),IF(Tournament!J76&lt;&gt;"",Tournament!J76+Tournament!J77,"")),IF(Tournament!J75&lt;&gt;"",Tournament!J75,""))</f>
        <v/>
      </c>
      <c r="S67" s="194" t="s">
        <v>3088</v>
      </c>
      <c r="T67" s="194" t="str">
        <f>IF($Z$67=0,IF($Z$66=0,IF(Tournament!L76&lt;&gt;"",Tournament!L76,""),IF(Tournament!L76&lt;&gt;"",Tournament!L76+Tournament!L77,"")),IF(Tournament!L75&lt;&gt;"",Tournament!L75,""))</f>
        <v/>
      </c>
      <c r="U67" s="193"/>
      <c r="V67" s="193" t="str">
        <f t="shared" si="3"/>
        <v>Group D Runner Up</v>
      </c>
      <c r="W67" s="191" t="str">
        <f>IF(Tournament!J77&lt;&gt;"",Tournament!J77,"")</f>
        <v/>
      </c>
      <c r="X67" s="199" t="s">
        <v>3088</v>
      </c>
      <c r="Y67" s="191" t="str">
        <f>IF(Tournament!L77&lt;&gt;"",Tournament!L77,"")</f>
        <v/>
      </c>
      <c r="Z67" s="199">
        <f>Setup!E17</f>
        <v>0</v>
      </c>
      <c r="AA67" s="191" t="str">
        <f>IF(Tournament!J78&lt;&gt;"",Tournament!J78,"")</f>
        <v/>
      </c>
      <c r="AB67" s="194" t="s">
        <v>3088</v>
      </c>
      <c r="AC67" s="191" t="str">
        <f>IF(Tournament!L78&lt;&gt;"",Tournament!L78,"")</f>
        <v/>
      </c>
      <c r="AD67" s="195" t="str">
        <f>IF(AND(I67&lt;&gt;"",K67&lt;&gt;"",R67&lt;&gt;"",T67&lt;&gt;""),IF(AND(I67=R67,K67=T67),Setup!$D$20,IF((I67-K67)=(R67-T67),Setup!$D$21,IF(AND((I67&gt;K67),(R67&gt;T67)),Setup!$D$22,IF(AND((K67&gt;I67),(T67&gt;R67)),Setup!$D$22,0)))),"")</f>
        <v/>
      </c>
      <c r="AE67" s="183"/>
      <c r="CM67" s="168"/>
      <c r="CN67" s="168"/>
      <c r="CO67" s="187"/>
      <c r="CP67" s="168"/>
    </row>
    <row r="68" spans="2:94" s="166" customFormat="1" ht="15" customHeight="1">
      <c r="B68" s="182"/>
      <c r="C68" s="181">
        <v>52</v>
      </c>
      <c r="D68" s="181" t="str">
        <f t="shared" ref="D68:D73" si="4">D67</f>
        <v>R16</v>
      </c>
      <c r="E68" s="188">
        <f>Tournament!F81</f>
        <v>41819.708333333336</v>
      </c>
      <c r="F68" s="189">
        <f>Tournament!G81</f>
        <v>41819.708333333336</v>
      </c>
      <c r="G68" s="190" t="str">
        <f>Tournament!H81</f>
        <v>Group D Winner</v>
      </c>
      <c r="H68" s="180"/>
      <c r="I68" s="9"/>
      <c r="J68" s="191" t="s">
        <v>3088</v>
      </c>
      <c r="K68" s="9"/>
      <c r="L68" s="180"/>
      <c r="M68" s="198" t="str">
        <f>Tournament!N81</f>
        <v>Group C Runner Up</v>
      </c>
      <c r="N68" s="183"/>
      <c r="P68" s="192" t="str">
        <f t="shared" si="2"/>
        <v>Group D Winner</v>
      </c>
      <c r="Q68" s="193"/>
      <c r="R68" s="194" t="str">
        <f>IF($Z$67=0,IF($Z$66=0,IF(Tournament!J82&lt;&gt;"",Tournament!J82,""),IF(Tournament!J82&lt;&gt;"",Tournament!J82+Tournament!J83,"")),IF(Tournament!J81&lt;&gt;"",Tournament!J81,""))</f>
        <v/>
      </c>
      <c r="S68" s="194" t="s">
        <v>3088</v>
      </c>
      <c r="T68" s="194" t="str">
        <f>IF($Z$67=0,IF($Z$66=0,IF(Tournament!L82&lt;&gt;"",Tournament!L82,""),IF(Tournament!L82&lt;&gt;"",Tournament!L82+Tournament!L83,"")),IF(Tournament!L81&lt;&gt;"",Tournament!L81,""))</f>
        <v/>
      </c>
      <c r="U68" s="193"/>
      <c r="V68" s="193" t="str">
        <f t="shared" si="3"/>
        <v>Group C Runner Up</v>
      </c>
      <c r="W68" s="191" t="str">
        <f>IF(Tournament!J83&lt;&gt;"",Tournament!J83,"")</f>
        <v/>
      </c>
      <c r="X68" s="199" t="s">
        <v>3088</v>
      </c>
      <c r="Y68" s="191" t="str">
        <f>IF(Tournament!L83&lt;&gt;"",Tournament!L83,"")</f>
        <v/>
      </c>
      <c r="Z68" s="191"/>
      <c r="AA68" s="191" t="str">
        <f>IF(Tournament!J84&lt;&gt;"",Tournament!J84,"")</f>
        <v/>
      </c>
      <c r="AB68" s="194" t="s">
        <v>3088</v>
      </c>
      <c r="AC68" s="191" t="str">
        <f>IF(Tournament!L84&lt;&gt;"",Tournament!L84,"")</f>
        <v/>
      </c>
      <c r="AD68" s="195" t="str">
        <f>IF(AND(I68&lt;&gt;"",K68&lt;&gt;"",R68&lt;&gt;"",T68&lt;&gt;""),IF(AND(I68=R68,K68=T68),Setup!$D$20,IF((I68-K68)=(R68-T68),Setup!$D$21,IF(AND((I68&gt;K68),(R68&gt;T68)),Setup!$D$22,IF(AND((K68&gt;I68),(T68&gt;R68)),Setup!$D$22,0)))),"")</f>
        <v/>
      </c>
      <c r="AE68" s="183"/>
      <c r="CM68" s="168"/>
      <c r="CN68" s="168"/>
      <c r="CO68" s="187"/>
      <c r="CP68" s="168"/>
    </row>
    <row r="69" spans="2:94" s="166" customFormat="1" ht="15" customHeight="1">
      <c r="B69" s="182"/>
      <c r="C69" s="181">
        <v>51</v>
      </c>
      <c r="D69" s="181" t="str">
        <f t="shared" si="4"/>
        <v>R16</v>
      </c>
      <c r="E69" s="188">
        <f>Tournament!F87</f>
        <v>41819.541666666664</v>
      </c>
      <c r="F69" s="189">
        <f>Tournament!G93</f>
        <v>41820.541666666664</v>
      </c>
      <c r="G69" s="190" t="str">
        <f>Tournament!H87</f>
        <v>Group B Winner</v>
      </c>
      <c r="H69" s="180"/>
      <c r="I69" s="9"/>
      <c r="J69" s="191" t="s">
        <v>3088</v>
      </c>
      <c r="K69" s="9"/>
      <c r="L69" s="180"/>
      <c r="M69" s="198" t="str">
        <f>Tournament!N87</f>
        <v>Group A Runner Up</v>
      </c>
      <c r="N69" s="183"/>
      <c r="P69" s="192" t="str">
        <f t="shared" si="2"/>
        <v>Group B Winner</v>
      </c>
      <c r="Q69" s="193"/>
      <c r="R69" s="194" t="str">
        <f>IF($Z$67=0,IF($Z$66=0,IF(Tournament!J88&lt;&gt;"",Tournament!J88,""),IF(Tournament!J88&lt;&gt;"",Tournament!J88+Tournament!J89,"")),IF(Tournament!J87&lt;&gt;"",Tournament!J87,""))</f>
        <v/>
      </c>
      <c r="S69" s="194" t="s">
        <v>3088</v>
      </c>
      <c r="T69" s="194" t="str">
        <f>IF($Z$67=0,IF($Z$66=0,IF(Tournament!L88&lt;&gt;"",Tournament!L88,""),IF(Tournament!L88&lt;&gt;"",Tournament!L88+Tournament!L89,"")),IF(Tournament!L87&lt;&gt;"",Tournament!L87,""))</f>
        <v/>
      </c>
      <c r="U69" s="193"/>
      <c r="V69" s="193" t="str">
        <f t="shared" si="3"/>
        <v>Group A Runner Up</v>
      </c>
      <c r="W69" s="191" t="str">
        <f>IF(Tournament!J89&lt;&gt;"",Tournament!J89,"")</f>
        <v/>
      </c>
      <c r="X69" s="199" t="s">
        <v>3088</v>
      </c>
      <c r="Y69" s="191" t="str">
        <f>IF(Tournament!L89&lt;&gt;"",Tournament!L89,"")</f>
        <v/>
      </c>
      <c r="Z69" s="191"/>
      <c r="AA69" s="191" t="str">
        <f>IF(Tournament!J90&lt;&gt;"",Tournament!J90,"")</f>
        <v/>
      </c>
      <c r="AB69" s="194" t="s">
        <v>3088</v>
      </c>
      <c r="AC69" s="191" t="str">
        <f>IF(Tournament!L90&lt;&gt;"",Tournament!L90,"")</f>
        <v/>
      </c>
      <c r="AD69" s="195" t="str">
        <f>IF(AND(I69&lt;&gt;"",K69&lt;&gt;"",R69&lt;&gt;"",T69&lt;&gt;""),IF(AND(I69=R69,K69=T69),Setup!$D$20,IF((I69-K69)=(R69-T69),Setup!$D$21,IF(AND((I69&gt;K69),(R69&gt;T69)),Setup!$D$22,IF(AND((K69&gt;I69),(T69&gt;R69)),Setup!$D$22,0)))),"")</f>
        <v/>
      </c>
      <c r="AE69" s="183"/>
      <c r="CM69" s="168"/>
      <c r="CN69" s="168"/>
      <c r="CO69" s="187"/>
      <c r="CP69" s="168"/>
    </row>
    <row r="70" spans="2:94" s="166" customFormat="1" ht="15" customHeight="1">
      <c r="B70" s="182"/>
      <c r="C70" s="181">
        <v>53</v>
      </c>
      <c r="D70" s="181" t="str">
        <f t="shared" si="4"/>
        <v>R16</v>
      </c>
      <c r="E70" s="188">
        <f>Tournament!F93</f>
        <v>41820.541666666664</v>
      </c>
      <c r="F70" s="189">
        <f>Tournament!G93</f>
        <v>41820.541666666664</v>
      </c>
      <c r="G70" s="190" t="str">
        <f>Tournament!H93</f>
        <v>Group E Winner</v>
      </c>
      <c r="H70" s="180"/>
      <c r="I70" s="9"/>
      <c r="J70" s="191" t="s">
        <v>3088</v>
      </c>
      <c r="K70" s="9"/>
      <c r="L70" s="180"/>
      <c r="M70" s="198" t="str">
        <f>Tournament!N93</f>
        <v>Group F Runner Up</v>
      </c>
      <c r="N70" s="183"/>
      <c r="P70" s="192" t="str">
        <f t="shared" si="2"/>
        <v>Group E Winner</v>
      </c>
      <c r="Q70" s="193"/>
      <c r="R70" s="194" t="str">
        <f>IF($Z$67=0,IF($Z$66=0,IF(Tournament!J94&lt;&gt;"",Tournament!J94,""),IF(Tournament!J94&lt;&gt;"",Tournament!J94+Tournament!J95,"")),IF(Tournament!J93&lt;&gt;"",Tournament!J93,""))</f>
        <v/>
      </c>
      <c r="S70" s="194" t="s">
        <v>3088</v>
      </c>
      <c r="T70" s="194" t="str">
        <f>IF($Z$67=0,IF($Z$66=0,IF(Tournament!L94&lt;&gt;"",Tournament!L94,""),IF(Tournament!L94&lt;&gt;"",Tournament!L94+Tournament!L95,"")),IF(Tournament!L93&lt;&gt;"",Tournament!L93,""))</f>
        <v/>
      </c>
      <c r="U70" s="193"/>
      <c r="V70" s="193" t="str">
        <f t="shared" si="3"/>
        <v>Group F Runner Up</v>
      </c>
      <c r="W70" s="191" t="str">
        <f>IF(Tournament!J95&lt;&gt;"",Tournament!J95,"")</f>
        <v/>
      </c>
      <c r="X70" s="199" t="s">
        <v>3088</v>
      </c>
      <c r="Y70" s="191" t="str">
        <f>IF(Tournament!L95&lt;&gt;"",Tournament!L95,"")</f>
        <v/>
      </c>
      <c r="Z70" s="191"/>
      <c r="AA70" s="191" t="str">
        <f>IF(Tournament!J96&lt;&gt;"",Tournament!J96,"")</f>
        <v/>
      </c>
      <c r="AB70" s="194" t="s">
        <v>3088</v>
      </c>
      <c r="AC70" s="191" t="str">
        <f>IF(Tournament!L96&lt;&gt;"",Tournament!L96,"")</f>
        <v/>
      </c>
      <c r="AD70" s="195" t="str">
        <f>IF(AND(I70&lt;&gt;"",K70&lt;&gt;"",R70&lt;&gt;"",T70&lt;&gt;""),IF(AND(I70=R70,K70=T70),Setup!$D$20,IF((I70-K70)=(R70-T70),Setup!$D$21,IF(AND((I70&gt;K70),(R70&gt;T70)),Setup!$D$22,IF(AND((K70&gt;I70),(T70&gt;R70)),Setup!$D$22,0)))),"")</f>
        <v/>
      </c>
      <c r="AE70" s="183"/>
      <c r="CM70" s="168"/>
      <c r="CN70" s="168"/>
      <c r="CO70" s="187"/>
      <c r="CP70" s="168"/>
    </row>
    <row r="71" spans="2:94" s="166" customFormat="1" ht="15" customHeight="1">
      <c r="B71" s="182"/>
      <c r="C71" s="181">
        <v>54</v>
      </c>
      <c r="D71" s="181" t="str">
        <f t="shared" si="4"/>
        <v>R16</v>
      </c>
      <c r="E71" s="188">
        <f>Tournament!F99</f>
        <v>41820.708333333336</v>
      </c>
      <c r="F71" s="189">
        <f>Tournament!G99</f>
        <v>41820.708333333336</v>
      </c>
      <c r="G71" s="190" t="str">
        <f>Tournament!H99</f>
        <v>Group G Winner</v>
      </c>
      <c r="H71" s="180"/>
      <c r="I71" s="9"/>
      <c r="J71" s="191" t="s">
        <v>3088</v>
      </c>
      <c r="K71" s="9"/>
      <c r="L71" s="180"/>
      <c r="M71" s="198" t="str">
        <f>Tournament!N99</f>
        <v>Group H Runner Up</v>
      </c>
      <c r="N71" s="183"/>
      <c r="P71" s="192" t="str">
        <f t="shared" si="2"/>
        <v>Group G Winner</v>
      </c>
      <c r="Q71" s="193"/>
      <c r="R71" s="194" t="str">
        <f>IF($Z$67=0,IF($Z$66=0,IF(Tournament!J100&lt;&gt;"",Tournament!J100,""),IF(Tournament!J100&lt;&gt;"",Tournament!J100+Tournament!J101,"")),IF(Tournament!J99&lt;&gt;"",Tournament!J99,""))</f>
        <v/>
      </c>
      <c r="S71" s="194" t="s">
        <v>3088</v>
      </c>
      <c r="T71" s="194" t="str">
        <f>IF($Z$67=0,IF($Z$66=0,IF(Tournament!L100&lt;&gt;"",Tournament!L100,""),IF(Tournament!L100&lt;&gt;"",Tournament!L100+Tournament!L101,"")),IF(Tournament!L99&lt;&gt;"",Tournament!L99,""))</f>
        <v/>
      </c>
      <c r="U71" s="193"/>
      <c r="V71" s="193" t="str">
        <f t="shared" si="3"/>
        <v>Group H Runner Up</v>
      </c>
      <c r="W71" s="191" t="str">
        <f>IF(Tournament!J101&lt;&gt;"",Tournament!J101,"")</f>
        <v/>
      </c>
      <c r="X71" s="199" t="s">
        <v>3088</v>
      </c>
      <c r="Y71" s="191" t="str">
        <f>IF(Tournament!L101&lt;&gt;"",Tournament!L101,"")</f>
        <v/>
      </c>
      <c r="Z71" s="191"/>
      <c r="AA71" s="191" t="str">
        <f>IF(Tournament!J102&lt;&gt;"",Tournament!J102,"")</f>
        <v/>
      </c>
      <c r="AB71" s="194" t="s">
        <v>3088</v>
      </c>
      <c r="AC71" s="191" t="str">
        <f>IF(Tournament!L102&lt;&gt;"",Tournament!L102,"")</f>
        <v/>
      </c>
      <c r="AD71" s="195" t="str">
        <f>IF(AND(I71&lt;&gt;"",K71&lt;&gt;"",R71&lt;&gt;"",T71&lt;&gt;""),IF(AND(I71=R71,K71=T71),Setup!$D$20,IF((I71-K71)=(R71-T71),Setup!$D$21,IF(AND((I71&gt;K71),(R71&gt;T71)),Setup!$D$22,IF(AND((K71&gt;I71),(T71&gt;R71)),Setup!$D$22,0)))),"")</f>
        <v/>
      </c>
      <c r="AE71" s="183"/>
      <c r="CM71" s="168"/>
      <c r="CN71" s="168"/>
      <c r="CO71" s="187"/>
      <c r="CP71" s="168"/>
    </row>
    <row r="72" spans="2:94" s="166" customFormat="1" ht="15" customHeight="1">
      <c r="B72" s="182"/>
      <c r="C72" s="181">
        <v>55</v>
      </c>
      <c r="D72" s="181" t="str">
        <f t="shared" si="4"/>
        <v>R16</v>
      </c>
      <c r="E72" s="188">
        <f>Tournament!F105</f>
        <v>41821.541666666664</v>
      </c>
      <c r="F72" s="189">
        <f>Tournament!G105</f>
        <v>41821.541666666664</v>
      </c>
      <c r="G72" s="190" t="str">
        <f>Tournament!H105</f>
        <v>Group F Winner</v>
      </c>
      <c r="H72" s="180"/>
      <c r="I72" s="9"/>
      <c r="J72" s="191" t="s">
        <v>3088</v>
      </c>
      <c r="K72" s="9"/>
      <c r="L72" s="180"/>
      <c r="M72" s="198" t="str">
        <f>Tournament!N105</f>
        <v>Group E Runner Up</v>
      </c>
      <c r="N72" s="183"/>
      <c r="P72" s="192" t="str">
        <f t="shared" si="2"/>
        <v>Group F Winner</v>
      </c>
      <c r="Q72" s="193"/>
      <c r="R72" s="194" t="str">
        <f>IF($Z$67=0,IF($Z$66=0,IF(Tournament!J106&lt;&gt;"",Tournament!J106,""),IF(Tournament!J106&lt;&gt;"",Tournament!J106+Tournament!J107,"")),IF(Tournament!J105&lt;&gt;"",Tournament!J105,""))</f>
        <v/>
      </c>
      <c r="S72" s="194" t="s">
        <v>3088</v>
      </c>
      <c r="T72" s="194" t="str">
        <f>IF($Z$67=0,IF($Z$66=0,IF(Tournament!L106&lt;&gt;"",Tournament!L106,""),IF(Tournament!L106&lt;&gt;"",Tournament!L106+Tournament!L107,"")),IF(Tournament!L105&lt;&gt;"",Tournament!L105,""))</f>
        <v/>
      </c>
      <c r="U72" s="193"/>
      <c r="V72" s="193" t="str">
        <f t="shared" si="3"/>
        <v>Group E Runner Up</v>
      </c>
      <c r="W72" s="191" t="str">
        <f>IF(Tournament!J107&lt;&gt;"",Tournament!J107,"")</f>
        <v/>
      </c>
      <c r="X72" s="199" t="s">
        <v>3088</v>
      </c>
      <c r="Y72" s="191" t="str">
        <f>IF(Tournament!L107&lt;&gt;"",Tournament!L107,"")</f>
        <v/>
      </c>
      <c r="Z72" s="191"/>
      <c r="AA72" s="191" t="str">
        <f>IF(Tournament!J108&lt;&gt;"",Tournament!J108,"")</f>
        <v/>
      </c>
      <c r="AB72" s="194" t="s">
        <v>3088</v>
      </c>
      <c r="AC72" s="191" t="str">
        <f>IF(Tournament!L108&lt;&gt;"",Tournament!L108,"")</f>
        <v/>
      </c>
      <c r="AD72" s="195" t="str">
        <f>IF(AND(I72&lt;&gt;"",K72&lt;&gt;"",R72&lt;&gt;"",T72&lt;&gt;""),IF(AND(I72=R72,K72=T72),Setup!$D$20,IF((I72-K72)=(R72-T72),Setup!$D$21,IF(AND((I72&gt;K72),(R72&gt;T72)),Setup!$D$22,IF(AND((K72&gt;I72),(T72&gt;R72)),Setup!$D$22,0)))),"")</f>
        <v/>
      </c>
      <c r="AE72" s="183"/>
      <c r="CM72" s="168"/>
      <c r="CN72" s="168"/>
      <c r="CO72" s="187"/>
      <c r="CP72" s="168"/>
    </row>
    <row r="73" spans="2:94" s="166" customFormat="1" ht="15" customHeight="1">
      <c r="B73" s="182"/>
      <c r="C73" s="181">
        <v>56</v>
      </c>
      <c r="D73" s="181" t="str">
        <f t="shared" si="4"/>
        <v>R16</v>
      </c>
      <c r="E73" s="188">
        <f>Tournament!F111</f>
        <v>41821.708333333336</v>
      </c>
      <c r="F73" s="189">
        <f>Tournament!G111</f>
        <v>41821.708333333336</v>
      </c>
      <c r="G73" s="190" t="str">
        <f>Tournament!H111</f>
        <v>Group H Winner</v>
      </c>
      <c r="H73" s="180"/>
      <c r="I73" s="9"/>
      <c r="J73" s="191" t="s">
        <v>3088</v>
      </c>
      <c r="K73" s="9"/>
      <c r="L73" s="180"/>
      <c r="M73" s="198" t="str">
        <f>Tournament!N111</f>
        <v>Group G Runner Up</v>
      </c>
      <c r="N73" s="183"/>
      <c r="P73" s="192" t="str">
        <f t="shared" si="2"/>
        <v>Group H Winner</v>
      </c>
      <c r="Q73" s="193"/>
      <c r="R73" s="194" t="str">
        <f>IF($Z$67=0,IF($Z$66=0,IF(Tournament!J112&lt;&gt;"",Tournament!J112,""),IF(Tournament!J112&lt;&gt;"",Tournament!J112+Tournament!J113,"")),IF(Tournament!J111&lt;&gt;"",Tournament!J111,""))</f>
        <v/>
      </c>
      <c r="S73" s="194" t="s">
        <v>3088</v>
      </c>
      <c r="T73" s="194" t="str">
        <f>IF($Z$67=0,IF($Z$66=0,IF(Tournament!L112&lt;&gt;"",Tournament!L112,""),IF(Tournament!L112&lt;&gt;"",Tournament!L112+Tournament!L113,"")),IF(Tournament!L111&lt;&gt;"",Tournament!L111,""))</f>
        <v/>
      </c>
      <c r="U73" s="193"/>
      <c r="V73" s="193" t="str">
        <f t="shared" si="3"/>
        <v>Group G Runner Up</v>
      </c>
      <c r="W73" s="191" t="str">
        <f>IF(Tournament!J113&lt;&gt;"",Tournament!J113,"")</f>
        <v/>
      </c>
      <c r="X73" s="199" t="s">
        <v>3088</v>
      </c>
      <c r="Y73" s="191" t="str">
        <f>IF(Tournament!L113&lt;&gt;"",Tournament!L113,"")</f>
        <v/>
      </c>
      <c r="Z73" s="191"/>
      <c r="AA73" s="191" t="str">
        <f>IF(Tournament!J114&lt;&gt;"",Tournament!J114,"")</f>
        <v/>
      </c>
      <c r="AB73" s="194" t="s">
        <v>3088</v>
      </c>
      <c r="AC73" s="191" t="str">
        <f>IF(Tournament!L114&lt;&gt;"",Tournament!L114,"")</f>
        <v/>
      </c>
      <c r="AD73" s="195" t="str">
        <f>IF(AND(I73&lt;&gt;"",K73&lt;&gt;"",R73&lt;&gt;"",T73&lt;&gt;""),IF(AND(I73=R73,K73=T73),Setup!$D$20,IF((I73-K73)=(R73-T73),Setup!$D$21,IF(AND((I73&gt;K73),(R73&gt;T73)),Setup!$D$22,IF(AND((K73&gt;I73),(T73&gt;R73)),Setup!$D$22,0)))),"")</f>
        <v/>
      </c>
      <c r="AE73" s="183"/>
      <c r="CM73" s="168"/>
      <c r="CN73" s="168"/>
      <c r="CO73" s="187"/>
      <c r="CP73" s="168"/>
    </row>
    <row r="74" spans="2:94" s="166" customFormat="1" ht="15" customHeight="1">
      <c r="B74" s="182"/>
      <c r="C74" s="181">
        <v>58</v>
      </c>
      <c r="D74" s="181" t="s">
        <v>3549</v>
      </c>
      <c r="E74" s="188">
        <f>Tournament!T69</f>
        <v>41824.541666666664</v>
      </c>
      <c r="F74" s="189">
        <f>Tournament!U69</f>
        <v>41824.541666666664</v>
      </c>
      <c r="G74" s="190" t="str">
        <f>Tournament!Y69</f>
        <v>Match 53 Winner</v>
      </c>
      <c r="H74" s="180"/>
      <c r="I74" s="9"/>
      <c r="J74" s="191" t="s">
        <v>3088</v>
      </c>
      <c r="K74" s="9"/>
      <c r="L74" s="180"/>
      <c r="M74" s="198" t="str">
        <f>Tournament!AE69</f>
        <v>Match 54 Winner</v>
      </c>
      <c r="N74" s="183"/>
      <c r="P74" s="192" t="str">
        <f t="shared" si="2"/>
        <v>Match 53 Winner</v>
      </c>
      <c r="Q74" s="193"/>
      <c r="R74" s="194" t="str">
        <f>IF($Z$67=0,IF($Z$66=0,IF(Tournament!AA70&lt;&gt;"",Tournament!AA70,""),IF(Tournament!AA70&lt;&gt;"",Tournament!AA70+Tournament!AA71,"")),IF(Tournament!AA69&lt;&gt;"",Tournament!AA69,""))</f>
        <v/>
      </c>
      <c r="S74" s="194" t="s">
        <v>3088</v>
      </c>
      <c r="T74" s="194" t="str">
        <f>IF($Z$67=0,IF($Z$66=0,IF(Tournament!AC70&lt;&gt;"",Tournament!AC70,""),IF(Tournament!AC70&lt;&gt;"",Tournament!AC70+Tournament!AC71,"")),IF(Tournament!AC69&lt;&gt;"",Tournament!AC69,""))</f>
        <v/>
      </c>
      <c r="U74" s="193"/>
      <c r="V74" s="193" t="str">
        <f t="shared" si="3"/>
        <v>Match 54 Winner</v>
      </c>
      <c r="W74" s="191" t="str">
        <f>IF(Tournament!AA71&lt;&gt;"",Tournament!AA71,"")</f>
        <v/>
      </c>
      <c r="X74" s="199" t="s">
        <v>3088</v>
      </c>
      <c r="Y74" s="191" t="str">
        <f>IF(Tournament!AC71&lt;&gt;"",Tournament!AC71,"")</f>
        <v/>
      </c>
      <c r="Z74" s="191"/>
      <c r="AA74" s="191" t="str">
        <f>IF(Tournament!AA72&lt;&gt;"",Tournament!AA72,"")</f>
        <v/>
      </c>
      <c r="AB74" s="194" t="s">
        <v>3088</v>
      </c>
      <c r="AC74" s="191" t="str">
        <f>IF(Tournament!AC72&lt;&gt;"",Tournament!AC72,"")</f>
        <v/>
      </c>
      <c r="AD74" s="195" t="str">
        <f>IF(AND(I74&lt;&gt;"",K74&lt;&gt;"",R74&lt;&gt;"",T74&lt;&gt;""),IF(AND(I74=R74,K74=T74),Setup!$E$20,IF((I74-K74)=(R74-T74),Setup!$E$21,IF(AND((I74&gt;K74),(R74&gt;T74)),Setup!$E$22,IF(AND((K74&gt;I74),(T74&gt;R74)),Setup!$E$22,0)))),"")</f>
        <v/>
      </c>
      <c r="AE74" s="183"/>
      <c r="CM74" s="168"/>
      <c r="CN74" s="168"/>
      <c r="CO74" s="187"/>
      <c r="CP74" s="168"/>
    </row>
    <row r="75" spans="2:94" s="166" customFormat="1" ht="15" customHeight="1">
      <c r="B75" s="182"/>
      <c r="C75" s="181">
        <v>57</v>
      </c>
      <c r="D75" s="181" t="str">
        <f>D74</f>
        <v>QF</v>
      </c>
      <c r="E75" s="188">
        <f>Tournament!T74</f>
        <v>41824.708333333336</v>
      </c>
      <c r="F75" s="189">
        <f>Tournament!U74</f>
        <v>41824.708333333336</v>
      </c>
      <c r="G75" s="190" t="str">
        <f>Tournament!Y74</f>
        <v>Match 49 Winner</v>
      </c>
      <c r="H75" s="180"/>
      <c r="I75" s="9"/>
      <c r="J75" s="191" t="s">
        <v>3088</v>
      </c>
      <c r="K75" s="9"/>
      <c r="L75" s="180"/>
      <c r="M75" s="198" t="str">
        <f>Tournament!AE74</f>
        <v>Match 50 Winner</v>
      </c>
      <c r="N75" s="183"/>
      <c r="P75" s="192" t="str">
        <f t="shared" si="2"/>
        <v>Match 49 Winner</v>
      </c>
      <c r="Q75" s="193"/>
      <c r="R75" s="194" t="str">
        <f>IF($Z$67=0,IF($Z$66=0,IF(Tournament!AA75&lt;&gt;"",Tournament!AA75,""),IF(Tournament!AA75&lt;&gt;"",Tournament!AA75+Tournament!AA76,"")),IF(Tournament!AA74&lt;&gt;"",Tournament!AA74,""))</f>
        <v/>
      </c>
      <c r="S75" s="194" t="s">
        <v>3088</v>
      </c>
      <c r="T75" s="194" t="str">
        <f>IF($Z$67=0,IF($Z$66=0,IF(Tournament!AC75&lt;&gt;"",Tournament!AC75,""),IF(Tournament!AC75&lt;&gt;"",Tournament!AC75+Tournament!AC76,"")),IF(Tournament!AC74&lt;&gt;"",Tournament!AC74,""))</f>
        <v/>
      </c>
      <c r="U75" s="193"/>
      <c r="V75" s="193" t="str">
        <f t="shared" si="3"/>
        <v>Match 50 Winner</v>
      </c>
      <c r="W75" s="191" t="str">
        <f>IF(Tournament!AA76&lt;&gt;"",Tournament!AA76,"")</f>
        <v/>
      </c>
      <c r="X75" s="199" t="s">
        <v>3088</v>
      </c>
      <c r="Y75" s="191" t="str">
        <f>IF(Tournament!AC76&lt;&gt;"",Tournament!AC76,"")</f>
        <v/>
      </c>
      <c r="Z75" s="191"/>
      <c r="AA75" s="191" t="str">
        <f>IF(Tournament!AA77&lt;&gt;"",Tournament!AA77,"")</f>
        <v/>
      </c>
      <c r="AB75" s="194" t="s">
        <v>3088</v>
      </c>
      <c r="AC75" s="191" t="str">
        <f>IF(Tournament!AC77&lt;&gt;"",Tournament!AC77,"")</f>
        <v/>
      </c>
      <c r="AD75" s="195" t="str">
        <f>IF(AND(I75&lt;&gt;"",K75&lt;&gt;"",R75&lt;&gt;"",T75&lt;&gt;""),IF(AND(I75=R75,K75=T75),Setup!$E$20,IF((I75-K75)=(R75-T75),Setup!$E$21,IF(AND((I75&gt;K75),(R75&gt;T75)),Setup!$E$22,IF(AND((K75&gt;I75),(T75&gt;R75)),Setup!$E$22,0)))),"")</f>
        <v/>
      </c>
      <c r="AE75" s="183"/>
      <c r="CM75" s="168"/>
      <c r="CN75" s="168"/>
      <c r="CO75" s="187"/>
      <c r="CP75" s="168"/>
    </row>
    <row r="76" spans="2:94" s="166" customFormat="1" ht="15" customHeight="1">
      <c r="B76" s="182"/>
      <c r="C76" s="181">
        <v>59</v>
      </c>
      <c r="D76" s="181" t="str">
        <f>D75</f>
        <v>QF</v>
      </c>
      <c r="E76" s="188">
        <f>Tournament!T79</f>
        <v>41825.708333333336</v>
      </c>
      <c r="F76" s="189">
        <f>Tournament!U79</f>
        <v>41825.708333333336</v>
      </c>
      <c r="G76" s="190" t="str">
        <f>Tournament!Y79</f>
        <v>Match 51 Winner</v>
      </c>
      <c r="H76" s="180"/>
      <c r="I76" s="9"/>
      <c r="J76" s="191" t="s">
        <v>3088</v>
      </c>
      <c r="K76" s="9"/>
      <c r="L76" s="180"/>
      <c r="M76" s="198" t="str">
        <f>Tournament!AE79</f>
        <v>Match 52 Winner</v>
      </c>
      <c r="N76" s="183"/>
      <c r="P76" s="192" t="str">
        <f t="shared" si="2"/>
        <v>Match 51 Winner</v>
      </c>
      <c r="Q76" s="193"/>
      <c r="R76" s="194" t="str">
        <f>IF($Z$67=0,IF($Z$66=0,IF(Tournament!AA80&lt;&gt;"",Tournament!AA80,""),IF(Tournament!AA80&lt;&gt;"",Tournament!AA80+Tournament!AA81,"")),IF(Tournament!AA79&lt;&gt;"",Tournament!AA79,""))</f>
        <v/>
      </c>
      <c r="S76" s="194" t="s">
        <v>3088</v>
      </c>
      <c r="T76" s="194" t="str">
        <f>IF($Z$67=0,IF($Z$66=0,IF(Tournament!AC80&lt;&gt;"",Tournament!AC80,""),IF(Tournament!AC80&lt;&gt;"",Tournament!AC80+Tournament!AC81,"")),IF(Tournament!AC79&lt;&gt;"",Tournament!AC79,""))</f>
        <v/>
      </c>
      <c r="U76" s="193"/>
      <c r="V76" s="193" t="str">
        <f t="shared" si="3"/>
        <v>Match 52 Winner</v>
      </c>
      <c r="W76" s="191" t="str">
        <f>IF(Tournament!AA81&lt;&gt;"",Tournament!AA81,"")</f>
        <v/>
      </c>
      <c r="X76" s="199" t="s">
        <v>3088</v>
      </c>
      <c r="Y76" s="191" t="str">
        <f>IF(Tournament!AC81&lt;&gt;"",Tournament!AC81,"")</f>
        <v/>
      </c>
      <c r="Z76" s="191"/>
      <c r="AA76" s="191" t="str">
        <f>IF(Tournament!AA82&lt;&gt;"",Tournament!AA82,"")</f>
        <v/>
      </c>
      <c r="AB76" s="194" t="s">
        <v>3088</v>
      </c>
      <c r="AC76" s="191" t="str">
        <f>IF(Tournament!AC82&lt;&gt;"",Tournament!AC82,"")</f>
        <v/>
      </c>
      <c r="AD76" s="195" t="str">
        <f>IF(AND(I76&lt;&gt;"",K76&lt;&gt;"",R76&lt;&gt;"",T76&lt;&gt;""),IF(AND(I76=R76,K76=T76),Setup!$E$20,IF((I76-K76)=(R76-T76),Setup!$E$21,IF(AND((I76&gt;K76),(R76&gt;T76)),Setup!$E$22,IF(AND((K76&gt;I76),(T76&gt;R76)),Setup!$E$22,0)))),"")</f>
        <v/>
      </c>
      <c r="AE76" s="183"/>
      <c r="CM76" s="168"/>
      <c r="CN76" s="168"/>
      <c r="CO76" s="187"/>
      <c r="CP76" s="168"/>
    </row>
    <row r="77" spans="2:94" s="166" customFormat="1" ht="15" customHeight="1">
      <c r="B77" s="182"/>
      <c r="C77" s="181">
        <v>60</v>
      </c>
      <c r="D77" s="181" t="str">
        <f>D76</f>
        <v>QF</v>
      </c>
      <c r="E77" s="188">
        <f>Tournament!T84</f>
        <v>41825.541666666664</v>
      </c>
      <c r="F77" s="189">
        <f>Tournament!U84</f>
        <v>41825.541666666664</v>
      </c>
      <c r="G77" s="190" t="str">
        <f>Tournament!Y84</f>
        <v>Match 55 Winner</v>
      </c>
      <c r="H77" s="180"/>
      <c r="I77" s="9"/>
      <c r="J77" s="191" t="s">
        <v>3088</v>
      </c>
      <c r="K77" s="9"/>
      <c r="L77" s="180"/>
      <c r="M77" s="198" t="str">
        <f>Tournament!AE84</f>
        <v>Match 56 Winner</v>
      </c>
      <c r="N77" s="183"/>
      <c r="P77" s="192" t="str">
        <f t="shared" si="2"/>
        <v>Match 55 Winner</v>
      </c>
      <c r="Q77" s="193"/>
      <c r="R77" s="194" t="str">
        <f>IF($Z$67=0,IF($Z$66=0,IF(Tournament!AA85&lt;&gt;"",Tournament!AA85,""),IF(Tournament!AA85&lt;&gt;"",Tournament!AA85+Tournament!AA86,"")),IF(Tournament!AA84&lt;&gt;"",Tournament!AA84,""))</f>
        <v/>
      </c>
      <c r="S77" s="194" t="s">
        <v>3088</v>
      </c>
      <c r="T77" s="194" t="str">
        <f>IF($Z$67=0,IF($Z$66=0,IF(Tournament!AC85&lt;&gt;"",Tournament!AC85,""),IF(Tournament!AC85&lt;&gt;"",Tournament!AC85+Tournament!AC86,"")),IF(Tournament!AC84&lt;&gt;"",Tournament!AC84,""))</f>
        <v/>
      </c>
      <c r="U77" s="193"/>
      <c r="V77" s="193" t="str">
        <f t="shared" si="3"/>
        <v>Match 56 Winner</v>
      </c>
      <c r="W77" s="191" t="str">
        <f>IF(Tournament!AA86&lt;&gt;"",Tournament!AA86,"")</f>
        <v/>
      </c>
      <c r="X77" s="199" t="s">
        <v>3088</v>
      </c>
      <c r="Y77" s="191" t="str">
        <f>IF(Tournament!AC86&lt;&gt;"",Tournament!AC86,"")</f>
        <v/>
      </c>
      <c r="Z77" s="191"/>
      <c r="AA77" s="191" t="str">
        <f>IF(Tournament!AA87&lt;&gt;"",Tournament!AA87,"")</f>
        <v/>
      </c>
      <c r="AB77" s="194" t="s">
        <v>3088</v>
      </c>
      <c r="AC77" s="191" t="str">
        <f>IF(Tournament!AC87&lt;&gt;"",Tournament!AC87,"")</f>
        <v/>
      </c>
      <c r="AD77" s="195" t="str">
        <f>IF(AND(I77&lt;&gt;"",K77&lt;&gt;"",R77&lt;&gt;"",T77&lt;&gt;""),IF(AND(I77=R77,K77=T77),Setup!$E$20,IF((I77-K77)=(R77-T77),Setup!$E$21,IF(AND((I77&gt;K77),(R77&gt;T77)),Setup!$E$22,IF(AND((K77&gt;I77),(T77&gt;R77)),Setup!$E$22,0)))),"")</f>
        <v/>
      </c>
      <c r="AE77" s="183"/>
      <c r="CM77" s="168"/>
      <c r="CN77" s="168"/>
      <c r="CO77" s="187"/>
      <c r="CP77" s="168"/>
    </row>
    <row r="78" spans="2:94" s="166" customFormat="1" ht="15" customHeight="1">
      <c r="B78" s="182"/>
      <c r="C78" s="181">
        <v>61</v>
      </c>
      <c r="D78" s="181" t="s">
        <v>3550</v>
      </c>
      <c r="E78" s="188">
        <f>Tournament!T92</f>
        <v>41828.708333333336</v>
      </c>
      <c r="F78" s="189">
        <f>Tournament!U92</f>
        <v>41828.708333333336</v>
      </c>
      <c r="G78" s="190" t="str">
        <f>Tournament!Y92</f>
        <v>Match 57 Winner</v>
      </c>
      <c r="H78" s="180"/>
      <c r="I78" s="9"/>
      <c r="J78" s="191" t="s">
        <v>3088</v>
      </c>
      <c r="K78" s="9"/>
      <c r="L78" s="180"/>
      <c r="M78" s="198" t="str">
        <f>Tournament!AE92</f>
        <v>Match 58 Winner</v>
      </c>
      <c r="N78" s="183"/>
      <c r="P78" s="192" t="str">
        <f t="shared" si="2"/>
        <v>Match 57 Winner</v>
      </c>
      <c r="Q78" s="193"/>
      <c r="R78" s="194" t="str">
        <f>IF($Z$67=0,IF($Z$66=0,IF(Tournament!AA93&lt;&gt;"",Tournament!AA93,""),IF(Tournament!AA93&lt;&gt;"",Tournament!AA93+Tournament!AA94,"")),IF(Tournament!AA92&lt;&gt;"",Tournament!AA92,""))</f>
        <v/>
      </c>
      <c r="S78" s="194" t="s">
        <v>3088</v>
      </c>
      <c r="T78" s="194" t="str">
        <f>IF($Z$67=0,IF($Z$66=0,IF(Tournament!AC93&lt;&gt;"",Tournament!AC93,""),IF(Tournament!AC93&lt;&gt;"",Tournament!AC93+Tournament!AC94,"")),IF(Tournament!AC92&lt;&gt;"",Tournament!AC92,""))</f>
        <v/>
      </c>
      <c r="U78" s="193"/>
      <c r="V78" s="193" t="str">
        <f t="shared" si="3"/>
        <v>Match 58 Winner</v>
      </c>
      <c r="W78" s="191" t="str">
        <f>IF(Tournament!AA94&lt;&gt;"",Tournament!AA94,"")</f>
        <v/>
      </c>
      <c r="X78" s="199" t="s">
        <v>3088</v>
      </c>
      <c r="Y78" s="191" t="str">
        <f>IF(Tournament!AC94&lt;&gt;"",Tournament!AC94,"")</f>
        <v/>
      </c>
      <c r="Z78" s="191"/>
      <c r="AA78" s="191" t="str">
        <f>IF(Tournament!AA95&lt;&gt;"",Tournament!AA95,"")</f>
        <v/>
      </c>
      <c r="AB78" s="194" t="s">
        <v>3088</v>
      </c>
      <c r="AC78" s="191" t="str">
        <f>IF(Tournament!AC95&lt;&gt;"",Tournament!AC95,"")</f>
        <v/>
      </c>
      <c r="AD78" s="195" t="str">
        <f>IF(AND(I78&lt;&gt;"",K78&lt;&gt;"",R78&lt;&gt;"",T78&lt;&gt;""),IF(AND(I78=R78,K78=T78),Setup!$F$20,IF((I78-K78)=(R78-T78),Setup!$F$21,IF(AND((I78&gt;K78),(R78&gt;T78)),Setup!$F$22,IF(AND((K78&gt;I78),(T78&gt;R78)),Setup!$F$22,0)))),"")</f>
        <v/>
      </c>
      <c r="AE78" s="183"/>
      <c r="CM78" s="168"/>
      <c r="CN78" s="168"/>
      <c r="CO78" s="187"/>
      <c r="CP78" s="168"/>
    </row>
    <row r="79" spans="2:94" s="166" customFormat="1" ht="15" customHeight="1">
      <c r="B79" s="182"/>
      <c r="C79" s="181">
        <v>62</v>
      </c>
      <c r="D79" s="181" t="str">
        <f>D78</f>
        <v>SF</v>
      </c>
      <c r="E79" s="188">
        <f>Tournament!T97</f>
        <v>41829.708333333336</v>
      </c>
      <c r="F79" s="189">
        <f>Tournament!U97</f>
        <v>41829.708333333336</v>
      </c>
      <c r="G79" s="190" t="str">
        <f>Tournament!Y97</f>
        <v>Match 59 Winner</v>
      </c>
      <c r="H79" s="180"/>
      <c r="I79" s="9"/>
      <c r="J79" s="191" t="s">
        <v>3088</v>
      </c>
      <c r="K79" s="9"/>
      <c r="L79" s="180"/>
      <c r="M79" s="198" t="str">
        <f>Tournament!AE97</f>
        <v>Match 60 Winner</v>
      </c>
      <c r="N79" s="183"/>
      <c r="P79" s="192" t="str">
        <f t="shared" si="2"/>
        <v>Match 59 Winner</v>
      </c>
      <c r="Q79" s="193"/>
      <c r="R79" s="194" t="str">
        <f>IF($Z$67=0,IF($Z$66=0,IF(Tournament!AA98&lt;&gt;"",Tournament!AA98,""),IF(Tournament!AA98&lt;&gt;"",Tournament!AA98+Tournament!AA99,"")),IF(Tournament!AA97&lt;&gt;"",Tournament!AA97,""))</f>
        <v/>
      </c>
      <c r="S79" s="194" t="s">
        <v>3088</v>
      </c>
      <c r="T79" s="194" t="str">
        <f>IF($Z$67=0,IF($Z$66=0,IF(Tournament!AC98&lt;&gt;"",Tournament!AC98,""),IF(Tournament!AC98&lt;&gt;"",Tournament!AC98+Tournament!AC99,"")),IF(Tournament!AC97&lt;&gt;"",Tournament!AC97,""))</f>
        <v/>
      </c>
      <c r="U79" s="193"/>
      <c r="V79" s="193" t="str">
        <f t="shared" si="3"/>
        <v>Match 60 Winner</v>
      </c>
      <c r="W79" s="191" t="str">
        <f>IF(Tournament!AA99&lt;&gt;"",Tournament!AA99,"")</f>
        <v/>
      </c>
      <c r="X79" s="199" t="s">
        <v>3088</v>
      </c>
      <c r="Y79" s="191" t="str">
        <f>IF(Tournament!AC99&lt;&gt;"",Tournament!AC99,"")</f>
        <v/>
      </c>
      <c r="Z79" s="191"/>
      <c r="AA79" s="191" t="str">
        <f>IF(Tournament!AA100&lt;&gt;"",Tournament!AA100,"")</f>
        <v/>
      </c>
      <c r="AB79" s="194" t="s">
        <v>3088</v>
      </c>
      <c r="AC79" s="191" t="str">
        <f>IF(Tournament!AC100&lt;&gt;"",Tournament!AC100,"")</f>
        <v/>
      </c>
      <c r="AD79" s="195" t="str">
        <f>IF(AND(I79&lt;&gt;"",K79&lt;&gt;"",R79&lt;&gt;"",T79&lt;&gt;""),IF(AND(I79=R79,K79=T79),Setup!$F$20,IF((I79-K79)=(R79-T79),Setup!$F$21,IF(AND((I79&gt;K79),(R79&gt;T79)),Setup!$F$22,IF(AND((K79&gt;I79),(T79&gt;R79)),Setup!$F$22,0)))),"")</f>
        <v/>
      </c>
      <c r="AE79" s="183"/>
      <c r="CM79" s="168"/>
      <c r="CN79" s="168"/>
      <c r="CO79" s="187"/>
      <c r="CP79" s="168"/>
    </row>
    <row r="80" spans="2:94" s="166" customFormat="1" ht="15" customHeight="1">
      <c r="B80" s="182"/>
      <c r="C80" s="181">
        <v>63</v>
      </c>
      <c r="D80" s="181" t="s">
        <v>3551</v>
      </c>
      <c r="E80" s="188">
        <f>Tournament!T105</f>
        <v>41832.708333333336</v>
      </c>
      <c r="F80" s="189">
        <f>Tournament!U105</f>
        <v>41832.708333333336</v>
      </c>
      <c r="G80" s="190" t="str">
        <f>Tournament!Y105</f>
        <v>Match 61 Loser</v>
      </c>
      <c r="H80" s="180"/>
      <c r="I80" s="9"/>
      <c r="J80" s="191" t="s">
        <v>3088</v>
      </c>
      <c r="K80" s="9"/>
      <c r="L80" s="180"/>
      <c r="M80" s="198" t="str">
        <f>Tournament!AE105</f>
        <v>Match 62 Loser</v>
      </c>
      <c r="N80" s="183"/>
      <c r="P80" s="192" t="str">
        <f t="shared" si="2"/>
        <v>Match 61 Loser</v>
      </c>
      <c r="Q80" s="193"/>
      <c r="R80" s="194" t="str">
        <f>IF($Z$67=0,IF($Z$66=0,IF(Tournament!AA106&lt;&gt;"",Tournament!AA106,""),IF(Tournament!AA106&lt;&gt;"",Tournament!AA106+Tournament!AA107,"")),IF(Tournament!AA105&lt;&gt;"",Tournament!AA105,""))</f>
        <v/>
      </c>
      <c r="S80" s="194" t="s">
        <v>3088</v>
      </c>
      <c r="T80" s="194" t="str">
        <f>IF($Z$67=0,IF($Z$66=0,IF(Tournament!AC106&lt;&gt;"",Tournament!AC106,""),IF(Tournament!AC106&lt;&gt;"",Tournament!AC106+Tournament!AC107,"")),IF(Tournament!AC105&lt;&gt;"",Tournament!AC105,""))</f>
        <v/>
      </c>
      <c r="U80" s="193"/>
      <c r="V80" s="193" t="str">
        <f t="shared" si="3"/>
        <v>Match 62 Loser</v>
      </c>
      <c r="W80" s="191" t="str">
        <f>IF(Tournament!AA107&lt;&gt;"",Tournament!AA107,"")</f>
        <v/>
      </c>
      <c r="X80" s="199" t="s">
        <v>3088</v>
      </c>
      <c r="Y80" s="191" t="str">
        <f>IF(Tournament!AC107&lt;&gt;"",Tournament!AC107,"")</f>
        <v/>
      </c>
      <c r="Z80" s="191"/>
      <c r="AA80" s="191" t="str">
        <f>IF(Tournament!AA108&lt;&gt;"",Tournament!AA108,"")</f>
        <v/>
      </c>
      <c r="AB80" s="194" t="s">
        <v>3088</v>
      </c>
      <c r="AC80" s="191" t="str">
        <f>IF(Tournament!AC108&lt;&gt;"",Tournament!AC108,"")</f>
        <v/>
      </c>
      <c r="AD80" s="195" t="str">
        <f>IF(AND(I80&lt;&gt;"",K80&lt;&gt;"",R80&lt;&gt;"",T80&lt;&gt;""),IF(AND(I80=R80,K80=T80),Setup!$G$20,IF((I80-K80)=(R80-T80),Setup!$G$21,IF(AND((I80&gt;K80),(R80&gt;T80)),Setup!$G$22,IF(AND((K80&gt;I80),(T80&gt;R80)),Setup!$G$22,0)))),"")</f>
        <v/>
      </c>
      <c r="AE80" s="183"/>
      <c r="CM80" s="168"/>
      <c r="CN80" s="168"/>
      <c r="CO80" s="187"/>
      <c r="CP80" s="168"/>
    </row>
    <row r="81" spans="2:94" s="166" customFormat="1" ht="15" customHeight="1">
      <c r="B81" s="182"/>
      <c r="C81" s="181">
        <v>64</v>
      </c>
      <c r="D81" s="181" t="s">
        <v>3105</v>
      </c>
      <c r="E81" s="188">
        <f>Tournament!T113</f>
        <v>41833.666666666664</v>
      </c>
      <c r="F81" s="189">
        <f>Tournament!U113</f>
        <v>41833.666666666664</v>
      </c>
      <c r="G81" s="190" t="str">
        <f>Tournament!Y113</f>
        <v>Match 61 Winner</v>
      </c>
      <c r="H81" s="180"/>
      <c r="I81" s="9"/>
      <c r="J81" s="191" t="s">
        <v>3088</v>
      </c>
      <c r="K81" s="9"/>
      <c r="L81" s="180"/>
      <c r="M81" s="198" t="str">
        <f>Tournament!AE113</f>
        <v>Match 62 Winner</v>
      </c>
      <c r="N81" s="183"/>
      <c r="P81" s="192" t="str">
        <f t="shared" si="2"/>
        <v>Match 61 Winner</v>
      </c>
      <c r="Q81" s="193"/>
      <c r="R81" s="194" t="str">
        <f>IF($Z$67=0,IF($Z$66=0,IF(Tournament!AA114&lt;&gt;"",Tournament!AA114,""),IF(Tournament!AA114&lt;&gt;"",Tournament!AA114+Tournament!AA115,"")),IF(Tournament!AA113&lt;&gt;"",Tournament!AA113,""))</f>
        <v/>
      </c>
      <c r="S81" s="194" t="s">
        <v>3088</v>
      </c>
      <c r="T81" s="194" t="str">
        <f>IF($Z$67=0,IF($Z$66=0,IF(Tournament!AC114&lt;&gt;"",Tournament!AC114,""),IF(Tournament!AC114&lt;&gt;"",Tournament!AC114+Tournament!AC115,"")),IF(Tournament!AC113&lt;&gt;"",Tournament!AC113,""))</f>
        <v/>
      </c>
      <c r="U81" s="193"/>
      <c r="V81" s="193" t="str">
        <f t="shared" si="3"/>
        <v>Match 62 Winner</v>
      </c>
      <c r="W81" s="191" t="str">
        <f>IF(Tournament!AA115&lt;&gt;"",Tournament!AA115,"")</f>
        <v/>
      </c>
      <c r="X81" s="199" t="s">
        <v>3088</v>
      </c>
      <c r="Y81" s="191" t="str">
        <f>IF(Tournament!AC115&lt;&gt;"",Tournament!AC115,"")</f>
        <v/>
      </c>
      <c r="Z81" s="191"/>
      <c r="AA81" s="191" t="str">
        <f>IF(Tournament!AA116&lt;&gt;"",Tournament!AA116,"")</f>
        <v/>
      </c>
      <c r="AB81" s="194" t="s">
        <v>3088</v>
      </c>
      <c r="AC81" s="191" t="str">
        <f>IF(Tournament!AC116&lt;&gt;"",Tournament!AC116,"")</f>
        <v/>
      </c>
      <c r="AD81" s="195" t="str">
        <f>IF(AND(I81&lt;&gt;"",K81&lt;&gt;"",R81&lt;&gt;"",T81&lt;&gt;""),IF(AND(I81=R81,K81=T81),Setup!$H$20,IF((I81-K81)=(R81-T81),Setup!$H$21,IF(AND((I81&gt;K81),(R81&gt;T81)),Setup!$H$22,IF(AND((K81&gt;I81),(T81&gt;R81)),Setup!$H$22,0)))),"")</f>
        <v/>
      </c>
      <c r="AE81" s="183"/>
      <c r="CM81" s="168"/>
      <c r="CN81" s="168"/>
      <c r="CO81" s="187"/>
      <c r="CP81" s="168"/>
    </row>
    <row r="82" spans="2:94" s="166" customFormat="1" ht="15" customHeight="1">
      <c r="B82" s="200"/>
      <c r="C82" s="201"/>
      <c r="D82" s="201"/>
      <c r="E82" s="201"/>
      <c r="F82" s="201"/>
      <c r="G82" s="201"/>
      <c r="H82" s="201"/>
      <c r="I82" s="201"/>
      <c r="J82" s="202"/>
      <c r="K82" s="201"/>
      <c r="L82" s="201"/>
      <c r="M82" s="201"/>
      <c r="N82" s="203"/>
      <c r="P82" s="200"/>
      <c r="Q82" s="201"/>
      <c r="R82" s="201"/>
      <c r="S82" s="202"/>
      <c r="T82" s="201"/>
      <c r="U82" s="201"/>
      <c r="V82" s="201"/>
      <c r="W82" s="201"/>
      <c r="X82" s="202"/>
      <c r="Y82" s="201"/>
      <c r="Z82" s="201"/>
      <c r="AA82" s="201"/>
      <c r="AB82" s="202"/>
      <c r="AC82" s="201"/>
      <c r="AD82" s="202"/>
      <c r="AE82" s="203"/>
      <c r="CM82" s="168"/>
      <c r="CN82" s="168"/>
      <c r="CO82" s="187"/>
      <c r="CP82" s="168"/>
    </row>
    <row r="83" spans="2:94" s="166" customFormat="1" ht="15" customHeight="1">
      <c r="B83" s="166" t="s">
        <v>3905</v>
      </c>
      <c r="N83" s="180"/>
      <c r="AD83" s="167"/>
      <c r="CM83" s="168"/>
      <c r="CN83" s="168"/>
      <c r="CO83" s="187"/>
      <c r="CP83" s="168"/>
    </row>
    <row r="84" spans="2:94" s="166" customFormat="1" ht="15" hidden="1" customHeight="1">
      <c r="N84" s="180"/>
      <c r="AD84" s="167"/>
      <c r="CM84" s="168"/>
      <c r="CN84" s="168"/>
      <c r="CO84" s="187"/>
      <c r="CP84" s="168"/>
    </row>
    <row r="85" spans="2:94" s="166" customFormat="1" ht="15" hidden="1" customHeight="1">
      <c r="N85" s="180"/>
      <c r="AD85" s="167"/>
      <c r="CM85" s="168"/>
      <c r="CN85" s="168"/>
      <c r="CO85" s="187"/>
      <c r="CP85" s="168"/>
    </row>
    <row r="86" spans="2:94" s="166" customFormat="1" ht="15" hidden="1" customHeight="1">
      <c r="N86" s="180"/>
      <c r="AD86" s="167"/>
      <c r="CM86" s="168"/>
      <c r="CN86" s="168"/>
      <c r="CO86" s="187"/>
      <c r="CP86" s="168"/>
    </row>
    <row r="87" spans="2:94" s="166" customFormat="1" ht="15" hidden="1" customHeight="1">
      <c r="N87" s="180"/>
      <c r="AD87" s="167"/>
      <c r="CM87" s="168"/>
      <c r="CN87" s="168"/>
      <c r="CO87" s="187"/>
      <c r="CP87" s="168"/>
    </row>
    <row r="88" spans="2:94" s="166" customFormat="1" ht="15" hidden="1" customHeight="1">
      <c r="N88" s="180"/>
      <c r="AD88" s="167"/>
      <c r="CM88" s="168"/>
      <c r="CN88" s="168"/>
      <c r="CO88" s="187"/>
      <c r="CP88" s="168"/>
    </row>
    <row r="89" spans="2:94" s="166" customFormat="1" ht="15" hidden="1" customHeight="1">
      <c r="N89" s="180"/>
      <c r="AD89" s="167"/>
      <c r="CM89" s="168"/>
      <c r="CN89" s="168"/>
      <c r="CO89" s="187"/>
      <c r="CP89" s="168"/>
    </row>
    <row r="90" spans="2:94" s="166" customFormat="1" ht="15" hidden="1" customHeight="1">
      <c r="N90" s="180"/>
      <c r="AD90" s="167"/>
      <c r="CM90" s="168"/>
      <c r="CN90" s="168"/>
      <c r="CO90" s="187"/>
      <c r="CP90" s="168"/>
    </row>
    <row r="91" spans="2:94" s="166" customFormat="1" ht="15" hidden="1" customHeight="1">
      <c r="N91" s="180"/>
      <c r="AD91" s="167"/>
      <c r="CM91" s="168"/>
      <c r="CN91" s="168"/>
      <c r="CO91" s="187"/>
      <c r="CP91" s="168"/>
    </row>
    <row r="92" spans="2:94" s="166" customFormat="1" ht="15" hidden="1" customHeight="1">
      <c r="N92" s="180"/>
      <c r="AD92" s="167"/>
      <c r="CM92" s="168"/>
      <c r="CN92" s="168"/>
      <c r="CO92" s="187"/>
      <c r="CP92" s="168"/>
    </row>
    <row r="93" spans="2:94" s="166" customFormat="1" ht="15" hidden="1" customHeight="1">
      <c r="N93" s="180"/>
      <c r="AD93" s="167"/>
      <c r="CM93" s="168"/>
      <c r="CN93" s="168"/>
      <c r="CO93" s="187"/>
      <c r="CP93" s="168"/>
    </row>
    <row r="94" spans="2:94" s="166" customFormat="1" ht="15" hidden="1" customHeight="1">
      <c r="N94" s="180"/>
      <c r="AD94" s="167"/>
      <c r="CM94" s="168"/>
      <c r="CN94" s="168"/>
      <c r="CO94" s="187"/>
      <c r="CP94" s="168"/>
    </row>
    <row r="95" spans="2:94" s="166" customFormat="1" ht="15" hidden="1" customHeight="1">
      <c r="N95" s="180"/>
      <c r="AD95" s="167"/>
      <c r="CM95" s="168"/>
      <c r="CN95" s="168"/>
      <c r="CO95" s="187"/>
      <c r="CP95" s="168"/>
    </row>
    <row r="96" spans="2:94" s="166" customFormat="1" ht="15" hidden="1" customHeight="1">
      <c r="N96" s="180"/>
      <c r="AD96" s="167"/>
      <c r="CM96" s="168"/>
      <c r="CN96" s="168"/>
      <c r="CO96" s="187"/>
      <c r="CP96" s="168"/>
    </row>
    <row r="97" spans="14:94" s="166" customFormat="1" ht="15" hidden="1" customHeight="1">
      <c r="N97" s="180"/>
      <c r="AD97" s="167"/>
      <c r="CM97" s="168"/>
      <c r="CN97" s="168"/>
      <c r="CO97" s="187"/>
      <c r="CP97" s="168"/>
    </row>
    <row r="98" spans="14:94" s="166" customFormat="1" ht="15" hidden="1" customHeight="1">
      <c r="N98" s="180"/>
      <c r="AD98" s="167"/>
      <c r="CM98" s="168"/>
      <c r="CN98" s="168"/>
      <c r="CO98" s="187"/>
      <c r="CP98" s="168"/>
    </row>
    <row r="99" spans="14:94" s="166" customFormat="1" ht="15" hidden="1" customHeight="1">
      <c r="N99" s="180"/>
      <c r="AD99" s="167"/>
      <c r="CM99" s="168"/>
      <c r="CN99" s="168"/>
      <c r="CO99" s="187"/>
      <c r="CP99" s="168"/>
    </row>
    <row r="100" spans="14:94" s="166" customFormat="1" ht="15" hidden="1" customHeight="1">
      <c r="N100" s="180"/>
      <c r="AD100" s="167"/>
      <c r="CM100" s="168"/>
      <c r="CN100" s="168"/>
      <c r="CO100" s="187"/>
      <c r="CP100" s="168"/>
    </row>
    <row r="101" spans="14:94" s="166" customFormat="1" ht="15" hidden="1" customHeight="1">
      <c r="N101" s="180"/>
      <c r="AD101" s="167"/>
      <c r="CM101" s="168"/>
      <c r="CN101" s="168"/>
      <c r="CO101" s="187"/>
      <c r="CP101" s="168"/>
    </row>
    <row r="102" spans="14:94" s="166" customFormat="1" ht="15" hidden="1" customHeight="1">
      <c r="N102" s="180"/>
      <c r="AD102" s="167"/>
      <c r="CM102" s="168"/>
      <c r="CN102" s="168"/>
      <c r="CO102" s="187"/>
      <c r="CP102" s="168"/>
    </row>
    <row r="103" spans="14:94" s="166" customFormat="1" ht="15" hidden="1" customHeight="1">
      <c r="N103" s="180"/>
      <c r="AD103" s="167"/>
      <c r="CM103" s="168"/>
      <c r="CN103" s="168"/>
      <c r="CO103" s="187"/>
      <c r="CP103" s="168"/>
    </row>
    <row r="104" spans="14:94" s="166" customFormat="1" ht="15" hidden="1" customHeight="1">
      <c r="N104" s="180"/>
      <c r="AD104" s="167"/>
      <c r="CM104" s="168"/>
      <c r="CN104" s="168"/>
      <c r="CO104" s="187"/>
      <c r="CP104" s="168"/>
    </row>
    <row r="105" spans="14:94" s="166" customFormat="1" ht="15" hidden="1" customHeight="1">
      <c r="N105" s="180"/>
      <c r="AD105" s="167"/>
      <c r="CM105" s="168"/>
      <c r="CN105" s="168"/>
      <c r="CO105" s="187"/>
      <c r="CP105" s="168"/>
    </row>
    <row r="106" spans="14:94" s="166" customFormat="1" ht="15" hidden="1" customHeight="1">
      <c r="N106" s="180"/>
      <c r="AD106" s="167"/>
      <c r="CM106" s="168"/>
      <c r="CN106" s="168"/>
      <c r="CO106" s="187"/>
      <c r="CP106" s="168"/>
    </row>
    <row r="107" spans="14:94" s="166" customFormat="1" ht="15" hidden="1" customHeight="1">
      <c r="N107" s="180"/>
      <c r="AD107" s="167"/>
      <c r="CM107" s="168"/>
      <c r="CN107" s="168"/>
      <c r="CO107" s="187"/>
      <c r="CP107" s="168"/>
    </row>
    <row r="108" spans="14:94" s="166" customFormat="1" ht="15" hidden="1" customHeight="1">
      <c r="N108" s="180"/>
      <c r="AD108" s="167"/>
      <c r="CM108" s="168"/>
      <c r="CN108" s="168"/>
      <c r="CO108" s="187"/>
      <c r="CP108" s="168"/>
    </row>
    <row r="109" spans="14:94" s="166" customFormat="1" ht="15" hidden="1" customHeight="1">
      <c r="N109" s="180"/>
      <c r="AD109" s="167"/>
      <c r="CM109" s="168"/>
      <c r="CN109" s="168"/>
      <c r="CO109" s="187"/>
      <c r="CP109" s="168"/>
    </row>
    <row r="110" spans="14:94" s="166" customFormat="1" ht="15" hidden="1" customHeight="1">
      <c r="N110" s="180"/>
      <c r="AD110" s="167"/>
      <c r="CM110" s="168"/>
      <c r="CN110" s="168"/>
      <c r="CO110" s="187"/>
      <c r="CP110" s="168"/>
    </row>
    <row r="111" spans="14:94" s="166" customFormat="1" ht="15" hidden="1" customHeight="1">
      <c r="N111" s="180"/>
      <c r="AD111" s="167"/>
      <c r="CM111" s="168"/>
      <c r="CN111" s="168"/>
      <c r="CO111" s="187"/>
      <c r="CP111" s="168"/>
    </row>
    <row r="112" spans="14:94" s="166" customFormat="1" ht="15" hidden="1" customHeight="1">
      <c r="N112" s="180"/>
      <c r="AD112" s="167"/>
      <c r="CM112" s="168"/>
      <c r="CN112" s="168"/>
      <c r="CO112" s="187"/>
      <c r="CP112" s="168"/>
    </row>
    <row r="113" spans="2:94" s="166" customFormat="1" ht="15" hidden="1" customHeight="1">
      <c r="N113" s="180"/>
      <c r="AD113" s="167"/>
      <c r="CM113" s="168"/>
      <c r="CN113" s="168"/>
      <c r="CO113" s="187"/>
      <c r="CP113" s="168"/>
    </row>
    <row r="114" spans="2:94" s="166" customFormat="1" ht="15" hidden="1" customHeight="1">
      <c r="N114" s="180"/>
      <c r="AD114" s="167"/>
      <c r="CM114" s="168"/>
      <c r="CN114" s="168"/>
      <c r="CO114" s="187"/>
      <c r="CP114" s="168"/>
    </row>
    <row r="115" spans="2:94" s="166" customFormat="1" ht="15" hidden="1" customHeight="1">
      <c r="N115" s="180"/>
      <c r="AD115" s="167"/>
      <c r="CM115" s="168"/>
      <c r="CN115" s="168"/>
      <c r="CO115" s="187"/>
      <c r="CP115" s="168"/>
    </row>
    <row r="116" spans="2:94" s="166" customFormat="1" ht="15" hidden="1" customHeight="1">
      <c r="N116" s="180"/>
      <c r="AD116" s="167"/>
      <c r="CM116" s="168"/>
      <c r="CN116" s="168"/>
      <c r="CO116" s="187"/>
      <c r="CP116" s="168"/>
    </row>
    <row r="117" spans="2:94" s="166" customFormat="1" ht="15" hidden="1" customHeight="1">
      <c r="N117" s="180"/>
      <c r="AD117" s="167"/>
      <c r="CM117" s="168"/>
      <c r="CN117" s="168"/>
      <c r="CO117" s="187"/>
      <c r="CP117" s="168"/>
    </row>
    <row r="118" spans="2:94" s="166" customFormat="1" ht="15" hidden="1" customHeight="1">
      <c r="N118" s="180"/>
      <c r="AD118" s="167"/>
      <c r="CM118" s="168"/>
      <c r="CN118" s="168"/>
      <c r="CO118" s="187"/>
      <c r="CP118" s="168"/>
    </row>
    <row r="119" spans="2:94" s="166" customFormat="1" ht="15" hidden="1" customHeight="1">
      <c r="N119" s="180"/>
      <c r="AD119" s="167"/>
      <c r="CM119" s="168"/>
      <c r="CN119" s="168"/>
      <c r="CO119" s="187"/>
      <c r="CP119" s="168"/>
    </row>
    <row r="120" spans="2:94" s="166" customFormat="1" ht="15" hidden="1" customHeight="1">
      <c r="N120" s="180"/>
      <c r="AD120" s="167"/>
      <c r="CM120" s="168"/>
      <c r="CN120" s="168"/>
      <c r="CO120" s="187" t="s">
        <v>1404</v>
      </c>
      <c r="CP120" s="168"/>
    </row>
    <row r="121" spans="2:94" s="166" customFormat="1" ht="15" hidden="1" customHeight="1">
      <c r="N121" s="180"/>
      <c r="AD121" s="167"/>
      <c r="CM121" s="168"/>
      <c r="CN121" s="168"/>
      <c r="CO121" s="187" t="s">
        <v>1405</v>
      </c>
      <c r="CP121" s="168"/>
    </row>
    <row r="122" spans="2:94" s="166" customFormat="1" ht="15" hidden="1" customHeight="1">
      <c r="N122" s="180"/>
      <c r="AD122" s="167"/>
      <c r="CM122" s="168"/>
      <c r="CN122" s="168"/>
      <c r="CO122" s="187" t="s">
        <v>1406</v>
      </c>
      <c r="CP122" s="168"/>
    </row>
    <row r="123" spans="2:94" s="166" customFormat="1" ht="15" hidden="1" customHeight="1">
      <c r="N123" s="180"/>
      <c r="AD123" s="167"/>
      <c r="CM123" s="168"/>
      <c r="CN123" s="168"/>
      <c r="CO123" s="187" t="s">
        <v>1407</v>
      </c>
      <c r="CP123" s="168"/>
    </row>
    <row r="124" spans="2:94" s="166" customFormat="1" ht="15" hidden="1" customHeight="1">
      <c r="N124" s="180"/>
      <c r="AD124" s="167"/>
      <c r="CM124" s="168"/>
      <c r="CN124" s="168"/>
      <c r="CO124" s="187" t="s">
        <v>1408</v>
      </c>
      <c r="CP124" s="168"/>
    </row>
    <row r="125" spans="2:94" s="166" customFormat="1" ht="15" hidden="1" customHeight="1">
      <c r="B125" s="180"/>
      <c r="C125" s="180"/>
      <c r="D125" s="180"/>
      <c r="E125" s="180"/>
      <c r="F125" s="180"/>
      <c r="G125" s="180"/>
      <c r="H125" s="180"/>
      <c r="I125" s="180"/>
      <c r="J125" s="181"/>
      <c r="K125" s="180"/>
      <c r="L125" s="180"/>
      <c r="M125" s="180"/>
      <c r="N125" s="180"/>
      <c r="P125" s="180"/>
      <c r="Q125" s="180"/>
      <c r="R125" s="180"/>
      <c r="S125" s="181"/>
      <c r="T125" s="180"/>
      <c r="U125" s="180"/>
      <c r="V125" s="180"/>
      <c r="W125" s="180"/>
      <c r="X125" s="181"/>
      <c r="Y125" s="180"/>
      <c r="Z125" s="180"/>
      <c r="AA125" s="180"/>
      <c r="AB125" s="181"/>
      <c r="AC125" s="180"/>
      <c r="AD125" s="167"/>
      <c r="CM125" s="168"/>
      <c r="CN125" s="168"/>
      <c r="CO125" s="187" t="s">
        <v>1409</v>
      </c>
      <c r="CP125" s="168"/>
    </row>
    <row r="126" spans="2:94" s="166" customFormat="1" ht="15" hidden="1" customHeight="1">
      <c r="B126" s="180"/>
      <c r="C126" s="180"/>
      <c r="D126" s="180"/>
      <c r="E126" s="180"/>
      <c r="F126" s="180"/>
      <c r="G126" s="180"/>
      <c r="H126" s="180"/>
      <c r="I126" s="180"/>
      <c r="J126" s="181"/>
      <c r="K126" s="180"/>
      <c r="L126" s="180"/>
      <c r="M126" s="180"/>
      <c r="N126" s="180"/>
      <c r="P126" s="180"/>
      <c r="Q126" s="180"/>
      <c r="R126" s="180"/>
      <c r="S126" s="181"/>
      <c r="T126" s="180"/>
      <c r="U126" s="180"/>
      <c r="V126" s="180"/>
      <c r="W126" s="180"/>
      <c r="X126" s="181"/>
      <c r="Y126" s="180"/>
      <c r="Z126" s="180"/>
      <c r="AA126" s="180"/>
      <c r="AB126" s="181"/>
      <c r="AC126" s="180"/>
      <c r="AD126" s="167"/>
      <c r="CM126" s="168"/>
      <c r="CN126" s="168"/>
      <c r="CO126" s="187" t="s">
        <v>1410</v>
      </c>
      <c r="CP126" s="168"/>
    </row>
  </sheetData>
  <sheetProtection password="CE4F" sheet="1" objects="1" scenarios="1" formatCells="0" formatColumns="0" formatRows="0" insertColumns="0" insertRows="0" insertHyperlinks="0" sort="0" autoFilter="0" pivotTables="0"/>
  <mergeCells count="23">
    <mergeCell ref="B4:C4"/>
    <mergeCell ref="D4:M4"/>
    <mergeCell ref="H5:L5"/>
    <mergeCell ref="AC5:AE5"/>
    <mergeCell ref="B6:C7"/>
    <mergeCell ref="D6:F6"/>
    <mergeCell ref="H6:L6"/>
    <mergeCell ref="D7:F7"/>
    <mergeCell ref="H7:L7"/>
    <mergeCell ref="AC7:AE7"/>
    <mergeCell ref="B9:N9"/>
    <mergeCell ref="P9:AE9"/>
    <mergeCell ref="B11:N11"/>
    <mergeCell ref="P11:AE11"/>
    <mergeCell ref="I13:K13"/>
    <mergeCell ref="R13:T13"/>
    <mergeCell ref="W13:Y13"/>
    <mergeCell ref="AA13:AC13"/>
    <mergeCell ref="B64:N64"/>
    <mergeCell ref="P64:AE64"/>
    <mergeCell ref="R65:T65"/>
    <mergeCell ref="W65:Y65"/>
    <mergeCell ref="AA65:AC65"/>
  </mergeCells>
  <conditionalFormatting sqref="G15:G62 G66:G81">
    <cfRule type="expression" dxfId="143" priority="21" stopIfTrue="1">
      <formula>I15&gt;K15</formula>
    </cfRule>
    <cfRule type="expression" dxfId="142" priority="22" stopIfTrue="1">
      <formula>I15&lt;K15</formula>
    </cfRule>
  </conditionalFormatting>
  <conditionalFormatting sqref="M15:M62">
    <cfRule type="expression" dxfId="141" priority="23" stopIfTrue="1">
      <formula>K15&gt;I15</formula>
    </cfRule>
    <cfRule type="expression" dxfId="140" priority="24" stopIfTrue="1">
      <formula>K15&lt;I15</formula>
    </cfRule>
  </conditionalFormatting>
  <conditionalFormatting sqref="S15:S62 S66:S81">
    <cfRule type="expression" dxfId="139" priority="25" stopIfTrue="1">
      <formula>AND($R15&lt;&gt;"",$T15&lt;&gt;"")</formula>
    </cfRule>
  </conditionalFormatting>
  <conditionalFormatting sqref="P15:R62 P66:R81 T66:T81">
    <cfRule type="expression" dxfId="138" priority="26" stopIfTrue="1">
      <formula>AND($R15&gt;$T15,$R15&lt;&gt;"",$T15&lt;&gt;"")</formula>
    </cfRule>
    <cfRule type="expression" dxfId="137" priority="27" stopIfTrue="1">
      <formula>AND($R15&lt;$T15,$R15&lt;&gt;"",$T15&lt;&gt;"")</formula>
    </cfRule>
    <cfRule type="expression" dxfId="136" priority="28" stopIfTrue="1">
      <formula>AND($R15&lt;&gt;"",$T15&lt;&gt;"")</formula>
    </cfRule>
  </conditionalFormatting>
  <conditionalFormatting sqref="U66:V81 T15:V62">
    <cfRule type="expression" dxfId="135" priority="29" stopIfTrue="1">
      <formula>AND($T15&gt;$R15,$R15&lt;&gt;"",$T15&lt;&gt;"")</formula>
    </cfRule>
    <cfRule type="expression" dxfId="134" priority="30" stopIfTrue="1">
      <formula>AND($T15&lt;$R15,$R15&lt;&gt;"",$T15&lt;&gt;"")</formula>
    </cfRule>
    <cfRule type="expression" dxfId="133" priority="31" stopIfTrue="1">
      <formula>AND($R15&lt;&gt;"",$T15&lt;&gt;"")</formula>
    </cfRule>
  </conditionalFormatting>
  <conditionalFormatting sqref="O15">
    <cfRule type="expression" dxfId="132" priority="32" stopIfTrue="1">
      <formula>#REF!&gt;#REF!</formula>
    </cfRule>
    <cfRule type="expression" dxfId="131" priority="33" stopIfTrue="1">
      <formula>#REF!&lt;#REF!</formula>
    </cfRule>
  </conditionalFormatting>
  <conditionalFormatting sqref="I15:I62 K15:K62 K66:K81 I66:I81">
    <cfRule type="expression" dxfId="130" priority="34" stopIfTrue="1">
      <formula>ISBLANK(I15)</formula>
    </cfRule>
  </conditionalFormatting>
  <conditionalFormatting sqref="X15:X61">
    <cfRule type="expression" dxfId="129" priority="14" stopIfTrue="1">
      <formula>AND($R15&lt;&gt;"",$T15&lt;&gt;"")</formula>
    </cfRule>
  </conditionalFormatting>
  <conditionalFormatting sqref="W15:W61">
    <cfRule type="expression" dxfId="128" priority="15" stopIfTrue="1">
      <formula>AND($R15&gt;$T15,$R15&lt;&gt;"",$T15&lt;&gt;"")</formula>
    </cfRule>
    <cfRule type="expression" dxfId="127" priority="16" stopIfTrue="1">
      <formula>AND($R15&lt;$T15,$R15&lt;&gt;"",$T15&lt;&gt;"")</formula>
    </cfRule>
    <cfRule type="expression" dxfId="126" priority="17" stopIfTrue="1">
      <formula>AND($R15&lt;&gt;"",$T15&lt;&gt;"")</formula>
    </cfRule>
  </conditionalFormatting>
  <conditionalFormatting sqref="Y15:Z61">
    <cfRule type="expression" dxfId="125" priority="18" stopIfTrue="1">
      <formula>AND($T15&gt;$R15,$R15&lt;&gt;"",$T15&lt;&gt;"")</formula>
    </cfRule>
    <cfRule type="expression" dxfId="124" priority="19" stopIfTrue="1">
      <formula>AND($T15&lt;$R15,$R15&lt;&gt;"",$T15&lt;&gt;"")</formula>
    </cfRule>
    <cfRule type="expression" dxfId="123" priority="20" stopIfTrue="1">
      <formula>AND($R15&lt;&gt;"",$T15&lt;&gt;"")</formula>
    </cfRule>
  </conditionalFormatting>
  <conditionalFormatting sqref="AB15:AB61">
    <cfRule type="expression" dxfId="122" priority="7" stopIfTrue="1">
      <formula>AND($R15&lt;&gt;"",$T15&lt;&gt;"")</formula>
    </cfRule>
  </conditionalFormatting>
  <conditionalFormatting sqref="AA15:AA61">
    <cfRule type="expression" dxfId="121" priority="8" stopIfTrue="1">
      <formula>AND($R15&gt;$T15,$R15&lt;&gt;"",$T15&lt;&gt;"")</formula>
    </cfRule>
    <cfRule type="expression" dxfId="120" priority="9" stopIfTrue="1">
      <formula>AND($R15&lt;$T15,$R15&lt;&gt;"",$T15&lt;&gt;"")</formula>
    </cfRule>
    <cfRule type="expression" dxfId="119" priority="10" stopIfTrue="1">
      <formula>AND($R15&lt;&gt;"",$T15&lt;&gt;"")</formula>
    </cfRule>
  </conditionalFormatting>
  <conditionalFormatting sqref="AC15:AC61">
    <cfRule type="expression" dxfId="118" priority="11" stopIfTrue="1">
      <formula>AND($T15&gt;$R15,$R15&lt;&gt;"",$T15&lt;&gt;"")</formula>
    </cfRule>
    <cfRule type="expression" dxfId="117" priority="12" stopIfTrue="1">
      <formula>AND($T15&lt;$R15,$R15&lt;&gt;"",$T15&lt;&gt;"")</formula>
    </cfRule>
    <cfRule type="expression" dxfId="116" priority="13" stopIfTrue="1">
      <formula>AND($R15&lt;&gt;"",$T15&lt;&gt;"")</formula>
    </cfRule>
  </conditionalFormatting>
  <conditionalFormatting sqref="M66:M81">
    <cfRule type="expression" dxfId="115" priority="35">
      <formula>K66&gt;I66</formula>
    </cfRule>
    <cfRule type="expression" dxfId="114" priority="36">
      <formula>$K66&lt;$I66</formula>
    </cfRule>
  </conditionalFormatting>
  <conditionalFormatting sqref="X66:X81">
    <cfRule type="expression" dxfId="113" priority="6">
      <formula>AND($W66&lt;&gt;"",$Y66&lt;&gt;"")</formula>
    </cfRule>
  </conditionalFormatting>
  <conditionalFormatting sqref="AB66:AB81">
    <cfRule type="expression" dxfId="112" priority="5">
      <formula>AND($AA66&lt;&gt;"",$AC66&lt;&gt;"")</formula>
    </cfRule>
  </conditionalFormatting>
  <conditionalFormatting sqref="AA65:AC65">
    <cfRule type="expression" dxfId="111" priority="4">
      <formula>$Z$67=1</formula>
    </cfRule>
  </conditionalFormatting>
  <conditionalFormatting sqref="W65:Y65">
    <cfRule type="expression" dxfId="110" priority="3">
      <formula>OR($Z$66=1,$Z$67=1)</formula>
    </cfRule>
  </conditionalFormatting>
  <conditionalFormatting sqref="W66:Y81">
    <cfRule type="expression" dxfId="109" priority="2">
      <formula>OR($Z$66=1,$Z$67=1)</formula>
    </cfRule>
  </conditionalFormatting>
  <conditionalFormatting sqref="AA66:AC81">
    <cfRule type="expression" dxfId="108" priority="1">
      <formula>$Z$67=1</formula>
    </cfRule>
  </conditionalFormatting>
  <printOptions horizontalCentered="1" verticalCentered="1"/>
  <pageMargins left="0.39" right="0.32" top="0.28999999999999998" bottom="0.39" header="0.21" footer="0.26"/>
  <pageSetup scale="59" orientation="portrait" horizontalDpi="300" verticalDpi="300" r:id="rId1"/>
  <headerFooter alignWithMargins="0">
    <oddFooter xml:space="preserve">&amp;C
</oddFooter>
  </headerFooter>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S126"/>
  <sheetViews>
    <sheetView showGridLines="0" zoomScaleNormal="100" workbookViewId="0">
      <selection activeCell="C82" sqref="C82"/>
    </sheetView>
  </sheetViews>
  <sheetFormatPr defaultColWidth="0" defaultRowHeight="14.4" customHeight="1" zeroHeight="1"/>
  <cols>
    <col min="1" max="1" width="2.44140625" style="204" customWidth="1"/>
    <col min="2" max="2" width="3.6640625" style="204" customWidth="1"/>
    <col min="3" max="3" width="4.109375" style="204" customWidth="1"/>
    <col min="4" max="4" width="6.33203125" style="204" customWidth="1"/>
    <col min="5" max="5" width="8.21875" style="204" customWidth="1"/>
    <col min="6" max="6" width="6.88671875" style="205" customWidth="1"/>
    <col min="7" max="7" width="20.6640625" style="204" customWidth="1"/>
    <col min="8" max="8" width="1.77734375" style="204" customWidth="1"/>
    <col min="9" max="9" width="3.44140625" style="204" customWidth="1"/>
    <col min="10" max="10" width="1.77734375" style="206" customWidth="1"/>
    <col min="11" max="11" width="3.44140625" style="204" customWidth="1"/>
    <col min="12" max="12" width="1.6640625" style="204" customWidth="1"/>
    <col min="13" max="13" width="20.6640625" style="204" customWidth="1"/>
    <col min="14" max="14" width="2.44140625" style="204" customWidth="1"/>
    <col min="15" max="15" width="1.77734375" style="204" customWidth="1"/>
    <col min="16" max="16" width="20.6640625" style="204" customWidth="1"/>
    <col min="17" max="17" width="1.6640625" style="204" customWidth="1"/>
    <col min="18" max="18" width="3.44140625" style="204" customWidth="1"/>
    <col min="19" max="19" width="1.77734375" style="206" customWidth="1"/>
    <col min="20" max="20" width="3.44140625" style="204" customWidth="1"/>
    <col min="21" max="21" width="1.6640625" style="204" customWidth="1"/>
    <col min="22" max="22" width="17.5546875" style="204" customWidth="1"/>
    <col min="23" max="23" width="3.44140625" style="204" customWidth="1"/>
    <col min="24" max="24" width="1.77734375" style="206" customWidth="1"/>
    <col min="25" max="25" width="3.44140625" style="204" customWidth="1"/>
    <col min="26" max="26" width="1.77734375" style="204" customWidth="1"/>
    <col min="27" max="27" width="3.44140625" style="204" customWidth="1"/>
    <col min="28" max="28" width="1.77734375" style="206" customWidth="1"/>
    <col min="29" max="29" width="3.44140625" style="204" customWidth="1"/>
    <col min="30" max="30" width="5.77734375" style="206" customWidth="1"/>
    <col min="31" max="31" width="9.109375" style="204" customWidth="1"/>
    <col min="32" max="32" width="2.6640625" style="204" customWidth="1"/>
    <col min="33" max="33" width="9.109375" style="204" hidden="1" customWidth="1"/>
    <col min="34" max="90" width="0" style="204" hidden="1" customWidth="1"/>
    <col min="91" max="94" width="0" style="207" hidden="1" customWidth="1"/>
    <col min="95" max="97" width="0" style="204" hidden="1" customWidth="1"/>
    <col min="98" max="16384" width="9.109375" style="204" hidden="1"/>
  </cols>
  <sheetData>
    <row r="1" spans="2:97" s="166" customFormat="1" ht="15" customHeight="1">
      <c r="J1" s="167"/>
      <c r="S1" s="167"/>
      <c r="X1" s="167"/>
      <c r="AB1" s="167"/>
      <c r="AD1" s="167"/>
      <c r="CM1" s="168"/>
      <c r="CN1" s="168"/>
      <c r="CO1" s="168"/>
      <c r="CP1" s="168"/>
    </row>
    <row r="2" spans="2:97" s="166" customFormat="1" ht="15" customHeight="1">
      <c r="J2" s="167"/>
      <c r="S2" s="167"/>
      <c r="X2" s="167"/>
      <c r="AB2" s="167"/>
      <c r="AD2" s="167"/>
      <c r="CM2" s="168"/>
      <c r="CN2" s="168"/>
      <c r="CO2" s="168"/>
      <c r="CP2" s="168"/>
    </row>
    <row r="3" spans="2:97" s="166" customFormat="1" ht="15" customHeight="1">
      <c r="J3" s="167"/>
      <c r="S3" s="167"/>
      <c r="X3" s="167"/>
      <c r="AB3" s="167"/>
      <c r="AD3" s="167"/>
      <c r="CM3" s="168"/>
      <c r="CN3" s="168"/>
      <c r="CO3" s="168"/>
      <c r="CP3" s="168"/>
    </row>
    <row r="4" spans="2:97" s="166" customFormat="1" ht="25.05" customHeight="1">
      <c r="B4" s="297" t="s">
        <v>3871</v>
      </c>
      <c r="C4" s="298"/>
      <c r="D4" s="307" t="str">
        <f ca="1">IF(INDIRECT("'Player Name'!"&amp;"$c"&amp;B8)&lt;&gt;"",INDIRECT("'Player Name'!"&amp;"$c"&amp;B8),"")</f>
        <v>John 13</v>
      </c>
      <c r="E4" s="308"/>
      <c r="F4" s="308"/>
      <c r="G4" s="308"/>
      <c r="H4" s="308"/>
      <c r="I4" s="308"/>
      <c r="J4" s="308"/>
      <c r="K4" s="308"/>
      <c r="L4" s="308"/>
      <c r="M4" s="309"/>
      <c r="S4" s="167"/>
      <c r="X4" s="167"/>
      <c r="AB4" s="167"/>
      <c r="CM4" s="168"/>
      <c r="CN4" s="168"/>
      <c r="CO4" s="168"/>
      <c r="CP4" s="168"/>
    </row>
    <row r="5" spans="2:97" s="173" customFormat="1" ht="15" customHeight="1">
      <c r="B5" s="169"/>
      <c r="C5" s="169"/>
      <c r="D5" s="170"/>
      <c r="E5" s="170"/>
      <c r="F5" s="170"/>
      <c r="G5" s="171" t="s">
        <v>848</v>
      </c>
      <c r="H5" s="294" t="s">
        <v>3872</v>
      </c>
      <c r="I5" s="294"/>
      <c r="J5" s="294"/>
      <c r="K5" s="294"/>
      <c r="L5" s="295"/>
      <c r="M5" s="171" t="s">
        <v>3870</v>
      </c>
      <c r="N5" s="166"/>
      <c r="O5" s="166"/>
      <c r="P5" s="172"/>
      <c r="Q5" s="166"/>
      <c r="R5" s="166"/>
      <c r="S5" s="167"/>
      <c r="T5" s="166"/>
      <c r="U5" s="166"/>
      <c r="V5" s="166"/>
      <c r="W5" s="166"/>
      <c r="X5" s="167"/>
      <c r="Y5" s="166"/>
      <c r="Z5" s="166"/>
      <c r="AA5" s="166"/>
      <c r="AB5" s="167"/>
      <c r="AC5" s="296"/>
      <c r="AD5" s="296"/>
      <c r="AE5" s="296"/>
      <c r="CM5" s="174"/>
      <c r="CN5" s="174"/>
      <c r="CO5" s="174"/>
      <c r="CP5" s="174"/>
    </row>
    <row r="6" spans="2:97" s="166" customFormat="1" ht="15" customHeight="1">
      <c r="B6" s="318">
        <f>B8-5</f>
        <v>13</v>
      </c>
      <c r="C6" s="318"/>
      <c r="D6" s="315" t="s">
        <v>3868</v>
      </c>
      <c r="E6" s="315"/>
      <c r="F6" s="315"/>
      <c r="G6" s="175">
        <f>SUM(AD15:AD62)</f>
        <v>0</v>
      </c>
      <c r="H6" s="310">
        <f>SUM(AD66:AD81)</f>
        <v>0</v>
      </c>
      <c r="I6" s="311"/>
      <c r="J6" s="311"/>
      <c r="K6" s="311"/>
      <c r="L6" s="311"/>
      <c r="M6" s="176">
        <f>H6+G6</f>
        <v>0</v>
      </c>
      <c r="X6" s="167"/>
      <c r="AB6" s="167"/>
      <c r="CM6" s="168"/>
      <c r="CN6" s="168"/>
      <c r="CO6" s="168"/>
      <c r="CP6" s="168"/>
    </row>
    <row r="7" spans="2:97" s="166" customFormat="1" ht="15" customHeight="1">
      <c r="B7" s="318"/>
      <c r="C7" s="319"/>
      <c r="D7" s="316" t="s">
        <v>3869</v>
      </c>
      <c r="E7" s="317"/>
      <c r="F7" s="317"/>
      <c r="G7" s="177"/>
      <c r="H7" s="312"/>
      <c r="I7" s="312"/>
      <c r="J7" s="312"/>
      <c r="K7" s="312"/>
      <c r="L7" s="313"/>
      <c r="M7" s="178">
        <f ca="1">INDEX('Player Leaderboard'!$A$9:$A$23,MATCH($D4,'Player Leaderboard'!$B$9:$B$23,0),0)</f>
        <v>13</v>
      </c>
      <c r="P7" s="210" t="str">
        <f>HYPERLINK("["&amp;Setup!$C$5&amp;"]'Player ("&amp;B8-6&amp;")'!B6","&lt;&lt; Previous Player ("&amp;B8-6&amp;")")</f>
        <v>&lt;&lt; Previous Player (12)</v>
      </c>
      <c r="S7" s="167"/>
      <c r="X7" s="167"/>
      <c r="AB7" s="167"/>
      <c r="AC7" s="320" t="str">
        <f>HYPERLINK("["&amp;Setup!$C$5&amp;"]'Player ("&amp;B8-4&amp;")'!B6","Next Player ("&amp;B8-4&amp;") &gt;&gt;")</f>
        <v>Next Player (14) &gt;&gt;</v>
      </c>
      <c r="AD7" s="320"/>
      <c r="AE7" s="320"/>
      <c r="CM7" s="168"/>
      <c r="CN7" s="168"/>
      <c r="CO7" s="168"/>
      <c r="CP7" s="168"/>
    </row>
    <row r="8" spans="2:97" s="166" customFormat="1" ht="15" customHeight="1">
      <c r="B8" s="208">
        <v>18</v>
      </c>
      <c r="J8" s="167"/>
      <c r="S8" s="167"/>
      <c r="X8" s="167"/>
      <c r="AB8" s="167"/>
      <c r="AD8" s="167"/>
      <c r="CM8" s="168"/>
      <c r="CN8" s="168"/>
      <c r="CO8" s="168"/>
      <c r="CP8" s="168"/>
    </row>
    <row r="9" spans="2:97" s="166" customFormat="1" ht="15" customHeight="1">
      <c r="B9" s="314" t="s">
        <v>491</v>
      </c>
      <c r="C9" s="314"/>
      <c r="D9" s="314"/>
      <c r="E9" s="314"/>
      <c r="F9" s="314"/>
      <c r="G9" s="314"/>
      <c r="H9" s="314"/>
      <c r="I9" s="314"/>
      <c r="J9" s="314"/>
      <c r="K9" s="314"/>
      <c r="L9" s="314"/>
      <c r="M9" s="314"/>
      <c r="N9" s="314"/>
      <c r="P9" s="303" t="s">
        <v>492</v>
      </c>
      <c r="Q9" s="304"/>
      <c r="R9" s="304"/>
      <c r="S9" s="304"/>
      <c r="T9" s="304"/>
      <c r="U9" s="304"/>
      <c r="V9" s="304"/>
      <c r="W9" s="304"/>
      <c r="X9" s="304"/>
      <c r="Y9" s="304"/>
      <c r="Z9" s="304"/>
      <c r="AA9" s="304"/>
      <c r="AB9" s="304"/>
      <c r="AC9" s="304"/>
      <c r="AD9" s="304"/>
      <c r="AE9" s="305"/>
      <c r="CM9" s="168"/>
      <c r="CN9" s="168"/>
      <c r="CO9" s="168"/>
      <c r="CP9" s="168"/>
    </row>
    <row r="10" spans="2:97" s="166" customFormat="1" ht="15" customHeight="1">
      <c r="B10" s="180"/>
      <c r="C10" s="180"/>
      <c r="D10" s="180"/>
      <c r="E10" s="180"/>
      <c r="F10" s="180"/>
      <c r="G10" s="180"/>
      <c r="H10" s="180"/>
      <c r="I10" s="180"/>
      <c r="J10" s="181"/>
      <c r="K10" s="180"/>
      <c r="L10" s="180"/>
      <c r="M10" s="180"/>
      <c r="N10" s="180"/>
      <c r="O10" s="180"/>
      <c r="P10" s="180"/>
      <c r="Q10" s="180"/>
      <c r="R10" s="180"/>
      <c r="S10" s="180"/>
      <c r="T10" s="180"/>
      <c r="U10" s="180"/>
      <c r="V10" s="180"/>
      <c r="W10" s="180"/>
      <c r="X10" s="180"/>
      <c r="Y10" s="180"/>
      <c r="Z10" s="180"/>
      <c r="AA10" s="180"/>
      <c r="AB10" s="180"/>
      <c r="AC10" s="180"/>
      <c r="AD10" s="180"/>
      <c r="AE10" s="180"/>
      <c r="AF10" s="180"/>
      <c r="AG10" s="180"/>
      <c r="CM10" s="168"/>
      <c r="CN10" s="168"/>
      <c r="CO10" s="168"/>
      <c r="CP10" s="168"/>
    </row>
    <row r="11" spans="2:97" s="166" customFormat="1" ht="15" customHeight="1">
      <c r="B11" s="300" t="str">
        <f>Tournament!B10</f>
        <v>Group Stages</v>
      </c>
      <c r="C11" s="301"/>
      <c r="D11" s="301"/>
      <c r="E11" s="301"/>
      <c r="F11" s="301"/>
      <c r="G11" s="301"/>
      <c r="H11" s="301"/>
      <c r="I11" s="301"/>
      <c r="J11" s="301"/>
      <c r="K11" s="301"/>
      <c r="L11" s="301"/>
      <c r="M11" s="301"/>
      <c r="N11" s="302"/>
      <c r="P11" s="303" t="str">
        <f>B11</f>
        <v>Group Stages</v>
      </c>
      <c r="Q11" s="304"/>
      <c r="R11" s="304"/>
      <c r="S11" s="304"/>
      <c r="T11" s="304"/>
      <c r="U11" s="304"/>
      <c r="V11" s="304"/>
      <c r="W11" s="304"/>
      <c r="X11" s="304"/>
      <c r="Y11" s="304"/>
      <c r="Z11" s="304"/>
      <c r="AA11" s="304"/>
      <c r="AB11" s="304"/>
      <c r="AC11" s="304"/>
      <c r="AD11" s="304"/>
      <c r="AE11" s="305"/>
      <c r="CM11" s="168"/>
      <c r="CN11" s="168"/>
      <c r="CO11" s="168"/>
      <c r="CP11" s="168"/>
    </row>
    <row r="12" spans="2:97" s="166" customFormat="1" ht="15" customHeight="1">
      <c r="B12" s="182"/>
      <c r="C12" s="180"/>
      <c r="D12" s="180"/>
      <c r="E12" s="180"/>
      <c r="F12" s="180"/>
      <c r="G12" s="180"/>
      <c r="H12" s="180"/>
      <c r="I12" s="180"/>
      <c r="J12" s="181"/>
      <c r="K12" s="180"/>
      <c r="L12" s="180"/>
      <c r="M12" s="180"/>
      <c r="N12" s="183"/>
      <c r="P12" s="182"/>
      <c r="Q12" s="180"/>
      <c r="R12" s="180"/>
      <c r="S12" s="180"/>
      <c r="T12" s="180"/>
      <c r="U12" s="180"/>
      <c r="V12" s="180"/>
      <c r="W12" s="180"/>
      <c r="X12" s="180"/>
      <c r="Y12" s="180"/>
      <c r="Z12" s="180"/>
      <c r="AA12" s="180"/>
      <c r="AB12" s="180"/>
      <c r="AC12" s="180"/>
      <c r="AD12" s="180"/>
      <c r="AE12" s="183"/>
      <c r="CM12" s="168"/>
      <c r="CN12" s="168"/>
      <c r="CO12" s="168"/>
      <c r="CP12" s="168"/>
    </row>
    <row r="13" spans="2:97" s="166" customFormat="1" ht="15" customHeight="1">
      <c r="B13" s="182"/>
      <c r="C13" s="184" t="str">
        <f>Tournament!D14</f>
        <v>Match #</v>
      </c>
      <c r="D13" s="184" t="str">
        <f>Tournament!E14</f>
        <v>Group</v>
      </c>
      <c r="E13" s="184" t="str">
        <f>Tournament!F14</f>
        <v>Date</v>
      </c>
      <c r="F13" s="184" t="str">
        <f>Tournament!G14</f>
        <v>Time</v>
      </c>
      <c r="G13" s="184" t="str">
        <f>Tournament!H14</f>
        <v>Country</v>
      </c>
      <c r="H13" s="184"/>
      <c r="I13" s="306" t="str">
        <f>Tournament!J14</f>
        <v>Score</v>
      </c>
      <c r="J13" s="306"/>
      <c r="K13" s="306"/>
      <c r="L13" s="184"/>
      <c r="M13" s="184" t="str">
        <f>Tournament!N14</f>
        <v>Country</v>
      </c>
      <c r="N13" s="183"/>
      <c r="P13" s="185" t="str">
        <f>G13</f>
        <v>Country</v>
      </c>
      <c r="Q13" s="184"/>
      <c r="R13" s="306" t="str">
        <f>I13</f>
        <v>Score</v>
      </c>
      <c r="S13" s="306"/>
      <c r="T13" s="306"/>
      <c r="U13" s="184"/>
      <c r="V13" s="184" t="str">
        <f>M13</f>
        <v>Country</v>
      </c>
      <c r="W13" s="306"/>
      <c r="X13" s="306"/>
      <c r="Y13" s="306"/>
      <c r="Z13" s="184"/>
      <c r="AA13" s="306"/>
      <c r="AB13" s="306"/>
      <c r="AC13" s="306"/>
      <c r="AD13" s="184" t="s">
        <v>3277</v>
      </c>
      <c r="AE13" s="183"/>
      <c r="CP13" s="168"/>
      <c r="CQ13" s="186"/>
      <c r="CR13" s="187"/>
      <c r="CS13" s="168"/>
    </row>
    <row r="14" spans="2:97" s="166" customFormat="1" ht="15" customHeight="1">
      <c r="B14" s="182"/>
      <c r="C14" s="180"/>
      <c r="D14" s="180"/>
      <c r="E14" s="180"/>
      <c r="F14" s="180"/>
      <c r="G14" s="180"/>
      <c r="H14" s="180"/>
      <c r="I14" s="180"/>
      <c r="J14" s="180"/>
      <c r="K14" s="180"/>
      <c r="L14" s="180"/>
      <c r="M14" s="180"/>
      <c r="N14" s="183"/>
      <c r="P14" s="182"/>
      <c r="Q14" s="180"/>
      <c r="R14" s="180"/>
      <c r="S14" s="180"/>
      <c r="T14" s="180"/>
      <c r="U14" s="180"/>
      <c r="V14" s="180"/>
      <c r="W14" s="180"/>
      <c r="X14" s="180"/>
      <c r="Y14" s="180"/>
      <c r="Z14" s="180"/>
      <c r="AA14" s="180"/>
      <c r="AB14" s="180"/>
      <c r="AC14" s="180"/>
      <c r="AD14" s="181"/>
      <c r="AE14" s="183"/>
      <c r="CP14" s="168"/>
      <c r="CQ14" s="186"/>
      <c r="CR14" s="187"/>
      <c r="CS14" s="168"/>
    </row>
    <row r="15" spans="2:97" s="166" customFormat="1" ht="15" customHeight="1">
      <c r="B15" s="182"/>
      <c r="C15" s="181">
        <f>Tournament!D16</f>
        <v>1</v>
      </c>
      <c r="D15" s="181" t="str">
        <f>Tournament!E16</f>
        <v>A</v>
      </c>
      <c r="E15" s="188">
        <f>Tournament!F16</f>
        <v>41802.708333333336</v>
      </c>
      <c r="F15" s="189">
        <f>Tournament!G16</f>
        <v>41802.708333333336</v>
      </c>
      <c r="G15" s="190" t="str">
        <f>Tournament!H16</f>
        <v>Brazil</v>
      </c>
      <c r="H15" s="180"/>
      <c r="I15" s="9"/>
      <c r="J15" s="191" t="s">
        <v>3088</v>
      </c>
      <c r="K15" s="9"/>
      <c r="L15" s="180"/>
      <c r="M15" s="180" t="str">
        <f>Tournament!N16</f>
        <v>Croatia</v>
      </c>
      <c r="N15" s="183"/>
      <c r="O15" s="180"/>
      <c r="P15" s="192" t="str">
        <f>G15</f>
        <v>Brazil</v>
      </c>
      <c r="Q15" s="193"/>
      <c r="R15" s="194">
        <f>IF(Tournament!J16&lt;&gt;"",Tournament!J16,"")</f>
        <v>3</v>
      </c>
      <c r="S15" s="194" t="s">
        <v>3088</v>
      </c>
      <c r="T15" s="194">
        <f>IF(Tournament!L16&lt;&gt;"",Tournament!L16,"")</f>
        <v>1</v>
      </c>
      <c r="U15" s="193"/>
      <c r="V15" s="193" t="str">
        <f>M15</f>
        <v>Croatia</v>
      </c>
      <c r="W15" s="194"/>
      <c r="X15" s="194"/>
      <c r="Y15" s="194"/>
      <c r="Z15" s="194"/>
      <c r="AA15" s="194"/>
      <c r="AB15" s="194"/>
      <c r="AC15" s="194"/>
      <c r="AD15" s="195" t="str">
        <f>IF(AND(I15&lt;&gt;"",K15&lt;&gt;"",R15&lt;&gt;"",T15&lt;&gt;""),IF(AND(I15=R15,K15=T15),Setup!$D$10,IF((I15-K15)=(R15-T15),Setup!$D$11,IF(AND((I15&gt;K15),(R15&gt;T15)),Setup!$D$12,IF(AND((K15&gt;I15),(T15&gt;R15)),Setup!$D$12,0)))),"")</f>
        <v/>
      </c>
      <c r="AE15" s="183"/>
      <c r="CP15" s="168"/>
      <c r="CQ15" s="186"/>
      <c r="CR15" s="187"/>
      <c r="CS15" s="168"/>
    </row>
    <row r="16" spans="2:97" s="166" customFormat="1" ht="15" customHeight="1">
      <c r="B16" s="182"/>
      <c r="C16" s="181">
        <f>Tournament!D17</f>
        <v>2</v>
      </c>
      <c r="D16" s="181" t="str">
        <f>Tournament!E17</f>
        <v>A</v>
      </c>
      <c r="E16" s="188">
        <f>Tournament!F17</f>
        <v>41803.541666666664</v>
      </c>
      <c r="F16" s="189">
        <f>Tournament!G17</f>
        <v>41803.541666666664</v>
      </c>
      <c r="G16" s="190" t="str">
        <f>Tournament!H17</f>
        <v>Mexico</v>
      </c>
      <c r="H16" s="180"/>
      <c r="I16" s="9"/>
      <c r="J16" s="191" t="s">
        <v>3088</v>
      </c>
      <c r="K16" s="9"/>
      <c r="L16" s="180"/>
      <c r="M16" s="180" t="str">
        <f>Tournament!N17</f>
        <v>Cameroon</v>
      </c>
      <c r="N16" s="183"/>
      <c r="P16" s="192" t="str">
        <f t="shared" ref="P16:P62" si="0">G16</f>
        <v>Mexico</v>
      </c>
      <c r="Q16" s="193"/>
      <c r="R16" s="194">
        <f>IF(Tournament!J17&lt;&gt;"",Tournament!J17,"")</f>
        <v>1</v>
      </c>
      <c r="S16" s="194" t="s">
        <v>3088</v>
      </c>
      <c r="T16" s="194">
        <f>IF(Tournament!L17&lt;&gt;"",Tournament!L17,"")</f>
        <v>0</v>
      </c>
      <c r="U16" s="193"/>
      <c r="V16" s="193" t="str">
        <f t="shared" ref="V16:V62" si="1">M16</f>
        <v>Cameroon</v>
      </c>
      <c r="W16" s="194"/>
      <c r="X16" s="194"/>
      <c r="Y16" s="194"/>
      <c r="Z16" s="194"/>
      <c r="AA16" s="194"/>
      <c r="AB16" s="194"/>
      <c r="AC16" s="194"/>
      <c r="AD16" s="195" t="str">
        <f>IF(AND(I16&lt;&gt;"",K16&lt;&gt;"",R16&lt;&gt;"",T16&lt;&gt;""),IF(AND(I16=R16,K16=T16),Setup!$D$10,IF((I16-K16)=(R16-T16),Setup!$D$11,IF(AND((I16&gt;K16),(R16&gt;T16)),Setup!$D$12,IF(AND((K16&gt;I16),(T16&gt;R16)),Setup!$D$12,0)))),"")</f>
        <v/>
      </c>
      <c r="AE16" s="183"/>
      <c r="AI16" s="179" t="s">
        <v>3904</v>
      </c>
      <c r="CP16" s="168"/>
      <c r="CQ16" s="186"/>
      <c r="CR16" s="187"/>
      <c r="CS16" s="168"/>
    </row>
    <row r="17" spans="2:97" s="166" customFormat="1" ht="15" customHeight="1">
      <c r="B17" s="182"/>
      <c r="C17" s="181">
        <f>Tournament!D18</f>
        <v>3</v>
      </c>
      <c r="D17" s="181" t="str">
        <f>Tournament!E18</f>
        <v>B</v>
      </c>
      <c r="E17" s="188">
        <f>Tournament!F18</f>
        <v>41803.666666666664</v>
      </c>
      <c r="F17" s="189">
        <f>Tournament!G18</f>
        <v>41803.666666666664</v>
      </c>
      <c r="G17" s="190" t="str">
        <f>Tournament!H18</f>
        <v>Spain</v>
      </c>
      <c r="H17" s="180"/>
      <c r="I17" s="9"/>
      <c r="J17" s="191" t="s">
        <v>3088</v>
      </c>
      <c r="K17" s="9"/>
      <c r="L17" s="180"/>
      <c r="M17" s="180" t="str">
        <f>Tournament!N18</f>
        <v>Netherlands</v>
      </c>
      <c r="N17" s="183"/>
      <c r="P17" s="192" t="str">
        <f t="shared" si="0"/>
        <v>Spain</v>
      </c>
      <c r="Q17" s="193"/>
      <c r="R17" s="194">
        <f>IF(Tournament!J18&lt;&gt;"",Tournament!J18,"")</f>
        <v>1</v>
      </c>
      <c r="S17" s="194" t="s">
        <v>3088</v>
      </c>
      <c r="T17" s="194">
        <f>IF(Tournament!L18&lt;&gt;"",Tournament!L18,"")</f>
        <v>5</v>
      </c>
      <c r="U17" s="193"/>
      <c r="V17" s="193" t="str">
        <f t="shared" si="1"/>
        <v>Netherlands</v>
      </c>
      <c r="W17" s="194"/>
      <c r="X17" s="194"/>
      <c r="Y17" s="194"/>
      <c r="Z17" s="194"/>
      <c r="AA17" s="194"/>
      <c r="AB17" s="194"/>
      <c r="AC17" s="194"/>
      <c r="AD17" s="195" t="str">
        <f>IF(AND(I17&lt;&gt;"",K17&lt;&gt;"",R17&lt;&gt;"",T17&lt;&gt;""),IF(AND(I17=R17,K17=T17),Setup!$D$10,IF((I17-K17)=(R17-T17),Setup!$D$11,IF(AND((I17&gt;K17),(R17&gt;T17)),Setup!$D$12,IF(AND((K17&gt;I17),(T17&gt;R17)),Setup!$D$12,0)))),"")</f>
        <v/>
      </c>
      <c r="AE17" s="183"/>
      <c r="CP17" s="168"/>
      <c r="CQ17" s="186"/>
      <c r="CR17" s="187"/>
      <c r="CS17" s="168"/>
    </row>
    <row r="18" spans="2:97" s="166" customFormat="1" ht="15" customHeight="1">
      <c r="B18" s="182"/>
      <c r="C18" s="181">
        <f>Tournament!D19</f>
        <v>4</v>
      </c>
      <c r="D18" s="181" t="str">
        <f>Tournament!E19</f>
        <v>B</v>
      </c>
      <c r="E18" s="188">
        <f>Tournament!F19</f>
        <v>41803.791666666664</v>
      </c>
      <c r="F18" s="189">
        <f>Tournament!G19</f>
        <v>41803.791666666664</v>
      </c>
      <c r="G18" s="190" t="str">
        <f>Tournament!H19</f>
        <v>Chile</v>
      </c>
      <c r="H18" s="180"/>
      <c r="I18" s="9"/>
      <c r="J18" s="191" t="s">
        <v>3088</v>
      </c>
      <c r="K18" s="9"/>
      <c r="L18" s="180"/>
      <c r="M18" s="180" t="str">
        <f>Tournament!N19</f>
        <v>Australia</v>
      </c>
      <c r="N18" s="183"/>
      <c r="P18" s="192" t="str">
        <f t="shared" si="0"/>
        <v>Chile</v>
      </c>
      <c r="Q18" s="193"/>
      <c r="R18" s="194">
        <f>IF(Tournament!J19&lt;&gt;"",Tournament!J19,"")</f>
        <v>3</v>
      </c>
      <c r="S18" s="194" t="s">
        <v>3088</v>
      </c>
      <c r="T18" s="194">
        <f>IF(Tournament!L19&lt;&gt;"",Tournament!L19,"")</f>
        <v>1</v>
      </c>
      <c r="U18" s="193"/>
      <c r="V18" s="193" t="str">
        <f t="shared" si="1"/>
        <v>Australia</v>
      </c>
      <c r="W18" s="194"/>
      <c r="X18" s="194"/>
      <c r="Y18" s="194"/>
      <c r="Z18" s="194"/>
      <c r="AA18" s="194"/>
      <c r="AB18" s="194"/>
      <c r="AC18" s="194"/>
      <c r="AD18" s="195" t="str">
        <f>IF(AND(I18&lt;&gt;"",K18&lt;&gt;"",R18&lt;&gt;"",T18&lt;&gt;""),IF(AND(I18=R18,K18=T18),Setup!$D$10,IF((I18-K18)=(R18-T18),Setup!$D$11,IF(AND((I18&gt;K18),(R18&gt;T18)),Setup!$D$12,IF(AND((K18&gt;I18),(T18&gt;R18)),Setup!$D$12,0)))),"")</f>
        <v/>
      </c>
      <c r="AE18" s="183"/>
      <c r="CP18" s="168"/>
      <c r="CQ18" s="186"/>
      <c r="CR18" s="187"/>
      <c r="CS18" s="168"/>
    </row>
    <row r="19" spans="2:97" s="166" customFormat="1" ht="15" customHeight="1">
      <c r="B19" s="182"/>
      <c r="C19" s="181">
        <f>Tournament!D20</f>
        <v>5</v>
      </c>
      <c r="D19" s="181" t="str">
        <f>Tournament!E20</f>
        <v>C</v>
      </c>
      <c r="E19" s="188">
        <f>Tournament!F20</f>
        <v>41804.541666666664</v>
      </c>
      <c r="F19" s="189">
        <f>Tournament!G20</f>
        <v>41804.541666666664</v>
      </c>
      <c r="G19" s="190" t="str">
        <f>Tournament!H20</f>
        <v>Colombia</v>
      </c>
      <c r="H19" s="180"/>
      <c r="I19" s="9"/>
      <c r="J19" s="191" t="s">
        <v>3088</v>
      </c>
      <c r="K19" s="9"/>
      <c r="L19" s="180"/>
      <c r="M19" s="180" t="str">
        <f>Tournament!N20</f>
        <v>Greece</v>
      </c>
      <c r="N19" s="183"/>
      <c r="P19" s="192" t="str">
        <f t="shared" si="0"/>
        <v>Colombia</v>
      </c>
      <c r="Q19" s="193"/>
      <c r="R19" s="194" t="str">
        <f>IF(Tournament!J20&lt;&gt;"",Tournament!J20,"")</f>
        <v/>
      </c>
      <c r="S19" s="194" t="s">
        <v>3088</v>
      </c>
      <c r="T19" s="194" t="str">
        <f>IF(Tournament!L20&lt;&gt;"",Tournament!L20,"")</f>
        <v/>
      </c>
      <c r="U19" s="193"/>
      <c r="V19" s="193" t="str">
        <f t="shared" si="1"/>
        <v>Greece</v>
      </c>
      <c r="W19" s="194"/>
      <c r="X19" s="194"/>
      <c r="Y19" s="194"/>
      <c r="Z19" s="194"/>
      <c r="AA19" s="194"/>
      <c r="AB19" s="194"/>
      <c r="AC19" s="194"/>
      <c r="AD19" s="195" t="str">
        <f>IF(AND(I19&lt;&gt;"",K19&lt;&gt;"",R19&lt;&gt;"",T19&lt;&gt;""),IF(AND(I19=R19,K19=T19),Setup!$D$10,IF((I19-K19)=(R19-T19),Setup!$D$11,IF(AND((I19&gt;K19),(R19&gt;T19)),Setup!$D$12,IF(AND((K19&gt;I19),(T19&gt;R19)),Setup!$D$12,0)))),"")</f>
        <v/>
      </c>
      <c r="AE19" s="183"/>
      <c r="CP19" s="168"/>
      <c r="CQ19" s="186"/>
      <c r="CR19" s="187"/>
      <c r="CS19" s="168"/>
    </row>
    <row r="20" spans="2:97" s="166" customFormat="1" ht="15" customHeight="1">
      <c r="B20" s="182"/>
      <c r="C20" s="181">
        <f>Tournament!D21</f>
        <v>6</v>
      </c>
      <c r="D20" s="181" t="str">
        <f>Tournament!E21</f>
        <v>C</v>
      </c>
      <c r="E20" s="188">
        <f>Tournament!F21</f>
        <v>41804.916666666664</v>
      </c>
      <c r="F20" s="189">
        <f>Tournament!G21</f>
        <v>41804.916666666664</v>
      </c>
      <c r="G20" s="190" t="str">
        <f>Tournament!H21</f>
        <v>Ivory Coast</v>
      </c>
      <c r="H20" s="180"/>
      <c r="I20" s="9"/>
      <c r="J20" s="191" t="s">
        <v>3088</v>
      </c>
      <c r="K20" s="9"/>
      <c r="L20" s="180"/>
      <c r="M20" s="180" t="str">
        <f>Tournament!N21</f>
        <v>Japan</v>
      </c>
      <c r="N20" s="183"/>
      <c r="P20" s="192" t="str">
        <f t="shared" si="0"/>
        <v>Ivory Coast</v>
      </c>
      <c r="Q20" s="193"/>
      <c r="R20" s="194" t="str">
        <f>IF(Tournament!J21&lt;&gt;"",Tournament!J21,"")</f>
        <v/>
      </c>
      <c r="S20" s="194" t="s">
        <v>3088</v>
      </c>
      <c r="T20" s="194" t="str">
        <f>IF(Tournament!L21&lt;&gt;"",Tournament!L21,"")</f>
        <v/>
      </c>
      <c r="U20" s="193"/>
      <c r="V20" s="193" t="str">
        <f t="shared" si="1"/>
        <v>Japan</v>
      </c>
      <c r="W20" s="194"/>
      <c r="X20" s="194"/>
      <c r="Y20" s="194"/>
      <c r="Z20" s="194"/>
      <c r="AA20" s="194"/>
      <c r="AB20" s="194"/>
      <c r="AC20" s="194"/>
      <c r="AD20" s="195" t="str">
        <f>IF(AND(I20&lt;&gt;"",K20&lt;&gt;"",R20&lt;&gt;"",T20&lt;&gt;""),IF(AND(I20=R20,K20=T20),Setup!$D$10,IF((I20-K20)=(R20-T20),Setup!$D$11,IF(AND((I20&gt;K20),(R20&gt;T20)),Setup!$D$12,IF(AND((K20&gt;I20),(T20&gt;R20)),Setup!$D$12,0)))),"")</f>
        <v/>
      </c>
      <c r="AE20" s="183"/>
      <c r="CP20" s="168"/>
      <c r="CQ20" s="186"/>
      <c r="CR20" s="187"/>
      <c r="CS20" s="168"/>
    </row>
    <row r="21" spans="2:97" s="166" customFormat="1" ht="15" customHeight="1">
      <c r="B21" s="182"/>
      <c r="C21" s="181">
        <f>Tournament!D22</f>
        <v>7</v>
      </c>
      <c r="D21" s="181" t="str">
        <f>Tournament!E22</f>
        <v>D</v>
      </c>
      <c r="E21" s="188">
        <f>Tournament!F22</f>
        <v>41804.666666666664</v>
      </c>
      <c r="F21" s="189">
        <f>Tournament!G22</f>
        <v>41804.666666666664</v>
      </c>
      <c r="G21" s="190" t="str">
        <f>Tournament!H22</f>
        <v>Uruguay</v>
      </c>
      <c r="H21" s="180"/>
      <c r="I21" s="9"/>
      <c r="J21" s="191" t="s">
        <v>3088</v>
      </c>
      <c r="K21" s="9"/>
      <c r="L21" s="180"/>
      <c r="M21" s="180" t="str">
        <f>Tournament!N22</f>
        <v>Costa Rica</v>
      </c>
      <c r="N21" s="183"/>
      <c r="P21" s="192" t="str">
        <f t="shared" si="0"/>
        <v>Uruguay</v>
      </c>
      <c r="Q21" s="193"/>
      <c r="R21" s="194" t="str">
        <f>IF(Tournament!J22&lt;&gt;"",Tournament!J22,"")</f>
        <v/>
      </c>
      <c r="S21" s="194" t="s">
        <v>3088</v>
      </c>
      <c r="T21" s="194" t="str">
        <f>IF(Tournament!L22&lt;&gt;"",Tournament!L22,"")</f>
        <v/>
      </c>
      <c r="U21" s="193"/>
      <c r="V21" s="193" t="str">
        <f t="shared" si="1"/>
        <v>Costa Rica</v>
      </c>
      <c r="W21" s="194"/>
      <c r="X21" s="194"/>
      <c r="Y21" s="194"/>
      <c r="Z21" s="194"/>
      <c r="AA21" s="194"/>
      <c r="AB21" s="194"/>
      <c r="AC21" s="194"/>
      <c r="AD21" s="195" t="str">
        <f>IF(AND(I21&lt;&gt;"",K21&lt;&gt;"",R21&lt;&gt;"",T21&lt;&gt;""),IF(AND(I21=R21,K21=T21),Setup!$D$10,IF((I21-K21)=(R21-T21),Setup!$D$11,IF(AND((I21&gt;K21),(R21&gt;T21)),Setup!$D$12,IF(AND((K21&gt;I21),(T21&gt;R21)),Setup!$D$12,0)))),"")</f>
        <v/>
      </c>
      <c r="AE21" s="183"/>
      <c r="CP21" s="168"/>
      <c r="CQ21" s="196"/>
      <c r="CR21" s="187"/>
      <c r="CS21" s="168"/>
    </row>
    <row r="22" spans="2:97" s="166" customFormat="1" ht="15" customHeight="1">
      <c r="B22" s="182"/>
      <c r="C22" s="181">
        <f>Tournament!D23</f>
        <v>8</v>
      </c>
      <c r="D22" s="181" t="str">
        <f>Tournament!E23</f>
        <v>D</v>
      </c>
      <c r="E22" s="188">
        <f>Tournament!F23</f>
        <v>41804.791666666664</v>
      </c>
      <c r="F22" s="189">
        <f>Tournament!G23</f>
        <v>41804.791666666664</v>
      </c>
      <c r="G22" s="190" t="str">
        <f>Tournament!H23</f>
        <v>England</v>
      </c>
      <c r="H22" s="180"/>
      <c r="I22" s="9"/>
      <c r="J22" s="191" t="s">
        <v>3088</v>
      </c>
      <c r="K22" s="9"/>
      <c r="L22" s="180"/>
      <c r="M22" s="180" t="str">
        <f>Tournament!N23</f>
        <v>Italy</v>
      </c>
      <c r="N22" s="183"/>
      <c r="P22" s="192" t="str">
        <f t="shared" si="0"/>
        <v>England</v>
      </c>
      <c r="Q22" s="193"/>
      <c r="R22" s="194" t="str">
        <f>IF(Tournament!J23&lt;&gt;"",Tournament!J23,"")</f>
        <v/>
      </c>
      <c r="S22" s="194" t="s">
        <v>3088</v>
      </c>
      <c r="T22" s="194" t="str">
        <f>IF(Tournament!L23&lt;&gt;"",Tournament!L23,"")</f>
        <v/>
      </c>
      <c r="U22" s="193"/>
      <c r="V22" s="193" t="str">
        <f t="shared" si="1"/>
        <v>Italy</v>
      </c>
      <c r="W22" s="194"/>
      <c r="X22" s="194"/>
      <c r="Y22" s="194"/>
      <c r="Z22" s="194"/>
      <c r="AA22" s="194"/>
      <c r="AB22" s="194"/>
      <c r="AC22" s="194"/>
      <c r="AD22" s="195" t="str">
        <f>IF(AND(I22&lt;&gt;"",K22&lt;&gt;"",R22&lt;&gt;"",T22&lt;&gt;""),IF(AND(I22=R22,K22=T22),Setup!$D$10,IF((I22-K22)=(R22-T22),Setup!$D$11,IF(AND((I22&gt;K22),(R22&gt;T22)),Setup!$D$12,IF(AND((K22&gt;I22),(T22&gt;R22)),Setup!$D$12,0)))),"")</f>
        <v/>
      </c>
      <c r="AE22" s="183"/>
      <c r="CP22" s="168"/>
      <c r="CQ22" s="186"/>
      <c r="CR22" s="187"/>
      <c r="CS22" s="168"/>
    </row>
    <row r="23" spans="2:97" s="166" customFormat="1" ht="15" customHeight="1">
      <c r="B23" s="182"/>
      <c r="C23" s="181">
        <f>Tournament!D24</f>
        <v>9</v>
      </c>
      <c r="D23" s="181" t="str">
        <f>Tournament!E24</f>
        <v>E</v>
      </c>
      <c r="E23" s="188">
        <f>Tournament!F24</f>
        <v>41805.541666666664</v>
      </c>
      <c r="F23" s="189">
        <f>Tournament!G24</f>
        <v>41805.541666666664</v>
      </c>
      <c r="G23" s="190" t="str">
        <f>Tournament!H24</f>
        <v>Switzerland</v>
      </c>
      <c r="H23" s="180"/>
      <c r="I23" s="9"/>
      <c r="J23" s="191" t="s">
        <v>3088</v>
      </c>
      <c r="K23" s="9"/>
      <c r="L23" s="180"/>
      <c r="M23" s="180" t="str">
        <f>Tournament!N24</f>
        <v>Ecuador</v>
      </c>
      <c r="N23" s="183"/>
      <c r="P23" s="192" t="str">
        <f t="shared" si="0"/>
        <v>Switzerland</v>
      </c>
      <c r="Q23" s="193"/>
      <c r="R23" s="194" t="str">
        <f>IF(Tournament!J24&lt;&gt;"",Tournament!J24,"")</f>
        <v/>
      </c>
      <c r="S23" s="194" t="s">
        <v>3088</v>
      </c>
      <c r="T23" s="194" t="str">
        <f>IF(Tournament!L24&lt;&gt;"",Tournament!L24,"")</f>
        <v/>
      </c>
      <c r="U23" s="193"/>
      <c r="V23" s="193" t="str">
        <f t="shared" si="1"/>
        <v>Ecuador</v>
      </c>
      <c r="W23" s="194"/>
      <c r="X23" s="194"/>
      <c r="Y23" s="194"/>
      <c r="Z23" s="194"/>
      <c r="AA23" s="194"/>
      <c r="AB23" s="194"/>
      <c r="AC23" s="194"/>
      <c r="AD23" s="195" t="str">
        <f>IF(AND(I23&lt;&gt;"",K23&lt;&gt;"",R23&lt;&gt;"",T23&lt;&gt;""),IF(AND(I23=R23,K23=T23),Setup!$D$10,IF((I23-K23)=(R23-T23),Setup!$D$11,IF(AND((I23&gt;K23),(R23&gt;T23)),Setup!$D$12,IF(AND((K23&gt;I23),(T23&gt;R23)),Setup!$D$12,0)))),"")</f>
        <v/>
      </c>
      <c r="AE23" s="183"/>
      <c r="CP23" s="168"/>
      <c r="CQ23" s="186"/>
      <c r="CR23" s="187"/>
      <c r="CS23" s="168"/>
    </row>
    <row r="24" spans="2:97" s="166" customFormat="1" ht="15" customHeight="1">
      <c r="B24" s="182"/>
      <c r="C24" s="181">
        <f>Tournament!D25</f>
        <v>10</v>
      </c>
      <c r="D24" s="181" t="str">
        <f>Tournament!E25</f>
        <v>E</v>
      </c>
      <c r="E24" s="188">
        <f>Tournament!F25</f>
        <v>41805.666666666664</v>
      </c>
      <c r="F24" s="189">
        <f>Tournament!G25</f>
        <v>41805.666666666664</v>
      </c>
      <c r="G24" s="190" t="str">
        <f>Tournament!H25</f>
        <v>France</v>
      </c>
      <c r="H24" s="180"/>
      <c r="I24" s="9"/>
      <c r="J24" s="191" t="s">
        <v>3088</v>
      </c>
      <c r="K24" s="9"/>
      <c r="L24" s="180"/>
      <c r="M24" s="180" t="str">
        <f>Tournament!N25</f>
        <v>Honduras</v>
      </c>
      <c r="N24" s="183"/>
      <c r="P24" s="192" t="str">
        <f t="shared" si="0"/>
        <v>France</v>
      </c>
      <c r="Q24" s="193"/>
      <c r="R24" s="194" t="str">
        <f>IF(Tournament!J25&lt;&gt;"",Tournament!J25,"")</f>
        <v/>
      </c>
      <c r="S24" s="194" t="s">
        <v>3088</v>
      </c>
      <c r="T24" s="194" t="str">
        <f>IF(Tournament!L25&lt;&gt;"",Tournament!L25,"")</f>
        <v/>
      </c>
      <c r="U24" s="193"/>
      <c r="V24" s="193" t="str">
        <f t="shared" si="1"/>
        <v>Honduras</v>
      </c>
      <c r="W24" s="194"/>
      <c r="X24" s="194"/>
      <c r="Y24" s="194"/>
      <c r="Z24" s="194"/>
      <c r="AA24" s="194"/>
      <c r="AB24" s="194"/>
      <c r="AC24" s="194"/>
      <c r="AD24" s="195" t="str">
        <f>IF(AND(I24&lt;&gt;"",K24&lt;&gt;"",R24&lt;&gt;"",T24&lt;&gt;""),IF(AND(I24=R24,K24=T24),Setup!$D$10,IF((I24-K24)=(R24-T24),Setup!$D$11,IF(AND((I24&gt;K24),(R24&gt;T24)),Setup!$D$12,IF(AND((K24&gt;I24),(T24&gt;R24)),Setup!$D$12,0)))),"")</f>
        <v/>
      </c>
      <c r="AE24" s="183"/>
      <c r="CP24" s="168"/>
      <c r="CQ24" s="186"/>
      <c r="CR24" s="187"/>
      <c r="CS24" s="168"/>
    </row>
    <row r="25" spans="2:97" s="166" customFormat="1" ht="15" customHeight="1">
      <c r="B25" s="182"/>
      <c r="C25" s="181">
        <f>Tournament!D26</f>
        <v>11</v>
      </c>
      <c r="D25" s="181" t="str">
        <f>Tournament!E26</f>
        <v>F</v>
      </c>
      <c r="E25" s="188">
        <f>Tournament!F26</f>
        <v>41805.791666666664</v>
      </c>
      <c r="F25" s="189">
        <f>Tournament!G26</f>
        <v>41805.791666666664</v>
      </c>
      <c r="G25" s="190" t="str">
        <f>Tournament!H26</f>
        <v>Argentina</v>
      </c>
      <c r="H25" s="180"/>
      <c r="I25" s="9"/>
      <c r="J25" s="191" t="s">
        <v>3088</v>
      </c>
      <c r="K25" s="9"/>
      <c r="L25" s="180"/>
      <c r="M25" s="180" t="str">
        <f>Tournament!N26</f>
        <v>Bosnia-Herzegovina</v>
      </c>
      <c r="N25" s="183"/>
      <c r="P25" s="192" t="str">
        <f t="shared" si="0"/>
        <v>Argentina</v>
      </c>
      <c r="Q25" s="193"/>
      <c r="R25" s="194" t="str">
        <f>IF(Tournament!J26&lt;&gt;"",Tournament!J26,"")</f>
        <v/>
      </c>
      <c r="S25" s="194" t="s">
        <v>3088</v>
      </c>
      <c r="T25" s="194" t="str">
        <f>IF(Tournament!L26&lt;&gt;"",Tournament!L26,"")</f>
        <v/>
      </c>
      <c r="U25" s="193"/>
      <c r="V25" s="193" t="str">
        <f t="shared" si="1"/>
        <v>Bosnia-Herzegovina</v>
      </c>
      <c r="W25" s="194"/>
      <c r="X25" s="194"/>
      <c r="Y25" s="194"/>
      <c r="Z25" s="194"/>
      <c r="AA25" s="194"/>
      <c r="AB25" s="194"/>
      <c r="AC25" s="194"/>
      <c r="AD25" s="195" t="str">
        <f>IF(AND(I25&lt;&gt;"",K25&lt;&gt;"",R25&lt;&gt;"",T25&lt;&gt;""),IF(AND(I25=R25,K25=T25),Setup!$D$10,IF((I25-K25)=(R25-T25),Setup!$D$11,IF(AND((I25&gt;K25),(R25&gt;T25)),Setup!$D$12,IF(AND((K25&gt;I25),(T25&gt;R25)),Setup!$D$12,0)))),"")</f>
        <v/>
      </c>
      <c r="AE25" s="183"/>
      <c r="CP25" s="168"/>
      <c r="CQ25" s="186"/>
      <c r="CR25" s="187"/>
      <c r="CS25" s="168"/>
    </row>
    <row r="26" spans="2:97" s="166" customFormat="1" ht="15" customHeight="1">
      <c r="B26" s="182"/>
      <c r="C26" s="181">
        <f>Tournament!D27</f>
        <v>12</v>
      </c>
      <c r="D26" s="181" t="str">
        <f>Tournament!E27</f>
        <v>F</v>
      </c>
      <c r="E26" s="188">
        <f>Tournament!F27</f>
        <v>41806.666666666664</v>
      </c>
      <c r="F26" s="189">
        <f>Tournament!G27</f>
        <v>41806.666666666664</v>
      </c>
      <c r="G26" s="190" t="str">
        <f>Tournament!H27</f>
        <v>Iran</v>
      </c>
      <c r="H26" s="180"/>
      <c r="I26" s="9"/>
      <c r="J26" s="191" t="s">
        <v>3088</v>
      </c>
      <c r="K26" s="9"/>
      <c r="L26" s="180"/>
      <c r="M26" s="180" t="str">
        <f>Tournament!N27</f>
        <v>Nigeria</v>
      </c>
      <c r="N26" s="183"/>
      <c r="P26" s="192" t="str">
        <f t="shared" si="0"/>
        <v>Iran</v>
      </c>
      <c r="Q26" s="193"/>
      <c r="R26" s="194" t="str">
        <f>IF(Tournament!J27&lt;&gt;"",Tournament!J27,"")</f>
        <v/>
      </c>
      <c r="S26" s="194" t="s">
        <v>3088</v>
      </c>
      <c r="T26" s="194" t="str">
        <f>IF(Tournament!L27&lt;&gt;"",Tournament!L27,"")</f>
        <v/>
      </c>
      <c r="U26" s="193"/>
      <c r="V26" s="193" t="str">
        <f t="shared" si="1"/>
        <v>Nigeria</v>
      </c>
      <c r="W26" s="194"/>
      <c r="X26" s="194"/>
      <c r="Y26" s="194"/>
      <c r="Z26" s="194"/>
      <c r="AA26" s="194"/>
      <c r="AB26" s="194"/>
      <c r="AC26" s="194"/>
      <c r="AD26" s="195" t="str">
        <f>IF(AND(I26&lt;&gt;"",K26&lt;&gt;"",R26&lt;&gt;"",T26&lt;&gt;""),IF(AND(I26=R26,K26=T26),Setup!$D$10,IF((I26-K26)=(R26-T26),Setup!$D$11,IF(AND((I26&gt;K26),(R26&gt;T26)),Setup!$D$12,IF(AND((K26&gt;I26),(T26&gt;R26)),Setup!$D$12,0)))),"")</f>
        <v/>
      </c>
      <c r="AE26" s="183"/>
      <c r="CP26" s="168"/>
      <c r="CQ26" s="186"/>
      <c r="CR26" s="187"/>
      <c r="CS26" s="168"/>
    </row>
    <row r="27" spans="2:97" s="166" customFormat="1" ht="15" customHeight="1">
      <c r="B27" s="182"/>
      <c r="C27" s="181">
        <f>Tournament!D28</f>
        <v>13</v>
      </c>
      <c r="D27" s="181" t="str">
        <f>Tournament!E28</f>
        <v>G</v>
      </c>
      <c r="E27" s="188">
        <f>Tournament!F28</f>
        <v>41806.541666666664</v>
      </c>
      <c r="F27" s="189">
        <f>Tournament!G28</f>
        <v>41806.541666666664</v>
      </c>
      <c r="G27" s="190" t="str">
        <f>Tournament!H28</f>
        <v>Germany</v>
      </c>
      <c r="H27" s="180"/>
      <c r="I27" s="9"/>
      <c r="J27" s="191" t="s">
        <v>3088</v>
      </c>
      <c r="K27" s="9"/>
      <c r="L27" s="180"/>
      <c r="M27" s="180" t="str">
        <f>Tournament!N28</f>
        <v>Portugal</v>
      </c>
      <c r="N27" s="183"/>
      <c r="P27" s="192" t="str">
        <f t="shared" si="0"/>
        <v>Germany</v>
      </c>
      <c r="Q27" s="193"/>
      <c r="R27" s="194" t="str">
        <f>IF(Tournament!J28&lt;&gt;"",Tournament!J28,"")</f>
        <v/>
      </c>
      <c r="S27" s="194" t="s">
        <v>3088</v>
      </c>
      <c r="T27" s="194" t="str">
        <f>IF(Tournament!L28&lt;&gt;"",Tournament!L28,"")</f>
        <v/>
      </c>
      <c r="U27" s="193"/>
      <c r="V27" s="193" t="str">
        <f t="shared" si="1"/>
        <v>Portugal</v>
      </c>
      <c r="W27" s="194"/>
      <c r="X27" s="194"/>
      <c r="Y27" s="194"/>
      <c r="Z27" s="194"/>
      <c r="AA27" s="194"/>
      <c r="AB27" s="194"/>
      <c r="AC27" s="194"/>
      <c r="AD27" s="195" t="str">
        <f>IF(AND(I27&lt;&gt;"",K27&lt;&gt;"",R27&lt;&gt;"",T27&lt;&gt;""),IF(AND(I27=R27,K27=T27),Setup!$D$10,IF((I27-K27)=(R27-T27),Setup!$D$11,IF(AND((I27&gt;K27),(R27&gt;T27)),Setup!$D$12,IF(AND((K27&gt;I27),(T27&gt;R27)),Setup!$D$12,0)))),"")</f>
        <v/>
      </c>
      <c r="AE27" s="183"/>
      <c r="CP27" s="168"/>
      <c r="CQ27" s="186"/>
      <c r="CR27" s="187"/>
      <c r="CS27" s="168"/>
    </row>
    <row r="28" spans="2:97" s="166" customFormat="1" ht="15" customHeight="1">
      <c r="B28" s="182"/>
      <c r="C28" s="181">
        <f>Tournament!D29</f>
        <v>14</v>
      </c>
      <c r="D28" s="181" t="str">
        <f>Tournament!E29</f>
        <v>G</v>
      </c>
      <c r="E28" s="188">
        <f>Tournament!F29</f>
        <v>41806.791666666664</v>
      </c>
      <c r="F28" s="189">
        <f>Tournament!G29</f>
        <v>41806.791666666664</v>
      </c>
      <c r="G28" s="190" t="str">
        <f>Tournament!H29</f>
        <v>Ghana</v>
      </c>
      <c r="H28" s="180"/>
      <c r="I28" s="9"/>
      <c r="J28" s="191" t="s">
        <v>3088</v>
      </c>
      <c r="K28" s="9"/>
      <c r="L28" s="180"/>
      <c r="M28" s="180" t="str">
        <f>Tournament!N29</f>
        <v>USA</v>
      </c>
      <c r="N28" s="183"/>
      <c r="P28" s="192" t="str">
        <f t="shared" si="0"/>
        <v>Ghana</v>
      </c>
      <c r="Q28" s="193"/>
      <c r="R28" s="194" t="str">
        <f>IF(Tournament!J29&lt;&gt;"",Tournament!J29,"")</f>
        <v/>
      </c>
      <c r="S28" s="194" t="s">
        <v>3088</v>
      </c>
      <c r="T28" s="194" t="str">
        <f>IF(Tournament!L29&lt;&gt;"",Tournament!L29,"")</f>
        <v/>
      </c>
      <c r="U28" s="193"/>
      <c r="V28" s="193" t="str">
        <f t="shared" si="1"/>
        <v>USA</v>
      </c>
      <c r="W28" s="194"/>
      <c r="X28" s="194"/>
      <c r="Y28" s="194"/>
      <c r="Z28" s="194"/>
      <c r="AA28" s="194"/>
      <c r="AB28" s="194"/>
      <c r="AC28" s="194"/>
      <c r="AD28" s="195" t="str">
        <f>IF(AND(I28&lt;&gt;"",K28&lt;&gt;"",R28&lt;&gt;"",T28&lt;&gt;""),IF(AND(I28=R28,K28=T28),Setup!$D$10,IF((I28-K28)=(R28-T28),Setup!$D$11,IF(AND((I28&gt;K28),(R28&gt;T28)),Setup!$D$12,IF(AND((K28&gt;I28),(T28&gt;R28)),Setup!$D$12,0)))),"")</f>
        <v/>
      </c>
      <c r="AE28" s="183"/>
      <c r="CP28" s="168"/>
      <c r="CQ28" s="186"/>
      <c r="CR28" s="187"/>
      <c r="CS28" s="168"/>
    </row>
    <row r="29" spans="2:97" s="166" customFormat="1" ht="15" customHeight="1">
      <c r="B29" s="182"/>
      <c r="C29" s="181">
        <f>Tournament!D30</f>
        <v>15</v>
      </c>
      <c r="D29" s="181" t="str">
        <f>Tournament!E30</f>
        <v>H</v>
      </c>
      <c r="E29" s="188">
        <f>Tournament!F30</f>
        <v>41807.541666666664</v>
      </c>
      <c r="F29" s="189">
        <f>Tournament!G30</f>
        <v>41807.541666666664</v>
      </c>
      <c r="G29" s="190" t="str">
        <f>Tournament!H30</f>
        <v>Belgium</v>
      </c>
      <c r="H29" s="180"/>
      <c r="I29" s="9"/>
      <c r="J29" s="191" t="s">
        <v>3088</v>
      </c>
      <c r="K29" s="9"/>
      <c r="L29" s="180"/>
      <c r="M29" s="180" t="str">
        <f>Tournament!N30</f>
        <v>Algeria</v>
      </c>
      <c r="N29" s="183"/>
      <c r="P29" s="192" t="str">
        <f t="shared" si="0"/>
        <v>Belgium</v>
      </c>
      <c r="Q29" s="193"/>
      <c r="R29" s="194" t="str">
        <f>IF(Tournament!J30&lt;&gt;"",Tournament!J30,"")</f>
        <v/>
      </c>
      <c r="S29" s="194" t="s">
        <v>3088</v>
      </c>
      <c r="T29" s="194" t="str">
        <f>IF(Tournament!L30&lt;&gt;"",Tournament!L30,"")</f>
        <v/>
      </c>
      <c r="U29" s="193"/>
      <c r="V29" s="193" t="str">
        <f t="shared" si="1"/>
        <v>Algeria</v>
      </c>
      <c r="W29" s="194"/>
      <c r="X29" s="194"/>
      <c r="Y29" s="194"/>
      <c r="Z29" s="194"/>
      <c r="AA29" s="194"/>
      <c r="AB29" s="194"/>
      <c r="AC29" s="194"/>
      <c r="AD29" s="195" t="str">
        <f>IF(AND(I29&lt;&gt;"",K29&lt;&gt;"",R29&lt;&gt;"",T29&lt;&gt;""),IF(AND(I29=R29,K29=T29),Setup!$D$10,IF((I29-K29)=(R29-T29),Setup!$D$11,IF(AND((I29&gt;K29),(R29&gt;T29)),Setup!$D$12,IF(AND((K29&gt;I29),(T29&gt;R29)),Setup!$D$12,0)))),"")</f>
        <v/>
      </c>
      <c r="AE29" s="183"/>
      <c r="CP29" s="168"/>
      <c r="CQ29" s="186"/>
      <c r="CR29" s="187"/>
      <c r="CS29" s="168"/>
    </row>
    <row r="30" spans="2:97" s="166" customFormat="1" ht="15" customHeight="1">
      <c r="B30" s="182"/>
      <c r="C30" s="181">
        <f>Tournament!D31</f>
        <v>16</v>
      </c>
      <c r="D30" s="181" t="str">
        <f>Tournament!E31</f>
        <v>H</v>
      </c>
      <c r="E30" s="188">
        <f>Tournament!F31</f>
        <v>41807.791666666664</v>
      </c>
      <c r="F30" s="189">
        <f>Tournament!G31</f>
        <v>41807.791666666664</v>
      </c>
      <c r="G30" s="190" t="str">
        <f>Tournament!H31</f>
        <v>Russia</v>
      </c>
      <c r="H30" s="180"/>
      <c r="I30" s="9"/>
      <c r="J30" s="191" t="s">
        <v>3088</v>
      </c>
      <c r="K30" s="9"/>
      <c r="L30" s="180"/>
      <c r="M30" s="180" t="str">
        <f>Tournament!N31</f>
        <v>South Korea</v>
      </c>
      <c r="N30" s="183"/>
      <c r="P30" s="192" t="str">
        <f t="shared" si="0"/>
        <v>Russia</v>
      </c>
      <c r="Q30" s="193"/>
      <c r="R30" s="194" t="str">
        <f>IF(Tournament!J31&lt;&gt;"",Tournament!J31,"")</f>
        <v/>
      </c>
      <c r="S30" s="194" t="s">
        <v>3088</v>
      </c>
      <c r="T30" s="194" t="str">
        <f>IF(Tournament!L31&lt;&gt;"",Tournament!L31,"")</f>
        <v/>
      </c>
      <c r="U30" s="193"/>
      <c r="V30" s="193" t="str">
        <f t="shared" si="1"/>
        <v>South Korea</v>
      </c>
      <c r="W30" s="194"/>
      <c r="X30" s="194"/>
      <c r="Y30" s="194"/>
      <c r="Z30" s="194"/>
      <c r="AA30" s="194"/>
      <c r="AB30" s="194"/>
      <c r="AC30" s="194"/>
      <c r="AD30" s="195" t="str">
        <f>IF(AND(I30&lt;&gt;"",K30&lt;&gt;"",R30&lt;&gt;"",T30&lt;&gt;""),IF(AND(I30=R30,K30=T30),Setup!$D$10,IF((I30-K30)=(R30-T30),Setup!$D$11,IF(AND((I30&gt;K30),(R30&gt;T30)),Setup!$D$12,IF(AND((K30&gt;I30),(T30&gt;R30)),Setup!$D$12,0)))),"")</f>
        <v/>
      </c>
      <c r="AE30" s="183"/>
      <c r="CP30" s="168"/>
      <c r="CQ30" s="186"/>
      <c r="CR30" s="187"/>
      <c r="CS30" s="168"/>
    </row>
    <row r="31" spans="2:97" s="166" customFormat="1" ht="15" customHeight="1">
      <c r="B31" s="182"/>
      <c r="C31" s="181">
        <f>Tournament!D32</f>
        <v>17</v>
      </c>
      <c r="D31" s="181" t="str">
        <f>Tournament!E32</f>
        <v>A</v>
      </c>
      <c r="E31" s="188">
        <f>Tournament!F32</f>
        <v>41807.666666666664</v>
      </c>
      <c r="F31" s="189">
        <f>Tournament!G32</f>
        <v>41807.666666666664</v>
      </c>
      <c r="G31" s="190" t="str">
        <f>Tournament!H32</f>
        <v>Brazil</v>
      </c>
      <c r="H31" s="180"/>
      <c r="I31" s="9"/>
      <c r="J31" s="191" t="s">
        <v>3088</v>
      </c>
      <c r="K31" s="9"/>
      <c r="L31" s="180"/>
      <c r="M31" s="180" t="str">
        <f>Tournament!N32</f>
        <v>Mexico</v>
      </c>
      <c r="N31" s="183"/>
      <c r="P31" s="192" t="str">
        <f t="shared" si="0"/>
        <v>Brazil</v>
      </c>
      <c r="Q31" s="193"/>
      <c r="R31" s="194" t="str">
        <f>IF(Tournament!J32&lt;&gt;"",Tournament!J32,"")</f>
        <v/>
      </c>
      <c r="S31" s="194" t="s">
        <v>3088</v>
      </c>
      <c r="T31" s="194" t="str">
        <f>IF(Tournament!L32&lt;&gt;"",Tournament!L32,"")</f>
        <v/>
      </c>
      <c r="U31" s="193"/>
      <c r="V31" s="193" t="str">
        <f t="shared" si="1"/>
        <v>Mexico</v>
      </c>
      <c r="W31" s="194"/>
      <c r="X31" s="194"/>
      <c r="Y31" s="194"/>
      <c r="Z31" s="194"/>
      <c r="AA31" s="194"/>
      <c r="AB31" s="194"/>
      <c r="AC31" s="194"/>
      <c r="AD31" s="195" t="str">
        <f>IF(AND(I31&lt;&gt;"",K31&lt;&gt;"",R31&lt;&gt;"",T31&lt;&gt;""),IF(AND(I31=R31,K31=T31),Setup!$D$10,IF((I31-K31)=(R31-T31),Setup!$D$11,IF(AND((I31&gt;K31),(R31&gt;T31)),Setup!$D$12,IF(AND((K31&gt;I31),(T31&gt;R31)),Setup!$D$12,0)))),"")</f>
        <v/>
      </c>
      <c r="AE31" s="183"/>
      <c r="CP31" s="168"/>
      <c r="CQ31" s="186"/>
      <c r="CR31" s="187"/>
      <c r="CS31" s="168"/>
    </row>
    <row r="32" spans="2:97" s="166" customFormat="1" ht="15" customHeight="1">
      <c r="B32" s="182"/>
      <c r="C32" s="181">
        <f>Tournament!D33</f>
        <v>18</v>
      </c>
      <c r="D32" s="181" t="str">
        <f>Tournament!E33</f>
        <v>A</v>
      </c>
      <c r="E32" s="188">
        <f>Tournament!F33</f>
        <v>41808.791666666664</v>
      </c>
      <c r="F32" s="189">
        <f>Tournament!G33</f>
        <v>41808.791666666664</v>
      </c>
      <c r="G32" s="190" t="str">
        <f>Tournament!H33</f>
        <v>Cameroon</v>
      </c>
      <c r="H32" s="180"/>
      <c r="I32" s="9"/>
      <c r="J32" s="191" t="s">
        <v>3088</v>
      </c>
      <c r="K32" s="9"/>
      <c r="L32" s="180"/>
      <c r="M32" s="180" t="str">
        <f>Tournament!N33</f>
        <v>Croatia</v>
      </c>
      <c r="N32" s="183"/>
      <c r="P32" s="192" t="str">
        <f t="shared" si="0"/>
        <v>Cameroon</v>
      </c>
      <c r="Q32" s="193"/>
      <c r="R32" s="194" t="str">
        <f>IF(Tournament!J33&lt;&gt;"",Tournament!J33,"")</f>
        <v/>
      </c>
      <c r="S32" s="194" t="s">
        <v>3088</v>
      </c>
      <c r="T32" s="194" t="str">
        <f>IF(Tournament!L33&lt;&gt;"",Tournament!L33,"")</f>
        <v/>
      </c>
      <c r="U32" s="193"/>
      <c r="V32" s="193" t="str">
        <f t="shared" si="1"/>
        <v>Croatia</v>
      </c>
      <c r="W32" s="194"/>
      <c r="X32" s="194"/>
      <c r="Y32" s="194"/>
      <c r="Z32" s="194"/>
      <c r="AA32" s="194"/>
      <c r="AB32" s="194"/>
      <c r="AC32" s="194"/>
      <c r="AD32" s="195" t="str">
        <f>IF(AND(I32&lt;&gt;"",K32&lt;&gt;"",R32&lt;&gt;"",T32&lt;&gt;""),IF(AND(I32=R32,K32=T32),Setup!$D$10,IF((I32-K32)=(R32-T32),Setup!$D$11,IF(AND((I32&gt;K32),(R32&gt;T32)),Setup!$D$12,IF(AND((K32&gt;I32),(T32&gt;R32)),Setup!$D$12,0)))),"")</f>
        <v/>
      </c>
      <c r="AE32" s="183"/>
      <c r="CP32" s="168"/>
      <c r="CQ32" s="186"/>
      <c r="CR32" s="187"/>
      <c r="CS32" s="168"/>
    </row>
    <row r="33" spans="2:97" s="166" customFormat="1" ht="15" customHeight="1">
      <c r="B33" s="182"/>
      <c r="C33" s="181">
        <f>Tournament!D34</f>
        <v>19</v>
      </c>
      <c r="D33" s="181" t="str">
        <f>Tournament!E34</f>
        <v>B</v>
      </c>
      <c r="E33" s="188">
        <f>Tournament!F34</f>
        <v>41808.666666666664</v>
      </c>
      <c r="F33" s="189">
        <f>Tournament!G34</f>
        <v>41808.666666666664</v>
      </c>
      <c r="G33" s="190" t="str">
        <f>Tournament!H34</f>
        <v>Spain</v>
      </c>
      <c r="H33" s="180"/>
      <c r="I33" s="9"/>
      <c r="J33" s="191" t="s">
        <v>3088</v>
      </c>
      <c r="K33" s="9"/>
      <c r="L33" s="180"/>
      <c r="M33" s="180" t="str">
        <f>Tournament!N34</f>
        <v>Chile</v>
      </c>
      <c r="N33" s="183"/>
      <c r="P33" s="192" t="str">
        <f t="shared" si="0"/>
        <v>Spain</v>
      </c>
      <c r="Q33" s="193"/>
      <c r="R33" s="194" t="str">
        <f>IF(Tournament!J34&lt;&gt;"",Tournament!J34,"")</f>
        <v/>
      </c>
      <c r="S33" s="194" t="s">
        <v>3088</v>
      </c>
      <c r="T33" s="194" t="str">
        <f>IF(Tournament!L34&lt;&gt;"",Tournament!L34,"")</f>
        <v/>
      </c>
      <c r="U33" s="193"/>
      <c r="V33" s="193" t="str">
        <f t="shared" si="1"/>
        <v>Chile</v>
      </c>
      <c r="W33" s="194"/>
      <c r="X33" s="194"/>
      <c r="Y33" s="194"/>
      <c r="Z33" s="194"/>
      <c r="AA33" s="194"/>
      <c r="AB33" s="194"/>
      <c r="AC33" s="194"/>
      <c r="AD33" s="195" t="str">
        <f>IF(AND(I33&lt;&gt;"",K33&lt;&gt;"",R33&lt;&gt;"",T33&lt;&gt;""),IF(AND(I33=R33,K33=T33),Setup!$D$10,IF((I33-K33)=(R33-T33),Setup!$D$11,IF(AND((I33&gt;K33),(R33&gt;T33)),Setup!$D$12,IF(AND((K33&gt;I33),(T33&gt;R33)),Setup!$D$12,0)))),"")</f>
        <v/>
      </c>
      <c r="AE33" s="183"/>
      <c r="CP33" s="168"/>
      <c r="CQ33" s="186"/>
      <c r="CR33" s="187"/>
      <c r="CS33" s="168"/>
    </row>
    <row r="34" spans="2:97" s="166" customFormat="1" ht="15" customHeight="1">
      <c r="B34" s="182"/>
      <c r="C34" s="181">
        <f>Tournament!D35</f>
        <v>20</v>
      </c>
      <c r="D34" s="181" t="str">
        <f>Tournament!E35</f>
        <v>B</v>
      </c>
      <c r="E34" s="188">
        <f>Tournament!F35</f>
        <v>41808.541666666664</v>
      </c>
      <c r="F34" s="189">
        <f>Tournament!G35</f>
        <v>41808.541666666664</v>
      </c>
      <c r="G34" s="190" t="str">
        <f>Tournament!H35</f>
        <v>Australia</v>
      </c>
      <c r="H34" s="180"/>
      <c r="I34" s="9"/>
      <c r="J34" s="191" t="s">
        <v>3088</v>
      </c>
      <c r="K34" s="9"/>
      <c r="L34" s="180"/>
      <c r="M34" s="180" t="str">
        <f>Tournament!N35</f>
        <v>Netherlands</v>
      </c>
      <c r="N34" s="183"/>
      <c r="P34" s="192" t="str">
        <f t="shared" si="0"/>
        <v>Australia</v>
      </c>
      <c r="Q34" s="193"/>
      <c r="R34" s="194" t="str">
        <f>IF(Tournament!J35&lt;&gt;"",Tournament!J35,"")</f>
        <v/>
      </c>
      <c r="S34" s="194" t="s">
        <v>3088</v>
      </c>
      <c r="T34" s="194" t="str">
        <f>IF(Tournament!L35&lt;&gt;"",Tournament!L35,"")</f>
        <v/>
      </c>
      <c r="U34" s="193"/>
      <c r="V34" s="193" t="str">
        <f t="shared" si="1"/>
        <v>Netherlands</v>
      </c>
      <c r="W34" s="194"/>
      <c r="X34" s="194"/>
      <c r="Y34" s="194"/>
      <c r="Z34" s="194"/>
      <c r="AA34" s="194"/>
      <c r="AB34" s="194"/>
      <c r="AC34" s="194"/>
      <c r="AD34" s="195" t="str">
        <f>IF(AND(I34&lt;&gt;"",K34&lt;&gt;"",R34&lt;&gt;"",T34&lt;&gt;""),IF(AND(I34=R34,K34=T34),Setup!$D$10,IF((I34-K34)=(R34-T34),Setup!$D$11,IF(AND((I34&gt;K34),(R34&gt;T34)),Setup!$D$12,IF(AND((K34&gt;I34),(T34&gt;R34)),Setup!$D$12,0)))),"")</f>
        <v/>
      </c>
      <c r="AE34" s="183"/>
      <c r="CP34" s="168"/>
      <c r="CQ34" s="186"/>
      <c r="CR34" s="187"/>
      <c r="CS34" s="168"/>
    </row>
    <row r="35" spans="2:97" s="166" customFormat="1" ht="15" customHeight="1">
      <c r="B35" s="182"/>
      <c r="C35" s="181">
        <f>Tournament!D36</f>
        <v>21</v>
      </c>
      <c r="D35" s="181" t="str">
        <f>Tournament!E36</f>
        <v>C</v>
      </c>
      <c r="E35" s="188">
        <f>Tournament!F36</f>
        <v>41809.541666666664</v>
      </c>
      <c r="F35" s="189">
        <f>Tournament!G36</f>
        <v>41809.541666666664</v>
      </c>
      <c r="G35" s="190" t="str">
        <f>Tournament!H36</f>
        <v>Colombia</v>
      </c>
      <c r="H35" s="180"/>
      <c r="I35" s="9"/>
      <c r="J35" s="191" t="s">
        <v>3088</v>
      </c>
      <c r="K35" s="9"/>
      <c r="L35" s="180"/>
      <c r="M35" s="180" t="str">
        <f>Tournament!N36</f>
        <v>Ivory Coast</v>
      </c>
      <c r="N35" s="183"/>
      <c r="P35" s="192" t="str">
        <f t="shared" si="0"/>
        <v>Colombia</v>
      </c>
      <c r="Q35" s="193"/>
      <c r="R35" s="194" t="str">
        <f>IF(Tournament!J36&lt;&gt;"",Tournament!J36,"")</f>
        <v/>
      </c>
      <c r="S35" s="194" t="s">
        <v>3088</v>
      </c>
      <c r="T35" s="194" t="str">
        <f>IF(Tournament!L36&lt;&gt;"",Tournament!L36,"")</f>
        <v/>
      </c>
      <c r="U35" s="193"/>
      <c r="V35" s="193" t="str">
        <f t="shared" si="1"/>
        <v>Ivory Coast</v>
      </c>
      <c r="W35" s="194"/>
      <c r="X35" s="194"/>
      <c r="Y35" s="194"/>
      <c r="Z35" s="194"/>
      <c r="AA35" s="194"/>
      <c r="AB35" s="194"/>
      <c r="AC35" s="194"/>
      <c r="AD35" s="195" t="str">
        <f>IF(AND(I35&lt;&gt;"",K35&lt;&gt;"",R35&lt;&gt;"",T35&lt;&gt;""),IF(AND(I35=R35,K35=T35),Setup!$D$10,IF((I35-K35)=(R35-T35),Setup!$D$11,IF(AND((I35&gt;K35),(R35&gt;T35)),Setup!$D$12,IF(AND((K35&gt;I35),(T35&gt;R35)),Setup!$D$12,0)))),"")</f>
        <v/>
      </c>
      <c r="AE35" s="183"/>
      <c r="CP35" s="168"/>
      <c r="CQ35" s="186"/>
      <c r="CR35" s="187"/>
      <c r="CS35" s="168"/>
    </row>
    <row r="36" spans="2:97" s="166" customFormat="1" ht="15" customHeight="1">
      <c r="B36" s="182"/>
      <c r="C36" s="181">
        <f>Tournament!D37</f>
        <v>22</v>
      </c>
      <c r="D36" s="181" t="str">
        <f>Tournament!E37</f>
        <v>C</v>
      </c>
      <c r="E36" s="188">
        <f>Tournament!F37</f>
        <v>41809.791666666664</v>
      </c>
      <c r="F36" s="189">
        <f>Tournament!G37</f>
        <v>41809.791666666664</v>
      </c>
      <c r="G36" s="190" t="str">
        <f>Tournament!H37</f>
        <v>Japan</v>
      </c>
      <c r="H36" s="180"/>
      <c r="I36" s="9"/>
      <c r="J36" s="191" t="s">
        <v>3088</v>
      </c>
      <c r="K36" s="9"/>
      <c r="L36" s="180"/>
      <c r="M36" s="180" t="str">
        <f>Tournament!N37</f>
        <v>Greece</v>
      </c>
      <c r="N36" s="183"/>
      <c r="P36" s="192" t="str">
        <f t="shared" si="0"/>
        <v>Japan</v>
      </c>
      <c r="Q36" s="193"/>
      <c r="R36" s="194" t="str">
        <f>IF(Tournament!J37&lt;&gt;"",Tournament!J37,"")</f>
        <v/>
      </c>
      <c r="S36" s="194" t="s">
        <v>3088</v>
      </c>
      <c r="T36" s="194" t="str">
        <f>IF(Tournament!L37&lt;&gt;"",Tournament!L37,"")</f>
        <v/>
      </c>
      <c r="U36" s="193"/>
      <c r="V36" s="193" t="str">
        <f t="shared" si="1"/>
        <v>Greece</v>
      </c>
      <c r="W36" s="194"/>
      <c r="X36" s="194"/>
      <c r="Y36" s="194"/>
      <c r="Z36" s="194"/>
      <c r="AA36" s="194"/>
      <c r="AB36" s="194"/>
      <c r="AC36" s="194"/>
      <c r="AD36" s="195" t="str">
        <f>IF(AND(I36&lt;&gt;"",K36&lt;&gt;"",R36&lt;&gt;"",T36&lt;&gt;""),IF(AND(I36=R36,K36=T36),Setup!$D$10,IF((I36-K36)=(R36-T36),Setup!$D$11,IF(AND((I36&gt;K36),(R36&gt;T36)),Setup!$D$12,IF(AND((K36&gt;I36),(T36&gt;R36)),Setup!$D$12,0)))),"")</f>
        <v/>
      </c>
      <c r="AE36" s="183"/>
      <c r="CP36" s="168"/>
      <c r="CQ36" s="186"/>
      <c r="CR36" s="187"/>
      <c r="CS36" s="168"/>
    </row>
    <row r="37" spans="2:97" s="166" customFormat="1" ht="15" customHeight="1">
      <c r="B37" s="182"/>
      <c r="C37" s="181">
        <f>Tournament!D38</f>
        <v>23</v>
      </c>
      <c r="D37" s="181" t="str">
        <f>Tournament!E38</f>
        <v>D</v>
      </c>
      <c r="E37" s="188">
        <f>Tournament!F38</f>
        <v>41809.666666666664</v>
      </c>
      <c r="F37" s="189">
        <f>Tournament!G38</f>
        <v>41809.666666666664</v>
      </c>
      <c r="G37" s="190" t="str">
        <f>Tournament!H38</f>
        <v>Uruguay</v>
      </c>
      <c r="H37" s="180"/>
      <c r="I37" s="9"/>
      <c r="J37" s="191" t="s">
        <v>3088</v>
      </c>
      <c r="K37" s="9"/>
      <c r="L37" s="180"/>
      <c r="M37" s="180" t="str">
        <f>Tournament!N38</f>
        <v>England</v>
      </c>
      <c r="N37" s="183"/>
      <c r="P37" s="192" t="str">
        <f t="shared" si="0"/>
        <v>Uruguay</v>
      </c>
      <c r="Q37" s="193"/>
      <c r="R37" s="194" t="str">
        <f>IF(Tournament!J38&lt;&gt;"",Tournament!J38,"")</f>
        <v/>
      </c>
      <c r="S37" s="194" t="s">
        <v>3088</v>
      </c>
      <c r="T37" s="194" t="str">
        <f>IF(Tournament!L38&lt;&gt;"",Tournament!L38,"")</f>
        <v/>
      </c>
      <c r="U37" s="193"/>
      <c r="V37" s="193" t="str">
        <f t="shared" si="1"/>
        <v>England</v>
      </c>
      <c r="W37" s="194"/>
      <c r="X37" s="194"/>
      <c r="Y37" s="194"/>
      <c r="Z37" s="194"/>
      <c r="AA37" s="194"/>
      <c r="AB37" s="194"/>
      <c r="AC37" s="194"/>
      <c r="AD37" s="195" t="str">
        <f>IF(AND(I37&lt;&gt;"",K37&lt;&gt;"",R37&lt;&gt;"",T37&lt;&gt;""),IF(AND(I37=R37,K37=T37),Setup!$D$10,IF((I37-K37)=(R37-T37),Setup!$D$11,IF(AND((I37&gt;K37),(R37&gt;T37)),Setup!$D$12,IF(AND((K37&gt;I37),(T37&gt;R37)),Setup!$D$12,0)))),"")</f>
        <v/>
      </c>
      <c r="AE37" s="183"/>
      <c r="CP37" s="168"/>
      <c r="CQ37" s="186"/>
      <c r="CR37" s="187"/>
      <c r="CS37" s="168"/>
    </row>
    <row r="38" spans="2:97" s="166" customFormat="1" ht="15" customHeight="1">
      <c r="B38" s="182"/>
      <c r="C38" s="181">
        <f>Tournament!D39</f>
        <v>24</v>
      </c>
      <c r="D38" s="181" t="str">
        <f>Tournament!E39</f>
        <v>D</v>
      </c>
      <c r="E38" s="188">
        <f>Tournament!F39</f>
        <v>41810.541666666664</v>
      </c>
      <c r="F38" s="189">
        <f>Tournament!G39</f>
        <v>41810.541666666664</v>
      </c>
      <c r="G38" s="190" t="str">
        <f>Tournament!H39</f>
        <v>Italy</v>
      </c>
      <c r="H38" s="180"/>
      <c r="I38" s="9"/>
      <c r="J38" s="191" t="s">
        <v>3088</v>
      </c>
      <c r="K38" s="9"/>
      <c r="L38" s="180"/>
      <c r="M38" s="180" t="str">
        <f>Tournament!N39</f>
        <v>Costa Rica</v>
      </c>
      <c r="N38" s="183"/>
      <c r="P38" s="192" t="str">
        <f t="shared" si="0"/>
        <v>Italy</v>
      </c>
      <c r="Q38" s="193"/>
      <c r="R38" s="194" t="str">
        <f>IF(Tournament!J39&lt;&gt;"",Tournament!J39,"")</f>
        <v/>
      </c>
      <c r="S38" s="194" t="s">
        <v>3088</v>
      </c>
      <c r="T38" s="194" t="str">
        <f>IF(Tournament!L39&lt;&gt;"",Tournament!L39,"")</f>
        <v/>
      </c>
      <c r="U38" s="193"/>
      <c r="V38" s="193" t="str">
        <f t="shared" si="1"/>
        <v>Costa Rica</v>
      </c>
      <c r="W38" s="194"/>
      <c r="X38" s="194"/>
      <c r="Y38" s="194"/>
      <c r="Z38" s="194"/>
      <c r="AA38" s="194"/>
      <c r="AB38" s="194"/>
      <c r="AC38" s="194"/>
      <c r="AD38" s="195" t="str">
        <f>IF(AND(I38&lt;&gt;"",K38&lt;&gt;"",R38&lt;&gt;"",T38&lt;&gt;""),IF(AND(I38=R38,K38=T38),Setup!$D$10,IF((I38-K38)=(R38-T38),Setup!$D$11,IF(AND((I38&gt;K38),(R38&gt;T38)),Setup!$D$12,IF(AND((K38&gt;I38),(T38&gt;R38)),Setup!$D$12,0)))),"")</f>
        <v/>
      </c>
      <c r="AE38" s="183"/>
      <c r="CP38" s="168"/>
      <c r="CQ38" s="186"/>
      <c r="CR38" s="187"/>
      <c r="CS38" s="168"/>
    </row>
    <row r="39" spans="2:97" s="166" customFormat="1" ht="15" customHeight="1">
      <c r="B39" s="182"/>
      <c r="C39" s="181">
        <f>Tournament!D40</f>
        <v>25</v>
      </c>
      <c r="D39" s="181" t="str">
        <f>Tournament!E40</f>
        <v>E</v>
      </c>
      <c r="E39" s="188">
        <f>Tournament!F40</f>
        <v>41810.666666666664</v>
      </c>
      <c r="F39" s="189">
        <f>Tournament!G40</f>
        <v>41810.666666666664</v>
      </c>
      <c r="G39" s="190" t="str">
        <f>Tournament!H40</f>
        <v>Switzerland</v>
      </c>
      <c r="H39" s="180"/>
      <c r="I39" s="9"/>
      <c r="J39" s="191" t="s">
        <v>3088</v>
      </c>
      <c r="K39" s="9"/>
      <c r="L39" s="180"/>
      <c r="M39" s="180" t="str">
        <f>Tournament!N40</f>
        <v>France</v>
      </c>
      <c r="N39" s="183"/>
      <c r="P39" s="192" t="str">
        <f t="shared" si="0"/>
        <v>Switzerland</v>
      </c>
      <c r="Q39" s="193"/>
      <c r="R39" s="194" t="str">
        <f>IF(Tournament!J40&lt;&gt;"",Tournament!J40,"")</f>
        <v/>
      </c>
      <c r="S39" s="194" t="s">
        <v>3088</v>
      </c>
      <c r="T39" s="194" t="str">
        <f>IF(Tournament!L40&lt;&gt;"",Tournament!L40,"")</f>
        <v/>
      </c>
      <c r="U39" s="193"/>
      <c r="V39" s="193" t="str">
        <f t="shared" si="1"/>
        <v>France</v>
      </c>
      <c r="W39" s="194"/>
      <c r="X39" s="194"/>
      <c r="Y39" s="194"/>
      <c r="Z39" s="194"/>
      <c r="AA39" s="194"/>
      <c r="AB39" s="194"/>
      <c r="AC39" s="194"/>
      <c r="AD39" s="195" t="str">
        <f>IF(AND(I39&lt;&gt;"",K39&lt;&gt;"",R39&lt;&gt;"",T39&lt;&gt;""),IF(AND(I39=R39,K39=T39),Setup!$D$10,IF((I39-K39)=(R39-T39),Setup!$D$11,IF(AND((I39&gt;K39),(R39&gt;T39)),Setup!$D$12,IF(AND((K39&gt;I39),(T39&gt;R39)),Setup!$D$12,0)))),"")</f>
        <v/>
      </c>
      <c r="AE39" s="183"/>
      <c r="CP39" s="168"/>
      <c r="CQ39" s="186"/>
      <c r="CR39" s="187"/>
      <c r="CS39" s="168"/>
    </row>
    <row r="40" spans="2:97" s="166" customFormat="1" ht="15" customHeight="1">
      <c r="B40" s="182"/>
      <c r="C40" s="181">
        <f>Tournament!D41</f>
        <v>26</v>
      </c>
      <c r="D40" s="181" t="str">
        <f>Tournament!E41</f>
        <v>E</v>
      </c>
      <c r="E40" s="188">
        <f>Tournament!F41</f>
        <v>41810.791666666664</v>
      </c>
      <c r="F40" s="189">
        <f>Tournament!G41</f>
        <v>41810.791666666664</v>
      </c>
      <c r="G40" s="190" t="str">
        <f>Tournament!H41</f>
        <v>Honduras</v>
      </c>
      <c r="H40" s="180"/>
      <c r="I40" s="9"/>
      <c r="J40" s="191" t="s">
        <v>3088</v>
      </c>
      <c r="K40" s="9"/>
      <c r="L40" s="180"/>
      <c r="M40" s="180" t="str">
        <f>Tournament!N41</f>
        <v>Ecuador</v>
      </c>
      <c r="N40" s="183"/>
      <c r="P40" s="192" t="str">
        <f t="shared" si="0"/>
        <v>Honduras</v>
      </c>
      <c r="Q40" s="193"/>
      <c r="R40" s="194" t="str">
        <f>IF(Tournament!J41&lt;&gt;"",Tournament!J41,"")</f>
        <v/>
      </c>
      <c r="S40" s="194" t="s">
        <v>3088</v>
      </c>
      <c r="T40" s="194" t="str">
        <f>IF(Tournament!L41&lt;&gt;"",Tournament!L41,"")</f>
        <v/>
      </c>
      <c r="U40" s="193"/>
      <c r="V40" s="193" t="str">
        <f t="shared" si="1"/>
        <v>Ecuador</v>
      </c>
      <c r="W40" s="194"/>
      <c r="X40" s="194"/>
      <c r="Y40" s="194"/>
      <c r="Z40" s="194"/>
      <c r="AA40" s="194"/>
      <c r="AB40" s="194"/>
      <c r="AC40" s="194"/>
      <c r="AD40" s="195" t="str">
        <f>IF(AND(I40&lt;&gt;"",K40&lt;&gt;"",R40&lt;&gt;"",T40&lt;&gt;""),IF(AND(I40=R40,K40=T40),Setup!$D$10,IF((I40-K40)=(R40-T40),Setup!$D$11,IF(AND((I40&gt;K40),(R40&gt;T40)),Setup!$D$12,IF(AND((K40&gt;I40),(T40&gt;R40)),Setup!$D$12,0)))),"")</f>
        <v/>
      </c>
      <c r="AE40" s="183"/>
      <c r="CP40" s="168"/>
      <c r="CQ40" s="196"/>
      <c r="CR40" s="187"/>
      <c r="CS40" s="168"/>
    </row>
    <row r="41" spans="2:97" s="166" customFormat="1" ht="15" customHeight="1">
      <c r="B41" s="182"/>
      <c r="C41" s="181">
        <f>Tournament!D42</f>
        <v>27</v>
      </c>
      <c r="D41" s="181" t="str">
        <f>Tournament!E42</f>
        <v>F</v>
      </c>
      <c r="E41" s="188">
        <f>Tournament!F42</f>
        <v>41811.541666666664</v>
      </c>
      <c r="F41" s="189">
        <f>Tournament!G42</f>
        <v>41811.541666666664</v>
      </c>
      <c r="G41" s="190" t="str">
        <f>Tournament!H42</f>
        <v>Argentina</v>
      </c>
      <c r="H41" s="180"/>
      <c r="I41" s="9"/>
      <c r="J41" s="191" t="s">
        <v>3088</v>
      </c>
      <c r="K41" s="9"/>
      <c r="L41" s="180"/>
      <c r="M41" s="180" t="str">
        <f>Tournament!N42</f>
        <v>Iran</v>
      </c>
      <c r="N41" s="183"/>
      <c r="P41" s="192" t="str">
        <f t="shared" si="0"/>
        <v>Argentina</v>
      </c>
      <c r="Q41" s="193"/>
      <c r="R41" s="194" t="str">
        <f>IF(Tournament!J42&lt;&gt;"",Tournament!J42,"")</f>
        <v/>
      </c>
      <c r="S41" s="194" t="s">
        <v>3088</v>
      </c>
      <c r="T41" s="194" t="str">
        <f>IF(Tournament!L42&lt;&gt;"",Tournament!L42,"")</f>
        <v/>
      </c>
      <c r="U41" s="193"/>
      <c r="V41" s="193" t="str">
        <f t="shared" si="1"/>
        <v>Iran</v>
      </c>
      <c r="W41" s="194"/>
      <c r="X41" s="194"/>
      <c r="Y41" s="194"/>
      <c r="Z41" s="194"/>
      <c r="AA41" s="194"/>
      <c r="AB41" s="194"/>
      <c r="AC41" s="194"/>
      <c r="AD41" s="195" t="str">
        <f>IF(AND(I41&lt;&gt;"",K41&lt;&gt;"",R41&lt;&gt;"",T41&lt;&gt;""),IF(AND(I41=R41,K41=T41),Setup!$D$10,IF((I41-K41)=(R41-T41),Setup!$D$11,IF(AND((I41&gt;K41),(R41&gt;T41)),Setup!$D$12,IF(AND((K41&gt;I41),(T41&gt;R41)),Setup!$D$12,0)))),"")</f>
        <v/>
      </c>
      <c r="AE41" s="183"/>
      <c r="CP41" s="168"/>
      <c r="CQ41" s="196"/>
      <c r="CR41" s="187"/>
      <c r="CS41" s="168"/>
    </row>
    <row r="42" spans="2:97" s="166" customFormat="1" ht="15" customHeight="1">
      <c r="B42" s="182"/>
      <c r="C42" s="181">
        <f>Tournament!D43</f>
        <v>28</v>
      </c>
      <c r="D42" s="181" t="str">
        <f>Tournament!E43</f>
        <v>F</v>
      </c>
      <c r="E42" s="188">
        <f>Tournament!F43</f>
        <v>41811.791666666664</v>
      </c>
      <c r="F42" s="189">
        <f>Tournament!G43</f>
        <v>41811.791666666664</v>
      </c>
      <c r="G42" s="190" t="str">
        <f>Tournament!H43</f>
        <v>Nigeria</v>
      </c>
      <c r="H42" s="180"/>
      <c r="I42" s="9"/>
      <c r="J42" s="191" t="s">
        <v>3088</v>
      </c>
      <c r="K42" s="9"/>
      <c r="L42" s="180"/>
      <c r="M42" s="180" t="str">
        <f>Tournament!N43</f>
        <v>Bosnia-Herzegovina</v>
      </c>
      <c r="N42" s="183"/>
      <c r="P42" s="192" t="str">
        <f t="shared" si="0"/>
        <v>Nigeria</v>
      </c>
      <c r="Q42" s="193"/>
      <c r="R42" s="194" t="str">
        <f>IF(Tournament!J43&lt;&gt;"",Tournament!J43,"")</f>
        <v/>
      </c>
      <c r="S42" s="194" t="s">
        <v>3088</v>
      </c>
      <c r="T42" s="194" t="str">
        <f>IF(Tournament!L43&lt;&gt;"",Tournament!L43,"")</f>
        <v/>
      </c>
      <c r="U42" s="193"/>
      <c r="V42" s="193" t="str">
        <f t="shared" si="1"/>
        <v>Bosnia-Herzegovina</v>
      </c>
      <c r="W42" s="194"/>
      <c r="X42" s="194"/>
      <c r="Y42" s="194"/>
      <c r="Z42" s="194"/>
      <c r="AA42" s="194"/>
      <c r="AB42" s="194"/>
      <c r="AC42" s="194"/>
      <c r="AD42" s="195" t="str">
        <f>IF(AND(I42&lt;&gt;"",K42&lt;&gt;"",R42&lt;&gt;"",T42&lt;&gt;""),IF(AND(I42=R42,K42=T42),Setup!$D$10,IF((I42-K42)=(R42-T42),Setup!$D$11,IF(AND((I42&gt;K42),(R42&gt;T42)),Setup!$D$12,IF(AND((K42&gt;I42),(T42&gt;R42)),Setup!$D$12,0)))),"")</f>
        <v/>
      </c>
      <c r="AE42" s="183"/>
      <c r="CP42" s="168"/>
      <c r="CQ42" s="168"/>
      <c r="CR42" s="187"/>
      <c r="CS42" s="168"/>
    </row>
    <row r="43" spans="2:97" s="166" customFormat="1" ht="15" customHeight="1">
      <c r="B43" s="182"/>
      <c r="C43" s="181">
        <f>Tournament!D44</f>
        <v>29</v>
      </c>
      <c r="D43" s="181" t="str">
        <f>Tournament!E44</f>
        <v>G</v>
      </c>
      <c r="E43" s="188">
        <f>Tournament!F44</f>
        <v>41811.666666666664</v>
      </c>
      <c r="F43" s="189">
        <f>Tournament!G44</f>
        <v>41811.666666666664</v>
      </c>
      <c r="G43" s="190" t="str">
        <f>Tournament!H44</f>
        <v>Germany</v>
      </c>
      <c r="H43" s="180"/>
      <c r="I43" s="9"/>
      <c r="J43" s="191" t="s">
        <v>3088</v>
      </c>
      <c r="K43" s="9"/>
      <c r="L43" s="180"/>
      <c r="M43" s="180" t="str">
        <f>Tournament!N44</f>
        <v>Ghana</v>
      </c>
      <c r="N43" s="183"/>
      <c r="P43" s="192" t="str">
        <f t="shared" si="0"/>
        <v>Germany</v>
      </c>
      <c r="Q43" s="193"/>
      <c r="R43" s="194" t="str">
        <f>IF(Tournament!J44&lt;&gt;"",Tournament!J44,"")</f>
        <v/>
      </c>
      <c r="S43" s="194" t="s">
        <v>3088</v>
      </c>
      <c r="T43" s="194" t="str">
        <f>IF(Tournament!L44&lt;&gt;"",Tournament!L44,"")</f>
        <v/>
      </c>
      <c r="U43" s="193"/>
      <c r="V43" s="193" t="str">
        <f t="shared" si="1"/>
        <v>Ghana</v>
      </c>
      <c r="W43" s="194"/>
      <c r="X43" s="194"/>
      <c r="Y43" s="194"/>
      <c r="Z43" s="194"/>
      <c r="AA43" s="194"/>
      <c r="AB43" s="194"/>
      <c r="AC43" s="194"/>
      <c r="AD43" s="195" t="str">
        <f>IF(AND(I43&lt;&gt;"",K43&lt;&gt;"",R43&lt;&gt;"",T43&lt;&gt;""),IF(AND(I43=R43,K43=T43),Setup!$D$10,IF((I43-K43)=(R43-T43),Setup!$D$11,IF(AND((I43&gt;K43),(R43&gt;T43)),Setup!$D$12,IF(AND((K43&gt;I43),(T43&gt;R43)),Setup!$D$12,0)))),"")</f>
        <v/>
      </c>
      <c r="AE43" s="183"/>
      <c r="CP43" s="168"/>
      <c r="CQ43" s="168"/>
      <c r="CR43" s="187"/>
      <c r="CS43" s="168"/>
    </row>
    <row r="44" spans="2:97" s="166" customFormat="1" ht="15" customHeight="1">
      <c r="B44" s="182"/>
      <c r="C44" s="181">
        <f>Tournament!D45</f>
        <v>30</v>
      </c>
      <c r="D44" s="181" t="str">
        <f>Tournament!E45</f>
        <v>G</v>
      </c>
      <c r="E44" s="188">
        <f>Tournament!F45</f>
        <v>41812.791666666664</v>
      </c>
      <c r="F44" s="189">
        <f>Tournament!G45</f>
        <v>41812.791666666664</v>
      </c>
      <c r="G44" s="190" t="str">
        <f>Tournament!H45</f>
        <v>USA</v>
      </c>
      <c r="H44" s="180"/>
      <c r="I44" s="9"/>
      <c r="J44" s="191" t="s">
        <v>3088</v>
      </c>
      <c r="K44" s="9"/>
      <c r="L44" s="180"/>
      <c r="M44" s="180" t="str">
        <f>Tournament!N45</f>
        <v>Portugal</v>
      </c>
      <c r="N44" s="183"/>
      <c r="P44" s="192" t="str">
        <f t="shared" si="0"/>
        <v>USA</v>
      </c>
      <c r="Q44" s="193"/>
      <c r="R44" s="194" t="str">
        <f>IF(Tournament!J45&lt;&gt;"",Tournament!J45,"")</f>
        <v/>
      </c>
      <c r="S44" s="194" t="s">
        <v>3088</v>
      </c>
      <c r="T44" s="194" t="str">
        <f>IF(Tournament!L45&lt;&gt;"",Tournament!L45,"")</f>
        <v/>
      </c>
      <c r="U44" s="193"/>
      <c r="V44" s="193" t="str">
        <f t="shared" si="1"/>
        <v>Portugal</v>
      </c>
      <c r="W44" s="194"/>
      <c r="X44" s="194"/>
      <c r="Y44" s="194"/>
      <c r="Z44" s="194"/>
      <c r="AA44" s="194"/>
      <c r="AB44" s="194"/>
      <c r="AC44" s="194"/>
      <c r="AD44" s="195" t="str">
        <f>IF(AND(I44&lt;&gt;"",K44&lt;&gt;"",R44&lt;&gt;"",T44&lt;&gt;""),IF(AND(I44=R44,K44=T44),Setup!$D$10,IF((I44-K44)=(R44-T44),Setup!$D$11,IF(AND((I44&gt;K44),(R44&gt;T44)),Setup!$D$12,IF(AND((K44&gt;I44),(T44&gt;R44)),Setup!$D$12,0)))),"")</f>
        <v/>
      </c>
      <c r="AE44" s="183"/>
      <c r="CP44" s="168"/>
      <c r="CQ44" s="168"/>
      <c r="CR44" s="187"/>
      <c r="CS44" s="168"/>
    </row>
    <row r="45" spans="2:97" s="166" customFormat="1" ht="15" customHeight="1">
      <c r="B45" s="182"/>
      <c r="C45" s="181">
        <f>Tournament!D46</f>
        <v>31</v>
      </c>
      <c r="D45" s="181" t="str">
        <f>Tournament!E46</f>
        <v>H</v>
      </c>
      <c r="E45" s="188">
        <f>Tournament!F46</f>
        <v>41812.541666666664</v>
      </c>
      <c r="F45" s="189">
        <f>Tournament!G46</f>
        <v>41812.541666666664</v>
      </c>
      <c r="G45" s="190" t="str">
        <f>Tournament!H46</f>
        <v>Belgium</v>
      </c>
      <c r="H45" s="180"/>
      <c r="I45" s="9"/>
      <c r="J45" s="191" t="s">
        <v>3088</v>
      </c>
      <c r="K45" s="9"/>
      <c r="L45" s="180"/>
      <c r="M45" s="180" t="str">
        <f>Tournament!N46</f>
        <v>Russia</v>
      </c>
      <c r="N45" s="183"/>
      <c r="P45" s="192" t="str">
        <f t="shared" si="0"/>
        <v>Belgium</v>
      </c>
      <c r="Q45" s="193"/>
      <c r="R45" s="194" t="str">
        <f>IF(Tournament!J46&lt;&gt;"",Tournament!J46,"")</f>
        <v/>
      </c>
      <c r="S45" s="194" t="s">
        <v>3088</v>
      </c>
      <c r="T45" s="194" t="str">
        <f>IF(Tournament!L46&lt;&gt;"",Tournament!L46,"")</f>
        <v/>
      </c>
      <c r="U45" s="193"/>
      <c r="V45" s="193" t="str">
        <f t="shared" si="1"/>
        <v>Russia</v>
      </c>
      <c r="W45" s="194"/>
      <c r="X45" s="194"/>
      <c r="Y45" s="194"/>
      <c r="Z45" s="194"/>
      <c r="AA45" s="194"/>
      <c r="AB45" s="194"/>
      <c r="AC45" s="194"/>
      <c r="AD45" s="195" t="str">
        <f>IF(AND(I45&lt;&gt;"",K45&lt;&gt;"",R45&lt;&gt;"",T45&lt;&gt;""),IF(AND(I45=R45,K45=T45),Setup!$D$10,IF((I45-K45)=(R45-T45),Setup!$D$11,IF(AND((I45&gt;K45),(R45&gt;T45)),Setup!$D$12,IF(AND((K45&gt;I45),(T45&gt;R45)),Setup!$D$12,0)))),"")</f>
        <v/>
      </c>
      <c r="AE45" s="183"/>
      <c r="CP45" s="168"/>
      <c r="CQ45" s="168"/>
      <c r="CR45" s="187"/>
      <c r="CS45" s="168"/>
    </row>
    <row r="46" spans="2:97" s="166" customFormat="1" ht="15" customHeight="1">
      <c r="B46" s="182"/>
      <c r="C46" s="181">
        <f>Tournament!D47</f>
        <v>32</v>
      </c>
      <c r="D46" s="181" t="str">
        <f>Tournament!E47</f>
        <v>H</v>
      </c>
      <c r="E46" s="188">
        <f>Tournament!F47</f>
        <v>41812.666666666664</v>
      </c>
      <c r="F46" s="189">
        <f>Tournament!G47</f>
        <v>41812.666666666664</v>
      </c>
      <c r="G46" s="190" t="str">
        <f>Tournament!H47</f>
        <v>South Korea</v>
      </c>
      <c r="H46" s="180"/>
      <c r="I46" s="9"/>
      <c r="J46" s="191" t="s">
        <v>3088</v>
      </c>
      <c r="K46" s="9"/>
      <c r="L46" s="180"/>
      <c r="M46" s="180" t="str">
        <f>Tournament!N47</f>
        <v>Algeria</v>
      </c>
      <c r="N46" s="183"/>
      <c r="P46" s="192" t="str">
        <f t="shared" si="0"/>
        <v>South Korea</v>
      </c>
      <c r="Q46" s="193"/>
      <c r="R46" s="194" t="str">
        <f>IF(Tournament!J47&lt;&gt;"",Tournament!J47,"")</f>
        <v/>
      </c>
      <c r="S46" s="194" t="s">
        <v>3088</v>
      </c>
      <c r="T46" s="194" t="str">
        <f>IF(Tournament!L47&lt;&gt;"",Tournament!L47,"")</f>
        <v/>
      </c>
      <c r="U46" s="193"/>
      <c r="V46" s="193" t="str">
        <f t="shared" si="1"/>
        <v>Algeria</v>
      </c>
      <c r="W46" s="194"/>
      <c r="X46" s="194"/>
      <c r="Y46" s="194"/>
      <c r="Z46" s="194"/>
      <c r="AA46" s="194"/>
      <c r="AB46" s="194"/>
      <c r="AC46" s="194"/>
      <c r="AD46" s="195" t="str">
        <f>IF(AND(I46&lt;&gt;"",K46&lt;&gt;"",R46&lt;&gt;"",T46&lt;&gt;""),IF(AND(I46=R46,K46=T46),Setup!$D$10,IF((I46-K46)=(R46-T46),Setup!$D$11,IF(AND((I46&gt;K46),(R46&gt;T46)),Setup!$D$12,IF(AND((K46&gt;I46),(T46&gt;R46)),Setup!$D$12,0)))),"")</f>
        <v/>
      </c>
      <c r="AE46" s="183"/>
      <c r="CP46" s="168"/>
      <c r="CQ46" s="168"/>
      <c r="CR46" s="187"/>
      <c r="CS46" s="168"/>
    </row>
    <row r="47" spans="2:97" s="166" customFormat="1" ht="15" customHeight="1">
      <c r="B47" s="182"/>
      <c r="C47" s="181">
        <f>Tournament!D48</f>
        <v>33</v>
      </c>
      <c r="D47" s="181" t="str">
        <f>Tournament!E48</f>
        <v>A</v>
      </c>
      <c r="E47" s="188">
        <f>Tournament!F48</f>
        <v>41813.708333333336</v>
      </c>
      <c r="F47" s="189">
        <f>Tournament!G48</f>
        <v>41813.708333333336</v>
      </c>
      <c r="G47" s="190" t="str">
        <f>Tournament!H48</f>
        <v>Cameroon</v>
      </c>
      <c r="H47" s="180"/>
      <c r="I47" s="9"/>
      <c r="J47" s="191" t="s">
        <v>3088</v>
      </c>
      <c r="K47" s="9"/>
      <c r="L47" s="180"/>
      <c r="M47" s="180" t="str">
        <f>Tournament!N48</f>
        <v>Brazil</v>
      </c>
      <c r="N47" s="183"/>
      <c r="P47" s="192" t="str">
        <f t="shared" si="0"/>
        <v>Cameroon</v>
      </c>
      <c r="Q47" s="193"/>
      <c r="R47" s="194" t="str">
        <f>IF(Tournament!J48&lt;&gt;"",Tournament!J48,"")</f>
        <v/>
      </c>
      <c r="S47" s="194" t="s">
        <v>3088</v>
      </c>
      <c r="T47" s="194" t="str">
        <f>IF(Tournament!L48&lt;&gt;"",Tournament!L48,"")</f>
        <v/>
      </c>
      <c r="U47" s="193"/>
      <c r="V47" s="193" t="str">
        <f t="shared" si="1"/>
        <v>Brazil</v>
      </c>
      <c r="W47" s="194"/>
      <c r="X47" s="194"/>
      <c r="Y47" s="194"/>
      <c r="Z47" s="194"/>
      <c r="AA47" s="194"/>
      <c r="AB47" s="194"/>
      <c r="AC47" s="194"/>
      <c r="AD47" s="195" t="str">
        <f>IF(AND(I47&lt;&gt;"",K47&lt;&gt;"",R47&lt;&gt;"",T47&lt;&gt;""),IF(AND(I47=R47,K47=T47),Setup!$D$10,IF((I47-K47)=(R47-T47),Setup!$D$11,IF(AND((I47&gt;K47),(R47&gt;T47)),Setup!$D$12,IF(AND((K47&gt;I47),(T47&gt;R47)),Setup!$D$12,0)))),"")</f>
        <v/>
      </c>
      <c r="AE47" s="183"/>
      <c r="CP47" s="168"/>
      <c r="CQ47" s="168"/>
      <c r="CR47" s="187"/>
      <c r="CS47" s="168"/>
    </row>
    <row r="48" spans="2:97" s="166" customFormat="1" ht="15" customHeight="1">
      <c r="B48" s="182"/>
      <c r="C48" s="181">
        <f>Tournament!D49</f>
        <v>34</v>
      </c>
      <c r="D48" s="181" t="str">
        <f>Tournament!E49</f>
        <v>A</v>
      </c>
      <c r="E48" s="188">
        <f>Tournament!F49</f>
        <v>41813.708333333336</v>
      </c>
      <c r="F48" s="189">
        <f>Tournament!G49</f>
        <v>41813.708333333336</v>
      </c>
      <c r="G48" s="190" t="str">
        <f>Tournament!H49</f>
        <v>Croatia</v>
      </c>
      <c r="H48" s="180"/>
      <c r="I48" s="9"/>
      <c r="J48" s="191" t="s">
        <v>3088</v>
      </c>
      <c r="K48" s="9"/>
      <c r="L48" s="180"/>
      <c r="M48" s="180" t="str">
        <f>Tournament!N49</f>
        <v>Mexico</v>
      </c>
      <c r="N48" s="183"/>
      <c r="P48" s="192" t="str">
        <f t="shared" si="0"/>
        <v>Croatia</v>
      </c>
      <c r="Q48" s="193"/>
      <c r="R48" s="194" t="str">
        <f>IF(Tournament!J49&lt;&gt;"",Tournament!J49,"")</f>
        <v/>
      </c>
      <c r="S48" s="194" t="s">
        <v>3088</v>
      </c>
      <c r="T48" s="194" t="str">
        <f>IF(Tournament!L49&lt;&gt;"",Tournament!L49,"")</f>
        <v/>
      </c>
      <c r="U48" s="193"/>
      <c r="V48" s="193" t="str">
        <f t="shared" si="1"/>
        <v>Mexico</v>
      </c>
      <c r="W48" s="194"/>
      <c r="X48" s="194"/>
      <c r="Y48" s="194"/>
      <c r="Z48" s="194"/>
      <c r="AA48" s="194"/>
      <c r="AB48" s="194"/>
      <c r="AC48" s="194"/>
      <c r="AD48" s="195" t="str">
        <f>IF(AND(I48&lt;&gt;"",K48&lt;&gt;"",R48&lt;&gt;"",T48&lt;&gt;""),IF(AND(I48=R48,K48=T48),Setup!$D$10,IF((I48-K48)=(R48-T48),Setup!$D$11,IF(AND((I48&gt;K48),(R48&gt;T48)),Setup!$D$12,IF(AND((K48&gt;I48),(T48&gt;R48)),Setup!$D$12,0)))),"")</f>
        <v/>
      </c>
      <c r="AE48" s="183"/>
      <c r="CP48" s="168"/>
      <c r="CQ48" s="168"/>
      <c r="CR48" s="187"/>
      <c r="CS48" s="168"/>
    </row>
    <row r="49" spans="2:97" s="166" customFormat="1" ht="15" customHeight="1">
      <c r="B49" s="182"/>
      <c r="C49" s="181">
        <f>Tournament!D50</f>
        <v>35</v>
      </c>
      <c r="D49" s="181" t="str">
        <f>Tournament!E50</f>
        <v>B</v>
      </c>
      <c r="E49" s="188">
        <f>Tournament!F50</f>
        <v>41813.541666666664</v>
      </c>
      <c r="F49" s="189">
        <f>Tournament!G50</f>
        <v>41813.541666666664</v>
      </c>
      <c r="G49" s="190" t="str">
        <f>Tournament!H50</f>
        <v>Australia</v>
      </c>
      <c r="H49" s="180"/>
      <c r="I49" s="9"/>
      <c r="J49" s="191" t="s">
        <v>3088</v>
      </c>
      <c r="K49" s="9"/>
      <c r="L49" s="180"/>
      <c r="M49" s="180" t="str">
        <f>Tournament!N50</f>
        <v>Spain</v>
      </c>
      <c r="N49" s="183"/>
      <c r="P49" s="192" t="str">
        <f t="shared" si="0"/>
        <v>Australia</v>
      </c>
      <c r="Q49" s="193"/>
      <c r="R49" s="194" t="str">
        <f>IF(Tournament!J50&lt;&gt;"",Tournament!J50,"")</f>
        <v/>
      </c>
      <c r="S49" s="194" t="s">
        <v>3088</v>
      </c>
      <c r="T49" s="194" t="str">
        <f>IF(Tournament!L50&lt;&gt;"",Tournament!L50,"")</f>
        <v/>
      </c>
      <c r="U49" s="193"/>
      <c r="V49" s="193" t="str">
        <f t="shared" si="1"/>
        <v>Spain</v>
      </c>
      <c r="W49" s="194"/>
      <c r="X49" s="194"/>
      <c r="Y49" s="194"/>
      <c r="Z49" s="194"/>
      <c r="AA49" s="194"/>
      <c r="AB49" s="194"/>
      <c r="AC49" s="194"/>
      <c r="AD49" s="195" t="str">
        <f>IF(AND(I49&lt;&gt;"",K49&lt;&gt;"",R49&lt;&gt;"",T49&lt;&gt;""),IF(AND(I49=R49,K49=T49),Setup!$D$10,IF((I49-K49)=(R49-T49),Setup!$D$11,IF(AND((I49&gt;K49),(R49&gt;T49)),Setup!$D$12,IF(AND((K49&gt;I49),(T49&gt;R49)),Setup!$D$12,0)))),"")</f>
        <v/>
      </c>
      <c r="AE49" s="183"/>
      <c r="CP49" s="168"/>
      <c r="CQ49" s="168"/>
      <c r="CR49" s="187"/>
      <c r="CS49" s="168"/>
    </row>
    <row r="50" spans="2:97" s="166" customFormat="1" ht="15" customHeight="1">
      <c r="B50" s="182"/>
      <c r="C50" s="181">
        <f>Tournament!D51</f>
        <v>36</v>
      </c>
      <c r="D50" s="181" t="str">
        <f>Tournament!E51</f>
        <v>B</v>
      </c>
      <c r="E50" s="188">
        <f>Tournament!F51</f>
        <v>41813.541666666664</v>
      </c>
      <c r="F50" s="189">
        <f>Tournament!G51</f>
        <v>41813.541666666664</v>
      </c>
      <c r="G50" s="190" t="str">
        <f>Tournament!H51</f>
        <v>Netherlands</v>
      </c>
      <c r="H50" s="180"/>
      <c r="I50" s="9"/>
      <c r="J50" s="191" t="s">
        <v>3088</v>
      </c>
      <c r="K50" s="9"/>
      <c r="L50" s="180"/>
      <c r="M50" s="180" t="str">
        <f>Tournament!N51</f>
        <v>Chile</v>
      </c>
      <c r="N50" s="183"/>
      <c r="P50" s="192" t="str">
        <f t="shared" si="0"/>
        <v>Netherlands</v>
      </c>
      <c r="Q50" s="193"/>
      <c r="R50" s="194" t="str">
        <f>IF(Tournament!J51&lt;&gt;"",Tournament!J51,"")</f>
        <v/>
      </c>
      <c r="S50" s="194" t="s">
        <v>3088</v>
      </c>
      <c r="T50" s="194" t="str">
        <f>IF(Tournament!L51&lt;&gt;"",Tournament!L51,"")</f>
        <v/>
      </c>
      <c r="U50" s="193"/>
      <c r="V50" s="193" t="str">
        <f t="shared" si="1"/>
        <v>Chile</v>
      </c>
      <c r="W50" s="194"/>
      <c r="X50" s="194"/>
      <c r="Y50" s="194"/>
      <c r="Z50" s="194"/>
      <c r="AA50" s="194"/>
      <c r="AB50" s="194"/>
      <c r="AC50" s="194"/>
      <c r="AD50" s="195" t="str">
        <f>IF(AND(I50&lt;&gt;"",K50&lt;&gt;"",R50&lt;&gt;"",T50&lt;&gt;""),IF(AND(I50=R50,K50=T50),Setup!$D$10,IF((I50-K50)=(R50-T50),Setup!$D$11,IF(AND((I50&gt;K50),(R50&gt;T50)),Setup!$D$12,IF(AND((K50&gt;I50),(T50&gt;R50)),Setup!$D$12,0)))),"")</f>
        <v/>
      </c>
      <c r="AE50" s="183"/>
      <c r="CP50" s="168"/>
      <c r="CQ50" s="168"/>
      <c r="CR50" s="187"/>
      <c r="CS50" s="168"/>
    </row>
    <row r="51" spans="2:97" s="166" customFormat="1" ht="15" customHeight="1">
      <c r="B51" s="182"/>
      <c r="C51" s="181">
        <f>Tournament!D52</f>
        <v>37</v>
      </c>
      <c r="D51" s="181" t="str">
        <f>Tournament!E52</f>
        <v>C</v>
      </c>
      <c r="E51" s="188">
        <f>Tournament!F52</f>
        <v>41814.708333333336</v>
      </c>
      <c r="F51" s="189">
        <f>Tournament!G52</f>
        <v>41814.708333333336</v>
      </c>
      <c r="G51" s="190" t="str">
        <f>Tournament!H52</f>
        <v>Japan</v>
      </c>
      <c r="H51" s="180"/>
      <c r="I51" s="9"/>
      <c r="J51" s="191" t="s">
        <v>3088</v>
      </c>
      <c r="K51" s="9"/>
      <c r="L51" s="180"/>
      <c r="M51" s="180" t="str">
        <f>Tournament!N52</f>
        <v>Colombia</v>
      </c>
      <c r="N51" s="183"/>
      <c r="P51" s="192" t="str">
        <f t="shared" si="0"/>
        <v>Japan</v>
      </c>
      <c r="Q51" s="193"/>
      <c r="R51" s="194" t="str">
        <f>IF(Tournament!J52&lt;&gt;"",Tournament!J52,"")</f>
        <v/>
      </c>
      <c r="S51" s="194" t="s">
        <v>3088</v>
      </c>
      <c r="T51" s="194" t="str">
        <f>IF(Tournament!L52&lt;&gt;"",Tournament!L52,"")</f>
        <v/>
      </c>
      <c r="U51" s="193"/>
      <c r="V51" s="193" t="str">
        <f t="shared" si="1"/>
        <v>Colombia</v>
      </c>
      <c r="W51" s="194"/>
      <c r="X51" s="194"/>
      <c r="Y51" s="194"/>
      <c r="Z51" s="194"/>
      <c r="AA51" s="194"/>
      <c r="AB51" s="194"/>
      <c r="AC51" s="194"/>
      <c r="AD51" s="195" t="str">
        <f>IF(AND(I51&lt;&gt;"",K51&lt;&gt;"",R51&lt;&gt;"",T51&lt;&gt;""),IF(AND(I51=R51,K51=T51),Setup!$D$10,IF((I51-K51)=(R51-T51),Setup!$D$11,IF(AND((I51&gt;K51),(R51&gt;T51)),Setup!$D$12,IF(AND((K51&gt;I51),(T51&gt;R51)),Setup!$D$12,0)))),"")</f>
        <v/>
      </c>
      <c r="AE51" s="183"/>
      <c r="CP51" s="168"/>
      <c r="CQ51" s="168"/>
      <c r="CR51" s="187"/>
      <c r="CS51" s="168"/>
    </row>
    <row r="52" spans="2:97" s="166" customFormat="1" ht="15" customHeight="1">
      <c r="B52" s="182"/>
      <c r="C52" s="181">
        <f>Tournament!D53</f>
        <v>38</v>
      </c>
      <c r="D52" s="181" t="str">
        <f>Tournament!E53</f>
        <v>C</v>
      </c>
      <c r="E52" s="188">
        <f>Tournament!F53</f>
        <v>41814.708333333336</v>
      </c>
      <c r="F52" s="189">
        <f>Tournament!G53</f>
        <v>41814.708333333336</v>
      </c>
      <c r="G52" s="190" t="str">
        <f>Tournament!H53</f>
        <v>Greece</v>
      </c>
      <c r="H52" s="180"/>
      <c r="I52" s="9"/>
      <c r="J52" s="191" t="s">
        <v>3088</v>
      </c>
      <c r="K52" s="9"/>
      <c r="L52" s="180"/>
      <c r="M52" s="180" t="str">
        <f>Tournament!N53</f>
        <v>Ivory Coast</v>
      </c>
      <c r="N52" s="183"/>
      <c r="P52" s="192" t="str">
        <f t="shared" si="0"/>
        <v>Greece</v>
      </c>
      <c r="Q52" s="193"/>
      <c r="R52" s="194" t="str">
        <f>IF(Tournament!J53&lt;&gt;"",Tournament!J53,"")</f>
        <v/>
      </c>
      <c r="S52" s="194" t="s">
        <v>3088</v>
      </c>
      <c r="T52" s="194" t="str">
        <f>IF(Tournament!L53&lt;&gt;"",Tournament!L53,"")</f>
        <v/>
      </c>
      <c r="U52" s="193"/>
      <c r="V52" s="193" t="str">
        <f t="shared" si="1"/>
        <v>Ivory Coast</v>
      </c>
      <c r="W52" s="194"/>
      <c r="X52" s="194"/>
      <c r="Y52" s="194"/>
      <c r="Z52" s="194"/>
      <c r="AA52" s="194"/>
      <c r="AB52" s="194"/>
      <c r="AC52" s="194"/>
      <c r="AD52" s="195" t="str">
        <f>IF(AND(I52&lt;&gt;"",K52&lt;&gt;"",R52&lt;&gt;"",T52&lt;&gt;""),IF(AND(I52=R52,K52=T52),Setup!$D$10,IF((I52-K52)=(R52-T52),Setup!$D$11,IF(AND((I52&gt;K52),(R52&gt;T52)),Setup!$D$12,IF(AND((K52&gt;I52),(T52&gt;R52)),Setup!$D$12,0)))),"")</f>
        <v/>
      </c>
      <c r="AE52" s="183"/>
      <c r="CP52" s="168"/>
      <c r="CQ52" s="168"/>
      <c r="CR52" s="187"/>
      <c r="CS52" s="168"/>
    </row>
    <row r="53" spans="2:97" s="166" customFormat="1" ht="15" customHeight="1">
      <c r="B53" s="182"/>
      <c r="C53" s="181">
        <f>Tournament!D54</f>
        <v>39</v>
      </c>
      <c r="D53" s="181" t="str">
        <f>Tournament!E54</f>
        <v>D</v>
      </c>
      <c r="E53" s="188">
        <f>Tournament!F54</f>
        <v>41814.541666666664</v>
      </c>
      <c r="F53" s="189">
        <f>Tournament!G54</f>
        <v>41814.541666666664</v>
      </c>
      <c r="G53" s="190" t="str">
        <f>Tournament!H54</f>
        <v>Italy</v>
      </c>
      <c r="H53" s="180"/>
      <c r="I53" s="9"/>
      <c r="J53" s="191" t="s">
        <v>3088</v>
      </c>
      <c r="K53" s="9"/>
      <c r="L53" s="180"/>
      <c r="M53" s="180" t="str">
        <f>Tournament!N54</f>
        <v>Uruguay</v>
      </c>
      <c r="N53" s="183"/>
      <c r="P53" s="192" t="str">
        <f t="shared" si="0"/>
        <v>Italy</v>
      </c>
      <c r="Q53" s="193"/>
      <c r="R53" s="194" t="str">
        <f>IF(Tournament!J54&lt;&gt;"",Tournament!J54,"")</f>
        <v/>
      </c>
      <c r="S53" s="194" t="s">
        <v>3088</v>
      </c>
      <c r="T53" s="194" t="str">
        <f>IF(Tournament!L54&lt;&gt;"",Tournament!L54,"")</f>
        <v/>
      </c>
      <c r="U53" s="193"/>
      <c r="V53" s="193" t="str">
        <f t="shared" si="1"/>
        <v>Uruguay</v>
      </c>
      <c r="W53" s="194"/>
      <c r="X53" s="194"/>
      <c r="Y53" s="194"/>
      <c r="Z53" s="194"/>
      <c r="AA53" s="194"/>
      <c r="AB53" s="194"/>
      <c r="AC53" s="194"/>
      <c r="AD53" s="195" t="str">
        <f>IF(AND(I53&lt;&gt;"",K53&lt;&gt;"",R53&lt;&gt;"",T53&lt;&gt;""),IF(AND(I53=R53,K53=T53),Setup!$D$10,IF((I53-K53)=(R53-T53),Setup!$D$11,IF(AND((I53&gt;K53),(R53&gt;T53)),Setup!$D$12,IF(AND((K53&gt;I53),(T53&gt;R53)),Setup!$D$12,0)))),"")</f>
        <v/>
      </c>
      <c r="AE53" s="183"/>
      <c r="CP53" s="168"/>
      <c r="CQ53" s="168"/>
      <c r="CR53" s="187"/>
      <c r="CS53" s="168"/>
    </row>
    <row r="54" spans="2:97" s="166" customFormat="1" ht="15" customHeight="1">
      <c r="B54" s="182"/>
      <c r="C54" s="181">
        <f>Tournament!D55</f>
        <v>40</v>
      </c>
      <c r="D54" s="181" t="str">
        <f>Tournament!E55</f>
        <v>D</v>
      </c>
      <c r="E54" s="188">
        <f>Tournament!F55</f>
        <v>41814.541666666664</v>
      </c>
      <c r="F54" s="189">
        <f>Tournament!G55</f>
        <v>41814.541666666664</v>
      </c>
      <c r="G54" s="190" t="str">
        <f>Tournament!H55</f>
        <v>Costa Rica</v>
      </c>
      <c r="H54" s="180"/>
      <c r="I54" s="9"/>
      <c r="J54" s="191" t="s">
        <v>3088</v>
      </c>
      <c r="K54" s="9"/>
      <c r="L54" s="180"/>
      <c r="M54" s="180" t="str">
        <f>Tournament!N55</f>
        <v>England</v>
      </c>
      <c r="N54" s="183"/>
      <c r="P54" s="192" t="str">
        <f t="shared" si="0"/>
        <v>Costa Rica</v>
      </c>
      <c r="Q54" s="193"/>
      <c r="R54" s="194" t="str">
        <f>IF(Tournament!J55&lt;&gt;"",Tournament!J55,"")</f>
        <v/>
      </c>
      <c r="S54" s="194" t="s">
        <v>3088</v>
      </c>
      <c r="T54" s="194" t="str">
        <f>IF(Tournament!L55&lt;&gt;"",Tournament!L55,"")</f>
        <v/>
      </c>
      <c r="U54" s="193"/>
      <c r="V54" s="193" t="str">
        <f t="shared" si="1"/>
        <v>England</v>
      </c>
      <c r="W54" s="194"/>
      <c r="X54" s="194"/>
      <c r="Y54" s="194"/>
      <c r="Z54" s="194"/>
      <c r="AA54" s="194"/>
      <c r="AB54" s="194"/>
      <c r="AC54" s="194"/>
      <c r="AD54" s="195" t="str">
        <f>IF(AND(I54&lt;&gt;"",K54&lt;&gt;"",R54&lt;&gt;"",T54&lt;&gt;""),IF(AND(I54=R54,K54=T54),Setup!$D$10,IF((I54-K54)=(R54-T54),Setup!$D$11,IF(AND((I54&gt;K54),(R54&gt;T54)),Setup!$D$12,IF(AND((K54&gt;I54),(T54&gt;R54)),Setup!$D$12,0)))),"")</f>
        <v/>
      </c>
      <c r="AE54" s="183"/>
      <c r="CP54" s="168"/>
      <c r="CQ54" s="168"/>
      <c r="CR54" s="187"/>
      <c r="CS54" s="168"/>
    </row>
    <row r="55" spans="2:97" s="166" customFormat="1" ht="15" customHeight="1">
      <c r="B55" s="182"/>
      <c r="C55" s="181">
        <f>Tournament!D56</f>
        <v>41</v>
      </c>
      <c r="D55" s="181" t="str">
        <f>Tournament!E56</f>
        <v>E</v>
      </c>
      <c r="E55" s="188">
        <f>Tournament!F56</f>
        <v>41815.708333333336</v>
      </c>
      <c r="F55" s="189">
        <f>Tournament!G56</f>
        <v>41815.708333333336</v>
      </c>
      <c r="G55" s="190" t="str">
        <f>Tournament!H56</f>
        <v>Honduras</v>
      </c>
      <c r="H55" s="180"/>
      <c r="I55" s="9"/>
      <c r="J55" s="191" t="s">
        <v>3088</v>
      </c>
      <c r="K55" s="9"/>
      <c r="L55" s="180"/>
      <c r="M55" s="180" t="str">
        <f>Tournament!N56</f>
        <v>Switzerland</v>
      </c>
      <c r="N55" s="183"/>
      <c r="P55" s="192" t="str">
        <f t="shared" si="0"/>
        <v>Honduras</v>
      </c>
      <c r="Q55" s="193"/>
      <c r="R55" s="194" t="str">
        <f>IF(Tournament!J56&lt;&gt;"",Tournament!J56,"")</f>
        <v/>
      </c>
      <c r="S55" s="194" t="s">
        <v>3088</v>
      </c>
      <c r="T55" s="194" t="str">
        <f>IF(Tournament!L56&lt;&gt;"",Tournament!L56,"")</f>
        <v/>
      </c>
      <c r="U55" s="193"/>
      <c r="V55" s="193" t="str">
        <f t="shared" si="1"/>
        <v>Switzerland</v>
      </c>
      <c r="W55" s="194"/>
      <c r="X55" s="194"/>
      <c r="Y55" s="194"/>
      <c r="Z55" s="194"/>
      <c r="AA55" s="194"/>
      <c r="AB55" s="194"/>
      <c r="AC55" s="194"/>
      <c r="AD55" s="195" t="str">
        <f>IF(AND(I55&lt;&gt;"",K55&lt;&gt;"",R55&lt;&gt;"",T55&lt;&gt;""),IF(AND(I55=R55,K55=T55),Setup!$D$10,IF((I55-K55)=(R55-T55),Setup!$D$11,IF(AND((I55&gt;K55),(R55&gt;T55)),Setup!$D$12,IF(AND((K55&gt;I55),(T55&gt;R55)),Setup!$D$12,0)))),"")</f>
        <v/>
      </c>
      <c r="AE55" s="183"/>
      <c r="CP55" s="168"/>
      <c r="CQ55" s="168"/>
      <c r="CR55" s="187"/>
      <c r="CS55" s="168"/>
    </row>
    <row r="56" spans="2:97" s="166" customFormat="1" ht="15" customHeight="1">
      <c r="B56" s="182"/>
      <c r="C56" s="181">
        <f>Tournament!D57</f>
        <v>42</v>
      </c>
      <c r="D56" s="181" t="str">
        <f>Tournament!E57</f>
        <v>E</v>
      </c>
      <c r="E56" s="188">
        <f>Tournament!F57</f>
        <v>41815.708333333336</v>
      </c>
      <c r="F56" s="189">
        <f>Tournament!G57</f>
        <v>41815.708333333336</v>
      </c>
      <c r="G56" s="190" t="str">
        <f>Tournament!H57</f>
        <v>Ecuador</v>
      </c>
      <c r="H56" s="180"/>
      <c r="I56" s="9"/>
      <c r="J56" s="191" t="s">
        <v>3088</v>
      </c>
      <c r="K56" s="9"/>
      <c r="L56" s="180"/>
      <c r="M56" s="180" t="str">
        <f>Tournament!N57</f>
        <v>France</v>
      </c>
      <c r="N56" s="183"/>
      <c r="P56" s="192" t="str">
        <f t="shared" si="0"/>
        <v>Ecuador</v>
      </c>
      <c r="Q56" s="193"/>
      <c r="R56" s="194" t="str">
        <f>IF(Tournament!J57&lt;&gt;"",Tournament!J57,"")</f>
        <v/>
      </c>
      <c r="S56" s="194" t="s">
        <v>3088</v>
      </c>
      <c r="T56" s="194" t="str">
        <f>IF(Tournament!L57&lt;&gt;"",Tournament!L57,"")</f>
        <v/>
      </c>
      <c r="U56" s="193"/>
      <c r="V56" s="193" t="str">
        <f t="shared" si="1"/>
        <v>France</v>
      </c>
      <c r="W56" s="194"/>
      <c r="X56" s="194"/>
      <c r="Y56" s="194"/>
      <c r="Z56" s="194"/>
      <c r="AA56" s="194"/>
      <c r="AB56" s="194"/>
      <c r="AC56" s="194"/>
      <c r="AD56" s="195" t="str">
        <f>IF(AND(I56&lt;&gt;"",K56&lt;&gt;"",R56&lt;&gt;"",T56&lt;&gt;""),IF(AND(I56=R56,K56=T56),Setup!$D$10,IF((I56-K56)=(R56-T56),Setup!$D$11,IF(AND((I56&gt;K56),(R56&gt;T56)),Setup!$D$12,IF(AND((K56&gt;I56),(T56&gt;R56)),Setup!$D$12,0)))),"")</f>
        <v/>
      </c>
      <c r="AE56" s="183"/>
      <c r="CP56" s="168"/>
      <c r="CQ56" s="168"/>
      <c r="CR56" s="187"/>
      <c r="CS56" s="168"/>
    </row>
    <row r="57" spans="2:97" s="166" customFormat="1" ht="15" customHeight="1">
      <c r="B57" s="182"/>
      <c r="C57" s="181">
        <f>Tournament!D58</f>
        <v>43</v>
      </c>
      <c r="D57" s="181" t="str">
        <f>Tournament!E58</f>
        <v>F</v>
      </c>
      <c r="E57" s="188">
        <f>Tournament!F58</f>
        <v>41815.541666666664</v>
      </c>
      <c r="F57" s="189">
        <f>Tournament!G58</f>
        <v>41815.541666666664</v>
      </c>
      <c r="G57" s="190" t="str">
        <f>Tournament!H58</f>
        <v>Nigeria</v>
      </c>
      <c r="H57" s="180"/>
      <c r="I57" s="9"/>
      <c r="J57" s="191" t="s">
        <v>3088</v>
      </c>
      <c r="K57" s="9"/>
      <c r="L57" s="180"/>
      <c r="M57" s="180" t="str">
        <f>Tournament!N58</f>
        <v>Argentina</v>
      </c>
      <c r="N57" s="183"/>
      <c r="P57" s="192" t="str">
        <f t="shared" si="0"/>
        <v>Nigeria</v>
      </c>
      <c r="Q57" s="193"/>
      <c r="R57" s="194" t="str">
        <f>IF(Tournament!J58&lt;&gt;"",Tournament!J58,"")</f>
        <v/>
      </c>
      <c r="S57" s="194" t="s">
        <v>3088</v>
      </c>
      <c r="T57" s="194" t="str">
        <f>IF(Tournament!L58&lt;&gt;"",Tournament!L58,"")</f>
        <v/>
      </c>
      <c r="U57" s="193"/>
      <c r="V57" s="193" t="str">
        <f t="shared" si="1"/>
        <v>Argentina</v>
      </c>
      <c r="W57" s="194"/>
      <c r="X57" s="194"/>
      <c r="Y57" s="194"/>
      <c r="Z57" s="194"/>
      <c r="AA57" s="194"/>
      <c r="AB57" s="194"/>
      <c r="AC57" s="194"/>
      <c r="AD57" s="195" t="str">
        <f>IF(AND(I57&lt;&gt;"",K57&lt;&gt;"",R57&lt;&gt;"",T57&lt;&gt;""),IF(AND(I57=R57,K57=T57),Setup!$D$10,IF((I57-K57)=(R57-T57),Setup!$D$11,IF(AND((I57&gt;K57),(R57&gt;T57)),Setup!$D$12,IF(AND((K57&gt;I57),(T57&gt;R57)),Setup!$D$12,0)))),"")</f>
        <v/>
      </c>
      <c r="AE57" s="183"/>
      <c r="CP57" s="168"/>
      <c r="CQ57" s="168"/>
      <c r="CR57" s="187"/>
      <c r="CS57" s="168"/>
    </row>
    <row r="58" spans="2:97" s="166" customFormat="1" ht="15" customHeight="1">
      <c r="B58" s="182"/>
      <c r="C58" s="181">
        <f>Tournament!D59</f>
        <v>44</v>
      </c>
      <c r="D58" s="181" t="str">
        <f>Tournament!E59</f>
        <v>F</v>
      </c>
      <c r="E58" s="188">
        <f>Tournament!F59</f>
        <v>41815.541666666664</v>
      </c>
      <c r="F58" s="189">
        <f>Tournament!G59</f>
        <v>41815.541666666664</v>
      </c>
      <c r="G58" s="190" t="str">
        <f>Tournament!H59</f>
        <v>Bosnia-Herzegovina</v>
      </c>
      <c r="H58" s="180"/>
      <c r="I58" s="9"/>
      <c r="J58" s="191" t="s">
        <v>3088</v>
      </c>
      <c r="K58" s="9"/>
      <c r="L58" s="180"/>
      <c r="M58" s="180" t="str">
        <f>Tournament!N59</f>
        <v>Iran</v>
      </c>
      <c r="N58" s="183"/>
      <c r="P58" s="192" t="str">
        <f t="shared" si="0"/>
        <v>Bosnia-Herzegovina</v>
      </c>
      <c r="Q58" s="193"/>
      <c r="R58" s="194" t="str">
        <f>IF(Tournament!J59&lt;&gt;"",Tournament!J59,"")</f>
        <v/>
      </c>
      <c r="S58" s="194" t="s">
        <v>3088</v>
      </c>
      <c r="T58" s="194" t="str">
        <f>IF(Tournament!L59&lt;&gt;"",Tournament!L59,"")</f>
        <v/>
      </c>
      <c r="U58" s="193"/>
      <c r="V58" s="193" t="str">
        <f t="shared" si="1"/>
        <v>Iran</v>
      </c>
      <c r="W58" s="194"/>
      <c r="X58" s="194"/>
      <c r="Y58" s="194"/>
      <c r="Z58" s="194"/>
      <c r="AA58" s="194"/>
      <c r="AB58" s="194"/>
      <c r="AC58" s="194"/>
      <c r="AD58" s="195" t="str">
        <f>IF(AND(I58&lt;&gt;"",K58&lt;&gt;"",R58&lt;&gt;"",T58&lt;&gt;""),IF(AND(I58=R58,K58=T58),Setup!$D$10,IF((I58-K58)=(R58-T58),Setup!$D$11,IF(AND((I58&gt;K58),(R58&gt;T58)),Setup!$D$12,IF(AND((K58&gt;I58),(T58&gt;R58)),Setup!$D$12,0)))),"")</f>
        <v/>
      </c>
      <c r="AE58" s="183"/>
      <c r="CP58" s="168"/>
      <c r="CQ58" s="168"/>
      <c r="CR58" s="187"/>
      <c r="CS58" s="168"/>
    </row>
    <row r="59" spans="2:97" s="166" customFormat="1" ht="15" customHeight="1">
      <c r="B59" s="182"/>
      <c r="C59" s="181">
        <f>Tournament!D60</f>
        <v>45</v>
      </c>
      <c r="D59" s="181" t="str">
        <f>Tournament!E60</f>
        <v>G</v>
      </c>
      <c r="E59" s="188">
        <f>Tournament!F60</f>
        <v>41816.541666666664</v>
      </c>
      <c r="F59" s="189">
        <f>Tournament!G60</f>
        <v>41816.541666666664</v>
      </c>
      <c r="G59" s="190" t="str">
        <f>Tournament!H60</f>
        <v>USA</v>
      </c>
      <c r="H59" s="180"/>
      <c r="I59" s="9"/>
      <c r="J59" s="191" t="s">
        <v>3088</v>
      </c>
      <c r="K59" s="9"/>
      <c r="L59" s="180"/>
      <c r="M59" s="180" t="str">
        <f>Tournament!N60</f>
        <v>Germany</v>
      </c>
      <c r="N59" s="183"/>
      <c r="P59" s="192" t="str">
        <f t="shared" si="0"/>
        <v>USA</v>
      </c>
      <c r="Q59" s="193"/>
      <c r="R59" s="194" t="str">
        <f>IF(Tournament!J60&lt;&gt;"",Tournament!J60,"")</f>
        <v/>
      </c>
      <c r="S59" s="194" t="s">
        <v>3088</v>
      </c>
      <c r="T59" s="194" t="str">
        <f>IF(Tournament!L60&lt;&gt;"",Tournament!L60,"")</f>
        <v/>
      </c>
      <c r="U59" s="193"/>
      <c r="V59" s="193" t="str">
        <f t="shared" si="1"/>
        <v>Germany</v>
      </c>
      <c r="W59" s="194"/>
      <c r="X59" s="194"/>
      <c r="Y59" s="194"/>
      <c r="Z59" s="194"/>
      <c r="AA59" s="194"/>
      <c r="AB59" s="194"/>
      <c r="AC59" s="194"/>
      <c r="AD59" s="195" t="str">
        <f>IF(AND(I59&lt;&gt;"",K59&lt;&gt;"",R59&lt;&gt;"",T59&lt;&gt;""),IF(AND(I59=R59,K59=T59),Setup!$D$10,IF((I59-K59)=(R59-T59),Setup!$D$11,IF(AND((I59&gt;K59),(R59&gt;T59)),Setup!$D$12,IF(AND((K59&gt;I59),(T59&gt;R59)),Setup!$D$12,0)))),"")</f>
        <v/>
      </c>
      <c r="AE59" s="183"/>
      <c r="CP59" s="168"/>
      <c r="CQ59" s="168"/>
      <c r="CR59" s="187"/>
      <c r="CS59" s="168"/>
    </row>
    <row r="60" spans="2:97" s="166" customFormat="1" ht="15" customHeight="1">
      <c r="B60" s="182"/>
      <c r="C60" s="181">
        <f>Tournament!D61</f>
        <v>46</v>
      </c>
      <c r="D60" s="181" t="str">
        <f>Tournament!E61</f>
        <v>G</v>
      </c>
      <c r="E60" s="188">
        <f>Tournament!F61</f>
        <v>41816.541666666664</v>
      </c>
      <c r="F60" s="189">
        <f>Tournament!G61</f>
        <v>41816.541666666664</v>
      </c>
      <c r="G60" s="190" t="str">
        <f>Tournament!H61</f>
        <v>Portugal</v>
      </c>
      <c r="H60" s="180"/>
      <c r="I60" s="9"/>
      <c r="J60" s="191" t="s">
        <v>3088</v>
      </c>
      <c r="K60" s="9"/>
      <c r="L60" s="180"/>
      <c r="M60" s="180" t="str">
        <f>Tournament!N61</f>
        <v>Ghana</v>
      </c>
      <c r="N60" s="183"/>
      <c r="P60" s="192" t="str">
        <f t="shared" si="0"/>
        <v>Portugal</v>
      </c>
      <c r="Q60" s="193"/>
      <c r="R60" s="194" t="str">
        <f>IF(Tournament!J61&lt;&gt;"",Tournament!J61,"")</f>
        <v/>
      </c>
      <c r="S60" s="194" t="s">
        <v>3088</v>
      </c>
      <c r="T60" s="194" t="str">
        <f>IF(Tournament!L61&lt;&gt;"",Tournament!L61,"")</f>
        <v/>
      </c>
      <c r="U60" s="193"/>
      <c r="V60" s="193" t="str">
        <f t="shared" si="1"/>
        <v>Ghana</v>
      </c>
      <c r="W60" s="194"/>
      <c r="X60" s="194"/>
      <c r="Y60" s="194"/>
      <c r="Z60" s="194"/>
      <c r="AA60" s="194"/>
      <c r="AB60" s="194"/>
      <c r="AC60" s="194"/>
      <c r="AD60" s="195" t="str">
        <f>IF(AND(I60&lt;&gt;"",K60&lt;&gt;"",R60&lt;&gt;"",T60&lt;&gt;""),IF(AND(I60=R60,K60=T60),Setup!$D$10,IF((I60-K60)=(R60-T60),Setup!$D$11,IF(AND((I60&gt;K60),(R60&gt;T60)),Setup!$D$12,IF(AND((K60&gt;I60),(T60&gt;R60)),Setup!$D$12,0)))),"")</f>
        <v/>
      </c>
      <c r="AE60" s="183"/>
      <c r="CN60" s="168"/>
      <c r="CO60" s="168"/>
      <c r="CP60" s="187"/>
      <c r="CQ60" s="168"/>
    </row>
    <row r="61" spans="2:97" s="166" customFormat="1" ht="15" customHeight="1">
      <c r="B61" s="182"/>
      <c r="C61" s="181">
        <f>Tournament!D62</f>
        <v>47</v>
      </c>
      <c r="D61" s="181" t="str">
        <f>Tournament!E62</f>
        <v>H</v>
      </c>
      <c r="E61" s="188">
        <f>Tournament!F62</f>
        <v>41816.708333333336</v>
      </c>
      <c r="F61" s="189">
        <f>Tournament!G62</f>
        <v>41816.708333333336</v>
      </c>
      <c r="G61" s="190" t="str">
        <f>Tournament!H62</f>
        <v>South Korea</v>
      </c>
      <c r="H61" s="180"/>
      <c r="I61" s="9"/>
      <c r="J61" s="191" t="s">
        <v>3088</v>
      </c>
      <c r="K61" s="9"/>
      <c r="L61" s="180"/>
      <c r="M61" s="180" t="str">
        <f>Tournament!N62</f>
        <v>Belgium</v>
      </c>
      <c r="N61" s="183"/>
      <c r="P61" s="192" t="str">
        <f t="shared" si="0"/>
        <v>South Korea</v>
      </c>
      <c r="Q61" s="193"/>
      <c r="R61" s="194" t="str">
        <f>IF(Tournament!J62&lt;&gt;"",Tournament!J62,"")</f>
        <v/>
      </c>
      <c r="S61" s="194" t="s">
        <v>3088</v>
      </c>
      <c r="T61" s="194" t="str">
        <f>IF(Tournament!L62&lt;&gt;"",Tournament!L62,"")</f>
        <v/>
      </c>
      <c r="U61" s="193"/>
      <c r="V61" s="193" t="str">
        <f t="shared" si="1"/>
        <v>Belgium</v>
      </c>
      <c r="W61" s="194"/>
      <c r="X61" s="194"/>
      <c r="Y61" s="194"/>
      <c r="Z61" s="194"/>
      <c r="AA61" s="194"/>
      <c r="AB61" s="194"/>
      <c r="AC61" s="194"/>
      <c r="AD61" s="195" t="str">
        <f>IF(AND(I61&lt;&gt;"",K61&lt;&gt;"",R61&lt;&gt;"",T61&lt;&gt;""),IF(AND(I61=R61,K61=T61),Setup!$D$10,IF((I61-K61)=(R61-T61),Setup!$D$11,IF(AND((I61&gt;K61),(R61&gt;T61)),Setup!$D$12,IF(AND((K61&gt;I61),(T61&gt;R61)),Setup!$D$12,0)))),"")</f>
        <v/>
      </c>
      <c r="AE61" s="183"/>
      <c r="CM61" s="168"/>
      <c r="CN61" s="168"/>
      <c r="CO61" s="187"/>
      <c r="CP61" s="168"/>
    </row>
    <row r="62" spans="2:97" s="166" customFormat="1" ht="15" customHeight="1">
      <c r="B62" s="182"/>
      <c r="C62" s="181">
        <f>Tournament!D63</f>
        <v>48</v>
      </c>
      <c r="D62" s="181" t="str">
        <f>Tournament!E63</f>
        <v>H</v>
      </c>
      <c r="E62" s="188">
        <f>Tournament!F63</f>
        <v>41816.708333333336</v>
      </c>
      <c r="F62" s="189">
        <f>Tournament!G63</f>
        <v>41816.708333333336</v>
      </c>
      <c r="G62" s="190" t="str">
        <f>Tournament!H63</f>
        <v>Algeria</v>
      </c>
      <c r="H62" s="180"/>
      <c r="I62" s="9"/>
      <c r="J62" s="191" t="s">
        <v>3088</v>
      </c>
      <c r="K62" s="9"/>
      <c r="L62" s="180"/>
      <c r="M62" s="180" t="str">
        <f>Tournament!N63</f>
        <v>Russia</v>
      </c>
      <c r="N62" s="183"/>
      <c r="P62" s="192" t="str">
        <f t="shared" si="0"/>
        <v>Algeria</v>
      </c>
      <c r="Q62" s="193"/>
      <c r="R62" s="194" t="str">
        <f>IF(Tournament!J63&lt;&gt;"",Tournament!J63,"")</f>
        <v/>
      </c>
      <c r="S62" s="194" t="s">
        <v>3088</v>
      </c>
      <c r="T62" s="194" t="str">
        <f>IF(Tournament!L63&lt;&gt;"",Tournament!L63,"")</f>
        <v/>
      </c>
      <c r="U62" s="193"/>
      <c r="V62" s="193" t="str">
        <f t="shared" si="1"/>
        <v>Russia</v>
      </c>
      <c r="AD62" s="195" t="str">
        <f>IF(AND(I62&lt;&gt;"",K62&lt;&gt;"",R62&lt;&gt;"",T62&lt;&gt;""),IF(AND(I62=R62,K62=T62),Setup!$D$10,IF((I62-K62)=(R62-T62),Setup!$D$11,IF(AND((I62&gt;K62),(R62&gt;T62)),Setup!$D$12,IF(AND((K62&gt;I62),(T62&gt;R62)),Setup!$D$12,0)))),"")</f>
        <v/>
      </c>
      <c r="AE62" s="183"/>
      <c r="CM62" s="168"/>
      <c r="CN62" s="168"/>
      <c r="CO62" s="187"/>
      <c r="CP62" s="168"/>
    </row>
    <row r="63" spans="2:97" s="166" customFormat="1" ht="15" customHeight="1">
      <c r="B63" s="182"/>
      <c r="C63" s="181"/>
      <c r="D63" s="181"/>
      <c r="E63" s="188"/>
      <c r="F63" s="189"/>
      <c r="G63" s="190"/>
      <c r="H63" s="180"/>
      <c r="I63" s="191"/>
      <c r="J63" s="191"/>
      <c r="K63" s="191"/>
      <c r="L63" s="180"/>
      <c r="M63" s="180"/>
      <c r="N63" s="183"/>
      <c r="P63" s="192"/>
      <c r="Q63" s="193"/>
      <c r="R63" s="194"/>
      <c r="S63" s="194"/>
      <c r="T63" s="194"/>
      <c r="U63" s="193"/>
      <c r="V63" s="193"/>
      <c r="AD63" s="181"/>
      <c r="AE63" s="183"/>
      <c r="CM63" s="168"/>
      <c r="CN63" s="168"/>
      <c r="CO63" s="187"/>
      <c r="CP63" s="168"/>
    </row>
    <row r="64" spans="2:97" s="166" customFormat="1" ht="15" customHeight="1">
      <c r="B64" s="300" t="s">
        <v>3544</v>
      </c>
      <c r="C64" s="301"/>
      <c r="D64" s="301"/>
      <c r="E64" s="301"/>
      <c r="F64" s="301"/>
      <c r="G64" s="301"/>
      <c r="H64" s="301"/>
      <c r="I64" s="301"/>
      <c r="J64" s="301"/>
      <c r="K64" s="301"/>
      <c r="L64" s="301"/>
      <c r="M64" s="301"/>
      <c r="N64" s="302"/>
      <c r="P64" s="303" t="str">
        <f>B64</f>
        <v>Knock Out Stages</v>
      </c>
      <c r="Q64" s="304"/>
      <c r="R64" s="304"/>
      <c r="S64" s="304"/>
      <c r="T64" s="304"/>
      <c r="U64" s="304"/>
      <c r="V64" s="304"/>
      <c r="W64" s="304"/>
      <c r="X64" s="304"/>
      <c r="Y64" s="304"/>
      <c r="Z64" s="304"/>
      <c r="AA64" s="304"/>
      <c r="AB64" s="304"/>
      <c r="AC64" s="304"/>
      <c r="AD64" s="304"/>
      <c r="AE64" s="305"/>
      <c r="CM64" s="168"/>
      <c r="CN64" s="168"/>
      <c r="CO64" s="187"/>
      <c r="CP64" s="168"/>
    </row>
    <row r="65" spans="2:94" s="166" customFormat="1" ht="15" customHeight="1">
      <c r="B65" s="182"/>
      <c r="C65" s="181"/>
      <c r="D65" s="181"/>
      <c r="E65" s="188"/>
      <c r="F65" s="189"/>
      <c r="G65" s="190"/>
      <c r="H65" s="180"/>
      <c r="I65" s="191"/>
      <c r="J65" s="191"/>
      <c r="K65" s="191"/>
      <c r="L65" s="180"/>
      <c r="M65" s="180"/>
      <c r="N65" s="183"/>
      <c r="P65" s="192"/>
      <c r="Q65" s="193"/>
      <c r="R65" s="299" t="s">
        <v>3554</v>
      </c>
      <c r="S65" s="299"/>
      <c r="T65" s="299"/>
      <c r="U65" s="193"/>
      <c r="V65" s="193"/>
      <c r="W65" s="299" t="s">
        <v>3546</v>
      </c>
      <c r="X65" s="299"/>
      <c r="Y65" s="299"/>
      <c r="Z65" s="197"/>
      <c r="AA65" s="299" t="s">
        <v>3547</v>
      </c>
      <c r="AB65" s="299"/>
      <c r="AC65" s="299"/>
      <c r="AD65" s="181"/>
      <c r="AE65" s="183"/>
      <c r="CM65" s="168"/>
      <c r="CN65" s="168"/>
      <c r="CO65" s="187"/>
      <c r="CP65" s="168"/>
    </row>
    <row r="66" spans="2:94" s="166" customFormat="1" ht="15" customHeight="1">
      <c r="B66" s="182"/>
      <c r="C66" s="181">
        <v>49</v>
      </c>
      <c r="D66" s="181" t="s">
        <v>3548</v>
      </c>
      <c r="E66" s="188">
        <f>Tournament!F69</f>
        <v>41818.541666666664</v>
      </c>
      <c r="F66" s="189">
        <f>Tournament!G69</f>
        <v>41818.541666666664</v>
      </c>
      <c r="G66" s="190" t="str">
        <f>Tournament!H69</f>
        <v>Group A Winner</v>
      </c>
      <c r="H66" s="180"/>
      <c r="I66" s="9"/>
      <c r="J66" s="191" t="s">
        <v>3088</v>
      </c>
      <c r="K66" s="9"/>
      <c r="L66" s="180"/>
      <c r="M66" s="198" t="str">
        <f>Tournament!N69</f>
        <v>Group B Runner Up</v>
      </c>
      <c r="N66" s="183"/>
      <c r="P66" s="192" t="str">
        <f t="shared" ref="P66:P81" si="2">G66</f>
        <v>Group A Winner</v>
      </c>
      <c r="Q66" s="193"/>
      <c r="R66" s="194" t="str">
        <f>IF($Z$67=0,IF($Z$66=0,IF(Tournament!J70&lt;&gt;"",Tournament!J70,""),IF(Tournament!J70&lt;&gt;"",Tournament!J70+Tournament!J71,"")),IF(Tournament!J69&lt;&gt;"",Tournament!J69,""))</f>
        <v/>
      </c>
      <c r="S66" s="194" t="s">
        <v>3088</v>
      </c>
      <c r="T66" s="194" t="str">
        <f>IF($Z$67=0,IF($Z$66=0,IF(Tournament!L70&lt;&gt;"",Tournament!L70,""),IF(Tournament!L70&lt;&gt;"",Tournament!L70+Tournament!L71,"")),IF(Tournament!L69&lt;&gt;"",Tournament!L69,""))</f>
        <v/>
      </c>
      <c r="U66" s="193"/>
      <c r="V66" s="193" t="str">
        <f t="shared" ref="V66:V81" si="3">M66</f>
        <v>Group B Runner Up</v>
      </c>
      <c r="W66" s="191" t="str">
        <f>IF(Tournament!J71&lt;&gt;"",Tournament!J71,"")</f>
        <v/>
      </c>
      <c r="X66" s="199" t="s">
        <v>3088</v>
      </c>
      <c r="Y66" s="191" t="str">
        <f>IF(Tournament!L71&lt;&gt;"",Tournament!L71,"")</f>
        <v/>
      </c>
      <c r="Z66" s="199">
        <f>Setup!E16</f>
        <v>1</v>
      </c>
      <c r="AA66" s="191" t="str">
        <f>IF(Tournament!J72&lt;&gt;"",Tournament!J72,"")</f>
        <v/>
      </c>
      <c r="AB66" s="194" t="s">
        <v>3088</v>
      </c>
      <c r="AC66" s="191" t="str">
        <f>IF(Tournament!L72&lt;&gt;"",Tournament!L72,"")</f>
        <v/>
      </c>
      <c r="AD66" s="195" t="str">
        <f>IF(AND(I66&lt;&gt;"",K66&lt;&gt;"",R66&lt;&gt;"",T66&lt;&gt;""),IF(AND(I66=R66,K66=T66),Setup!$D$20,IF((I66-K66)=(R66-T66),Setup!$D$21,IF(AND((I66&gt;K66),(R66&gt;T66)),Setup!$D$22,IF(AND((K66&gt;I66),(T66&gt;R66)),Setup!$D$22,0)))),"")</f>
        <v/>
      </c>
      <c r="AE66" s="183"/>
      <c r="CM66" s="168"/>
      <c r="CN66" s="168"/>
      <c r="CO66" s="187"/>
      <c r="CP66" s="168"/>
    </row>
    <row r="67" spans="2:94" s="166" customFormat="1" ht="15" customHeight="1">
      <c r="B67" s="182"/>
      <c r="C67" s="181">
        <v>50</v>
      </c>
      <c r="D67" s="181" t="str">
        <f>D66</f>
        <v>R16</v>
      </c>
      <c r="E67" s="188">
        <f>Tournament!F75</f>
        <v>41818.708333333336</v>
      </c>
      <c r="F67" s="189">
        <f>Tournament!G75</f>
        <v>41818.708333333336</v>
      </c>
      <c r="G67" s="190" t="str">
        <f>Tournament!H75</f>
        <v>Group C Winner</v>
      </c>
      <c r="H67" s="180"/>
      <c r="I67" s="9"/>
      <c r="J67" s="191" t="s">
        <v>3088</v>
      </c>
      <c r="K67" s="9"/>
      <c r="L67" s="180"/>
      <c r="M67" s="198" t="str">
        <f>Tournament!N75</f>
        <v>Group D Runner Up</v>
      </c>
      <c r="N67" s="183"/>
      <c r="P67" s="192" t="str">
        <f t="shared" si="2"/>
        <v>Group C Winner</v>
      </c>
      <c r="Q67" s="193"/>
      <c r="R67" s="194" t="str">
        <f>IF($Z$67=0,IF($Z$66=0,IF(Tournament!J76&lt;&gt;"",Tournament!J76,""),IF(Tournament!J76&lt;&gt;"",Tournament!J76+Tournament!J77,"")),IF(Tournament!J75&lt;&gt;"",Tournament!J75,""))</f>
        <v/>
      </c>
      <c r="S67" s="194" t="s">
        <v>3088</v>
      </c>
      <c r="T67" s="194" t="str">
        <f>IF($Z$67=0,IF($Z$66=0,IF(Tournament!L76&lt;&gt;"",Tournament!L76,""),IF(Tournament!L76&lt;&gt;"",Tournament!L76+Tournament!L77,"")),IF(Tournament!L75&lt;&gt;"",Tournament!L75,""))</f>
        <v/>
      </c>
      <c r="U67" s="193"/>
      <c r="V67" s="193" t="str">
        <f t="shared" si="3"/>
        <v>Group D Runner Up</v>
      </c>
      <c r="W67" s="191" t="str">
        <f>IF(Tournament!J77&lt;&gt;"",Tournament!J77,"")</f>
        <v/>
      </c>
      <c r="X67" s="199" t="s">
        <v>3088</v>
      </c>
      <c r="Y67" s="191" t="str">
        <f>IF(Tournament!L77&lt;&gt;"",Tournament!L77,"")</f>
        <v/>
      </c>
      <c r="Z67" s="199">
        <f>Setup!E17</f>
        <v>0</v>
      </c>
      <c r="AA67" s="191" t="str">
        <f>IF(Tournament!J78&lt;&gt;"",Tournament!J78,"")</f>
        <v/>
      </c>
      <c r="AB67" s="194" t="s">
        <v>3088</v>
      </c>
      <c r="AC67" s="191" t="str">
        <f>IF(Tournament!L78&lt;&gt;"",Tournament!L78,"")</f>
        <v/>
      </c>
      <c r="AD67" s="195" t="str">
        <f>IF(AND(I67&lt;&gt;"",K67&lt;&gt;"",R67&lt;&gt;"",T67&lt;&gt;""),IF(AND(I67=R67,K67=T67),Setup!$D$20,IF((I67-K67)=(R67-T67),Setup!$D$21,IF(AND((I67&gt;K67),(R67&gt;T67)),Setup!$D$22,IF(AND((K67&gt;I67),(T67&gt;R67)),Setup!$D$22,0)))),"")</f>
        <v/>
      </c>
      <c r="AE67" s="183"/>
      <c r="CM67" s="168"/>
      <c r="CN67" s="168"/>
      <c r="CO67" s="187"/>
      <c r="CP67" s="168"/>
    </row>
    <row r="68" spans="2:94" s="166" customFormat="1" ht="15" customHeight="1">
      <c r="B68" s="182"/>
      <c r="C68" s="181">
        <v>52</v>
      </c>
      <c r="D68" s="181" t="str">
        <f t="shared" ref="D68:D73" si="4">D67</f>
        <v>R16</v>
      </c>
      <c r="E68" s="188">
        <f>Tournament!F81</f>
        <v>41819.708333333336</v>
      </c>
      <c r="F68" s="189">
        <f>Tournament!G81</f>
        <v>41819.708333333336</v>
      </c>
      <c r="G68" s="190" t="str">
        <f>Tournament!H81</f>
        <v>Group D Winner</v>
      </c>
      <c r="H68" s="180"/>
      <c r="I68" s="9"/>
      <c r="J68" s="191" t="s">
        <v>3088</v>
      </c>
      <c r="K68" s="9"/>
      <c r="L68" s="180"/>
      <c r="M68" s="198" t="str">
        <f>Tournament!N81</f>
        <v>Group C Runner Up</v>
      </c>
      <c r="N68" s="183"/>
      <c r="P68" s="192" t="str">
        <f t="shared" si="2"/>
        <v>Group D Winner</v>
      </c>
      <c r="Q68" s="193"/>
      <c r="R68" s="194" t="str">
        <f>IF($Z$67=0,IF($Z$66=0,IF(Tournament!J82&lt;&gt;"",Tournament!J82,""),IF(Tournament!J82&lt;&gt;"",Tournament!J82+Tournament!J83,"")),IF(Tournament!J81&lt;&gt;"",Tournament!J81,""))</f>
        <v/>
      </c>
      <c r="S68" s="194" t="s">
        <v>3088</v>
      </c>
      <c r="T68" s="194" t="str">
        <f>IF($Z$67=0,IF($Z$66=0,IF(Tournament!L82&lt;&gt;"",Tournament!L82,""),IF(Tournament!L82&lt;&gt;"",Tournament!L82+Tournament!L83,"")),IF(Tournament!L81&lt;&gt;"",Tournament!L81,""))</f>
        <v/>
      </c>
      <c r="U68" s="193"/>
      <c r="V68" s="193" t="str">
        <f t="shared" si="3"/>
        <v>Group C Runner Up</v>
      </c>
      <c r="W68" s="191" t="str">
        <f>IF(Tournament!J83&lt;&gt;"",Tournament!J83,"")</f>
        <v/>
      </c>
      <c r="X68" s="199" t="s">
        <v>3088</v>
      </c>
      <c r="Y68" s="191" t="str">
        <f>IF(Tournament!L83&lt;&gt;"",Tournament!L83,"")</f>
        <v/>
      </c>
      <c r="Z68" s="191"/>
      <c r="AA68" s="191" t="str">
        <f>IF(Tournament!J84&lt;&gt;"",Tournament!J84,"")</f>
        <v/>
      </c>
      <c r="AB68" s="194" t="s">
        <v>3088</v>
      </c>
      <c r="AC68" s="191" t="str">
        <f>IF(Tournament!L84&lt;&gt;"",Tournament!L84,"")</f>
        <v/>
      </c>
      <c r="AD68" s="195" t="str">
        <f>IF(AND(I68&lt;&gt;"",K68&lt;&gt;"",R68&lt;&gt;"",T68&lt;&gt;""),IF(AND(I68=R68,K68=T68),Setup!$D$20,IF((I68-K68)=(R68-T68),Setup!$D$21,IF(AND((I68&gt;K68),(R68&gt;T68)),Setup!$D$22,IF(AND((K68&gt;I68),(T68&gt;R68)),Setup!$D$22,0)))),"")</f>
        <v/>
      </c>
      <c r="AE68" s="183"/>
      <c r="CM68" s="168"/>
      <c r="CN68" s="168"/>
      <c r="CO68" s="187"/>
      <c r="CP68" s="168"/>
    </row>
    <row r="69" spans="2:94" s="166" customFormat="1" ht="15" customHeight="1">
      <c r="B69" s="182"/>
      <c r="C69" s="181">
        <v>51</v>
      </c>
      <c r="D69" s="181" t="str">
        <f t="shared" si="4"/>
        <v>R16</v>
      </c>
      <c r="E69" s="188">
        <f>Tournament!F87</f>
        <v>41819.541666666664</v>
      </c>
      <c r="F69" s="189">
        <f>Tournament!G93</f>
        <v>41820.541666666664</v>
      </c>
      <c r="G69" s="190" t="str">
        <f>Tournament!H87</f>
        <v>Group B Winner</v>
      </c>
      <c r="H69" s="180"/>
      <c r="I69" s="9"/>
      <c r="J69" s="191" t="s">
        <v>3088</v>
      </c>
      <c r="K69" s="9"/>
      <c r="L69" s="180"/>
      <c r="M69" s="198" t="str">
        <f>Tournament!N87</f>
        <v>Group A Runner Up</v>
      </c>
      <c r="N69" s="183"/>
      <c r="P69" s="192" t="str">
        <f t="shared" si="2"/>
        <v>Group B Winner</v>
      </c>
      <c r="Q69" s="193"/>
      <c r="R69" s="194" t="str">
        <f>IF($Z$67=0,IF($Z$66=0,IF(Tournament!J88&lt;&gt;"",Tournament!J88,""),IF(Tournament!J88&lt;&gt;"",Tournament!J88+Tournament!J89,"")),IF(Tournament!J87&lt;&gt;"",Tournament!J87,""))</f>
        <v/>
      </c>
      <c r="S69" s="194" t="s">
        <v>3088</v>
      </c>
      <c r="T69" s="194" t="str">
        <f>IF($Z$67=0,IF($Z$66=0,IF(Tournament!L88&lt;&gt;"",Tournament!L88,""),IF(Tournament!L88&lt;&gt;"",Tournament!L88+Tournament!L89,"")),IF(Tournament!L87&lt;&gt;"",Tournament!L87,""))</f>
        <v/>
      </c>
      <c r="U69" s="193"/>
      <c r="V69" s="193" t="str">
        <f t="shared" si="3"/>
        <v>Group A Runner Up</v>
      </c>
      <c r="W69" s="191" t="str">
        <f>IF(Tournament!J89&lt;&gt;"",Tournament!J89,"")</f>
        <v/>
      </c>
      <c r="X69" s="199" t="s">
        <v>3088</v>
      </c>
      <c r="Y69" s="191" t="str">
        <f>IF(Tournament!L89&lt;&gt;"",Tournament!L89,"")</f>
        <v/>
      </c>
      <c r="Z69" s="191"/>
      <c r="AA69" s="191" t="str">
        <f>IF(Tournament!J90&lt;&gt;"",Tournament!J90,"")</f>
        <v/>
      </c>
      <c r="AB69" s="194" t="s">
        <v>3088</v>
      </c>
      <c r="AC69" s="191" t="str">
        <f>IF(Tournament!L90&lt;&gt;"",Tournament!L90,"")</f>
        <v/>
      </c>
      <c r="AD69" s="195" t="str">
        <f>IF(AND(I69&lt;&gt;"",K69&lt;&gt;"",R69&lt;&gt;"",T69&lt;&gt;""),IF(AND(I69=R69,K69=T69),Setup!$D$20,IF((I69-K69)=(R69-T69),Setup!$D$21,IF(AND((I69&gt;K69),(R69&gt;T69)),Setup!$D$22,IF(AND((K69&gt;I69),(T69&gt;R69)),Setup!$D$22,0)))),"")</f>
        <v/>
      </c>
      <c r="AE69" s="183"/>
      <c r="CM69" s="168"/>
      <c r="CN69" s="168"/>
      <c r="CO69" s="187"/>
      <c r="CP69" s="168"/>
    </row>
    <row r="70" spans="2:94" s="166" customFormat="1" ht="15" customHeight="1">
      <c r="B70" s="182"/>
      <c r="C70" s="181">
        <v>53</v>
      </c>
      <c r="D70" s="181" t="str">
        <f t="shared" si="4"/>
        <v>R16</v>
      </c>
      <c r="E70" s="188">
        <f>Tournament!F93</f>
        <v>41820.541666666664</v>
      </c>
      <c r="F70" s="189">
        <f>Tournament!G93</f>
        <v>41820.541666666664</v>
      </c>
      <c r="G70" s="190" t="str">
        <f>Tournament!H93</f>
        <v>Group E Winner</v>
      </c>
      <c r="H70" s="180"/>
      <c r="I70" s="9"/>
      <c r="J70" s="191" t="s">
        <v>3088</v>
      </c>
      <c r="K70" s="9"/>
      <c r="L70" s="180"/>
      <c r="M70" s="198" t="str">
        <f>Tournament!N93</f>
        <v>Group F Runner Up</v>
      </c>
      <c r="N70" s="183"/>
      <c r="P70" s="192" t="str">
        <f t="shared" si="2"/>
        <v>Group E Winner</v>
      </c>
      <c r="Q70" s="193"/>
      <c r="R70" s="194" t="str">
        <f>IF($Z$67=0,IF($Z$66=0,IF(Tournament!J94&lt;&gt;"",Tournament!J94,""),IF(Tournament!J94&lt;&gt;"",Tournament!J94+Tournament!J95,"")),IF(Tournament!J93&lt;&gt;"",Tournament!J93,""))</f>
        <v/>
      </c>
      <c r="S70" s="194" t="s">
        <v>3088</v>
      </c>
      <c r="T70" s="194" t="str">
        <f>IF($Z$67=0,IF($Z$66=0,IF(Tournament!L94&lt;&gt;"",Tournament!L94,""),IF(Tournament!L94&lt;&gt;"",Tournament!L94+Tournament!L95,"")),IF(Tournament!L93&lt;&gt;"",Tournament!L93,""))</f>
        <v/>
      </c>
      <c r="U70" s="193"/>
      <c r="V70" s="193" t="str">
        <f t="shared" si="3"/>
        <v>Group F Runner Up</v>
      </c>
      <c r="W70" s="191" t="str">
        <f>IF(Tournament!J95&lt;&gt;"",Tournament!J95,"")</f>
        <v/>
      </c>
      <c r="X70" s="199" t="s">
        <v>3088</v>
      </c>
      <c r="Y70" s="191" t="str">
        <f>IF(Tournament!L95&lt;&gt;"",Tournament!L95,"")</f>
        <v/>
      </c>
      <c r="Z70" s="191"/>
      <c r="AA70" s="191" t="str">
        <f>IF(Tournament!J96&lt;&gt;"",Tournament!J96,"")</f>
        <v/>
      </c>
      <c r="AB70" s="194" t="s">
        <v>3088</v>
      </c>
      <c r="AC70" s="191" t="str">
        <f>IF(Tournament!L96&lt;&gt;"",Tournament!L96,"")</f>
        <v/>
      </c>
      <c r="AD70" s="195" t="str">
        <f>IF(AND(I70&lt;&gt;"",K70&lt;&gt;"",R70&lt;&gt;"",T70&lt;&gt;""),IF(AND(I70=R70,K70=T70),Setup!$D$20,IF((I70-K70)=(R70-T70),Setup!$D$21,IF(AND((I70&gt;K70),(R70&gt;T70)),Setup!$D$22,IF(AND((K70&gt;I70),(T70&gt;R70)),Setup!$D$22,0)))),"")</f>
        <v/>
      </c>
      <c r="AE70" s="183"/>
      <c r="CM70" s="168"/>
      <c r="CN70" s="168"/>
      <c r="CO70" s="187"/>
      <c r="CP70" s="168"/>
    </row>
    <row r="71" spans="2:94" s="166" customFormat="1" ht="15" customHeight="1">
      <c r="B71" s="182"/>
      <c r="C71" s="181">
        <v>54</v>
      </c>
      <c r="D71" s="181" t="str">
        <f t="shared" si="4"/>
        <v>R16</v>
      </c>
      <c r="E71" s="188">
        <f>Tournament!F99</f>
        <v>41820.708333333336</v>
      </c>
      <c r="F71" s="189">
        <f>Tournament!G99</f>
        <v>41820.708333333336</v>
      </c>
      <c r="G71" s="190" t="str">
        <f>Tournament!H99</f>
        <v>Group G Winner</v>
      </c>
      <c r="H71" s="180"/>
      <c r="I71" s="9"/>
      <c r="J71" s="191" t="s">
        <v>3088</v>
      </c>
      <c r="K71" s="9"/>
      <c r="L71" s="180"/>
      <c r="M71" s="198" t="str">
        <f>Tournament!N99</f>
        <v>Group H Runner Up</v>
      </c>
      <c r="N71" s="183"/>
      <c r="P71" s="192" t="str">
        <f t="shared" si="2"/>
        <v>Group G Winner</v>
      </c>
      <c r="Q71" s="193"/>
      <c r="R71" s="194" t="str">
        <f>IF($Z$67=0,IF($Z$66=0,IF(Tournament!J100&lt;&gt;"",Tournament!J100,""),IF(Tournament!J100&lt;&gt;"",Tournament!J100+Tournament!J101,"")),IF(Tournament!J99&lt;&gt;"",Tournament!J99,""))</f>
        <v/>
      </c>
      <c r="S71" s="194" t="s">
        <v>3088</v>
      </c>
      <c r="T71" s="194" t="str">
        <f>IF($Z$67=0,IF($Z$66=0,IF(Tournament!L100&lt;&gt;"",Tournament!L100,""),IF(Tournament!L100&lt;&gt;"",Tournament!L100+Tournament!L101,"")),IF(Tournament!L99&lt;&gt;"",Tournament!L99,""))</f>
        <v/>
      </c>
      <c r="U71" s="193"/>
      <c r="V71" s="193" t="str">
        <f t="shared" si="3"/>
        <v>Group H Runner Up</v>
      </c>
      <c r="W71" s="191" t="str">
        <f>IF(Tournament!J101&lt;&gt;"",Tournament!J101,"")</f>
        <v/>
      </c>
      <c r="X71" s="199" t="s">
        <v>3088</v>
      </c>
      <c r="Y71" s="191" t="str">
        <f>IF(Tournament!L101&lt;&gt;"",Tournament!L101,"")</f>
        <v/>
      </c>
      <c r="Z71" s="191"/>
      <c r="AA71" s="191" t="str">
        <f>IF(Tournament!J102&lt;&gt;"",Tournament!J102,"")</f>
        <v/>
      </c>
      <c r="AB71" s="194" t="s">
        <v>3088</v>
      </c>
      <c r="AC71" s="191" t="str">
        <f>IF(Tournament!L102&lt;&gt;"",Tournament!L102,"")</f>
        <v/>
      </c>
      <c r="AD71" s="195" t="str">
        <f>IF(AND(I71&lt;&gt;"",K71&lt;&gt;"",R71&lt;&gt;"",T71&lt;&gt;""),IF(AND(I71=R71,K71=T71),Setup!$D$20,IF((I71-K71)=(R71-T71),Setup!$D$21,IF(AND((I71&gt;K71),(R71&gt;T71)),Setup!$D$22,IF(AND((K71&gt;I71),(T71&gt;R71)),Setup!$D$22,0)))),"")</f>
        <v/>
      </c>
      <c r="AE71" s="183"/>
      <c r="CM71" s="168"/>
      <c r="CN71" s="168"/>
      <c r="CO71" s="187"/>
      <c r="CP71" s="168"/>
    </row>
    <row r="72" spans="2:94" s="166" customFormat="1" ht="15" customHeight="1">
      <c r="B72" s="182"/>
      <c r="C72" s="181">
        <v>55</v>
      </c>
      <c r="D72" s="181" t="str">
        <f t="shared" si="4"/>
        <v>R16</v>
      </c>
      <c r="E72" s="188">
        <f>Tournament!F105</f>
        <v>41821.541666666664</v>
      </c>
      <c r="F72" s="189">
        <f>Tournament!G105</f>
        <v>41821.541666666664</v>
      </c>
      <c r="G72" s="190" t="str">
        <f>Tournament!H105</f>
        <v>Group F Winner</v>
      </c>
      <c r="H72" s="180"/>
      <c r="I72" s="9"/>
      <c r="J72" s="191" t="s">
        <v>3088</v>
      </c>
      <c r="K72" s="9"/>
      <c r="L72" s="180"/>
      <c r="M72" s="198" t="str">
        <f>Tournament!N105</f>
        <v>Group E Runner Up</v>
      </c>
      <c r="N72" s="183"/>
      <c r="P72" s="192" t="str">
        <f t="shared" si="2"/>
        <v>Group F Winner</v>
      </c>
      <c r="Q72" s="193"/>
      <c r="R72" s="194" t="str">
        <f>IF($Z$67=0,IF($Z$66=0,IF(Tournament!J106&lt;&gt;"",Tournament!J106,""),IF(Tournament!J106&lt;&gt;"",Tournament!J106+Tournament!J107,"")),IF(Tournament!J105&lt;&gt;"",Tournament!J105,""))</f>
        <v/>
      </c>
      <c r="S72" s="194" t="s">
        <v>3088</v>
      </c>
      <c r="T72" s="194" t="str">
        <f>IF($Z$67=0,IF($Z$66=0,IF(Tournament!L106&lt;&gt;"",Tournament!L106,""),IF(Tournament!L106&lt;&gt;"",Tournament!L106+Tournament!L107,"")),IF(Tournament!L105&lt;&gt;"",Tournament!L105,""))</f>
        <v/>
      </c>
      <c r="U72" s="193"/>
      <c r="V72" s="193" t="str">
        <f t="shared" si="3"/>
        <v>Group E Runner Up</v>
      </c>
      <c r="W72" s="191" t="str">
        <f>IF(Tournament!J107&lt;&gt;"",Tournament!J107,"")</f>
        <v/>
      </c>
      <c r="X72" s="199" t="s">
        <v>3088</v>
      </c>
      <c r="Y72" s="191" t="str">
        <f>IF(Tournament!L107&lt;&gt;"",Tournament!L107,"")</f>
        <v/>
      </c>
      <c r="Z72" s="191"/>
      <c r="AA72" s="191" t="str">
        <f>IF(Tournament!J108&lt;&gt;"",Tournament!J108,"")</f>
        <v/>
      </c>
      <c r="AB72" s="194" t="s">
        <v>3088</v>
      </c>
      <c r="AC72" s="191" t="str">
        <f>IF(Tournament!L108&lt;&gt;"",Tournament!L108,"")</f>
        <v/>
      </c>
      <c r="AD72" s="195" t="str">
        <f>IF(AND(I72&lt;&gt;"",K72&lt;&gt;"",R72&lt;&gt;"",T72&lt;&gt;""),IF(AND(I72=R72,K72=T72),Setup!$D$20,IF((I72-K72)=(R72-T72),Setup!$D$21,IF(AND((I72&gt;K72),(R72&gt;T72)),Setup!$D$22,IF(AND((K72&gt;I72),(T72&gt;R72)),Setup!$D$22,0)))),"")</f>
        <v/>
      </c>
      <c r="AE72" s="183"/>
      <c r="CM72" s="168"/>
      <c r="CN72" s="168"/>
      <c r="CO72" s="187"/>
      <c r="CP72" s="168"/>
    </row>
    <row r="73" spans="2:94" s="166" customFormat="1" ht="15" customHeight="1">
      <c r="B73" s="182"/>
      <c r="C73" s="181">
        <v>56</v>
      </c>
      <c r="D73" s="181" t="str">
        <f t="shared" si="4"/>
        <v>R16</v>
      </c>
      <c r="E73" s="188">
        <f>Tournament!F111</f>
        <v>41821.708333333336</v>
      </c>
      <c r="F73" s="189">
        <f>Tournament!G111</f>
        <v>41821.708333333336</v>
      </c>
      <c r="G73" s="190" t="str">
        <f>Tournament!H111</f>
        <v>Group H Winner</v>
      </c>
      <c r="H73" s="180"/>
      <c r="I73" s="9"/>
      <c r="J73" s="191" t="s">
        <v>3088</v>
      </c>
      <c r="K73" s="9"/>
      <c r="L73" s="180"/>
      <c r="M73" s="198" t="str">
        <f>Tournament!N111</f>
        <v>Group G Runner Up</v>
      </c>
      <c r="N73" s="183"/>
      <c r="P73" s="192" t="str">
        <f t="shared" si="2"/>
        <v>Group H Winner</v>
      </c>
      <c r="Q73" s="193"/>
      <c r="R73" s="194" t="str">
        <f>IF($Z$67=0,IF($Z$66=0,IF(Tournament!J112&lt;&gt;"",Tournament!J112,""),IF(Tournament!J112&lt;&gt;"",Tournament!J112+Tournament!J113,"")),IF(Tournament!J111&lt;&gt;"",Tournament!J111,""))</f>
        <v/>
      </c>
      <c r="S73" s="194" t="s">
        <v>3088</v>
      </c>
      <c r="T73" s="194" t="str">
        <f>IF($Z$67=0,IF($Z$66=0,IF(Tournament!L112&lt;&gt;"",Tournament!L112,""),IF(Tournament!L112&lt;&gt;"",Tournament!L112+Tournament!L113,"")),IF(Tournament!L111&lt;&gt;"",Tournament!L111,""))</f>
        <v/>
      </c>
      <c r="U73" s="193"/>
      <c r="V73" s="193" t="str">
        <f t="shared" si="3"/>
        <v>Group G Runner Up</v>
      </c>
      <c r="W73" s="191" t="str">
        <f>IF(Tournament!J113&lt;&gt;"",Tournament!J113,"")</f>
        <v/>
      </c>
      <c r="X73" s="199" t="s">
        <v>3088</v>
      </c>
      <c r="Y73" s="191" t="str">
        <f>IF(Tournament!L113&lt;&gt;"",Tournament!L113,"")</f>
        <v/>
      </c>
      <c r="Z73" s="191"/>
      <c r="AA73" s="191" t="str">
        <f>IF(Tournament!J114&lt;&gt;"",Tournament!J114,"")</f>
        <v/>
      </c>
      <c r="AB73" s="194" t="s">
        <v>3088</v>
      </c>
      <c r="AC73" s="191" t="str">
        <f>IF(Tournament!L114&lt;&gt;"",Tournament!L114,"")</f>
        <v/>
      </c>
      <c r="AD73" s="195" t="str">
        <f>IF(AND(I73&lt;&gt;"",K73&lt;&gt;"",R73&lt;&gt;"",T73&lt;&gt;""),IF(AND(I73=R73,K73=T73),Setup!$D$20,IF((I73-K73)=(R73-T73),Setup!$D$21,IF(AND((I73&gt;K73),(R73&gt;T73)),Setup!$D$22,IF(AND((K73&gt;I73),(T73&gt;R73)),Setup!$D$22,0)))),"")</f>
        <v/>
      </c>
      <c r="AE73" s="183"/>
      <c r="CM73" s="168"/>
      <c r="CN73" s="168"/>
      <c r="CO73" s="187"/>
      <c r="CP73" s="168"/>
    </row>
    <row r="74" spans="2:94" s="166" customFormat="1" ht="15" customHeight="1">
      <c r="B74" s="182"/>
      <c r="C74" s="181">
        <v>58</v>
      </c>
      <c r="D74" s="181" t="s">
        <v>3549</v>
      </c>
      <c r="E74" s="188">
        <f>Tournament!T69</f>
        <v>41824.541666666664</v>
      </c>
      <c r="F74" s="189">
        <f>Tournament!U69</f>
        <v>41824.541666666664</v>
      </c>
      <c r="G74" s="190" t="str">
        <f>Tournament!Y69</f>
        <v>Match 53 Winner</v>
      </c>
      <c r="H74" s="180"/>
      <c r="I74" s="9"/>
      <c r="J74" s="191" t="s">
        <v>3088</v>
      </c>
      <c r="K74" s="9"/>
      <c r="L74" s="180"/>
      <c r="M74" s="198" t="str">
        <f>Tournament!AE69</f>
        <v>Match 54 Winner</v>
      </c>
      <c r="N74" s="183"/>
      <c r="P74" s="192" t="str">
        <f t="shared" si="2"/>
        <v>Match 53 Winner</v>
      </c>
      <c r="Q74" s="193"/>
      <c r="R74" s="194" t="str">
        <f>IF($Z$67=0,IF($Z$66=0,IF(Tournament!AA70&lt;&gt;"",Tournament!AA70,""),IF(Tournament!AA70&lt;&gt;"",Tournament!AA70+Tournament!AA71,"")),IF(Tournament!AA69&lt;&gt;"",Tournament!AA69,""))</f>
        <v/>
      </c>
      <c r="S74" s="194" t="s">
        <v>3088</v>
      </c>
      <c r="T74" s="194" t="str">
        <f>IF($Z$67=0,IF($Z$66=0,IF(Tournament!AC70&lt;&gt;"",Tournament!AC70,""),IF(Tournament!AC70&lt;&gt;"",Tournament!AC70+Tournament!AC71,"")),IF(Tournament!AC69&lt;&gt;"",Tournament!AC69,""))</f>
        <v/>
      </c>
      <c r="U74" s="193"/>
      <c r="V74" s="193" t="str">
        <f t="shared" si="3"/>
        <v>Match 54 Winner</v>
      </c>
      <c r="W74" s="191" t="str">
        <f>IF(Tournament!AA71&lt;&gt;"",Tournament!AA71,"")</f>
        <v/>
      </c>
      <c r="X74" s="199" t="s">
        <v>3088</v>
      </c>
      <c r="Y74" s="191" t="str">
        <f>IF(Tournament!AC71&lt;&gt;"",Tournament!AC71,"")</f>
        <v/>
      </c>
      <c r="Z74" s="191"/>
      <c r="AA74" s="191" t="str">
        <f>IF(Tournament!AA72&lt;&gt;"",Tournament!AA72,"")</f>
        <v/>
      </c>
      <c r="AB74" s="194" t="s">
        <v>3088</v>
      </c>
      <c r="AC74" s="191" t="str">
        <f>IF(Tournament!AC72&lt;&gt;"",Tournament!AC72,"")</f>
        <v/>
      </c>
      <c r="AD74" s="195" t="str">
        <f>IF(AND(I74&lt;&gt;"",K74&lt;&gt;"",R74&lt;&gt;"",T74&lt;&gt;""),IF(AND(I74=R74,K74=T74),Setup!$E$20,IF((I74-K74)=(R74-T74),Setup!$E$21,IF(AND((I74&gt;K74),(R74&gt;T74)),Setup!$E$22,IF(AND((K74&gt;I74),(T74&gt;R74)),Setup!$E$22,0)))),"")</f>
        <v/>
      </c>
      <c r="AE74" s="183"/>
      <c r="CM74" s="168"/>
      <c r="CN74" s="168"/>
      <c r="CO74" s="187"/>
      <c r="CP74" s="168"/>
    </row>
    <row r="75" spans="2:94" s="166" customFormat="1" ht="15" customHeight="1">
      <c r="B75" s="182"/>
      <c r="C75" s="181">
        <v>57</v>
      </c>
      <c r="D75" s="181" t="str">
        <f>D74</f>
        <v>QF</v>
      </c>
      <c r="E75" s="188">
        <f>Tournament!T74</f>
        <v>41824.708333333336</v>
      </c>
      <c r="F75" s="189">
        <f>Tournament!U74</f>
        <v>41824.708333333336</v>
      </c>
      <c r="G75" s="190" t="str">
        <f>Tournament!Y74</f>
        <v>Match 49 Winner</v>
      </c>
      <c r="H75" s="180"/>
      <c r="I75" s="9"/>
      <c r="J75" s="191" t="s">
        <v>3088</v>
      </c>
      <c r="K75" s="9"/>
      <c r="L75" s="180"/>
      <c r="M75" s="198" t="str">
        <f>Tournament!AE74</f>
        <v>Match 50 Winner</v>
      </c>
      <c r="N75" s="183"/>
      <c r="P75" s="192" t="str">
        <f t="shared" si="2"/>
        <v>Match 49 Winner</v>
      </c>
      <c r="Q75" s="193"/>
      <c r="R75" s="194" t="str">
        <f>IF($Z$67=0,IF($Z$66=0,IF(Tournament!AA75&lt;&gt;"",Tournament!AA75,""),IF(Tournament!AA75&lt;&gt;"",Tournament!AA75+Tournament!AA76,"")),IF(Tournament!AA74&lt;&gt;"",Tournament!AA74,""))</f>
        <v/>
      </c>
      <c r="S75" s="194" t="s">
        <v>3088</v>
      </c>
      <c r="T75" s="194" t="str">
        <f>IF($Z$67=0,IF($Z$66=0,IF(Tournament!AC75&lt;&gt;"",Tournament!AC75,""),IF(Tournament!AC75&lt;&gt;"",Tournament!AC75+Tournament!AC76,"")),IF(Tournament!AC74&lt;&gt;"",Tournament!AC74,""))</f>
        <v/>
      </c>
      <c r="U75" s="193"/>
      <c r="V75" s="193" t="str">
        <f t="shared" si="3"/>
        <v>Match 50 Winner</v>
      </c>
      <c r="W75" s="191" t="str">
        <f>IF(Tournament!AA76&lt;&gt;"",Tournament!AA76,"")</f>
        <v/>
      </c>
      <c r="X75" s="199" t="s">
        <v>3088</v>
      </c>
      <c r="Y75" s="191" t="str">
        <f>IF(Tournament!AC76&lt;&gt;"",Tournament!AC76,"")</f>
        <v/>
      </c>
      <c r="Z75" s="191"/>
      <c r="AA75" s="191" t="str">
        <f>IF(Tournament!AA77&lt;&gt;"",Tournament!AA77,"")</f>
        <v/>
      </c>
      <c r="AB75" s="194" t="s">
        <v>3088</v>
      </c>
      <c r="AC75" s="191" t="str">
        <f>IF(Tournament!AC77&lt;&gt;"",Tournament!AC77,"")</f>
        <v/>
      </c>
      <c r="AD75" s="195" t="str">
        <f>IF(AND(I75&lt;&gt;"",K75&lt;&gt;"",R75&lt;&gt;"",T75&lt;&gt;""),IF(AND(I75=R75,K75=T75),Setup!$E$20,IF((I75-K75)=(R75-T75),Setup!$E$21,IF(AND((I75&gt;K75),(R75&gt;T75)),Setup!$E$22,IF(AND((K75&gt;I75),(T75&gt;R75)),Setup!$E$22,0)))),"")</f>
        <v/>
      </c>
      <c r="AE75" s="183"/>
      <c r="CM75" s="168"/>
      <c r="CN75" s="168"/>
      <c r="CO75" s="187"/>
      <c r="CP75" s="168"/>
    </row>
    <row r="76" spans="2:94" s="166" customFormat="1" ht="15" customHeight="1">
      <c r="B76" s="182"/>
      <c r="C76" s="181">
        <v>59</v>
      </c>
      <c r="D76" s="181" t="str">
        <f>D75</f>
        <v>QF</v>
      </c>
      <c r="E76" s="188">
        <f>Tournament!T79</f>
        <v>41825.708333333336</v>
      </c>
      <c r="F76" s="189">
        <f>Tournament!U79</f>
        <v>41825.708333333336</v>
      </c>
      <c r="G76" s="190" t="str">
        <f>Tournament!Y79</f>
        <v>Match 51 Winner</v>
      </c>
      <c r="H76" s="180"/>
      <c r="I76" s="9"/>
      <c r="J76" s="191" t="s">
        <v>3088</v>
      </c>
      <c r="K76" s="9"/>
      <c r="L76" s="180"/>
      <c r="M76" s="198" t="str">
        <f>Tournament!AE79</f>
        <v>Match 52 Winner</v>
      </c>
      <c r="N76" s="183"/>
      <c r="P76" s="192" t="str">
        <f t="shared" si="2"/>
        <v>Match 51 Winner</v>
      </c>
      <c r="Q76" s="193"/>
      <c r="R76" s="194" t="str">
        <f>IF($Z$67=0,IF($Z$66=0,IF(Tournament!AA80&lt;&gt;"",Tournament!AA80,""),IF(Tournament!AA80&lt;&gt;"",Tournament!AA80+Tournament!AA81,"")),IF(Tournament!AA79&lt;&gt;"",Tournament!AA79,""))</f>
        <v/>
      </c>
      <c r="S76" s="194" t="s">
        <v>3088</v>
      </c>
      <c r="T76" s="194" t="str">
        <f>IF($Z$67=0,IF($Z$66=0,IF(Tournament!AC80&lt;&gt;"",Tournament!AC80,""),IF(Tournament!AC80&lt;&gt;"",Tournament!AC80+Tournament!AC81,"")),IF(Tournament!AC79&lt;&gt;"",Tournament!AC79,""))</f>
        <v/>
      </c>
      <c r="U76" s="193"/>
      <c r="V76" s="193" t="str">
        <f t="shared" si="3"/>
        <v>Match 52 Winner</v>
      </c>
      <c r="W76" s="191" t="str">
        <f>IF(Tournament!AA81&lt;&gt;"",Tournament!AA81,"")</f>
        <v/>
      </c>
      <c r="X76" s="199" t="s">
        <v>3088</v>
      </c>
      <c r="Y76" s="191" t="str">
        <f>IF(Tournament!AC81&lt;&gt;"",Tournament!AC81,"")</f>
        <v/>
      </c>
      <c r="Z76" s="191"/>
      <c r="AA76" s="191" t="str">
        <f>IF(Tournament!AA82&lt;&gt;"",Tournament!AA82,"")</f>
        <v/>
      </c>
      <c r="AB76" s="194" t="s">
        <v>3088</v>
      </c>
      <c r="AC76" s="191" t="str">
        <f>IF(Tournament!AC82&lt;&gt;"",Tournament!AC82,"")</f>
        <v/>
      </c>
      <c r="AD76" s="195" t="str">
        <f>IF(AND(I76&lt;&gt;"",K76&lt;&gt;"",R76&lt;&gt;"",T76&lt;&gt;""),IF(AND(I76=R76,K76=T76),Setup!$E$20,IF((I76-K76)=(R76-T76),Setup!$E$21,IF(AND((I76&gt;K76),(R76&gt;T76)),Setup!$E$22,IF(AND((K76&gt;I76),(T76&gt;R76)),Setup!$E$22,0)))),"")</f>
        <v/>
      </c>
      <c r="AE76" s="183"/>
      <c r="CM76" s="168"/>
      <c r="CN76" s="168"/>
      <c r="CO76" s="187"/>
      <c r="CP76" s="168"/>
    </row>
    <row r="77" spans="2:94" s="166" customFormat="1" ht="15" customHeight="1">
      <c r="B77" s="182"/>
      <c r="C77" s="181">
        <v>60</v>
      </c>
      <c r="D77" s="181" t="str">
        <f>D76</f>
        <v>QF</v>
      </c>
      <c r="E77" s="188">
        <f>Tournament!T84</f>
        <v>41825.541666666664</v>
      </c>
      <c r="F77" s="189">
        <f>Tournament!U84</f>
        <v>41825.541666666664</v>
      </c>
      <c r="G77" s="190" t="str">
        <f>Tournament!Y84</f>
        <v>Match 55 Winner</v>
      </c>
      <c r="H77" s="180"/>
      <c r="I77" s="9"/>
      <c r="J77" s="191" t="s">
        <v>3088</v>
      </c>
      <c r="K77" s="9"/>
      <c r="L77" s="180"/>
      <c r="M77" s="198" t="str">
        <f>Tournament!AE84</f>
        <v>Match 56 Winner</v>
      </c>
      <c r="N77" s="183"/>
      <c r="P77" s="192" t="str">
        <f t="shared" si="2"/>
        <v>Match 55 Winner</v>
      </c>
      <c r="Q77" s="193"/>
      <c r="R77" s="194" t="str">
        <f>IF($Z$67=0,IF($Z$66=0,IF(Tournament!AA85&lt;&gt;"",Tournament!AA85,""),IF(Tournament!AA85&lt;&gt;"",Tournament!AA85+Tournament!AA86,"")),IF(Tournament!AA84&lt;&gt;"",Tournament!AA84,""))</f>
        <v/>
      </c>
      <c r="S77" s="194" t="s">
        <v>3088</v>
      </c>
      <c r="T77" s="194" t="str">
        <f>IF($Z$67=0,IF($Z$66=0,IF(Tournament!AC85&lt;&gt;"",Tournament!AC85,""),IF(Tournament!AC85&lt;&gt;"",Tournament!AC85+Tournament!AC86,"")),IF(Tournament!AC84&lt;&gt;"",Tournament!AC84,""))</f>
        <v/>
      </c>
      <c r="U77" s="193"/>
      <c r="V77" s="193" t="str">
        <f t="shared" si="3"/>
        <v>Match 56 Winner</v>
      </c>
      <c r="W77" s="191" t="str">
        <f>IF(Tournament!AA86&lt;&gt;"",Tournament!AA86,"")</f>
        <v/>
      </c>
      <c r="X77" s="199" t="s">
        <v>3088</v>
      </c>
      <c r="Y77" s="191" t="str">
        <f>IF(Tournament!AC86&lt;&gt;"",Tournament!AC86,"")</f>
        <v/>
      </c>
      <c r="Z77" s="191"/>
      <c r="AA77" s="191" t="str">
        <f>IF(Tournament!AA87&lt;&gt;"",Tournament!AA87,"")</f>
        <v/>
      </c>
      <c r="AB77" s="194" t="s">
        <v>3088</v>
      </c>
      <c r="AC77" s="191" t="str">
        <f>IF(Tournament!AC87&lt;&gt;"",Tournament!AC87,"")</f>
        <v/>
      </c>
      <c r="AD77" s="195" t="str">
        <f>IF(AND(I77&lt;&gt;"",K77&lt;&gt;"",R77&lt;&gt;"",T77&lt;&gt;""),IF(AND(I77=R77,K77=T77),Setup!$E$20,IF((I77-K77)=(R77-T77),Setup!$E$21,IF(AND((I77&gt;K77),(R77&gt;T77)),Setup!$E$22,IF(AND((K77&gt;I77),(T77&gt;R77)),Setup!$E$22,0)))),"")</f>
        <v/>
      </c>
      <c r="AE77" s="183"/>
      <c r="CM77" s="168"/>
      <c r="CN77" s="168"/>
      <c r="CO77" s="187"/>
      <c r="CP77" s="168"/>
    </row>
    <row r="78" spans="2:94" s="166" customFormat="1" ht="15" customHeight="1">
      <c r="B78" s="182"/>
      <c r="C78" s="181">
        <v>61</v>
      </c>
      <c r="D78" s="181" t="s">
        <v>3550</v>
      </c>
      <c r="E78" s="188">
        <f>Tournament!T92</f>
        <v>41828.708333333336</v>
      </c>
      <c r="F78" s="189">
        <f>Tournament!U92</f>
        <v>41828.708333333336</v>
      </c>
      <c r="G78" s="190" t="str">
        <f>Tournament!Y92</f>
        <v>Match 57 Winner</v>
      </c>
      <c r="H78" s="180"/>
      <c r="I78" s="9"/>
      <c r="J78" s="191" t="s">
        <v>3088</v>
      </c>
      <c r="K78" s="9"/>
      <c r="L78" s="180"/>
      <c r="M78" s="198" t="str">
        <f>Tournament!AE92</f>
        <v>Match 58 Winner</v>
      </c>
      <c r="N78" s="183"/>
      <c r="P78" s="192" t="str">
        <f t="shared" si="2"/>
        <v>Match 57 Winner</v>
      </c>
      <c r="Q78" s="193"/>
      <c r="R78" s="194" t="str">
        <f>IF($Z$67=0,IF($Z$66=0,IF(Tournament!AA93&lt;&gt;"",Tournament!AA93,""),IF(Tournament!AA93&lt;&gt;"",Tournament!AA93+Tournament!AA94,"")),IF(Tournament!AA92&lt;&gt;"",Tournament!AA92,""))</f>
        <v/>
      </c>
      <c r="S78" s="194" t="s">
        <v>3088</v>
      </c>
      <c r="T78" s="194" t="str">
        <f>IF($Z$67=0,IF($Z$66=0,IF(Tournament!AC93&lt;&gt;"",Tournament!AC93,""),IF(Tournament!AC93&lt;&gt;"",Tournament!AC93+Tournament!AC94,"")),IF(Tournament!AC92&lt;&gt;"",Tournament!AC92,""))</f>
        <v/>
      </c>
      <c r="U78" s="193"/>
      <c r="V78" s="193" t="str">
        <f t="shared" si="3"/>
        <v>Match 58 Winner</v>
      </c>
      <c r="W78" s="191" t="str">
        <f>IF(Tournament!AA94&lt;&gt;"",Tournament!AA94,"")</f>
        <v/>
      </c>
      <c r="X78" s="199" t="s">
        <v>3088</v>
      </c>
      <c r="Y78" s="191" t="str">
        <f>IF(Tournament!AC94&lt;&gt;"",Tournament!AC94,"")</f>
        <v/>
      </c>
      <c r="Z78" s="191"/>
      <c r="AA78" s="191" t="str">
        <f>IF(Tournament!AA95&lt;&gt;"",Tournament!AA95,"")</f>
        <v/>
      </c>
      <c r="AB78" s="194" t="s">
        <v>3088</v>
      </c>
      <c r="AC78" s="191" t="str">
        <f>IF(Tournament!AC95&lt;&gt;"",Tournament!AC95,"")</f>
        <v/>
      </c>
      <c r="AD78" s="195" t="str">
        <f>IF(AND(I78&lt;&gt;"",K78&lt;&gt;"",R78&lt;&gt;"",T78&lt;&gt;""),IF(AND(I78=R78,K78=T78),Setup!$F$20,IF((I78-K78)=(R78-T78),Setup!$F$21,IF(AND((I78&gt;K78),(R78&gt;T78)),Setup!$F$22,IF(AND((K78&gt;I78),(T78&gt;R78)),Setup!$F$22,0)))),"")</f>
        <v/>
      </c>
      <c r="AE78" s="183"/>
      <c r="CM78" s="168"/>
      <c r="CN78" s="168"/>
      <c r="CO78" s="187"/>
      <c r="CP78" s="168"/>
    </row>
    <row r="79" spans="2:94" s="166" customFormat="1" ht="15" customHeight="1">
      <c r="B79" s="182"/>
      <c r="C79" s="181">
        <v>62</v>
      </c>
      <c r="D79" s="181" t="str">
        <f>D78</f>
        <v>SF</v>
      </c>
      <c r="E79" s="188">
        <f>Tournament!T97</f>
        <v>41829.708333333336</v>
      </c>
      <c r="F79" s="189">
        <f>Tournament!U97</f>
        <v>41829.708333333336</v>
      </c>
      <c r="G79" s="190" t="str">
        <f>Tournament!Y97</f>
        <v>Match 59 Winner</v>
      </c>
      <c r="H79" s="180"/>
      <c r="I79" s="9"/>
      <c r="J79" s="191" t="s">
        <v>3088</v>
      </c>
      <c r="K79" s="9"/>
      <c r="L79" s="180"/>
      <c r="M79" s="198" t="str">
        <f>Tournament!AE97</f>
        <v>Match 60 Winner</v>
      </c>
      <c r="N79" s="183"/>
      <c r="P79" s="192" t="str">
        <f t="shared" si="2"/>
        <v>Match 59 Winner</v>
      </c>
      <c r="Q79" s="193"/>
      <c r="R79" s="194" t="str">
        <f>IF($Z$67=0,IF($Z$66=0,IF(Tournament!AA98&lt;&gt;"",Tournament!AA98,""),IF(Tournament!AA98&lt;&gt;"",Tournament!AA98+Tournament!AA99,"")),IF(Tournament!AA97&lt;&gt;"",Tournament!AA97,""))</f>
        <v/>
      </c>
      <c r="S79" s="194" t="s">
        <v>3088</v>
      </c>
      <c r="T79" s="194" t="str">
        <f>IF($Z$67=0,IF($Z$66=0,IF(Tournament!AC98&lt;&gt;"",Tournament!AC98,""),IF(Tournament!AC98&lt;&gt;"",Tournament!AC98+Tournament!AC99,"")),IF(Tournament!AC97&lt;&gt;"",Tournament!AC97,""))</f>
        <v/>
      </c>
      <c r="U79" s="193"/>
      <c r="V79" s="193" t="str">
        <f t="shared" si="3"/>
        <v>Match 60 Winner</v>
      </c>
      <c r="W79" s="191" t="str">
        <f>IF(Tournament!AA99&lt;&gt;"",Tournament!AA99,"")</f>
        <v/>
      </c>
      <c r="X79" s="199" t="s">
        <v>3088</v>
      </c>
      <c r="Y79" s="191" t="str">
        <f>IF(Tournament!AC99&lt;&gt;"",Tournament!AC99,"")</f>
        <v/>
      </c>
      <c r="Z79" s="191"/>
      <c r="AA79" s="191" t="str">
        <f>IF(Tournament!AA100&lt;&gt;"",Tournament!AA100,"")</f>
        <v/>
      </c>
      <c r="AB79" s="194" t="s">
        <v>3088</v>
      </c>
      <c r="AC79" s="191" t="str">
        <f>IF(Tournament!AC100&lt;&gt;"",Tournament!AC100,"")</f>
        <v/>
      </c>
      <c r="AD79" s="195" t="str">
        <f>IF(AND(I79&lt;&gt;"",K79&lt;&gt;"",R79&lt;&gt;"",T79&lt;&gt;""),IF(AND(I79=R79,K79=T79),Setup!$F$20,IF((I79-K79)=(R79-T79),Setup!$F$21,IF(AND((I79&gt;K79),(R79&gt;T79)),Setup!$F$22,IF(AND((K79&gt;I79),(T79&gt;R79)),Setup!$F$22,0)))),"")</f>
        <v/>
      </c>
      <c r="AE79" s="183"/>
      <c r="CM79" s="168"/>
      <c r="CN79" s="168"/>
      <c r="CO79" s="187"/>
      <c r="CP79" s="168"/>
    </row>
    <row r="80" spans="2:94" s="166" customFormat="1" ht="15" customHeight="1">
      <c r="B80" s="182"/>
      <c r="C80" s="181">
        <v>63</v>
      </c>
      <c r="D80" s="181" t="s">
        <v>3551</v>
      </c>
      <c r="E80" s="188">
        <f>Tournament!T105</f>
        <v>41832.708333333336</v>
      </c>
      <c r="F80" s="189">
        <f>Tournament!U105</f>
        <v>41832.708333333336</v>
      </c>
      <c r="G80" s="190" t="str">
        <f>Tournament!Y105</f>
        <v>Match 61 Loser</v>
      </c>
      <c r="H80" s="180"/>
      <c r="I80" s="9"/>
      <c r="J80" s="191" t="s">
        <v>3088</v>
      </c>
      <c r="K80" s="9"/>
      <c r="L80" s="180"/>
      <c r="M80" s="198" t="str">
        <f>Tournament!AE105</f>
        <v>Match 62 Loser</v>
      </c>
      <c r="N80" s="183"/>
      <c r="P80" s="192" t="str">
        <f t="shared" si="2"/>
        <v>Match 61 Loser</v>
      </c>
      <c r="Q80" s="193"/>
      <c r="R80" s="194" t="str">
        <f>IF($Z$67=0,IF($Z$66=0,IF(Tournament!AA106&lt;&gt;"",Tournament!AA106,""),IF(Tournament!AA106&lt;&gt;"",Tournament!AA106+Tournament!AA107,"")),IF(Tournament!AA105&lt;&gt;"",Tournament!AA105,""))</f>
        <v/>
      </c>
      <c r="S80" s="194" t="s">
        <v>3088</v>
      </c>
      <c r="T80" s="194" t="str">
        <f>IF($Z$67=0,IF($Z$66=0,IF(Tournament!AC106&lt;&gt;"",Tournament!AC106,""),IF(Tournament!AC106&lt;&gt;"",Tournament!AC106+Tournament!AC107,"")),IF(Tournament!AC105&lt;&gt;"",Tournament!AC105,""))</f>
        <v/>
      </c>
      <c r="U80" s="193"/>
      <c r="V80" s="193" t="str">
        <f t="shared" si="3"/>
        <v>Match 62 Loser</v>
      </c>
      <c r="W80" s="191" t="str">
        <f>IF(Tournament!AA107&lt;&gt;"",Tournament!AA107,"")</f>
        <v/>
      </c>
      <c r="X80" s="199" t="s">
        <v>3088</v>
      </c>
      <c r="Y80" s="191" t="str">
        <f>IF(Tournament!AC107&lt;&gt;"",Tournament!AC107,"")</f>
        <v/>
      </c>
      <c r="Z80" s="191"/>
      <c r="AA80" s="191" t="str">
        <f>IF(Tournament!AA108&lt;&gt;"",Tournament!AA108,"")</f>
        <v/>
      </c>
      <c r="AB80" s="194" t="s">
        <v>3088</v>
      </c>
      <c r="AC80" s="191" t="str">
        <f>IF(Tournament!AC108&lt;&gt;"",Tournament!AC108,"")</f>
        <v/>
      </c>
      <c r="AD80" s="195" t="str">
        <f>IF(AND(I80&lt;&gt;"",K80&lt;&gt;"",R80&lt;&gt;"",T80&lt;&gt;""),IF(AND(I80=R80,K80=T80),Setup!$G$20,IF((I80-K80)=(R80-T80),Setup!$G$21,IF(AND((I80&gt;K80),(R80&gt;T80)),Setup!$G$22,IF(AND((K80&gt;I80),(T80&gt;R80)),Setup!$G$22,0)))),"")</f>
        <v/>
      </c>
      <c r="AE80" s="183"/>
      <c r="CM80" s="168"/>
      <c r="CN80" s="168"/>
      <c r="CO80" s="187"/>
      <c r="CP80" s="168"/>
    </row>
    <row r="81" spans="2:94" s="166" customFormat="1" ht="15" customHeight="1">
      <c r="B81" s="182"/>
      <c r="C81" s="181">
        <v>64</v>
      </c>
      <c r="D81" s="181" t="s">
        <v>3105</v>
      </c>
      <c r="E81" s="188">
        <f>Tournament!T113</f>
        <v>41833.666666666664</v>
      </c>
      <c r="F81" s="189">
        <f>Tournament!U113</f>
        <v>41833.666666666664</v>
      </c>
      <c r="G81" s="190" t="str">
        <f>Tournament!Y113</f>
        <v>Match 61 Winner</v>
      </c>
      <c r="H81" s="180"/>
      <c r="I81" s="9"/>
      <c r="J81" s="191" t="s">
        <v>3088</v>
      </c>
      <c r="K81" s="9"/>
      <c r="L81" s="180"/>
      <c r="M81" s="198" t="str">
        <f>Tournament!AE113</f>
        <v>Match 62 Winner</v>
      </c>
      <c r="N81" s="183"/>
      <c r="P81" s="192" t="str">
        <f t="shared" si="2"/>
        <v>Match 61 Winner</v>
      </c>
      <c r="Q81" s="193"/>
      <c r="R81" s="194" t="str">
        <f>IF($Z$67=0,IF($Z$66=0,IF(Tournament!AA114&lt;&gt;"",Tournament!AA114,""),IF(Tournament!AA114&lt;&gt;"",Tournament!AA114+Tournament!AA115,"")),IF(Tournament!AA113&lt;&gt;"",Tournament!AA113,""))</f>
        <v/>
      </c>
      <c r="S81" s="194" t="s">
        <v>3088</v>
      </c>
      <c r="T81" s="194" t="str">
        <f>IF($Z$67=0,IF($Z$66=0,IF(Tournament!AC114&lt;&gt;"",Tournament!AC114,""),IF(Tournament!AC114&lt;&gt;"",Tournament!AC114+Tournament!AC115,"")),IF(Tournament!AC113&lt;&gt;"",Tournament!AC113,""))</f>
        <v/>
      </c>
      <c r="U81" s="193"/>
      <c r="V81" s="193" t="str">
        <f t="shared" si="3"/>
        <v>Match 62 Winner</v>
      </c>
      <c r="W81" s="191" t="str">
        <f>IF(Tournament!AA115&lt;&gt;"",Tournament!AA115,"")</f>
        <v/>
      </c>
      <c r="X81" s="199" t="s">
        <v>3088</v>
      </c>
      <c r="Y81" s="191" t="str">
        <f>IF(Tournament!AC115&lt;&gt;"",Tournament!AC115,"")</f>
        <v/>
      </c>
      <c r="Z81" s="191"/>
      <c r="AA81" s="191" t="str">
        <f>IF(Tournament!AA116&lt;&gt;"",Tournament!AA116,"")</f>
        <v/>
      </c>
      <c r="AB81" s="194" t="s">
        <v>3088</v>
      </c>
      <c r="AC81" s="191" t="str">
        <f>IF(Tournament!AC116&lt;&gt;"",Tournament!AC116,"")</f>
        <v/>
      </c>
      <c r="AD81" s="195" t="str">
        <f>IF(AND(I81&lt;&gt;"",K81&lt;&gt;"",R81&lt;&gt;"",T81&lt;&gt;""),IF(AND(I81=R81,K81=T81),Setup!$H$20,IF((I81-K81)=(R81-T81),Setup!$H$21,IF(AND((I81&gt;K81),(R81&gt;T81)),Setup!$H$22,IF(AND((K81&gt;I81),(T81&gt;R81)),Setup!$H$22,0)))),"")</f>
        <v/>
      </c>
      <c r="AE81" s="183"/>
      <c r="CM81" s="168"/>
      <c r="CN81" s="168"/>
      <c r="CO81" s="187"/>
      <c r="CP81" s="168"/>
    </row>
    <row r="82" spans="2:94" s="166" customFormat="1" ht="15" customHeight="1">
      <c r="B82" s="200"/>
      <c r="C82" s="201"/>
      <c r="D82" s="201"/>
      <c r="E82" s="201"/>
      <c r="F82" s="201"/>
      <c r="G82" s="201"/>
      <c r="H82" s="201"/>
      <c r="I82" s="201"/>
      <c r="J82" s="202"/>
      <c r="K82" s="201"/>
      <c r="L82" s="201"/>
      <c r="M82" s="201"/>
      <c r="N82" s="203"/>
      <c r="P82" s="200"/>
      <c r="Q82" s="201"/>
      <c r="R82" s="201"/>
      <c r="S82" s="202"/>
      <c r="T82" s="201"/>
      <c r="U82" s="201"/>
      <c r="V82" s="201"/>
      <c r="W82" s="201"/>
      <c r="X82" s="202"/>
      <c r="Y82" s="201"/>
      <c r="Z82" s="201"/>
      <c r="AA82" s="201"/>
      <c r="AB82" s="202"/>
      <c r="AC82" s="201"/>
      <c r="AD82" s="202"/>
      <c r="AE82" s="203"/>
      <c r="CM82" s="168"/>
      <c r="CN82" s="168"/>
      <c r="CO82" s="187"/>
      <c r="CP82" s="168"/>
    </row>
    <row r="83" spans="2:94" s="166" customFormat="1" ht="15" customHeight="1">
      <c r="B83" s="166" t="s">
        <v>3905</v>
      </c>
      <c r="N83" s="180"/>
      <c r="AD83" s="167"/>
      <c r="CM83" s="168"/>
      <c r="CN83" s="168"/>
      <c r="CO83" s="187"/>
      <c r="CP83" s="168"/>
    </row>
    <row r="84" spans="2:94" s="166" customFormat="1" ht="15" hidden="1" customHeight="1">
      <c r="N84" s="180"/>
      <c r="AD84" s="167"/>
      <c r="CM84" s="168"/>
      <c r="CN84" s="168"/>
      <c r="CO84" s="187"/>
      <c r="CP84" s="168"/>
    </row>
    <row r="85" spans="2:94" s="166" customFormat="1" ht="15" hidden="1" customHeight="1">
      <c r="N85" s="180"/>
      <c r="AD85" s="167"/>
      <c r="CM85" s="168"/>
      <c r="CN85" s="168"/>
      <c r="CO85" s="187"/>
      <c r="CP85" s="168"/>
    </row>
    <row r="86" spans="2:94" s="166" customFormat="1" ht="15" hidden="1" customHeight="1">
      <c r="N86" s="180"/>
      <c r="AD86" s="167"/>
      <c r="CM86" s="168"/>
      <c r="CN86" s="168"/>
      <c r="CO86" s="187"/>
      <c r="CP86" s="168"/>
    </row>
    <row r="87" spans="2:94" s="166" customFormat="1" ht="15" hidden="1" customHeight="1">
      <c r="N87" s="180"/>
      <c r="AD87" s="167"/>
      <c r="CM87" s="168"/>
      <c r="CN87" s="168"/>
      <c r="CO87" s="187"/>
      <c r="CP87" s="168"/>
    </row>
    <row r="88" spans="2:94" s="166" customFormat="1" ht="15" hidden="1" customHeight="1">
      <c r="N88" s="180"/>
      <c r="AD88" s="167"/>
      <c r="CM88" s="168"/>
      <c r="CN88" s="168"/>
      <c r="CO88" s="187"/>
      <c r="CP88" s="168"/>
    </row>
    <row r="89" spans="2:94" s="166" customFormat="1" ht="15" hidden="1" customHeight="1">
      <c r="N89" s="180"/>
      <c r="AD89" s="167"/>
      <c r="CM89" s="168"/>
      <c r="CN89" s="168"/>
      <c r="CO89" s="187"/>
      <c r="CP89" s="168"/>
    </row>
    <row r="90" spans="2:94" s="166" customFormat="1" ht="15" hidden="1" customHeight="1">
      <c r="N90" s="180"/>
      <c r="AD90" s="167"/>
      <c r="CM90" s="168"/>
      <c r="CN90" s="168"/>
      <c r="CO90" s="187"/>
      <c r="CP90" s="168"/>
    </row>
    <row r="91" spans="2:94" s="166" customFormat="1" ht="15" hidden="1" customHeight="1">
      <c r="N91" s="180"/>
      <c r="AD91" s="167"/>
      <c r="CM91" s="168"/>
      <c r="CN91" s="168"/>
      <c r="CO91" s="187"/>
      <c r="CP91" s="168"/>
    </row>
    <row r="92" spans="2:94" s="166" customFormat="1" ht="15" hidden="1" customHeight="1">
      <c r="N92" s="180"/>
      <c r="AD92" s="167"/>
      <c r="CM92" s="168"/>
      <c r="CN92" s="168"/>
      <c r="CO92" s="187"/>
      <c r="CP92" s="168"/>
    </row>
    <row r="93" spans="2:94" s="166" customFormat="1" ht="15" hidden="1" customHeight="1">
      <c r="N93" s="180"/>
      <c r="AD93" s="167"/>
      <c r="CM93" s="168"/>
      <c r="CN93" s="168"/>
      <c r="CO93" s="187"/>
      <c r="CP93" s="168"/>
    </row>
    <row r="94" spans="2:94" s="166" customFormat="1" ht="15" hidden="1" customHeight="1">
      <c r="N94" s="180"/>
      <c r="AD94" s="167"/>
      <c r="CM94" s="168"/>
      <c r="CN94" s="168"/>
      <c r="CO94" s="187"/>
      <c r="CP94" s="168"/>
    </row>
    <row r="95" spans="2:94" s="166" customFormat="1" ht="15" hidden="1" customHeight="1">
      <c r="N95" s="180"/>
      <c r="AD95" s="167"/>
      <c r="CM95" s="168"/>
      <c r="CN95" s="168"/>
      <c r="CO95" s="187"/>
      <c r="CP95" s="168"/>
    </row>
    <row r="96" spans="2:94" s="166" customFormat="1" ht="15" hidden="1" customHeight="1">
      <c r="N96" s="180"/>
      <c r="AD96" s="167"/>
      <c r="CM96" s="168"/>
      <c r="CN96" s="168"/>
      <c r="CO96" s="187"/>
      <c r="CP96" s="168"/>
    </row>
    <row r="97" spans="14:94" s="166" customFormat="1" ht="15" hidden="1" customHeight="1">
      <c r="N97" s="180"/>
      <c r="AD97" s="167"/>
      <c r="CM97" s="168"/>
      <c r="CN97" s="168"/>
      <c r="CO97" s="187"/>
      <c r="CP97" s="168"/>
    </row>
    <row r="98" spans="14:94" s="166" customFormat="1" ht="15" hidden="1" customHeight="1">
      <c r="N98" s="180"/>
      <c r="AD98" s="167"/>
      <c r="CM98" s="168"/>
      <c r="CN98" s="168"/>
      <c r="CO98" s="187"/>
      <c r="CP98" s="168"/>
    </row>
    <row r="99" spans="14:94" s="166" customFormat="1" ht="15" hidden="1" customHeight="1">
      <c r="N99" s="180"/>
      <c r="AD99" s="167"/>
      <c r="CM99" s="168"/>
      <c r="CN99" s="168"/>
      <c r="CO99" s="187"/>
      <c r="CP99" s="168"/>
    </row>
    <row r="100" spans="14:94" s="166" customFormat="1" ht="15" hidden="1" customHeight="1">
      <c r="N100" s="180"/>
      <c r="AD100" s="167"/>
      <c r="CM100" s="168"/>
      <c r="CN100" s="168"/>
      <c r="CO100" s="187"/>
      <c r="CP100" s="168"/>
    </row>
    <row r="101" spans="14:94" s="166" customFormat="1" ht="15" hidden="1" customHeight="1">
      <c r="N101" s="180"/>
      <c r="AD101" s="167"/>
      <c r="CM101" s="168"/>
      <c r="CN101" s="168"/>
      <c r="CO101" s="187"/>
      <c r="CP101" s="168"/>
    </row>
    <row r="102" spans="14:94" s="166" customFormat="1" ht="15" hidden="1" customHeight="1">
      <c r="N102" s="180"/>
      <c r="AD102" s="167"/>
      <c r="CM102" s="168"/>
      <c r="CN102" s="168"/>
      <c r="CO102" s="187"/>
      <c r="CP102" s="168"/>
    </row>
    <row r="103" spans="14:94" s="166" customFormat="1" ht="15" hidden="1" customHeight="1">
      <c r="N103" s="180"/>
      <c r="AD103" s="167"/>
      <c r="CM103" s="168"/>
      <c r="CN103" s="168"/>
      <c r="CO103" s="187"/>
      <c r="CP103" s="168"/>
    </row>
    <row r="104" spans="14:94" s="166" customFormat="1" ht="15" hidden="1" customHeight="1">
      <c r="N104" s="180"/>
      <c r="AD104" s="167"/>
      <c r="CM104" s="168"/>
      <c r="CN104" s="168"/>
      <c r="CO104" s="187"/>
      <c r="CP104" s="168"/>
    </row>
    <row r="105" spans="14:94" s="166" customFormat="1" ht="15" hidden="1" customHeight="1">
      <c r="N105" s="180"/>
      <c r="AD105" s="167"/>
      <c r="CM105" s="168"/>
      <c r="CN105" s="168"/>
      <c r="CO105" s="187"/>
      <c r="CP105" s="168"/>
    </row>
    <row r="106" spans="14:94" s="166" customFormat="1" ht="15" hidden="1" customHeight="1">
      <c r="N106" s="180"/>
      <c r="AD106" s="167"/>
      <c r="CM106" s="168"/>
      <c r="CN106" s="168"/>
      <c r="CO106" s="187"/>
      <c r="CP106" s="168"/>
    </row>
    <row r="107" spans="14:94" s="166" customFormat="1" ht="15" hidden="1" customHeight="1">
      <c r="N107" s="180"/>
      <c r="AD107" s="167"/>
      <c r="CM107" s="168"/>
      <c r="CN107" s="168"/>
      <c r="CO107" s="187"/>
      <c r="CP107" s="168"/>
    </row>
    <row r="108" spans="14:94" s="166" customFormat="1" ht="15" hidden="1" customHeight="1">
      <c r="N108" s="180"/>
      <c r="AD108" s="167"/>
      <c r="CM108" s="168"/>
      <c r="CN108" s="168"/>
      <c r="CO108" s="187"/>
      <c r="CP108" s="168"/>
    </row>
    <row r="109" spans="14:94" s="166" customFormat="1" ht="15" hidden="1" customHeight="1">
      <c r="N109" s="180"/>
      <c r="AD109" s="167"/>
      <c r="CM109" s="168"/>
      <c r="CN109" s="168"/>
      <c r="CO109" s="187"/>
      <c r="CP109" s="168"/>
    </row>
    <row r="110" spans="14:94" s="166" customFormat="1" ht="15" hidden="1" customHeight="1">
      <c r="N110" s="180"/>
      <c r="AD110" s="167"/>
      <c r="CM110" s="168"/>
      <c r="CN110" s="168"/>
      <c r="CO110" s="187"/>
      <c r="CP110" s="168"/>
    </row>
    <row r="111" spans="14:94" s="166" customFormat="1" ht="15" hidden="1" customHeight="1">
      <c r="N111" s="180"/>
      <c r="AD111" s="167"/>
      <c r="CM111" s="168"/>
      <c r="CN111" s="168"/>
      <c r="CO111" s="187"/>
      <c r="CP111" s="168"/>
    </row>
    <row r="112" spans="14:94" s="166" customFormat="1" ht="15" hidden="1" customHeight="1">
      <c r="N112" s="180"/>
      <c r="AD112" s="167"/>
      <c r="CM112" s="168"/>
      <c r="CN112" s="168"/>
      <c r="CO112" s="187"/>
      <c r="CP112" s="168"/>
    </row>
    <row r="113" spans="2:94" s="166" customFormat="1" ht="15" hidden="1" customHeight="1">
      <c r="N113" s="180"/>
      <c r="AD113" s="167"/>
      <c r="CM113" s="168"/>
      <c r="CN113" s="168"/>
      <c r="CO113" s="187"/>
      <c r="CP113" s="168"/>
    </row>
    <row r="114" spans="2:94" s="166" customFormat="1" ht="15" hidden="1" customHeight="1">
      <c r="N114" s="180"/>
      <c r="AD114" s="167"/>
      <c r="CM114" s="168"/>
      <c r="CN114" s="168"/>
      <c r="CO114" s="187"/>
      <c r="CP114" s="168"/>
    </row>
    <row r="115" spans="2:94" s="166" customFormat="1" ht="15" hidden="1" customHeight="1">
      <c r="N115" s="180"/>
      <c r="AD115" s="167"/>
      <c r="CM115" s="168"/>
      <c r="CN115" s="168"/>
      <c r="CO115" s="187"/>
      <c r="CP115" s="168"/>
    </row>
    <row r="116" spans="2:94" s="166" customFormat="1" ht="15" hidden="1" customHeight="1">
      <c r="N116" s="180"/>
      <c r="AD116" s="167"/>
      <c r="CM116" s="168"/>
      <c r="CN116" s="168"/>
      <c r="CO116" s="187"/>
      <c r="CP116" s="168"/>
    </row>
    <row r="117" spans="2:94" s="166" customFormat="1" ht="15" hidden="1" customHeight="1">
      <c r="N117" s="180"/>
      <c r="AD117" s="167"/>
      <c r="CM117" s="168"/>
      <c r="CN117" s="168"/>
      <c r="CO117" s="187"/>
      <c r="CP117" s="168"/>
    </row>
    <row r="118" spans="2:94" s="166" customFormat="1" ht="15" hidden="1" customHeight="1">
      <c r="N118" s="180"/>
      <c r="AD118" s="167"/>
      <c r="CM118" s="168"/>
      <c r="CN118" s="168"/>
      <c r="CO118" s="187"/>
      <c r="CP118" s="168"/>
    </row>
    <row r="119" spans="2:94" s="166" customFormat="1" ht="15" hidden="1" customHeight="1">
      <c r="N119" s="180"/>
      <c r="AD119" s="167"/>
      <c r="CM119" s="168"/>
      <c r="CN119" s="168"/>
      <c r="CO119" s="187"/>
      <c r="CP119" s="168"/>
    </row>
    <row r="120" spans="2:94" s="166" customFormat="1" ht="15" hidden="1" customHeight="1">
      <c r="N120" s="180"/>
      <c r="AD120" s="167"/>
      <c r="CM120" s="168"/>
      <c r="CN120" s="168"/>
      <c r="CO120" s="187" t="s">
        <v>1404</v>
      </c>
      <c r="CP120" s="168"/>
    </row>
    <row r="121" spans="2:94" s="166" customFormat="1" ht="15" hidden="1" customHeight="1">
      <c r="N121" s="180"/>
      <c r="AD121" s="167"/>
      <c r="CM121" s="168"/>
      <c r="CN121" s="168"/>
      <c r="CO121" s="187" t="s">
        <v>1405</v>
      </c>
      <c r="CP121" s="168"/>
    </row>
    <row r="122" spans="2:94" s="166" customFormat="1" ht="15" hidden="1" customHeight="1">
      <c r="N122" s="180"/>
      <c r="AD122" s="167"/>
      <c r="CM122" s="168"/>
      <c r="CN122" s="168"/>
      <c r="CO122" s="187" t="s">
        <v>1406</v>
      </c>
      <c r="CP122" s="168"/>
    </row>
    <row r="123" spans="2:94" s="166" customFormat="1" ht="15" hidden="1" customHeight="1">
      <c r="N123" s="180"/>
      <c r="AD123" s="167"/>
      <c r="CM123" s="168"/>
      <c r="CN123" s="168"/>
      <c r="CO123" s="187" t="s">
        <v>1407</v>
      </c>
      <c r="CP123" s="168"/>
    </row>
    <row r="124" spans="2:94" s="166" customFormat="1" ht="15" hidden="1" customHeight="1">
      <c r="N124" s="180"/>
      <c r="AD124" s="167"/>
      <c r="CM124" s="168"/>
      <c r="CN124" s="168"/>
      <c r="CO124" s="187" t="s">
        <v>1408</v>
      </c>
      <c r="CP124" s="168"/>
    </row>
    <row r="125" spans="2:94" s="166" customFormat="1" ht="15" hidden="1" customHeight="1">
      <c r="B125" s="180"/>
      <c r="C125" s="180"/>
      <c r="D125" s="180"/>
      <c r="E125" s="180"/>
      <c r="F125" s="180"/>
      <c r="G125" s="180"/>
      <c r="H125" s="180"/>
      <c r="I125" s="180"/>
      <c r="J125" s="181"/>
      <c r="K125" s="180"/>
      <c r="L125" s="180"/>
      <c r="M125" s="180"/>
      <c r="N125" s="180"/>
      <c r="P125" s="180"/>
      <c r="Q125" s="180"/>
      <c r="R125" s="180"/>
      <c r="S125" s="181"/>
      <c r="T125" s="180"/>
      <c r="U125" s="180"/>
      <c r="V125" s="180"/>
      <c r="W125" s="180"/>
      <c r="X125" s="181"/>
      <c r="Y125" s="180"/>
      <c r="Z125" s="180"/>
      <c r="AA125" s="180"/>
      <c r="AB125" s="181"/>
      <c r="AC125" s="180"/>
      <c r="AD125" s="167"/>
      <c r="CM125" s="168"/>
      <c r="CN125" s="168"/>
      <c r="CO125" s="187" t="s">
        <v>1409</v>
      </c>
      <c r="CP125" s="168"/>
    </row>
    <row r="126" spans="2:94" s="166" customFormat="1" ht="15" hidden="1" customHeight="1">
      <c r="B126" s="180"/>
      <c r="C126" s="180"/>
      <c r="D126" s="180"/>
      <c r="E126" s="180"/>
      <c r="F126" s="180"/>
      <c r="G126" s="180"/>
      <c r="H126" s="180"/>
      <c r="I126" s="180"/>
      <c r="J126" s="181"/>
      <c r="K126" s="180"/>
      <c r="L126" s="180"/>
      <c r="M126" s="180"/>
      <c r="N126" s="180"/>
      <c r="P126" s="180"/>
      <c r="Q126" s="180"/>
      <c r="R126" s="180"/>
      <c r="S126" s="181"/>
      <c r="T126" s="180"/>
      <c r="U126" s="180"/>
      <c r="V126" s="180"/>
      <c r="W126" s="180"/>
      <c r="X126" s="181"/>
      <c r="Y126" s="180"/>
      <c r="Z126" s="180"/>
      <c r="AA126" s="180"/>
      <c r="AB126" s="181"/>
      <c r="AC126" s="180"/>
      <c r="AD126" s="167"/>
      <c r="CM126" s="168"/>
      <c r="CN126" s="168"/>
      <c r="CO126" s="187" t="s">
        <v>1410</v>
      </c>
      <c r="CP126" s="168"/>
    </row>
  </sheetData>
  <sheetProtection password="CE4F" sheet="1" objects="1" scenarios="1" formatCells="0" formatColumns="0" formatRows="0" insertColumns="0" insertRows="0" insertHyperlinks="0" sort="0" autoFilter="0" pivotTables="0"/>
  <mergeCells count="23">
    <mergeCell ref="B4:C4"/>
    <mergeCell ref="D4:M4"/>
    <mergeCell ref="H5:L5"/>
    <mergeCell ref="AC5:AE5"/>
    <mergeCell ref="B6:C7"/>
    <mergeCell ref="D6:F6"/>
    <mergeCell ref="H6:L6"/>
    <mergeCell ref="D7:F7"/>
    <mergeCell ref="H7:L7"/>
    <mergeCell ref="AC7:AE7"/>
    <mergeCell ref="B9:N9"/>
    <mergeCell ref="P9:AE9"/>
    <mergeCell ref="B11:N11"/>
    <mergeCell ref="P11:AE11"/>
    <mergeCell ref="I13:K13"/>
    <mergeCell ref="R13:T13"/>
    <mergeCell ref="W13:Y13"/>
    <mergeCell ref="AA13:AC13"/>
    <mergeCell ref="B64:N64"/>
    <mergeCell ref="P64:AE64"/>
    <mergeCell ref="R65:T65"/>
    <mergeCell ref="W65:Y65"/>
    <mergeCell ref="AA65:AC65"/>
  </mergeCells>
  <conditionalFormatting sqref="G15:G62 G66:G81">
    <cfRule type="expression" dxfId="107" priority="21" stopIfTrue="1">
      <formula>I15&gt;K15</formula>
    </cfRule>
    <cfRule type="expression" dxfId="106" priority="22" stopIfTrue="1">
      <formula>I15&lt;K15</formula>
    </cfRule>
  </conditionalFormatting>
  <conditionalFormatting sqref="M15:M62">
    <cfRule type="expression" dxfId="105" priority="23" stopIfTrue="1">
      <formula>K15&gt;I15</formula>
    </cfRule>
    <cfRule type="expression" dxfId="104" priority="24" stopIfTrue="1">
      <formula>K15&lt;I15</formula>
    </cfRule>
  </conditionalFormatting>
  <conditionalFormatting sqref="S15:S62 S66:S81">
    <cfRule type="expression" dxfId="103" priority="25" stopIfTrue="1">
      <formula>AND($R15&lt;&gt;"",$T15&lt;&gt;"")</formula>
    </cfRule>
  </conditionalFormatting>
  <conditionalFormatting sqref="P15:R62 P66:R81 T66:T81">
    <cfRule type="expression" dxfId="102" priority="26" stopIfTrue="1">
      <formula>AND($R15&gt;$T15,$R15&lt;&gt;"",$T15&lt;&gt;"")</formula>
    </cfRule>
    <cfRule type="expression" dxfId="101" priority="27" stopIfTrue="1">
      <formula>AND($R15&lt;$T15,$R15&lt;&gt;"",$T15&lt;&gt;"")</formula>
    </cfRule>
    <cfRule type="expression" dxfId="100" priority="28" stopIfTrue="1">
      <formula>AND($R15&lt;&gt;"",$T15&lt;&gt;"")</formula>
    </cfRule>
  </conditionalFormatting>
  <conditionalFormatting sqref="U66:V81 T15:V62">
    <cfRule type="expression" dxfId="99" priority="29" stopIfTrue="1">
      <formula>AND($T15&gt;$R15,$R15&lt;&gt;"",$T15&lt;&gt;"")</formula>
    </cfRule>
    <cfRule type="expression" dxfId="98" priority="30" stopIfTrue="1">
      <formula>AND($T15&lt;$R15,$R15&lt;&gt;"",$T15&lt;&gt;"")</formula>
    </cfRule>
    <cfRule type="expression" dxfId="97" priority="31" stopIfTrue="1">
      <formula>AND($R15&lt;&gt;"",$T15&lt;&gt;"")</formula>
    </cfRule>
  </conditionalFormatting>
  <conditionalFormatting sqref="O15">
    <cfRule type="expression" dxfId="96" priority="32" stopIfTrue="1">
      <formula>#REF!&gt;#REF!</formula>
    </cfRule>
    <cfRule type="expression" dxfId="95" priority="33" stopIfTrue="1">
      <formula>#REF!&lt;#REF!</formula>
    </cfRule>
  </conditionalFormatting>
  <conditionalFormatting sqref="I15:I62 K15:K62 K66:K81 I66:I81">
    <cfRule type="expression" dxfId="94" priority="34" stopIfTrue="1">
      <formula>ISBLANK(I15)</formula>
    </cfRule>
  </conditionalFormatting>
  <conditionalFormatting sqref="X15:X61">
    <cfRule type="expression" dxfId="93" priority="14" stopIfTrue="1">
      <formula>AND($R15&lt;&gt;"",$T15&lt;&gt;"")</formula>
    </cfRule>
  </conditionalFormatting>
  <conditionalFormatting sqref="W15:W61">
    <cfRule type="expression" dxfId="92" priority="15" stopIfTrue="1">
      <formula>AND($R15&gt;$T15,$R15&lt;&gt;"",$T15&lt;&gt;"")</formula>
    </cfRule>
    <cfRule type="expression" dxfId="91" priority="16" stopIfTrue="1">
      <formula>AND($R15&lt;$T15,$R15&lt;&gt;"",$T15&lt;&gt;"")</formula>
    </cfRule>
    <cfRule type="expression" dxfId="90" priority="17" stopIfTrue="1">
      <formula>AND($R15&lt;&gt;"",$T15&lt;&gt;"")</formula>
    </cfRule>
  </conditionalFormatting>
  <conditionalFormatting sqref="Y15:Z61">
    <cfRule type="expression" dxfId="89" priority="18" stopIfTrue="1">
      <formula>AND($T15&gt;$R15,$R15&lt;&gt;"",$T15&lt;&gt;"")</formula>
    </cfRule>
    <cfRule type="expression" dxfId="88" priority="19" stopIfTrue="1">
      <formula>AND($T15&lt;$R15,$R15&lt;&gt;"",$T15&lt;&gt;"")</formula>
    </cfRule>
    <cfRule type="expression" dxfId="87" priority="20" stopIfTrue="1">
      <formula>AND($R15&lt;&gt;"",$T15&lt;&gt;"")</formula>
    </cfRule>
  </conditionalFormatting>
  <conditionalFormatting sqref="AB15:AB61">
    <cfRule type="expression" dxfId="86" priority="7" stopIfTrue="1">
      <formula>AND($R15&lt;&gt;"",$T15&lt;&gt;"")</formula>
    </cfRule>
  </conditionalFormatting>
  <conditionalFormatting sqref="AA15:AA61">
    <cfRule type="expression" dxfId="85" priority="8" stopIfTrue="1">
      <formula>AND($R15&gt;$T15,$R15&lt;&gt;"",$T15&lt;&gt;"")</formula>
    </cfRule>
    <cfRule type="expression" dxfId="84" priority="9" stopIfTrue="1">
      <formula>AND($R15&lt;$T15,$R15&lt;&gt;"",$T15&lt;&gt;"")</formula>
    </cfRule>
    <cfRule type="expression" dxfId="83" priority="10" stopIfTrue="1">
      <formula>AND($R15&lt;&gt;"",$T15&lt;&gt;"")</formula>
    </cfRule>
  </conditionalFormatting>
  <conditionalFormatting sqref="AC15:AC61">
    <cfRule type="expression" dxfId="82" priority="11" stopIfTrue="1">
      <formula>AND($T15&gt;$R15,$R15&lt;&gt;"",$T15&lt;&gt;"")</formula>
    </cfRule>
    <cfRule type="expression" dxfId="81" priority="12" stopIfTrue="1">
      <formula>AND($T15&lt;$R15,$R15&lt;&gt;"",$T15&lt;&gt;"")</formula>
    </cfRule>
    <cfRule type="expression" dxfId="80" priority="13" stopIfTrue="1">
      <formula>AND($R15&lt;&gt;"",$T15&lt;&gt;"")</formula>
    </cfRule>
  </conditionalFormatting>
  <conditionalFormatting sqref="M66:M81">
    <cfRule type="expression" dxfId="79" priority="35">
      <formula>K66&gt;I66</formula>
    </cfRule>
    <cfRule type="expression" dxfId="78" priority="36">
      <formula>$K66&lt;$I66</formula>
    </cfRule>
  </conditionalFormatting>
  <conditionalFormatting sqref="X66:X81">
    <cfRule type="expression" dxfId="77" priority="6">
      <formula>AND($W66&lt;&gt;"",$Y66&lt;&gt;"")</formula>
    </cfRule>
  </conditionalFormatting>
  <conditionalFormatting sqref="AB66:AB81">
    <cfRule type="expression" dxfId="76" priority="5">
      <formula>AND($AA66&lt;&gt;"",$AC66&lt;&gt;"")</formula>
    </cfRule>
  </conditionalFormatting>
  <conditionalFormatting sqref="AA65:AC65">
    <cfRule type="expression" dxfId="75" priority="4">
      <formula>$Z$67=1</formula>
    </cfRule>
  </conditionalFormatting>
  <conditionalFormatting sqref="W65:Y65">
    <cfRule type="expression" dxfId="74" priority="3">
      <formula>OR($Z$66=1,$Z$67=1)</formula>
    </cfRule>
  </conditionalFormatting>
  <conditionalFormatting sqref="W66:Y81">
    <cfRule type="expression" dxfId="73" priority="2">
      <formula>OR($Z$66=1,$Z$67=1)</formula>
    </cfRule>
  </conditionalFormatting>
  <conditionalFormatting sqref="AA66:AC81">
    <cfRule type="expression" dxfId="72" priority="1">
      <formula>$Z$67=1</formula>
    </cfRule>
  </conditionalFormatting>
  <printOptions horizontalCentered="1" verticalCentered="1"/>
  <pageMargins left="0.39" right="0.32" top="0.28999999999999998" bottom="0.39" header="0.21" footer="0.26"/>
  <pageSetup scale="59" orientation="portrait" horizontalDpi="300" verticalDpi="300" r:id="rId1"/>
  <headerFooter alignWithMargins="0">
    <oddFooter xml:space="preserve">&amp;C
</oddFooter>
  </headerFooter>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S126"/>
  <sheetViews>
    <sheetView showGridLines="0" zoomScaleNormal="100" workbookViewId="0">
      <selection activeCell="AC7" sqref="AC7:AE7"/>
    </sheetView>
  </sheetViews>
  <sheetFormatPr defaultColWidth="0" defaultRowHeight="14.4" customHeight="1" zeroHeight="1"/>
  <cols>
    <col min="1" max="1" width="2.44140625" style="204" customWidth="1"/>
    <col min="2" max="2" width="3.6640625" style="204" customWidth="1"/>
    <col min="3" max="3" width="4.109375" style="204" customWidth="1"/>
    <col min="4" max="4" width="6.33203125" style="204" customWidth="1"/>
    <col min="5" max="5" width="8.21875" style="204" customWidth="1"/>
    <col min="6" max="6" width="6.88671875" style="205" customWidth="1"/>
    <col min="7" max="7" width="20.6640625" style="204" customWidth="1"/>
    <col min="8" max="8" width="1.77734375" style="204" customWidth="1"/>
    <col min="9" max="9" width="3.44140625" style="204" customWidth="1"/>
    <col min="10" max="10" width="1.77734375" style="206" customWidth="1"/>
    <col min="11" max="11" width="3.44140625" style="204" customWidth="1"/>
    <col min="12" max="12" width="1.6640625" style="204" customWidth="1"/>
    <col min="13" max="13" width="20.6640625" style="204" customWidth="1"/>
    <col min="14" max="14" width="2.44140625" style="204" customWidth="1"/>
    <col min="15" max="15" width="1.77734375" style="204" customWidth="1"/>
    <col min="16" max="16" width="20.6640625" style="204" customWidth="1"/>
    <col min="17" max="17" width="1.6640625" style="204" customWidth="1"/>
    <col min="18" max="18" width="3.44140625" style="204" customWidth="1"/>
    <col min="19" max="19" width="1.77734375" style="206" customWidth="1"/>
    <col min="20" max="20" width="3.44140625" style="204" customWidth="1"/>
    <col min="21" max="21" width="1.6640625" style="204" customWidth="1"/>
    <col min="22" max="22" width="17.5546875" style="204" customWidth="1"/>
    <col min="23" max="23" width="3.44140625" style="204" customWidth="1"/>
    <col min="24" max="24" width="1.77734375" style="206" customWidth="1"/>
    <col min="25" max="25" width="3.44140625" style="204" customWidth="1"/>
    <col min="26" max="26" width="1.77734375" style="204" customWidth="1"/>
    <col min="27" max="27" width="3.44140625" style="204" customWidth="1"/>
    <col min="28" max="28" width="1.77734375" style="206" customWidth="1"/>
    <col min="29" max="29" width="3.44140625" style="204" customWidth="1"/>
    <col min="30" max="30" width="5.77734375" style="206" customWidth="1"/>
    <col min="31" max="31" width="9.109375" style="204" customWidth="1"/>
    <col min="32" max="32" width="2.6640625" style="204" customWidth="1"/>
    <col min="33" max="33" width="9.109375" style="204" hidden="1" customWidth="1"/>
    <col min="34" max="90" width="0" style="204" hidden="1" customWidth="1"/>
    <col min="91" max="94" width="0" style="207" hidden="1" customWidth="1"/>
    <col min="95" max="97" width="0" style="204" hidden="1" customWidth="1"/>
    <col min="98" max="16384" width="9.109375" style="204" hidden="1"/>
  </cols>
  <sheetData>
    <row r="1" spans="2:97" s="166" customFormat="1" ht="15" customHeight="1">
      <c r="J1" s="167"/>
      <c r="S1" s="167"/>
      <c r="X1" s="167"/>
      <c r="AB1" s="167"/>
      <c r="AD1" s="167"/>
      <c r="CM1" s="168"/>
      <c r="CN1" s="168"/>
      <c r="CO1" s="168"/>
      <c r="CP1" s="168"/>
    </row>
    <row r="2" spans="2:97" s="166" customFormat="1" ht="15" customHeight="1">
      <c r="J2" s="167"/>
      <c r="S2" s="167"/>
      <c r="X2" s="167"/>
      <c r="AB2" s="167"/>
      <c r="AD2" s="167"/>
      <c r="CM2" s="168"/>
      <c r="CN2" s="168"/>
      <c r="CO2" s="168"/>
      <c r="CP2" s="168"/>
    </row>
    <row r="3" spans="2:97" s="166" customFormat="1" ht="15" customHeight="1">
      <c r="J3" s="167"/>
      <c r="S3" s="167"/>
      <c r="X3" s="167"/>
      <c r="AB3" s="167"/>
      <c r="AD3" s="167"/>
      <c r="CM3" s="168"/>
      <c r="CN3" s="168"/>
      <c r="CO3" s="168"/>
      <c r="CP3" s="168"/>
    </row>
    <row r="4" spans="2:97" s="166" customFormat="1" ht="25.05" customHeight="1">
      <c r="B4" s="297" t="s">
        <v>3871</v>
      </c>
      <c r="C4" s="298"/>
      <c r="D4" s="307" t="str">
        <f ca="1">IF(INDIRECT("'Player Name'!"&amp;"$c"&amp;B8)&lt;&gt;"",INDIRECT("'Player Name'!"&amp;"$c"&amp;B8),"")</f>
        <v>John 14</v>
      </c>
      <c r="E4" s="308"/>
      <c r="F4" s="308"/>
      <c r="G4" s="308"/>
      <c r="H4" s="308"/>
      <c r="I4" s="308"/>
      <c r="J4" s="308"/>
      <c r="K4" s="308"/>
      <c r="L4" s="308"/>
      <c r="M4" s="309"/>
      <c r="S4" s="167"/>
      <c r="X4" s="167"/>
      <c r="AB4" s="167"/>
      <c r="CM4" s="168"/>
      <c r="CN4" s="168"/>
      <c r="CO4" s="168"/>
      <c r="CP4" s="168"/>
    </row>
    <row r="5" spans="2:97" s="173" customFormat="1" ht="15" customHeight="1">
      <c r="B5" s="169"/>
      <c r="C5" s="169"/>
      <c r="D5" s="170"/>
      <c r="E5" s="170"/>
      <c r="F5" s="170"/>
      <c r="G5" s="171" t="s">
        <v>848</v>
      </c>
      <c r="H5" s="294" t="s">
        <v>3872</v>
      </c>
      <c r="I5" s="294"/>
      <c r="J5" s="294"/>
      <c r="K5" s="294"/>
      <c r="L5" s="295"/>
      <c r="M5" s="171" t="s">
        <v>3870</v>
      </c>
      <c r="N5" s="166"/>
      <c r="O5" s="166"/>
      <c r="P5" s="172"/>
      <c r="Q5" s="166"/>
      <c r="R5" s="166"/>
      <c r="S5" s="167"/>
      <c r="T5" s="166"/>
      <c r="U5" s="166"/>
      <c r="V5" s="166"/>
      <c r="W5" s="166"/>
      <c r="X5" s="167"/>
      <c r="Y5" s="166"/>
      <c r="Z5" s="166"/>
      <c r="AA5" s="166"/>
      <c r="AB5" s="167"/>
      <c r="AC5" s="296"/>
      <c r="AD5" s="296"/>
      <c r="AE5" s="296"/>
      <c r="CM5" s="174"/>
      <c r="CN5" s="174"/>
      <c r="CO5" s="174"/>
      <c r="CP5" s="174"/>
    </row>
    <row r="6" spans="2:97" s="166" customFormat="1" ht="15" customHeight="1">
      <c r="B6" s="318">
        <f>B8-5</f>
        <v>14</v>
      </c>
      <c r="C6" s="318"/>
      <c r="D6" s="315" t="s">
        <v>3868</v>
      </c>
      <c r="E6" s="315"/>
      <c r="F6" s="315"/>
      <c r="G6" s="175">
        <f>SUM(AD15:AD62)</f>
        <v>0</v>
      </c>
      <c r="H6" s="310">
        <f>SUM(AD66:AD81)</f>
        <v>0</v>
      </c>
      <c r="I6" s="311"/>
      <c r="J6" s="311"/>
      <c r="K6" s="311"/>
      <c r="L6" s="311"/>
      <c r="M6" s="176">
        <f>H6+G6</f>
        <v>0</v>
      </c>
      <c r="X6" s="167"/>
      <c r="AB6" s="167"/>
      <c r="CM6" s="168"/>
      <c r="CN6" s="168"/>
      <c r="CO6" s="168"/>
      <c r="CP6" s="168"/>
    </row>
    <row r="7" spans="2:97" s="166" customFormat="1" ht="15" customHeight="1">
      <c r="B7" s="318"/>
      <c r="C7" s="319"/>
      <c r="D7" s="316" t="s">
        <v>3869</v>
      </c>
      <c r="E7" s="317"/>
      <c r="F7" s="317"/>
      <c r="G7" s="177"/>
      <c r="H7" s="312"/>
      <c r="I7" s="312"/>
      <c r="J7" s="312"/>
      <c r="K7" s="312"/>
      <c r="L7" s="313"/>
      <c r="M7" s="178">
        <f ca="1">INDEX('Player Leaderboard'!$A$9:$A$23,MATCH($D4,'Player Leaderboard'!$B$9:$B$23,0),0)</f>
        <v>14</v>
      </c>
      <c r="P7" s="210" t="str">
        <f>HYPERLINK("["&amp;Setup!$C$5&amp;"]'Player ("&amp;B8-6&amp;")'!B6","&lt;&lt; Previous Player ("&amp;B8-6&amp;")")</f>
        <v>&lt;&lt; Previous Player (13)</v>
      </c>
      <c r="S7" s="167"/>
      <c r="X7" s="167"/>
      <c r="AB7" s="167"/>
      <c r="AC7" s="320" t="str">
        <f>HYPERLINK("["&amp;Setup!$C$5&amp;"]'Player ("&amp;B8-4&amp;")'!B6","Next Player ("&amp;B8-4&amp;") &gt;&gt;")</f>
        <v>Next Player (15) &gt;&gt;</v>
      </c>
      <c r="AD7" s="320"/>
      <c r="AE7" s="320"/>
      <c r="CM7" s="168"/>
      <c r="CN7" s="168"/>
      <c r="CO7" s="168"/>
      <c r="CP7" s="168"/>
    </row>
    <row r="8" spans="2:97" s="166" customFormat="1" ht="15" customHeight="1">
      <c r="B8" s="208">
        <v>19</v>
      </c>
      <c r="J8" s="167"/>
      <c r="S8" s="167"/>
      <c r="X8" s="167"/>
      <c r="AB8" s="167"/>
      <c r="AD8" s="167"/>
      <c r="CM8" s="168"/>
      <c r="CN8" s="168"/>
      <c r="CO8" s="168"/>
      <c r="CP8" s="168"/>
    </row>
    <row r="9" spans="2:97" s="166" customFormat="1" ht="15" customHeight="1">
      <c r="B9" s="314" t="s">
        <v>491</v>
      </c>
      <c r="C9" s="314"/>
      <c r="D9" s="314"/>
      <c r="E9" s="314"/>
      <c r="F9" s="314"/>
      <c r="G9" s="314"/>
      <c r="H9" s="314"/>
      <c r="I9" s="314"/>
      <c r="J9" s="314"/>
      <c r="K9" s="314"/>
      <c r="L9" s="314"/>
      <c r="M9" s="314"/>
      <c r="N9" s="314"/>
      <c r="P9" s="303" t="s">
        <v>492</v>
      </c>
      <c r="Q9" s="304"/>
      <c r="R9" s="304"/>
      <c r="S9" s="304"/>
      <c r="T9" s="304"/>
      <c r="U9" s="304"/>
      <c r="V9" s="304"/>
      <c r="W9" s="304"/>
      <c r="X9" s="304"/>
      <c r="Y9" s="304"/>
      <c r="Z9" s="304"/>
      <c r="AA9" s="304"/>
      <c r="AB9" s="304"/>
      <c r="AC9" s="304"/>
      <c r="AD9" s="304"/>
      <c r="AE9" s="305"/>
      <c r="CM9" s="168"/>
      <c r="CN9" s="168"/>
      <c r="CO9" s="168"/>
      <c r="CP9" s="168"/>
    </row>
    <row r="10" spans="2:97" s="166" customFormat="1" ht="15" customHeight="1">
      <c r="B10" s="180"/>
      <c r="C10" s="180"/>
      <c r="D10" s="180"/>
      <c r="E10" s="180"/>
      <c r="F10" s="180"/>
      <c r="G10" s="180"/>
      <c r="H10" s="180"/>
      <c r="I10" s="180"/>
      <c r="J10" s="181"/>
      <c r="K10" s="180"/>
      <c r="L10" s="180"/>
      <c r="M10" s="180"/>
      <c r="N10" s="180"/>
      <c r="O10" s="180"/>
      <c r="P10" s="180"/>
      <c r="Q10" s="180"/>
      <c r="R10" s="180"/>
      <c r="S10" s="180"/>
      <c r="T10" s="180"/>
      <c r="U10" s="180"/>
      <c r="V10" s="180"/>
      <c r="W10" s="180"/>
      <c r="X10" s="180"/>
      <c r="Y10" s="180"/>
      <c r="Z10" s="180"/>
      <c r="AA10" s="180"/>
      <c r="AB10" s="180"/>
      <c r="AC10" s="180"/>
      <c r="AD10" s="180"/>
      <c r="AE10" s="180"/>
      <c r="AF10" s="180"/>
      <c r="AG10" s="180"/>
      <c r="CM10" s="168"/>
      <c r="CN10" s="168"/>
      <c r="CO10" s="168"/>
      <c r="CP10" s="168"/>
    </row>
    <row r="11" spans="2:97" s="166" customFormat="1" ht="15" customHeight="1">
      <c r="B11" s="300" t="str">
        <f>Tournament!B10</f>
        <v>Group Stages</v>
      </c>
      <c r="C11" s="301"/>
      <c r="D11" s="301"/>
      <c r="E11" s="301"/>
      <c r="F11" s="301"/>
      <c r="G11" s="301"/>
      <c r="H11" s="301"/>
      <c r="I11" s="301"/>
      <c r="J11" s="301"/>
      <c r="K11" s="301"/>
      <c r="L11" s="301"/>
      <c r="M11" s="301"/>
      <c r="N11" s="302"/>
      <c r="P11" s="303" t="str">
        <f>B11</f>
        <v>Group Stages</v>
      </c>
      <c r="Q11" s="304"/>
      <c r="R11" s="304"/>
      <c r="S11" s="304"/>
      <c r="T11" s="304"/>
      <c r="U11" s="304"/>
      <c r="V11" s="304"/>
      <c r="W11" s="304"/>
      <c r="X11" s="304"/>
      <c r="Y11" s="304"/>
      <c r="Z11" s="304"/>
      <c r="AA11" s="304"/>
      <c r="AB11" s="304"/>
      <c r="AC11" s="304"/>
      <c r="AD11" s="304"/>
      <c r="AE11" s="305"/>
      <c r="CM11" s="168"/>
      <c r="CN11" s="168"/>
      <c r="CO11" s="168"/>
      <c r="CP11" s="168"/>
    </row>
    <row r="12" spans="2:97" s="166" customFormat="1" ht="15" customHeight="1">
      <c r="B12" s="182"/>
      <c r="C12" s="180"/>
      <c r="D12" s="180"/>
      <c r="E12" s="180"/>
      <c r="F12" s="180"/>
      <c r="G12" s="180"/>
      <c r="H12" s="180"/>
      <c r="I12" s="180"/>
      <c r="J12" s="181"/>
      <c r="K12" s="180"/>
      <c r="L12" s="180"/>
      <c r="M12" s="180"/>
      <c r="N12" s="183"/>
      <c r="P12" s="182"/>
      <c r="Q12" s="180"/>
      <c r="R12" s="180"/>
      <c r="S12" s="180"/>
      <c r="T12" s="180"/>
      <c r="U12" s="180"/>
      <c r="V12" s="180"/>
      <c r="W12" s="180"/>
      <c r="X12" s="180"/>
      <c r="Y12" s="180"/>
      <c r="Z12" s="180"/>
      <c r="AA12" s="180"/>
      <c r="AB12" s="180"/>
      <c r="AC12" s="180"/>
      <c r="AD12" s="180"/>
      <c r="AE12" s="183"/>
      <c r="CM12" s="168"/>
      <c r="CN12" s="168"/>
      <c r="CO12" s="168"/>
      <c r="CP12" s="168"/>
    </row>
    <row r="13" spans="2:97" s="166" customFormat="1" ht="15" customHeight="1">
      <c r="B13" s="182"/>
      <c r="C13" s="184" t="str">
        <f>Tournament!D14</f>
        <v>Match #</v>
      </c>
      <c r="D13" s="184" t="str">
        <f>Tournament!E14</f>
        <v>Group</v>
      </c>
      <c r="E13" s="184" t="str">
        <f>Tournament!F14</f>
        <v>Date</v>
      </c>
      <c r="F13" s="184" t="str">
        <f>Tournament!G14</f>
        <v>Time</v>
      </c>
      <c r="G13" s="184" t="str">
        <f>Tournament!H14</f>
        <v>Country</v>
      </c>
      <c r="H13" s="184"/>
      <c r="I13" s="306" t="str">
        <f>Tournament!J14</f>
        <v>Score</v>
      </c>
      <c r="J13" s="306"/>
      <c r="K13" s="306"/>
      <c r="L13" s="184"/>
      <c r="M13" s="184" t="str">
        <f>Tournament!N14</f>
        <v>Country</v>
      </c>
      <c r="N13" s="183"/>
      <c r="P13" s="185" t="str">
        <f>G13</f>
        <v>Country</v>
      </c>
      <c r="Q13" s="184"/>
      <c r="R13" s="306" t="str">
        <f>I13</f>
        <v>Score</v>
      </c>
      <c r="S13" s="306"/>
      <c r="T13" s="306"/>
      <c r="U13" s="184"/>
      <c r="V13" s="184" t="str">
        <f>M13</f>
        <v>Country</v>
      </c>
      <c r="W13" s="306"/>
      <c r="X13" s="306"/>
      <c r="Y13" s="306"/>
      <c r="Z13" s="184"/>
      <c r="AA13" s="306"/>
      <c r="AB13" s="306"/>
      <c r="AC13" s="306"/>
      <c r="AD13" s="184" t="s">
        <v>3277</v>
      </c>
      <c r="AE13" s="183"/>
      <c r="CP13" s="168"/>
      <c r="CQ13" s="186"/>
      <c r="CR13" s="187"/>
      <c r="CS13" s="168"/>
    </row>
    <row r="14" spans="2:97" s="166" customFormat="1" ht="15" customHeight="1">
      <c r="B14" s="182"/>
      <c r="C14" s="180"/>
      <c r="D14" s="180"/>
      <c r="E14" s="180"/>
      <c r="F14" s="180"/>
      <c r="G14" s="180"/>
      <c r="H14" s="180"/>
      <c r="I14" s="180"/>
      <c r="J14" s="180"/>
      <c r="K14" s="180"/>
      <c r="L14" s="180"/>
      <c r="M14" s="180"/>
      <c r="N14" s="183"/>
      <c r="P14" s="182"/>
      <c r="Q14" s="180"/>
      <c r="R14" s="180"/>
      <c r="S14" s="180"/>
      <c r="T14" s="180"/>
      <c r="U14" s="180"/>
      <c r="V14" s="180"/>
      <c r="W14" s="180"/>
      <c r="X14" s="180"/>
      <c r="Y14" s="180"/>
      <c r="Z14" s="180"/>
      <c r="AA14" s="180"/>
      <c r="AB14" s="180"/>
      <c r="AC14" s="180"/>
      <c r="AD14" s="181"/>
      <c r="AE14" s="183"/>
      <c r="CP14" s="168"/>
      <c r="CQ14" s="186"/>
      <c r="CR14" s="187"/>
      <c r="CS14" s="168"/>
    </row>
    <row r="15" spans="2:97" s="166" customFormat="1" ht="15" customHeight="1">
      <c r="B15" s="182"/>
      <c r="C15" s="181">
        <f>Tournament!D16</f>
        <v>1</v>
      </c>
      <c r="D15" s="181" t="str">
        <f>Tournament!E16</f>
        <v>A</v>
      </c>
      <c r="E15" s="188">
        <f>Tournament!F16</f>
        <v>41802.708333333336</v>
      </c>
      <c r="F15" s="189">
        <f>Tournament!G16</f>
        <v>41802.708333333336</v>
      </c>
      <c r="G15" s="190" t="str">
        <f>Tournament!H16</f>
        <v>Brazil</v>
      </c>
      <c r="H15" s="180"/>
      <c r="I15" s="9"/>
      <c r="J15" s="191" t="s">
        <v>3088</v>
      </c>
      <c r="K15" s="9"/>
      <c r="L15" s="180"/>
      <c r="M15" s="180" t="str">
        <f>Tournament!N16</f>
        <v>Croatia</v>
      </c>
      <c r="N15" s="183"/>
      <c r="O15" s="180"/>
      <c r="P15" s="192" t="str">
        <f>G15</f>
        <v>Brazil</v>
      </c>
      <c r="Q15" s="193"/>
      <c r="R15" s="194">
        <f>IF(Tournament!J16&lt;&gt;"",Tournament!J16,"")</f>
        <v>3</v>
      </c>
      <c r="S15" s="194" t="s">
        <v>3088</v>
      </c>
      <c r="T15" s="194">
        <f>IF(Tournament!L16&lt;&gt;"",Tournament!L16,"")</f>
        <v>1</v>
      </c>
      <c r="U15" s="193"/>
      <c r="V15" s="193" t="str">
        <f>M15</f>
        <v>Croatia</v>
      </c>
      <c r="W15" s="194"/>
      <c r="X15" s="194"/>
      <c r="Y15" s="194"/>
      <c r="Z15" s="194"/>
      <c r="AA15" s="194"/>
      <c r="AB15" s="194"/>
      <c r="AC15" s="194"/>
      <c r="AD15" s="195" t="str">
        <f>IF(AND(I15&lt;&gt;"",K15&lt;&gt;"",R15&lt;&gt;"",T15&lt;&gt;""),IF(AND(I15=R15,K15=T15),Setup!$D$10,IF((I15-K15)=(R15-T15),Setup!$D$11,IF(AND((I15&gt;K15),(R15&gt;T15)),Setup!$D$12,IF(AND((K15&gt;I15),(T15&gt;R15)),Setup!$D$12,0)))),"")</f>
        <v/>
      </c>
      <c r="AE15" s="183"/>
      <c r="CP15" s="168"/>
      <c r="CQ15" s="186"/>
      <c r="CR15" s="187"/>
      <c r="CS15" s="168"/>
    </row>
    <row r="16" spans="2:97" s="166" customFormat="1" ht="15" customHeight="1">
      <c r="B16" s="182"/>
      <c r="C16" s="181">
        <f>Tournament!D17</f>
        <v>2</v>
      </c>
      <c r="D16" s="181" t="str">
        <f>Tournament!E17</f>
        <v>A</v>
      </c>
      <c r="E16" s="188">
        <f>Tournament!F17</f>
        <v>41803.541666666664</v>
      </c>
      <c r="F16" s="189">
        <f>Tournament!G17</f>
        <v>41803.541666666664</v>
      </c>
      <c r="G16" s="190" t="str">
        <f>Tournament!H17</f>
        <v>Mexico</v>
      </c>
      <c r="H16" s="180"/>
      <c r="I16" s="9"/>
      <c r="J16" s="191" t="s">
        <v>3088</v>
      </c>
      <c r="K16" s="9"/>
      <c r="L16" s="180"/>
      <c r="M16" s="180" t="str">
        <f>Tournament!N17</f>
        <v>Cameroon</v>
      </c>
      <c r="N16" s="183"/>
      <c r="P16" s="192" t="str">
        <f t="shared" ref="P16:P62" si="0">G16</f>
        <v>Mexico</v>
      </c>
      <c r="Q16" s="193"/>
      <c r="R16" s="194">
        <f>IF(Tournament!J17&lt;&gt;"",Tournament!J17,"")</f>
        <v>1</v>
      </c>
      <c r="S16" s="194" t="s">
        <v>3088</v>
      </c>
      <c r="T16" s="194">
        <f>IF(Tournament!L17&lt;&gt;"",Tournament!L17,"")</f>
        <v>0</v>
      </c>
      <c r="U16" s="193"/>
      <c r="V16" s="193" t="str">
        <f t="shared" ref="V16:V62" si="1">M16</f>
        <v>Cameroon</v>
      </c>
      <c r="W16" s="194"/>
      <c r="X16" s="194"/>
      <c r="Y16" s="194"/>
      <c r="Z16" s="194"/>
      <c r="AA16" s="194"/>
      <c r="AB16" s="194"/>
      <c r="AC16" s="194"/>
      <c r="AD16" s="195" t="str">
        <f>IF(AND(I16&lt;&gt;"",K16&lt;&gt;"",R16&lt;&gt;"",T16&lt;&gt;""),IF(AND(I16=R16,K16=T16),Setup!$D$10,IF((I16-K16)=(R16-T16),Setup!$D$11,IF(AND((I16&gt;K16),(R16&gt;T16)),Setup!$D$12,IF(AND((K16&gt;I16),(T16&gt;R16)),Setup!$D$12,0)))),"")</f>
        <v/>
      </c>
      <c r="AE16" s="183"/>
      <c r="AI16" s="179" t="s">
        <v>3904</v>
      </c>
      <c r="CP16" s="168"/>
      <c r="CQ16" s="186"/>
      <c r="CR16" s="187"/>
      <c r="CS16" s="168"/>
    </row>
    <row r="17" spans="2:97" s="166" customFormat="1" ht="15" customHeight="1">
      <c r="B17" s="182"/>
      <c r="C17" s="181">
        <f>Tournament!D18</f>
        <v>3</v>
      </c>
      <c r="D17" s="181" t="str">
        <f>Tournament!E18</f>
        <v>B</v>
      </c>
      <c r="E17" s="188">
        <f>Tournament!F18</f>
        <v>41803.666666666664</v>
      </c>
      <c r="F17" s="189">
        <f>Tournament!G18</f>
        <v>41803.666666666664</v>
      </c>
      <c r="G17" s="190" t="str">
        <f>Tournament!H18</f>
        <v>Spain</v>
      </c>
      <c r="H17" s="180"/>
      <c r="I17" s="9"/>
      <c r="J17" s="191" t="s">
        <v>3088</v>
      </c>
      <c r="K17" s="9"/>
      <c r="L17" s="180"/>
      <c r="M17" s="180" t="str">
        <f>Tournament!N18</f>
        <v>Netherlands</v>
      </c>
      <c r="N17" s="183"/>
      <c r="P17" s="192" t="str">
        <f t="shared" si="0"/>
        <v>Spain</v>
      </c>
      <c r="Q17" s="193"/>
      <c r="R17" s="194">
        <f>IF(Tournament!J18&lt;&gt;"",Tournament!J18,"")</f>
        <v>1</v>
      </c>
      <c r="S17" s="194" t="s">
        <v>3088</v>
      </c>
      <c r="T17" s="194">
        <f>IF(Tournament!L18&lt;&gt;"",Tournament!L18,"")</f>
        <v>5</v>
      </c>
      <c r="U17" s="193"/>
      <c r="V17" s="193" t="str">
        <f t="shared" si="1"/>
        <v>Netherlands</v>
      </c>
      <c r="W17" s="194"/>
      <c r="X17" s="194"/>
      <c r="Y17" s="194"/>
      <c r="Z17" s="194"/>
      <c r="AA17" s="194"/>
      <c r="AB17" s="194"/>
      <c r="AC17" s="194"/>
      <c r="AD17" s="195" t="str">
        <f>IF(AND(I17&lt;&gt;"",K17&lt;&gt;"",R17&lt;&gt;"",T17&lt;&gt;""),IF(AND(I17=R17,K17=T17),Setup!$D$10,IF((I17-K17)=(R17-T17),Setup!$D$11,IF(AND((I17&gt;K17),(R17&gt;T17)),Setup!$D$12,IF(AND((K17&gt;I17),(T17&gt;R17)),Setup!$D$12,0)))),"")</f>
        <v/>
      </c>
      <c r="AE17" s="183"/>
      <c r="CP17" s="168"/>
      <c r="CQ17" s="186"/>
      <c r="CR17" s="187"/>
      <c r="CS17" s="168"/>
    </row>
    <row r="18" spans="2:97" s="166" customFormat="1" ht="15" customHeight="1">
      <c r="B18" s="182"/>
      <c r="C18" s="181">
        <f>Tournament!D19</f>
        <v>4</v>
      </c>
      <c r="D18" s="181" t="str">
        <f>Tournament!E19</f>
        <v>B</v>
      </c>
      <c r="E18" s="188">
        <f>Tournament!F19</f>
        <v>41803.791666666664</v>
      </c>
      <c r="F18" s="189">
        <f>Tournament!G19</f>
        <v>41803.791666666664</v>
      </c>
      <c r="G18" s="190" t="str">
        <f>Tournament!H19</f>
        <v>Chile</v>
      </c>
      <c r="H18" s="180"/>
      <c r="I18" s="9"/>
      <c r="J18" s="191" t="s">
        <v>3088</v>
      </c>
      <c r="K18" s="9"/>
      <c r="L18" s="180"/>
      <c r="M18" s="180" t="str">
        <f>Tournament!N19</f>
        <v>Australia</v>
      </c>
      <c r="N18" s="183"/>
      <c r="P18" s="192" t="str">
        <f t="shared" si="0"/>
        <v>Chile</v>
      </c>
      <c r="Q18" s="193"/>
      <c r="R18" s="194">
        <f>IF(Tournament!J19&lt;&gt;"",Tournament!J19,"")</f>
        <v>3</v>
      </c>
      <c r="S18" s="194" t="s">
        <v>3088</v>
      </c>
      <c r="T18" s="194">
        <f>IF(Tournament!L19&lt;&gt;"",Tournament!L19,"")</f>
        <v>1</v>
      </c>
      <c r="U18" s="193"/>
      <c r="V18" s="193" t="str">
        <f t="shared" si="1"/>
        <v>Australia</v>
      </c>
      <c r="W18" s="194"/>
      <c r="X18" s="194"/>
      <c r="Y18" s="194"/>
      <c r="Z18" s="194"/>
      <c r="AA18" s="194"/>
      <c r="AB18" s="194"/>
      <c r="AC18" s="194"/>
      <c r="AD18" s="195" t="str">
        <f>IF(AND(I18&lt;&gt;"",K18&lt;&gt;"",R18&lt;&gt;"",T18&lt;&gt;""),IF(AND(I18=R18,K18=T18),Setup!$D$10,IF((I18-K18)=(R18-T18),Setup!$D$11,IF(AND((I18&gt;K18),(R18&gt;T18)),Setup!$D$12,IF(AND((K18&gt;I18),(T18&gt;R18)),Setup!$D$12,0)))),"")</f>
        <v/>
      </c>
      <c r="AE18" s="183"/>
      <c r="CP18" s="168"/>
      <c r="CQ18" s="186"/>
      <c r="CR18" s="187"/>
      <c r="CS18" s="168"/>
    </row>
    <row r="19" spans="2:97" s="166" customFormat="1" ht="15" customHeight="1">
      <c r="B19" s="182"/>
      <c r="C19" s="181">
        <f>Tournament!D20</f>
        <v>5</v>
      </c>
      <c r="D19" s="181" t="str">
        <f>Tournament!E20</f>
        <v>C</v>
      </c>
      <c r="E19" s="188">
        <f>Tournament!F20</f>
        <v>41804.541666666664</v>
      </c>
      <c r="F19" s="189">
        <f>Tournament!G20</f>
        <v>41804.541666666664</v>
      </c>
      <c r="G19" s="190" t="str">
        <f>Tournament!H20</f>
        <v>Colombia</v>
      </c>
      <c r="H19" s="180"/>
      <c r="I19" s="9"/>
      <c r="J19" s="191" t="s">
        <v>3088</v>
      </c>
      <c r="K19" s="9"/>
      <c r="L19" s="180"/>
      <c r="M19" s="180" t="str">
        <f>Tournament!N20</f>
        <v>Greece</v>
      </c>
      <c r="N19" s="183"/>
      <c r="P19" s="192" t="str">
        <f t="shared" si="0"/>
        <v>Colombia</v>
      </c>
      <c r="Q19" s="193"/>
      <c r="R19" s="194" t="str">
        <f>IF(Tournament!J20&lt;&gt;"",Tournament!J20,"")</f>
        <v/>
      </c>
      <c r="S19" s="194" t="s">
        <v>3088</v>
      </c>
      <c r="T19" s="194" t="str">
        <f>IF(Tournament!L20&lt;&gt;"",Tournament!L20,"")</f>
        <v/>
      </c>
      <c r="U19" s="193"/>
      <c r="V19" s="193" t="str">
        <f t="shared" si="1"/>
        <v>Greece</v>
      </c>
      <c r="W19" s="194"/>
      <c r="X19" s="194"/>
      <c r="Y19" s="194"/>
      <c r="Z19" s="194"/>
      <c r="AA19" s="194"/>
      <c r="AB19" s="194"/>
      <c r="AC19" s="194"/>
      <c r="AD19" s="195" t="str">
        <f>IF(AND(I19&lt;&gt;"",K19&lt;&gt;"",R19&lt;&gt;"",T19&lt;&gt;""),IF(AND(I19=R19,K19=T19),Setup!$D$10,IF((I19-K19)=(R19-T19),Setup!$D$11,IF(AND((I19&gt;K19),(R19&gt;T19)),Setup!$D$12,IF(AND((K19&gt;I19),(T19&gt;R19)),Setup!$D$12,0)))),"")</f>
        <v/>
      </c>
      <c r="AE19" s="183"/>
      <c r="CP19" s="168"/>
      <c r="CQ19" s="186"/>
      <c r="CR19" s="187"/>
      <c r="CS19" s="168"/>
    </row>
    <row r="20" spans="2:97" s="166" customFormat="1" ht="15" customHeight="1">
      <c r="B20" s="182"/>
      <c r="C20" s="181">
        <f>Tournament!D21</f>
        <v>6</v>
      </c>
      <c r="D20" s="181" t="str">
        <f>Tournament!E21</f>
        <v>C</v>
      </c>
      <c r="E20" s="188">
        <f>Tournament!F21</f>
        <v>41804.916666666664</v>
      </c>
      <c r="F20" s="189">
        <f>Tournament!G21</f>
        <v>41804.916666666664</v>
      </c>
      <c r="G20" s="190" t="str">
        <f>Tournament!H21</f>
        <v>Ivory Coast</v>
      </c>
      <c r="H20" s="180"/>
      <c r="I20" s="9"/>
      <c r="J20" s="191" t="s">
        <v>3088</v>
      </c>
      <c r="K20" s="9"/>
      <c r="L20" s="180"/>
      <c r="M20" s="180" t="str">
        <f>Tournament!N21</f>
        <v>Japan</v>
      </c>
      <c r="N20" s="183"/>
      <c r="P20" s="192" t="str">
        <f t="shared" si="0"/>
        <v>Ivory Coast</v>
      </c>
      <c r="Q20" s="193"/>
      <c r="R20" s="194" t="str">
        <f>IF(Tournament!J21&lt;&gt;"",Tournament!J21,"")</f>
        <v/>
      </c>
      <c r="S20" s="194" t="s">
        <v>3088</v>
      </c>
      <c r="T20" s="194" t="str">
        <f>IF(Tournament!L21&lt;&gt;"",Tournament!L21,"")</f>
        <v/>
      </c>
      <c r="U20" s="193"/>
      <c r="V20" s="193" t="str">
        <f t="shared" si="1"/>
        <v>Japan</v>
      </c>
      <c r="W20" s="194"/>
      <c r="X20" s="194"/>
      <c r="Y20" s="194"/>
      <c r="Z20" s="194"/>
      <c r="AA20" s="194"/>
      <c r="AB20" s="194"/>
      <c r="AC20" s="194"/>
      <c r="AD20" s="195" t="str">
        <f>IF(AND(I20&lt;&gt;"",K20&lt;&gt;"",R20&lt;&gt;"",T20&lt;&gt;""),IF(AND(I20=R20,K20=T20),Setup!$D$10,IF((I20-K20)=(R20-T20),Setup!$D$11,IF(AND((I20&gt;K20),(R20&gt;T20)),Setup!$D$12,IF(AND((K20&gt;I20),(T20&gt;R20)),Setup!$D$12,0)))),"")</f>
        <v/>
      </c>
      <c r="AE20" s="183"/>
      <c r="CP20" s="168"/>
      <c r="CQ20" s="186"/>
      <c r="CR20" s="187"/>
      <c r="CS20" s="168"/>
    </row>
    <row r="21" spans="2:97" s="166" customFormat="1" ht="15" customHeight="1">
      <c r="B21" s="182"/>
      <c r="C21" s="181">
        <f>Tournament!D22</f>
        <v>7</v>
      </c>
      <c r="D21" s="181" t="str">
        <f>Tournament!E22</f>
        <v>D</v>
      </c>
      <c r="E21" s="188">
        <f>Tournament!F22</f>
        <v>41804.666666666664</v>
      </c>
      <c r="F21" s="189">
        <f>Tournament!G22</f>
        <v>41804.666666666664</v>
      </c>
      <c r="G21" s="190" t="str">
        <f>Tournament!H22</f>
        <v>Uruguay</v>
      </c>
      <c r="H21" s="180"/>
      <c r="I21" s="9"/>
      <c r="J21" s="191" t="s">
        <v>3088</v>
      </c>
      <c r="K21" s="9"/>
      <c r="L21" s="180"/>
      <c r="M21" s="180" t="str">
        <f>Tournament!N22</f>
        <v>Costa Rica</v>
      </c>
      <c r="N21" s="183"/>
      <c r="P21" s="192" t="str">
        <f t="shared" si="0"/>
        <v>Uruguay</v>
      </c>
      <c r="Q21" s="193"/>
      <c r="R21" s="194" t="str">
        <f>IF(Tournament!J22&lt;&gt;"",Tournament!J22,"")</f>
        <v/>
      </c>
      <c r="S21" s="194" t="s">
        <v>3088</v>
      </c>
      <c r="T21" s="194" t="str">
        <f>IF(Tournament!L22&lt;&gt;"",Tournament!L22,"")</f>
        <v/>
      </c>
      <c r="U21" s="193"/>
      <c r="V21" s="193" t="str">
        <f t="shared" si="1"/>
        <v>Costa Rica</v>
      </c>
      <c r="W21" s="194"/>
      <c r="X21" s="194"/>
      <c r="Y21" s="194"/>
      <c r="Z21" s="194"/>
      <c r="AA21" s="194"/>
      <c r="AB21" s="194"/>
      <c r="AC21" s="194"/>
      <c r="AD21" s="195" t="str">
        <f>IF(AND(I21&lt;&gt;"",K21&lt;&gt;"",R21&lt;&gt;"",T21&lt;&gt;""),IF(AND(I21=R21,K21=T21),Setup!$D$10,IF((I21-K21)=(R21-T21),Setup!$D$11,IF(AND((I21&gt;K21),(R21&gt;T21)),Setup!$D$12,IF(AND((K21&gt;I21),(T21&gt;R21)),Setup!$D$12,0)))),"")</f>
        <v/>
      </c>
      <c r="AE21" s="183"/>
      <c r="CP21" s="168"/>
      <c r="CQ21" s="196"/>
      <c r="CR21" s="187"/>
      <c r="CS21" s="168"/>
    </row>
    <row r="22" spans="2:97" s="166" customFormat="1" ht="15" customHeight="1">
      <c r="B22" s="182"/>
      <c r="C22" s="181">
        <f>Tournament!D23</f>
        <v>8</v>
      </c>
      <c r="D22" s="181" t="str">
        <f>Tournament!E23</f>
        <v>D</v>
      </c>
      <c r="E22" s="188">
        <f>Tournament!F23</f>
        <v>41804.791666666664</v>
      </c>
      <c r="F22" s="189">
        <f>Tournament!G23</f>
        <v>41804.791666666664</v>
      </c>
      <c r="G22" s="190" t="str">
        <f>Tournament!H23</f>
        <v>England</v>
      </c>
      <c r="H22" s="180"/>
      <c r="I22" s="9"/>
      <c r="J22" s="191" t="s">
        <v>3088</v>
      </c>
      <c r="K22" s="9"/>
      <c r="L22" s="180"/>
      <c r="M22" s="180" t="str">
        <f>Tournament!N23</f>
        <v>Italy</v>
      </c>
      <c r="N22" s="183"/>
      <c r="P22" s="192" t="str">
        <f t="shared" si="0"/>
        <v>England</v>
      </c>
      <c r="Q22" s="193"/>
      <c r="R22" s="194" t="str">
        <f>IF(Tournament!J23&lt;&gt;"",Tournament!J23,"")</f>
        <v/>
      </c>
      <c r="S22" s="194" t="s">
        <v>3088</v>
      </c>
      <c r="T22" s="194" t="str">
        <f>IF(Tournament!L23&lt;&gt;"",Tournament!L23,"")</f>
        <v/>
      </c>
      <c r="U22" s="193"/>
      <c r="V22" s="193" t="str">
        <f t="shared" si="1"/>
        <v>Italy</v>
      </c>
      <c r="W22" s="194"/>
      <c r="X22" s="194"/>
      <c r="Y22" s="194"/>
      <c r="Z22" s="194"/>
      <c r="AA22" s="194"/>
      <c r="AB22" s="194"/>
      <c r="AC22" s="194"/>
      <c r="AD22" s="195" t="str">
        <f>IF(AND(I22&lt;&gt;"",K22&lt;&gt;"",R22&lt;&gt;"",T22&lt;&gt;""),IF(AND(I22=R22,K22=T22),Setup!$D$10,IF((I22-K22)=(R22-T22),Setup!$D$11,IF(AND((I22&gt;K22),(R22&gt;T22)),Setup!$D$12,IF(AND((K22&gt;I22),(T22&gt;R22)),Setup!$D$12,0)))),"")</f>
        <v/>
      </c>
      <c r="AE22" s="183"/>
      <c r="CP22" s="168"/>
      <c r="CQ22" s="186"/>
      <c r="CR22" s="187"/>
      <c r="CS22" s="168"/>
    </row>
    <row r="23" spans="2:97" s="166" customFormat="1" ht="15" customHeight="1">
      <c r="B23" s="182"/>
      <c r="C23" s="181">
        <f>Tournament!D24</f>
        <v>9</v>
      </c>
      <c r="D23" s="181" t="str">
        <f>Tournament!E24</f>
        <v>E</v>
      </c>
      <c r="E23" s="188">
        <f>Tournament!F24</f>
        <v>41805.541666666664</v>
      </c>
      <c r="F23" s="189">
        <f>Tournament!G24</f>
        <v>41805.541666666664</v>
      </c>
      <c r="G23" s="190" t="str">
        <f>Tournament!H24</f>
        <v>Switzerland</v>
      </c>
      <c r="H23" s="180"/>
      <c r="I23" s="9"/>
      <c r="J23" s="191" t="s">
        <v>3088</v>
      </c>
      <c r="K23" s="9"/>
      <c r="L23" s="180"/>
      <c r="M23" s="180" t="str">
        <f>Tournament!N24</f>
        <v>Ecuador</v>
      </c>
      <c r="N23" s="183"/>
      <c r="P23" s="192" t="str">
        <f t="shared" si="0"/>
        <v>Switzerland</v>
      </c>
      <c r="Q23" s="193"/>
      <c r="R23" s="194" t="str">
        <f>IF(Tournament!J24&lt;&gt;"",Tournament!J24,"")</f>
        <v/>
      </c>
      <c r="S23" s="194" t="s">
        <v>3088</v>
      </c>
      <c r="T23" s="194" t="str">
        <f>IF(Tournament!L24&lt;&gt;"",Tournament!L24,"")</f>
        <v/>
      </c>
      <c r="U23" s="193"/>
      <c r="V23" s="193" t="str">
        <f t="shared" si="1"/>
        <v>Ecuador</v>
      </c>
      <c r="W23" s="194"/>
      <c r="X23" s="194"/>
      <c r="Y23" s="194"/>
      <c r="Z23" s="194"/>
      <c r="AA23" s="194"/>
      <c r="AB23" s="194"/>
      <c r="AC23" s="194"/>
      <c r="AD23" s="195" t="str">
        <f>IF(AND(I23&lt;&gt;"",K23&lt;&gt;"",R23&lt;&gt;"",T23&lt;&gt;""),IF(AND(I23=R23,K23=T23),Setup!$D$10,IF((I23-K23)=(R23-T23),Setup!$D$11,IF(AND((I23&gt;K23),(R23&gt;T23)),Setup!$D$12,IF(AND((K23&gt;I23),(T23&gt;R23)),Setup!$D$12,0)))),"")</f>
        <v/>
      </c>
      <c r="AE23" s="183"/>
      <c r="CP23" s="168"/>
      <c r="CQ23" s="186"/>
      <c r="CR23" s="187"/>
      <c r="CS23" s="168"/>
    </row>
    <row r="24" spans="2:97" s="166" customFormat="1" ht="15" customHeight="1">
      <c r="B24" s="182"/>
      <c r="C24" s="181">
        <f>Tournament!D25</f>
        <v>10</v>
      </c>
      <c r="D24" s="181" t="str">
        <f>Tournament!E25</f>
        <v>E</v>
      </c>
      <c r="E24" s="188">
        <f>Tournament!F25</f>
        <v>41805.666666666664</v>
      </c>
      <c r="F24" s="189">
        <f>Tournament!G25</f>
        <v>41805.666666666664</v>
      </c>
      <c r="G24" s="190" t="str">
        <f>Tournament!H25</f>
        <v>France</v>
      </c>
      <c r="H24" s="180"/>
      <c r="I24" s="9"/>
      <c r="J24" s="191" t="s">
        <v>3088</v>
      </c>
      <c r="K24" s="9"/>
      <c r="L24" s="180"/>
      <c r="M24" s="180" t="str">
        <f>Tournament!N25</f>
        <v>Honduras</v>
      </c>
      <c r="N24" s="183"/>
      <c r="P24" s="192" t="str">
        <f t="shared" si="0"/>
        <v>France</v>
      </c>
      <c r="Q24" s="193"/>
      <c r="R24" s="194" t="str">
        <f>IF(Tournament!J25&lt;&gt;"",Tournament!J25,"")</f>
        <v/>
      </c>
      <c r="S24" s="194" t="s">
        <v>3088</v>
      </c>
      <c r="T24" s="194" t="str">
        <f>IF(Tournament!L25&lt;&gt;"",Tournament!L25,"")</f>
        <v/>
      </c>
      <c r="U24" s="193"/>
      <c r="V24" s="193" t="str">
        <f t="shared" si="1"/>
        <v>Honduras</v>
      </c>
      <c r="W24" s="194"/>
      <c r="X24" s="194"/>
      <c r="Y24" s="194"/>
      <c r="Z24" s="194"/>
      <c r="AA24" s="194"/>
      <c r="AB24" s="194"/>
      <c r="AC24" s="194"/>
      <c r="AD24" s="195" t="str">
        <f>IF(AND(I24&lt;&gt;"",K24&lt;&gt;"",R24&lt;&gt;"",T24&lt;&gt;""),IF(AND(I24=R24,K24=T24),Setup!$D$10,IF((I24-K24)=(R24-T24),Setup!$D$11,IF(AND((I24&gt;K24),(R24&gt;T24)),Setup!$D$12,IF(AND((K24&gt;I24),(T24&gt;R24)),Setup!$D$12,0)))),"")</f>
        <v/>
      </c>
      <c r="AE24" s="183"/>
      <c r="CP24" s="168"/>
      <c r="CQ24" s="186"/>
      <c r="CR24" s="187"/>
      <c r="CS24" s="168"/>
    </row>
    <row r="25" spans="2:97" s="166" customFormat="1" ht="15" customHeight="1">
      <c r="B25" s="182"/>
      <c r="C25" s="181">
        <f>Tournament!D26</f>
        <v>11</v>
      </c>
      <c r="D25" s="181" t="str">
        <f>Tournament!E26</f>
        <v>F</v>
      </c>
      <c r="E25" s="188">
        <f>Tournament!F26</f>
        <v>41805.791666666664</v>
      </c>
      <c r="F25" s="189">
        <f>Tournament!G26</f>
        <v>41805.791666666664</v>
      </c>
      <c r="G25" s="190" t="str">
        <f>Tournament!H26</f>
        <v>Argentina</v>
      </c>
      <c r="H25" s="180"/>
      <c r="I25" s="9"/>
      <c r="J25" s="191" t="s">
        <v>3088</v>
      </c>
      <c r="K25" s="9"/>
      <c r="L25" s="180"/>
      <c r="M25" s="180" t="str">
        <f>Tournament!N26</f>
        <v>Bosnia-Herzegovina</v>
      </c>
      <c r="N25" s="183"/>
      <c r="P25" s="192" t="str">
        <f t="shared" si="0"/>
        <v>Argentina</v>
      </c>
      <c r="Q25" s="193"/>
      <c r="R25" s="194" t="str">
        <f>IF(Tournament!J26&lt;&gt;"",Tournament!J26,"")</f>
        <v/>
      </c>
      <c r="S25" s="194" t="s">
        <v>3088</v>
      </c>
      <c r="T25" s="194" t="str">
        <f>IF(Tournament!L26&lt;&gt;"",Tournament!L26,"")</f>
        <v/>
      </c>
      <c r="U25" s="193"/>
      <c r="V25" s="193" t="str">
        <f t="shared" si="1"/>
        <v>Bosnia-Herzegovina</v>
      </c>
      <c r="W25" s="194"/>
      <c r="X25" s="194"/>
      <c r="Y25" s="194"/>
      <c r="Z25" s="194"/>
      <c r="AA25" s="194"/>
      <c r="AB25" s="194"/>
      <c r="AC25" s="194"/>
      <c r="AD25" s="195" t="str">
        <f>IF(AND(I25&lt;&gt;"",K25&lt;&gt;"",R25&lt;&gt;"",T25&lt;&gt;""),IF(AND(I25=R25,K25=T25),Setup!$D$10,IF((I25-K25)=(R25-T25),Setup!$D$11,IF(AND((I25&gt;K25),(R25&gt;T25)),Setup!$D$12,IF(AND((K25&gt;I25),(T25&gt;R25)),Setup!$D$12,0)))),"")</f>
        <v/>
      </c>
      <c r="AE25" s="183"/>
      <c r="CP25" s="168"/>
      <c r="CQ25" s="186"/>
      <c r="CR25" s="187"/>
      <c r="CS25" s="168"/>
    </row>
    <row r="26" spans="2:97" s="166" customFormat="1" ht="15" customHeight="1">
      <c r="B26" s="182"/>
      <c r="C26" s="181">
        <f>Tournament!D27</f>
        <v>12</v>
      </c>
      <c r="D26" s="181" t="str">
        <f>Tournament!E27</f>
        <v>F</v>
      </c>
      <c r="E26" s="188">
        <f>Tournament!F27</f>
        <v>41806.666666666664</v>
      </c>
      <c r="F26" s="189">
        <f>Tournament!G27</f>
        <v>41806.666666666664</v>
      </c>
      <c r="G26" s="190" t="str">
        <f>Tournament!H27</f>
        <v>Iran</v>
      </c>
      <c r="H26" s="180"/>
      <c r="I26" s="9"/>
      <c r="J26" s="191" t="s">
        <v>3088</v>
      </c>
      <c r="K26" s="9"/>
      <c r="L26" s="180"/>
      <c r="M26" s="180" t="str">
        <f>Tournament!N27</f>
        <v>Nigeria</v>
      </c>
      <c r="N26" s="183"/>
      <c r="P26" s="192" t="str">
        <f t="shared" si="0"/>
        <v>Iran</v>
      </c>
      <c r="Q26" s="193"/>
      <c r="R26" s="194" t="str">
        <f>IF(Tournament!J27&lt;&gt;"",Tournament!J27,"")</f>
        <v/>
      </c>
      <c r="S26" s="194" t="s">
        <v>3088</v>
      </c>
      <c r="T26" s="194" t="str">
        <f>IF(Tournament!L27&lt;&gt;"",Tournament!L27,"")</f>
        <v/>
      </c>
      <c r="U26" s="193"/>
      <c r="V26" s="193" t="str">
        <f t="shared" si="1"/>
        <v>Nigeria</v>
      </c>
      <c r="W26" s="194"/>
      <c r="X26" s="194"/>
      <c r="Y26" s="194"/>
      <c r="Z26" s="194"/>
      <c r="AA26" s="194"/>
      <c r="AB26" s="194"/>
      <c r="AC26" s="194"/>
      <c r="AD26" s="195" t="str">
        <f>IF(AND(I26&lt;&gt;"",K26&lt;&gt;"",R26&lt;&gt;"",T26&lt;&gt;""),IF(AND(I26=R26,K26=T26),Setup!$D$10,IF((I26-K26)=(R26-T26),Setup!$D$11,IF(AND((I26&gt;K26),(R26&gt;T26)),Setup!$D$12,IF(AND((K26&gt;I26),(T26&gt;R26)),Setup!$D$12,0)))),"")</f>
        <v/>
      </c>
      <c r="AE26" s="183"/>
      <c r="CP26" s="168"/>
      <c r="CQ26" s="186"/>
      <c r="CR26" s="187"/>
      <c r="CS26" s="168"/>
    </row>
    <row r="27" spans="2:97" s="166" customFormat="1" ht="15" customHeight="1">
      <c r="B27" s="182"/>
      <c r="C27" s="181">
        <f>Tournament!D28</f>
        <v>13</v>
      </c>
      <c r="D27" s="181" t="str">
        <f>Tournament!E28</f>
        <v>G</v>
      </c>
      <c r="E27" s="188">
        <f>Tournament!F28</f>
        <v>41806.541666666664</v>
      </c>
      <c r="F27" s="189">
        <f>Tournament!G28</f>
        <v>41806.541666666664</v>
      </c>
      <c r="G27" s="190" t="str">
        <f>Tournament!H28</f>
        <v>Germany</v>
      </c>
      <c r="H27" s="180"/>
      <c r="I27" s="9"/>
      <c r="J27" s="191" t="s">
        <v>3088</v>
      </c>
      <c r="K27" s="9"/>
      <c r="L27" s="180"/>
      <c r="M27" s="180" t="str">
        <f>Tournament!N28</f>
        <v>Portugal</v>
      </c>
      <c r="N27" s="183"/>
      <c r="P27" s="192" t="str">
        <f t="shared" si="0"/>
        <v>Germany</v>
      </c>
      <c r="Q27" s="193"/>
      <c r="R27" s="194" t="str">
        <f>IF(Tournament!J28&lt;&gt;"",Tournament!J28,"")</f>
        <v/>
      </c>
      <c r="S27" s="194" t="s">
        <v>3088</v>
      </c>
      <c r="T27" s="194" t="str">
        <f>IF(Tournament!L28&lt;&gt;"",Tournament!L28,"")</f>
        <v/>
      </c>
      <c r="U27" s="193"/>
      <c r="V27" s="193" t="str">
        <f t="shared" si="1"/>
        <v>Portugal</v>
      </c>
      <c r="W27" s="194"/>
      <c r="X27" s="194"/>
      <c r="Y27" s="194"/>
      <c r="Z27" s="194"/>
      <c r="AA27" s="194"/>
      <c r="AB27" s="194"/>
      <c r="AC27" s="194"/>
      <c r="AD27" s="195" t="str">
        <f>IF(AND(I27&lt;&gt;"",K27&lt;&gt;"",R27&lt;&gt;"",T27&lt;&gt;""),IF(AND(I27=R27,K27=T27),Setup!$D$10,IF((I27-K27)=(R27-T27),Setup!$D$11,IF(AND((I27&gt;K27),(R27&gt;T27)),Setup!$D$12,IF(AND((K27&gt;I27),(T27&gt;R27)),Setup!$D$12,0)))),"")</f>
        <v/>
      </c>
      <c r="AE27" s="183"/>
      <c r="CP27" s="168"/>
      <c r="CQ27" s="186"/>
      <c r="CR27" s="187"/>
      <c r="CS27" s="168"/>
    </row>
    <row r="28" spans="2:97" s="166" customFormat="1" ht="15" customHeight="1">
      <c r="B28" s="182"/>
      <c r="C28" s="181">
        <f>Tournament!D29</f>
        <v>14</v>
      </c>
      <c r="D28" s="181" t="str">
        <f>Tournament!E29</f>
        <v>G</v>
      </c>
      <c r="E28" s="188">
        <f>Tournament!F29</f>
        <v>41806.791666666664</v>
      </c>
      <c r="F28" s="189">
        <f>Tournament!G29</f>
        <v>41806.791666666664</v>
      </c>
      <c r="G28" s="190" t="str">
        <f>Tournament!H29</f>
        <v>Ghana</v>
      </c>
      <c r="H28" s="180"/>
      <c r="I28" s="9"/>
      <c r="J28" s="191" t="s">
        <v>3088</v>
      </c>
      <c r="K28" s="9"/>
      <c r="L28" s="180"/>
      <c r="M28" s="180" t="str">
        <f>Tournament!N29</f>
        <v>USA</v>
      </c>
      <c r="N28" s="183"/>
      <c r="P28" s="192" t="str">
        <f t="shared" si="0"/>
        <v>Ghana</v>
      </c>
      <c r="Q28" s="193"/>
      <c r="R28" s="194" t="str">
        <f>IF(Tournament!J29&lt;&gt;"",Tournament!J29,"")</f>
        <v/>
      </c>
      <c r="S28" s="194" t="s">
        <v>3088</v>
      </c>
      <c r="T28" s="194" t="str">
        <f>IF(Tournament!L29&lt;&gt;"",Tournament!L29,"")</f>
        <v/>
      </c>
      <c r="U28" s="193"/>
      <c r="V28" s="193" t="str">
        <f t="shared" si="1"/>
        <v>USA</v>
      </c>
      <c r="W28" s="194"/>
      <c r="X28" s="194"/>
      <c r="Y28" s="194"/>
      <c r="Z28" s="194"/>
      <c r="AA28" s="194"/>
      <c r="AB28" s="194"/>
      <c r="AC28" s="194"/>
      <c r="AD28" s="195" t="str">
        <f>IF(AND(I28&lt;&gt;"",K28&lt;&gt;"",R28&lt;&gt;"",T28&lt;&gt;""),IF(AND(I28=R28,K28=T28),Setup!$D$10,IF((I28-K28)=(R28-T28),Setup!$D$11,IF(AND((I28&gt;K28),(R28&gt;T28)),Setup!$D$12,IF(AND((K28&gt;I28),(T28&gt;R28)),Setup!$D$12,0)))),"")</f>
        <v/>
      </c>
      <c r="AE28" s="183"/>
      <c r="CP28" s="168"/>
      <c r="CQ28" s="186"/>
      <c r="CR28" s="187"/>
      <c r="CS28" s="168"/>
    </row>
    <row r="29" spans="2:97" s="166" customFormat="1" ht="15" customHeight="1">
      <c r="B29" s="182"/>
      <c r="C29" s="181">
        <f>Tournament!D30</f>
        <v>15</v>
      </c>
      <c r="D29" s="181" t="str">
        <f>Tournament!E30</f>
        <v>H</v>
      </c>
      <c r="E29" s="188">
        <f>Tournament!F30</f>
        <v>41807.541666666664</v>
      </c>
      <c r="F29" s="189">
        <f>Tournament!G30</f>
        <v>41807.541666666664</v>
      </c>
      <c r="G29" s="190" t="str">
        <f>Tournament!H30</f>
        <v>Belgium</v>
      </c>
      <c r="H29" s="180"/>
      <c r="I29" s="9"/>
      <c r="J29" s="191" t="s">
        <v>3088</v>
      </c>
      <c r="K29" s="9"/>
      <c r="L29" s="180"/>
      <c r="M29" s="180" t="str">
        <f>Tournament!N30</f>
        <v>Algeria</v>
      </c>
      <c r="N29" s="183"/>
      <c r="P29" s="192" t="str">
        <f t="shared" si="0"/>
        <v>Belgium</v>
      </c>
      <c r="Q29" s="193"/>
      <c r="R29" s="194" t="str">
        <f>IF(Tournament!J30&lt;&gt;"",Tournament!J30,"")</f>
        <v/>
      </c>
      <c r="S29" s="194" t="s">
        <v>3088</v>
      </c>
      <c r="T29" s="194" t="str">
        <f>IF(Tournament!L30&lt;&gt;"",Tournament!L30,"")</f>
        <v/>
      </c>
      <c r="U29" s="193"/>
      <c r="V29" s="193" t="str">
        <f t="shared" si="1"/>
        <v>Algeria</v>
      </c>
      <c r="W29" s="194"/>
      <c r="X29" s="194"/>
      <c r="Y29" s="194"/>
      <c r="Z29" s="194"/>
      <c r="AA29" s="194"/>
      <c r="AB29" s="194"/>
      <c r="AC29" s="194"/>
      <c r="AD29" s="195" t="str">
        <f>IF(AND(I29&lt;&gt;"",K29&lt;&gt;"",R29&lt;&gt;"",T29&lt;&gt;""),IF(AND(I29=R29,K29=T29),Setup!$D$10,IF((I29-K29)=(R29-T29),Setup!$D$11,IF(AND((I29&gt;K29),(R29&gt;T29)),Setup!$D$12,IF(AND((K29&gt;I29),(T29&gt;R29)),Setup!$D$12,0)))),"")</f>
        <v/>
      </c>
      <c r="AE29" s="183"/>
      <c r="CP29" s="168"/>
      <c r="CQ29" s="186"/>
      <c r="CR29" s="187"/>
      <c r="CS29" s="168"/>
    </row>
    <row r="30" spans="2:97" s="166" customFormat="1" ht="15" customHeight="1">
      <c r="B30" s="182"/>
      <c r="C30" s="181">
        <f>Tournament!D31</f>
        <v>16</v>
      </c>
      <c r="D30" s="181" t="str">
        <f>Tournament!E31</f>
        <v>H</v>
      </c>
      <c r="E30" s="188">
        <f>Tournament!F31</f>
        <v>41807.791666666664</v>
      </c>
      <c r="F30" s="189">
        <f>Tournament!G31</f>
        <v>41807.791666666664</v>
      </c>
      <c r="G30" s="190" t="str">
        <f>Tournament!H31</f>
        <v>Russia</v>
      </c>
      <c r="H30" s="180"/>
      <c r="I30" s="9"/>
      <c r="J30" s="191" t="s">
        <v>3088</v>
      </c>
      <c r="K30" s="9"/>
      <c r="L30" s="180"/>
      <c r="M30" s="180" t="str">
        <f>Tournament!N31</f>
        <v>South Korea</v>
      </c>
      <c r="N30" s="183"/>
      <c r="P30" s="192" t="str">
        <f t="shared" si="0"/>
        <v>Russia</v>
      </c>
      <c r="Q30" s="193"/>
      <c r="R30" s="194" t="str">
        <f>IF(Tournament!J31&lt;&gt;"",Tournament!J31,"")</f>
        <v/>
      </c>
      <c r="S30" s="194" t="s">
        <v>3088</v>
      </c>
      <c r="T30" s="194" t="str">
        <f>IF(Tournament!L31&lt;&gt;"",Tournament!L31,"")</f>
        <v/>
      </c>
      <c r="U30" s="193"/>
      <c r="V30" s="193" t="str">
        <f t="shared" si="1"/>
        <v>South Korea</v>
      </c>
      <c r="W30" s="194"/>
      <c r="X30" s="194"/>
      <c r="Y30" s="194"/>
      <c r="Z30" s="194"/>
      <c r="AA30" s="194"/>
      <c r="AB30" s="194"/>
      <c r="AC30" s="194"/>
      <c r="AD30" s="195" t="str">
        <f>IF(AND(I30&lt;&gt;"",K30&lt;&gt;"",R30&lt;&gt;"",T30&lt;&gt;""),IF(AND(I30=R30,K30=T30),Setup!$D$10,IF((I30-K30)=(R30-T30),Setup!$D$11,IF(AND((I30&gt;K30),(R30&gt;T30)),Setup!$D$12,IF(AND((K30&gt;I30),(T30&gt;R30)),Setup!$D$12,0)))),"")</f>
        <v/>
      </c>
      <c r="AE30" s="183"/>
      <c r="CP30" s="168"/>
      <c r="CQ30" s="186"/>
      <c r="CR30" s="187"/>
      <c r="CS30" s="168"/>
    </row>
    <row r="31" spans="2:97" s="166" customFormat="1" ht="15" customHeight="1">
      <c r="B31" s="182"/>
      <c r="C31" s="181">
        <f>Tournament!D32</f>
        <v>17</v>
      </c>
      <c r="D31" s="181" t="str">
        <f>Tournament!E32</f>
        <v>A</v>
      </c>
      <c r="E31" s="188">
        <f>Tournament!F32</f>
        <v>41807.666666666664</v>
      </c>
      <c r="F31" s="189">
        <f>Tournament!G32</f>
        <v>41807.666666666664</v>
      </c>
      <c r="G31" s="190" t="str">
        <f>Tournament!H32</f>
        <v>Brazil</v>
      </c>
      <c r="H31" s="180"/>
      <c r="I31" s="9"/>
      <c r="J31" s="191" t="s">
        <v>3088</v>
      </c>
      <c r="K31" s="9"/>
      <c r="L31" s="180"/>
      <c r="M31" s="180" t="str">
        <f>Tournament!N32</f>
        <v>Mexico</v>
      </c>
      <c r="N31" s="183"/>
      <c r="P31" s="192" t="str">
        <f t="shared" si="0"/>
        <v>Brazil</v>
      </c>
      <c r="Q31" s="193"/>
      <c r="R31" s="194" t="str">
        <f>IF(Tournament!J32&lt;&gt;"",Tournament!J32,"")</f>
        <v/>
      </c>
      <c r="S31" s="194" t="s">
        <v>3088</v>
      </c>
      <c r="T31" s="194" t="str">
        <f>IF(Tournament!L32&lt;&gt;"",Tournament!L32,"")</f>
        <v/>
      </c>
      <c r="U31" s="193"/>
      <c r="V31" s="193" t="str">
        <f t="shared" si="1"/>
        <v>Mexico</v>
      </c>
      <c r="W31" s="194"/>
      <c r="X31" s="194"/>
      <c r="Y31" s="194"/>
      <c r="Z31" s="194"/>
      <c r="AA31" s="194"/>
      <c r="AB31" s="194"/>
      <c r="AC31" s="194"/>
      <c r="AD31" s="195" t="str">
        <f>IF(AND(I31&lt;&gt;"",K31&lt;&gt;"",R31&lt;&gt;"",T31&lt;&gt;""),IF(AND(I31=R31,K31=T31),Setup!$D$10,IF((I31-K31)=(R31-T31),Setup!$D$11,IF(AND((I31&gt;K31),(R31&gt;T31)),Setup!$D$12,IF(AND((K31&gt;I31),(T31&gt;R31)),Setup!$D$12,0)))),"")</f>
        <v/>
      </c>
      <c r="AE31" s="183"/>
      <c r="CP31" s="168"/>
      <c r="CQ31" s="186"/>
      <c r="CR31" s="187"/>
      <c r="CS31" s="168"/>
    </row>
    <row r="32" spans="2:97" s="166" customFormat="1" ht="15" customHeight="1">
      <c r="B32" s="182"/>
      <c r="C32" s="181">
        <f>Tournament!D33</f>
        <v>18</v>
      </c>
      <c r="D32" s="181" t="str">
        <f>Tournament!E33</f>
        <v>A</v>
      </c>
      <c r="E32" s="188">
        <f>Tournament!F33</f>
        <v>41808.791666666664</v>
      </c>
      <c r="F32" s="189">
        <f>Tournament!G33</f>
        <v>41808.791666666664</v>
      </c>
      <c r="G32" s="190" t="str">
        <f>Tournament!H33</f>
        <v>Cameroon</v>
      </c>
      <c r="H32" s="180"/>
      <c r="I32" s="9"/>
      <c r="J32" s="191" t="s">
        <v>3088</v>
      </c>
      <c r="K32" s="9"/>
      <c r="L32" s="180"/>
      <c r="M32" s="180" t="str">
        <f>Tournament!N33</f>
        <v>Croatia</v>
      </c>
      <c r="N32" s="183"/>
      <c r="P32" s="192" t="str">
        <f t="shared" si="0"/>
        <v>Cameroon</v>
      </c>
      <c r="Q32" s="193"/>
      <c r="R32" s="194" t="str">
        <f>IF(Tournament!J33&lt;&gt;"",Tournament!J33,"")</f>
        <v/>
      </c>
      <c r="S32" s="194" t="s">
        <v>3088</v>
      </c>
      <c r="T32" s="194" t="str">
        <f>IF(Tournament!L33&lt;&gt;"",Tournament!L33,"")</f>
        <v/>
      </c>
      <c r="U32" s="193"/>
      <c r="V32" s="193" t="str">
        <f t="shared" si="1"/>
        <v>Croatia</v>
      </c>
      <c r="W32" s="194"/>
      <c r="X32" s="194"/>
      <c r="Y32" s="194"/>
      <c r="Z32" s="194"/>
      <c r="AA32" s="194"/>
      <c r="AB32" s="194"/>
      <c r="AC32" s="194"/>
      <c r="AD32" s="195" t="str">
        <f>IF(AND(I32&lt;&gt;"",K32&lt;&gt;"",R32&lt;&gt;"",T32&lt;&gt;""),IF(AND(I32=R32,K32=T32),Setup!$D$10,IF((I32-K32)=(R32-T32),Setup!$D$11,IF(AND((I32&gt;K32),(R32&gt;T32)),Setup!$D$12,IF(AND((K32&gt;I32),(T32&gt;R32)),Setup!$D$12,0)))),"")</f>
        <v/>
      </c>
      <c r="AE32" s="183"/>
      <c r="CP32" s="168"/>
      <c r="CQ32" s="186"/>
      <c r="CR32" s="187"/>
      <c r="CS32" s="168"/>
    </row>
    <row r="33" spans="2:97" s="166" customFormat="1" ht="15" customHeight="1">
      <c r="B33" s="182"/>
      <c r="C33" s="181">
        <f>Tournament!D34</f>
        <v>19</v>
      </c>
      <c r="D33" s="181" t="str">
        <f>Tournament!E34</f>
        <v>B</v>
      </c>
      <c r="E33" s="188">
        <f>Tournament!F34</f>
        <v>41808.666666666664</v>
      </c>
      <c r="F33" s="189">
        <f>Tournament!G34</f>
        <v>41808.666666666664</v>
      </c>
      <c r="G33" s="190" t="str">
        <f>Tournament!H34</f>
        <v>Spain</v>
      </c>
      <c r="H33" s="180"/>
      <c r="I33" s="9"/>
      <c r="J33" s="191" t="s">
        <v>3088</v>
      </c>
      <c r="K33" s="9"/>
      <c r="L33" s="180"/>
      <c r="M33" s="180" t="str">
        <f>Tournament!N34</f>
        <v>Chile</v>
      </c>
      <c r="N33" s="183"/>
      <c r="P33" s="192" t="str">
        <f t="shared" si="0"/>
        <v>Spain</v>
      </c>
      <c r="Q33" s="193"/>
      <c r="R33" s="194" t="str">
        <f>IF(Tournament!J34&lt;&gt;"",Tournament!J34,"")</f>
        <v/>
      </c>
      <c r="S33" s="194" t="s">
        <v>3088</v>
      </c>
      <c r="T33" s="194" t="str">
        <f>IF(Tournament!L34&lt;&gt;"",Tournament!L34,"")</f>
        <v/>
      </c>
      <c r="U33" s="193"/>
      <c r="V33" s="193" t="str">
        <f t="shared" si="1"/>
        <v>Chile</v>
      </c>
      <c r="W33" s="194"/>
      <c r="X33" s="194"/>
      <c r="Y33" s="194"/>
      <c r="Z33" s="194"/>
      <c r="AA33" s="194"/>
      <c r="AB33" s="194"/>
      <c r="AC33" s="194"/>
      <c r="AD33" s="195" t="str">
        <f>IF(AND(I33&lt;&gt;"",K33&lt;&gt;"",R33&lt;&gt;"",T33&lt;&gt;""),IF(AND(I33=R33,K33=T33),Setup!$D$10,IF((I33-K33)=(R33-T33),Setup!$D$11,IF(AND((I33&gt;K33),(R33&gt;T33)),Setup!$D$12,IF(AND((K33&gt;I33),(T33&gt;R33)),Setup!$D$12,0)))),"")</f>
        <v/>
      </c>
      <c r="AE33" s="183"/>
      <c r="CP33" s="168"/>
      <c r="CQ33" s="186"/>
      <c r="CR33" s="187"/>
      <c r="CS33" s="168"/>
    </row>
    <row r="34" spans="2:97" s="166" customFormat="1" ht="15" customHeight="1">
      <c r="B34" s="182"/>
      <c r="C34" s="181">
        <f>Tournament!D35</f>
        <v>20</v>
      </c>
      <c r="D34" s="181" t="str">
        <f>Tournament!E35</f>
        <v>B</v>
      </c>
      <c r="E34" s="188">
        <f>Tournament!F35</f>
        <v>41808.541666666664</v>
      </c>
      <c r="F34" s="189">
        <f>Tournament!G35</f>
        <v>41808.541666666664</v>
      </c>
      <c r="G34" s="190" t="str">
        <f>Tournament!H35</f>
        <v>Australia</v>
      </c>
      <c r="H34" s="180"/>
      <c r="I34" s="9"/>
      <c r="J34" s="191" t="s">
        <v>3088</v>
      </c>
      <c r="K34" s="9"/>
      <c r="L34" s="180"/>
      <c r="M34" s="180" t="str">
        <f>Tournament!N35</f>
        <v>Netherlands</v>
      </c>
      <c r="N34" s="183"/>
      <c r="P34" s="192" t="str">
        <f t="shared" si="0"/>
        <v>Australia</v>
      </c>
      <c r="Q34" s="193"/>
      <c r="R34" s="194" t="str">
        <f>IF(Tournament!J35&lt;&gt;"",Tournament!J35,"")</f>
        <v/>
      </c>
      <c r="S34" s="194" t="s">
        <v>3088</v>
      </c>
      <c r="T34" s="194" t="str">
        <f>IF(Tournament!L35&lt;&gt;"",Tournament!L35,"")</f>
        <v/>
      </c>
      <c r="U34" s="193"/>
      <c r="V34" s="193" t="str">
        <f t="shared" si="1"/>
        <v>Netherlands</v>
      </c>
      <c r="W34" s="194"/>
      <c r="X34" s="194"/>
      <c r="Y34" s="194"/>
      <c r="Z34" s="194"/>
      <c r="AA34" s="194"/>
      <c r="AB34" s="194"/>
      <c r="AC34" s="194"/>
      <c r="AD34" s="195" t="str">
        <f>IF(AND(I34&lt;&gt;"",K34&lt;&gt;"",R34&lt;&gt;"",T34&lt;&gt;""),IF(AND(I34=R34,K34=T34),Setup!$D$10,IF((I34-K34)=(R34-T34),Setup!$D$11,IF(AND((I34&gt;K34),(R34&gt;T34)),Setup!$D$12,IF(AND((K34&gt;I34),(T34&gt;R34)),Setup!$D$12,0)))),"")</f>
        <v/>
      </c>
      <c r="AE34" s="183"/>
      <c r="CP34" s="168"/>
      <c r="CQ34" s="186"/>
      <c r="CR34" s="187"/>
      <c r="CS34" s="168"/>
    </row>
    <row r="35" spans="2:97" s="166" customFormat="1" ht="15" customHeight="1">
      <c r="B35" s="182"/>
      <c r="C35" s="181">
        <f>Tournament!D36</f>
        <v>21</v>
      </c>
      <c r="D35" s="181" t="str">
        <f>Tournament!E36</f>
        <v>C</v>
      </c>
      <c r="E35" s="188">
        <f>Tournament!F36</f>
        <v>41809.541666666664</v>
      </c>
      <c r="F35" s="189">
        <f>Tournament!G36</f>
        <v>41809.541666666664</v>
      </c>
      <c r="G35" s="190" t="str">
        <f>Tournament!H36</f>
        <v>Colombia</v>
      </c>
      <c r="H35" s="180"/>
      <c r="I35" s="9"/>
      <c r="J35" s="191" t="s">
        <v>3088</v>
      </c>
      <c r="K35" s="9"/>
      <c r="L35" s="180"/>
      <c r="M35" s="180" t="str">
        <f>Tournament!N36</f>
        <v>Ivory Coast</v>
      </c>
      <c r="N35" s="183"/>
      <c r="P35" s="192" t="str">
        <f t="shared" si="0"/>
        <v>Colombia</v>
      </c>
      <c r="Q35" s="193"/>
      <c r="R35" s="194" t="str">
        <f>IF(Tournament!J36&lt;&gt;"",Tournament!J36,"")</f>
        <v/>
      </c>
      <c r="S35" s="194" t="s">
        <v>3088</v>
      </c>
      <c r="T35" s="194" t="str">
        <f>IF(Tournament!L36&lt;&gt;"",Tournament!L36,"")</f>
        <v/>
      </c>
      <c r="U35" s="193"/>
      <c r="V35" s="193" t="str">
        <f t="shared" si="1"/>
        <v>Ivory Coast</v>
      </c>
      <c r="W35" s="194"/>
      <c r="X35" s="194"/>
      <c r="Y35" s="194"/>
      <c r="Z35" s="194"/>
      <c r="AA35" s="194"/>
      <c r="AB35" s="194"/>
      <c r="AC35" s="194"/>
      <c r="AD35" s="195" t="str">
        <f>IF(AND(I35&lt;&gt;"",K35&lt;&gt;"",R35&lt;&gt;"",T35&lt;&gt;""),IF(AND(I35=R35,K35=T35),Setup!$D$10,IF((I35-K35)=(R35-T35),Setup!$D$11,IF(AND((I35&gt;K35),(R35&gt;T35)),Setup!$D$12,IF(AND((K35&gt;I35),(T35&gt;R35)),Setup!$D$12,0)))),"")</f>
        <v/>
      </c>
      <c r="AE35" s="183"/>
      <c r="CP35" s="168"/>
      <c r="CQ35" s="186"/>
      <c r="CR35" s="187"/>
      <c r="CS35" s="168"/>
    </row>
    <row r="36" spans="2:97" s="166" customFormat="1" ht="15" customHeight="1">
      <c r="B36" s="182"/>
      <c r="C36" s="181">
        <f>Tournament!D37</f>
        <v>22</v>
      </c>
      <c r="D36" s="181" t="str">
        <f>Tournament!E37</f>
        <v>C</v>
      </c>
      <c r="E36" s="188">
        <f>Tournament!F37</f>
        <v>41809.791666666664</v>
      </c>
      <c r="F36" s="189">
        <f>Tournament!G37</f>
        <v>41809.791666666664</v>
      </c>
      <c r="G36" s="190" t="str">
        <f>Tournament!H37</f>
        <v>Japan</v>
      </c>
      <c r="H36" s="180"/>
      <c r="I36" s="9"/>
      <c r="J36" s="191" t="s">
        <v>3088</v>
      </c>
      <c r="K36" s="9"/>
      <c r="L36" s="180"/>
      <c r="M36" s="180" t="str">
        <f>Tournament!N37</f>
        <v>Greece</v>
      </c>
      <c r="N36" s="183"/>
      <c r="P36" s="192" t="str">
        <f t="shared" si="0"/>
        <v>Japan</v>
      </c>
      <c r="Q36" s="193"/>
      <c r="R36" s="194" t="str">
        <f>IF(Tournament!J37&lt;&gt;"",Tournament!J37,"")</f>
        <v/>
      </c>
      <c r="S36" s="194" t="s">
        <v>3088</v>
      </c>
      <c r="T36" s="194" t="str">
        <f>IF(Tournament!L37&lt;&gt;"",Tournament!L37,"")</f>
        <v/>
      </c>
      <c r="U36" s="193"/>
      <c r="V36" s="193" t="str">
        <f t="shared" si="1"/>
        <v>Greece</v>
      </c>
      <c r="W36" s="194"/>
      <c r="X36" s="194"/>
      <c r="Y36" s="194"/>
      <c r="Z36" s="194"/>
      <c r="AA36" s="194"/>
      <c r="AB36" s="194"/>
      <c r="AC36" s="194"/>
      <c r="AD36" s="195" t="str">
        <f>IF(AND(I36&lt;&gt;"",K36&lt;&gt;"",R36&lt;&gt;"",T36&lt;&gt;""),IF(AND(I36=R36,K36=T36),Setup!$D$10,IF((I36-K36)=(R36-T36),Setup!$D$11,IF(AND((I36&gt;K36),(R36&gt;T36)),Setup!$D$12,IF(AND((K36&gt;I36),(T36&gt;R36)),Setup!$D$12,0)))),"")</f>
        <v/>
      </c>
      <c r="AE36" s="183"/>
      <c r="CP36" s="168"/>
      <c r="CQ36" s="186"/>
      <c r="CR36" s="187"/>
      <c r="CS36" s="168"/>
    </row>
    <row r="37" spans="2:97" s="166" customFormat="1" ht="15" customHeight="1">
      <c r="B37" s="182"/>
      <c r="C37" s="181">
        <f>Tournament!D38</f>
        <v>23</v>
      </c>
      <c r="D37" s="181" t="str">
        <f>Tournament!E38</f>
        <v>D</v>
      </c>
      <c r="E37" s="188">
        <f>Tournament!F38</f>
        <v>41809.666666666664</v>
      </c>
      <c r="F37" s="189">
        <f>Tournament!G38</f>
        <v>41809.666666666664</v>
      </c>
      <c r="G37" s="190" t="str">
        <f>Tournament!H38</f>
        <v>Uruguay</v>
      </c>
      <c r="H37" s="180"/>
      <c r="I37" s="9"/>
      <c r="J37" s="191" t="s">
        <v>3088</v>
      </c>
      <c r="K37" s="9"/>
      <c r="L37" s="180"/>
      <c r="M37" s="180" t="str">
        <f>Tournament!N38</f>
        <v>England</v>
      </c>
      <c r="N37" s="183"/>
      <c r="P37" s="192" t="str">
        <f t="shared" si="0"/>
        <v>Uruguay</v>
      </c>
      <c r="Q37" s="193"/>
      <c r="R37" s="194" t="str">
        <f>IF(Tournament!J38&lt;&gt;"",Tournament!J38,"")</f>
        <v/>
      </c>
      <c r="S37" s="194" t="s">
        <v>3088</v>
      </c>
      <c r="T37" s="194" t="str">
        <f>IF(Tournament!L38&lt;&gt;"",Tournament!L38,"")</f>
        <v/>
      </c>
      <c r="U37" s="193"/>
      <c r="V37" s="193" t="str">
        <f t="shared" si="1"/>
        <v>England</v>
      </c>
      <c r="W37" s="194"/>
      <c r="X37" s="194"/>
      <c r="Y37" s="194"/>
      <c r="Z37" s="194"/>
      <c r="AA37" s="194"/>
      <c r="AB37" s="194"/>
      <c r="AC37" s="194"/>
      <c r="AD37" s="195" t="str">
        <f>IF(AND(I37&lt;&gt;"",K37&lt;&gt;"",R37&lt;&gt;"",T37&lt;&gt;""),IF(AND(I37=R37,K37=T37),Setup!$D$10,IF((I37-K37)=(R37-T37),Setup!$D$11,IF(AND((I37&gt;K37),(R37&gt;T37)),Setup!$D$12,IF(AND((K37&gt;I37),(T37&gt;R37)),Setup!$D$12,0)))),"")</f>
        <v/>
      </c>
      <c r="AE37" s="183"/>
      <c r="CP37" s="168"/>
      <c r="CQ37" s="186"/>
      <c r="CR37" s="187"/>
      <c r="CS37" s="168"/>
    </row>
    <row r="38" spans="2:97" s="166" customFormat="1" ht="15" customHeight="1">
      <c r="B38" s="182"/>
      <c r="C38" s="181">
        <f>Tournament!D39</f>
        <v>24</v>
      </c>
      <c r="D38" s="181" t="str">
        <f>Tournament!E39</f>
        <v>D</v>
      </c>
      <c r="E38" s="188">
        <f>Tournament!F39</f>
        <v>41810.541666666664</v>
      </c>
      <c r="F38" s="189">
        <f>Tournament!G39</f>
        <v>41810.541666666664</v>
      </c>
      <c r="G38" s="190" t="str">
        <f>Tournament!H39</f>
        <v>Italy</v>
      </c>
      <c r="H38" s="180"/>
      <c r="I38" s="9"/>
      <c r="J38" s="191" t="s">
        <v>3088</v>
      </c>
      <c r="K38" s="9"/>
      <c r="L38" s="180"/>
      <c r="M38" s="180" t="str">
        <f>Tournament!N39</f>
        <v>Costa Rica</v>
      </c>
      <c r="N38" s="183"/>
      <c r="P38" s="192" t="str">
        <f t="shared" si="0"/>
        <v>Italy</v>
      </c>
      <c r="Q38" s="193"/>
      <c r="R38" s="194" t="str">
        <f>IF(Tournament!J39&lt;&gt;"",Tournament!J39,"")</f>
        <v/>
      </c>
      <c r="S38" s="194" t="s">
        <v>3088</v>
      </c>
      <c r="T38" s="194" t="str">
        <f>IF(Tournament!L39&lt;&gt;"",Tournament!L39,"")</f>
        <v/>
      </c>
      <c r="U38" s="193"/>
      <c r="V38" s="193" t="str">
        <f t="shared" si="1"/>
        <v>Costa Rica</v>
      </c>
      <c r="W38" s="194"/>
      <c r="X38" s="194"/>
      <c r="Y38" s="194"/>
      <c r="Z38" s="194"/>
      <c r="AA38" s="194"/>
      <c r="AB38" s="194"/>
      <c r="AC38" s="194"/>
      <c r="AD38" s="195" t="str">
        <f>IF(AND(I38&lt;&gt;"",K38&lt;&gt;"",R38&lt;&gt;"",T38&lt;&gt;""),IF(AND(I38=R38,K38=T38),Setup!$D$10,IF((I38-K38)=(R38-T38),Setup!$D$11,IF(AND((I38&gt;K38),(R38&gt;T38)),Setup!$D$12,IF(AND((K38&gt;I38),(T38&gt;R38)),Setup!$D$12,0)))),"")</f>
        <v/>
      </c>
      <c r="AE38" s="183"/>
      <c r="CP38" s="168"/>
      <c r="CQ38" s="186"/>
      <c r="CR38" s="187"/>
      <c r="CS38" s="168"/>
    </row>
    <row r="39" spans="2:97" s="166" customFormat="1" ht="15" customHeight="1">
      <c r="B39" s="182"/>
      <c r="C39" s="181">
        <f>Tournament!D40</f>
        <v>25</v>
      </c>
      <c r="D39" s="181" t="str">
        <f>Tournament!E40</f>
        <v>E</v>
      </c>
      <c r="E39" s="188">
        <f>Tournament!F40</f>
        <v>41810.666666666664</v>
      </c>
      <c r="F39" s="189">
        <f>Tournament!G40</f>
        <v>41810.666666666664</v>
      </c>
      <c r="G39" s="190" t="str">
        <f>Tournament!H40</f>
        <v>Switzerland</v>
      </c>
      <c r="H39" s="180"/>
      <c r="I39" s="9"/>
      <c r="J39" s="191" t="s">
        <v>3088</v>
      </c>
      <c r="K39" s="9"/>
      <c r="L39" s="180"/>
      <c r="M39" s="180" t="str">
        <f>Tournament!N40</f>
        <v>France</v>
      </c>
      <c r="N39" s="183"/>
      <c r="P39" s="192" t="str">
        <f t="shared" si="0"/>
        <v>Switzerland</v>
      </c>
      <c r="Q39" s="193"/>
      <c r="R39" s="194" t="str">
        <f>IF(Tournament!J40&lt;&gt;"",Tournament!J40,"")</f>
        <v/>
      </c>
      <c r="S39" s="194" t="s">
        <v>3088</v>
      </c>
      <c r="T39" s="194" t="str">
        <f>IF(Tournament!L40&lt;&gt;"",Tournament!L40,"")</f>
        <v/>
      </c>
      <c r="U39" s="193"/>
      <c r="V39" s="193" t="str">
        <f t="shared" si="1"/>
        <v>France</v>
      </c>
      <c r="W39" s="194"/>
      <c r="X39" s="194"/>
      <c r="Y39" s="194"/>
      <c r="Z39" s="194"/>
      <c r="AA39" s="194"/>
      <c r="AB39" s="194"/>
      <c r="AC39" s="194"/>
      <c r="AD39" s="195" t="str">
        <f>IF(AND(I39&lt;&gt;"",K39&lt;&gt;"",R39&lt;&gt;"",T39&lt;&gt;""),IF(AND(I39=R39,K39=T39),Setup!$D$10,IF((I39-K39)=(R39-T39),Setup!$D$11,IF(AND((I39&gt;K39),(R39&gt;T39)),Setup!$D$12,IF(AND((K39&gt;I39),(T39&gt;R39)),Setup!$D$12,0)))),"")</f>
        <v/>
      </c>
      <c r="AE39" s="183"/>
      <c r="CP39" s="168"/>
      <c r="CQ39" s="186"/>
      <c r="CR39" s="187"/>
      <c r="CS39" s="168"/>
    </row>
    <row r="40" spans="2:97" s="166" customFormat="1" ht="15" customHeight="1">
      <c r="B40" s="182"/>
      <c r="C40" s="181">
        <f>Tournament!D41</f>
        <v>26</v>
      </c>
      <c r="D40" s="181" t="str">
        <f>Tournament!E41</f>
        <v>E</v>
      </c>
      <c r="E40" s="188">
        <f>Tournament!F41</f>
        <v>41810.791666666664</v>
      </c>
      <c r="F40" s="189">
        <f>Tournament!G41</f>
        <v>41810.791666666664</v>
      </c>
      <c r="G40" s="190" t="str">
        <f>Tournament!H41</f>
        <v>Honduras</v>
      </c>
      <c r="H40" s="180"/>
      <c r="I40" s="9"/>
      <c r="J40" s="191" t="s">
        <v>3088</v>
      </c>
      <c r="K40" s="9"/>
      <c r="L40" s="180"/>
      <c r="M40" s="180" t="str">
        <f>Tournament!N41</f>
        <v>Ecuador</v>
      </c>
      <c r="N40" s="183"/>
      <c r="P40" s="192" t="str">
        <f t="shared" si="0"/>
        <v>Honduras</v>
      </c>
      <c r="Q40" s="193"/>
      <c r="R40" s="194" t="str">
        <f>IF(Tournament!J41&lt;&gt;"",Tournament!J41,"")</f>
        <v/>
      </c>
      <c r="S40" s="194" t="s">
        <v>3088</v>
      </c>
      <c r="T40" s="194" t="str">
        <f>IF(Tournament!L41&lt;&gt;"",Tournament!L41,"")</f>
        <v/>
      </c>
      <c r="U40" s="193"/>
      <c r="V40" s="193" t="str">
        <f t="shared" si="1"/>
        <v>Ecuador</v>
      </c>
      <c r="W40" s="194"/>
      <c r="X40" s="194"/>
      <c r="Y40" s="194"/>
      <c r="Z40" s="194"/>
      <c r="AA40" s="194"/>
      <c r="AB40" s="194"/>
      <c r="AC40" s="194"/>
      <c r="AD40" s="195" t="str">
        <f>IF(AND(I40&lt;&gt;"",K40&lt;&gt;"",R40&lt;&gt;"",T40&lt;&gt;""),IF(AND(I40=R40,K40=T40),Setup!$D$10,IF((I40-K40)=(R40-T40),Setup!$D$11,IF(AND((I40&gt;K40),(R40&gt;T40)),Setup!$D$12,IF(AND((K40&gt;I40),(T40&gt;R40)),Setup!$D$12,0)))),"")</f>
        <v/>
      </c>
      <c r="AE40" s="183"/>
      <c r="CP40" s="168"/>
      <c r="CQ40" s="196"/>
      <c r="CR40" s="187"/>
      <c r="CS40" s="168"/>
    </row>
    <row r="41" spans="2:97" s="166" customFormat="1" ht="15" customHeight="1">
      <c r="B41" s="182"/>
      <c r="C41" s="181">
        <f>Tournament!D42</f>
        <v>27</v>
      </c>
      <c r="D41" s="181" t="str">
        <f>Tournament!E42</f>
        <v>F</v>
      </c>
      <c r="E41" s="188">
        <f>Tournament!F42</f>
        <v>41811.541666666664</v>
      </c>
      <c r="F41" s="189">
        <f>Tournament!G42</f>
        <v>41811.541666666664</v>
      </c>
      <c r="G41" s="190" t="str">
        <f>Tournament!H42</f>
        <v>Argentina</v>
      </c>
      <c r="H41" s="180"/>
      <c r="I41" s="9"/>
      <c r="J41" s="191" t="s">
        <v>3088</v>
      </c>
      <c r="K41" s="9"/>
      <c r="L41" s="180"/>
      <c r="M41" s="180" t="str">
        <f>Tournament!N42</f>
        <v>Iran</v>
      </c>
      <c r="N41" s="183"/>
      <c r="P41" s="192" t="str">
        <f t="shared" si="0"/>
        <v>Argentina</v>
      </c>
      <c r="Q41" s="193"/>
      <c r="R41" s="194" t="str">
        <f>IF(Tournament!J42&lt;&gt;"",Tournament!J42,"")</f>
        <v/>
      </c>
      <c r="S41" s="194" t="s">
        <v>3088</v>
      </c>
      <c r="T41" s="194" t="str">
        <f>IF(Tournament!L42&lt;&gt;"",Tournament!L42,"")</f>
        <v/>
      </c>
      <c r="U41" s="193"/>
      <c r="V41" s="193" t="str">
        <f t="shared" si="1"/>
        <v>Iran</v>
      </c>
      <c r="W41" s="194"/>
      <c r="X41" s="194"/>
      <c r="Y41" s="194"/>
      <c r="Z41" s="194"/>
      <c r="AA41" s="194"/>
      <c r="AB41" s="194"/>
      <c r="AC41" s="194"/>
      <c r="AD41" s="195" t="str">
        <f>IF(AND(I41&lt;&gt;"",K41&lt;&gt;"",R41&lt;&gt;"",T41&lt;&gt;""),IF(AND(I41=R41,K41=T41),Setup!$D$10,IF((I41-K41)=(R41-T41),Setup!$D$11,IF(AND((I41&gt;K41),(R41&gt;T41)),Setup!$D$12,IF(AND((K41&gt;I41),(T41&gt;R41)),Setup!$D$12,0)))),"")</f>
        <v/>
      </c>
      <c r="AE41" s="183"/>
      <c r="CP41" s="168"/>
      <c r="CQ41" s="196"/>
      <c r="CR41" s="187"/>
      <c r="CS41" s="168"/>
    </row>
    <row r="42" spans="2:97" s="166" customFormat="1" ht="15" customHeight="1">
      <c r="B42" s="182"/>
      <c r="C42" s="181">
        <f>Tournament!D43</f>
        <v>28</v>
      </c>
      <c r="D42" s="181" t="str">
        <f>Tournament!E43</f>
        <v>F</v>
      </c>
      <c r="E42" s="188">
        <f>Tournament!F43</f>
        <v>41811.791666666664</v>
      </c>
      <c r="F42" s="189">
        <f>Tournament!G43</f>
        <v>41811.791666666664</v>
      </c>
      <c r="G42" s="190" t="str">
        <f>Tournament!H43</f>
        <v>Nigeria</v>
      </c>
      <c r="H42" s="180"/>
      <c r="I42" s="9"/>
      <c r="J42" s="191" t="s">
        <v>3088</v>
      </c>
      <c r="K42" s="9"/>
      <c r="L42" s="180"/>
      <c r="M42" s="180" t="str">
        <f>Tournament!N43</f>
        <v>Bosnia-Herzegovina</v>
      </c>
      <c r="N42" s="183"/>
      <c r="P42" s="192" t="str">
        <f t="shared" si="0"/>
        <v>Nigeria</v>
      </c>
      <c r="Q42" s="193"/>
      <c r="R42" s="194" t="str">
        <f>IF(Tournament!J43&lt;&gt;"",Tournament!J43,"")</f>
        <v/>
      </c>
      <c r="S42" s="194" t="s">
        <v>3088</v>
      </c>
      <c r="T42" s="194" t="str">
        <f>IF(Tournament!L43&lt;&gt;"",Tournament!L43,"")</f>
        <v/>
      </c>
      <c r="U42" s="193"/>
      <c r="V42" s="193" t="str">
        <f t="shared" si="1"/>
        <v>Bosnia-Herzegovina</v>
      </c>
      <c r="W42" s="194"/>
      <c r="X42" s="194"/>
      <c r="Y42" s="194"/>
      <c r="Z42" s="194"/>
      <c r="AA42" s="194"/>
      <c r="AB42" s="194"/>
      <c r="AC42" s="194"/>
      <c r="AD42" s="195" t="str">
        <f>IF(AND(I42&lt;&gt;"",K42&lt;&gt;"",R42&lt;&gt;"",T42&lt;&gt;""),IF(AND(I42=R42,K42=T42),Setup!$D$10,IF((I42-K42)=(R42-T42),Setup!$D$11,IF(AND((I42&gt;K42),(R42&gt;T42)),Setup!$D$12,IF(AND((K42&gt;I42),(T42&gt;R42)),Setup!$D$12,0)))),"")</f>
        <v/>
      </c>
      <c r="AE42" s="183"/>
      <c r="CP42" s="168"/>
      <c r="CQ42" s="168"/>
      <c r="CR42" s="187"/>
      <c r="CS42" s="168"/>
    </row>
    <row r="43" spans="2:97" s="166" customFormat="1" ht="15" customHeight="1">
      <c r="B43" s="182"/>
      <c r="C43" s="181">
        <f>Tournament!D44</f>
        <v>29</v>
      </c>
      <c r="D43" s="181" t="str">
        <f>Tournament!E44</f>
        <v>G</v>
      </c>
      <c r="E43" s="188">
        <f>Tournament!F44</f>
        <v>41811.666666666664</v>
      </c>
      <c r="F43" s="189">
        <f>Tournament!G44</f>
        <v>41811.666666666664</v>
      </c>
      <c r="G43" s="190" t="str">
        <f>Tournament!H44</f>
        <v>Germany</v>
      </c>
      <c r="H43" s="180"/>
      <c r="I43" s="9"/>
      <c r="J43" s="191" t="s">
        <v>3088</v>
      </c>
      <c r="K43" s="9"/>
      <c r="L43" s="180"/>
      <c r="M43" s="180" t="str">
        <f>Tournament!N44</f>
        <v>Ghana</v>
      </c>
      <c r="N43" s="183"/>
      <c r="P43" s="192" t="str">
        <f t="shared" si="0"/>
        <v>Germany</v>
      </c>
      <c r="Q43" s="193"/>
      <c r="R43" s="194" t="str">
        <f>IF(Tournament!J44&lt;&gt;"",Tournament!J44,"")</f>
        <v/>
      </c>
      <c r="S43" s="194" t="s">
        <v>3088</v>
      </c>
      <c r="T43" s="194" t="str">
        <f>IF(Tournament!L44&lt;&gt;"",Tournament!L44,"")</f>
        <v/>
      </c>
      <c r="U43" s="193"/>
      <c r="V43" s="193" t="str">
        <f t="shared" si="1"/>
        <v>Ghana</v>
      </c>
      <c r="W43" s="194"/>
      <c r="X43" s="194"/>
      <c r="Y43" s="194"/>
      <c r="Z43" s="194"/>
      <c r="AA43" s="194"/>
      <c r="AB43" s="194"/>
      <c r="AC43" s="194"/>
      <c r="AD43" s="195" t="str">
        <f>IF(AND(I43&lt;&gt;"",K43&lt;&gt;"",R43&lt;&gt;"",T43&lt;&gt;""),IF(AND(I43=R43,K43=T43),Setup!$D$10,IF((I43-K43)=(R43-T43),Setup!$D$11,IF(AND((I43&gt;K43),(R43&gt;T43)),Setup!$D$12,IF(AND((K43&gt;I43),(T43&gt;R43)),Setup!$D$12,0)))),"")</f>
        <v/>
      </c>
      <c r="AE43" s="183"/>
      <c r="CP43" s="168"/>
      <c r="CQ43" s="168"/>
      <c r="CR43" s="187"/>
      <c r="CS43" s="168"/>
    </row>
    <row r="44" spans="2:97" s="166" customFormat="1" ht="15" customHeight="1">
      <c r="B44" s="182"/>
      <c r="C44" s="181">
        <f>Tournament!D45</f>
        <v>30</v>
      </c>
      <c r="D44" s="181" t="str">
        <f>Tournament!E45</f>
        <v>G</v>
      </c>
      <c r="E44" s="188">
        <f>Tournament!F45</f>
        <v>41812.791666666664</v>
      </c>
      <c r="F44" s="189">
        <f>Tournament!G45</f>
        <v>41812.791666666664</v>
      </c>
      <c r="G44" s="190" t="str">
        <f>Tournament!H45</f>
        <v>USA</v>
      </c>
      <c r="H44" s="180"/>
      <c r="I44" s="9"/>
      <c r="J44" s="191" t="s">
        <v>3088</v>
      </c>
      <c r="K44" s="9"/>
      <c r="L44" s="180"/>
      <c r="M44" s="180" t="str">
        <f>Tournament!N45</f>
        <v>Portugal</v>
      </c>
      <c r="N44" s="183"/>
      <c r="P44" s="192" t="str">
        <f t="shared" si="0"/>
        <v>USA</v>
      </c>
      <c r="Q44" s="193"/>
      <c r="R44" s="194" t="str">
        <f>IF(Tournament!J45&lt;&gt;"",Tournament!J45,"")</f>
        <v/>
      </c>
      <c r="S44" s="194" t="s">
        <v>3088</v>
      </c>
      <c r="T44" s="194" t="str">
        <f>IF(Tournament!L45&lt;&gt;"",Tournament!L45,"")</f>
        <v/>
      </c>
      <c r="U44" s="193"/>
      <c r="V44" s="193" t="str">
        <f t="shared" si="1"/>
        <v>Portugal</v>
      </c>
      <c r="W44" s="194"/>
      <c r="X44" s="194"/>
      <c r="Y44" s="194"/>
      <c r="Z44" s="194"/>
      <c r="AA44" s="194"/>
      <c r="AB44" s="194"/>
      <c r="AC44" s="194"/>
      <c r="AD44" s="195" t="str">
        <f>IF(AND(I44&lt;&gt;"",K44&lt;&gt;"",R44&lt;&gt;"",T44&lt;&gt;""),IF(AND(I44=R44,K44=T44),Setup!$D$10,IF((I44-K44)=(R44-T44),Setup!$D$11,IF(AND((I44&gt;K44),(R44&gt;T44)),Setup!$D$12,IF(AND((K44&gt;I44),(T44&gt;R44)),Setup!$D$12,0)))),"")</f>
        <v/>
      </c>
      <c r="AE44" s="183"/>
      <c r="CP44" s="168"/>
      <c r="CQ44" s="168"/>
      <c r="CR44" s="187"/>
      <c r="CS44" s="168"/>
    </row>
    <row r="45" spans="2:97" s="166" customFormat="1" ht="15" customHeight="1">
      <c r="B45" s="182"/>
      <c r="C45" s="181">
        <f>Tournament!D46</f>
        <v>31</v>
      </c>
      <c r="D45" s="181" t="str">
        <f>Tournament!E46</f>
        <v>H</v>
      </c>
      <c r="E45" s="188">
        <f>Tournament!F46</f>
        <v>41812.541666666664</v>
      </c>
      <c r="F45" s="189">
        <f>Tournament!G46</f>
        <v>41812.541666666664</v>
      </c>
      <c r="G45" s="190" t="str">
        <f>Tournament!H46</f>
        <v>Belgium</v>
      </c>
      <c r="H45" s="180"/>
      <c r="I45" s="9"/>
      <c r="J45" s="191" t="s">
        <v>3088</v>
      </c>
      <c r="K45" s="9"/>
      <c r="L45" s="180"/>
      <c r="M45" s="180" t="str">
        <f>Tournament!N46</f>
        <v>Russia</v>
      </c>
      <c r="N45" s="183"/>
      <c r="P45" s="192" t="str">
        <f t="shared" si="0"/>
        <v>Belgium</v>
      </c>
      <c r="Q45" s="193"/>
      <c r="R45" s="194" t="str">
        <f>IF(Tournament!J46&lt;&gt;"",Tournament!J46,"")</f>
        <v/>
      </c>
      <c r="S45" s="194" t="s">
        <v>3088</v>
      </c>
      <c r="T45" s="194" t="str">
        <f>IF(Tournament!L46&lt;&gt;"",Tournament!L46,"")</f>
        <v/>
      </c>
      <c r="U45" s="193"/>
      <c r="V45" s="193" t="str">
        <f t="shared" si="1"/>
        <v>Russia</v>
      </c>
      <c r="W45" s="194"/>
      <c r="X45" s="194"/>
      <c r="Y45" s="194"/>
      <c r="Z45" s="194"/>
      <c r="AA45" s="194"/>
      <c r="AB45" s="194"/>
      <c r="AC45" s="194"/>
      <c r="AD45" s="195" t="str">
        <f>IF(AND(I45&lt;&gt;"",K45&lt;&gt;"",R45&lt;&gt;"",T45&lt;&gt;""),IF(AND(I45=R45,K45=T45),Setup!$D$10,IF((I45-K45)=(R45-T45),Setup!$D$11,IF(AND((I45&gt;K45),(R45&gt;T45)),Setup!$D$12,IF(AND((K45&gt;I45),(T45&gt;R45)),Setup!$D$12,0)))),"")</f>
        <v/>
      </c>
      <c r="AE45" s="183"/>
      <c r="CP45" s="168"/>
      <c r="CQ45" s="168"/>
      <c r="CR45" s="187"/>
      <c r="CS45" s="168"/>
    </row>
    <row r="46" spans="2:97" s="166" customFormat="1" ht="15" customHeight="1">
      <c r="B46" s="182"/>
      <c r="C46" s="181">
        <f>Tournament!D47</f>
        <v>32</v>
      </c>
      <c r="D46" s="181" t="str">
        <f>Tournament!E47</f>
        <v>H</v>
      </c>
      <c r="E46" s="188">
        <f>Tournament!F47</f>
        <v>41812.666666666664</v>
      </c>
      <c r="F46" s="189">
        <f>Tournament!G47</f>
        <v>41812.666666666664</v>
      </c>
      <c r="G46" s="190" t="str">
        <f>Tournament!H47</f>
        <v>South Korea</v>
      </c>
      <c r="H46" s="180"/>
      <c r="I46" s="9"/>
      <c r="J46" s="191" t="s">
        <v>3088</v>
      </c>
      <c r="K46" s="9"/>
      <c r="L46" s="180"/>
      <c r="M46" s="180" t="str">
        <f>Tournament!N47</f>
        <v>Algeria</v>
      </c>
      <c r="N46" s="183"/>
      <c r="P46" s="192" t="str">
        <f t="shared" si="0"/>
        <v>South Korea</v>
      </c>
      <c r="Q46" s="193"/>
      <c r="R46" s="194" t="str">
        <f>IF(Tournament!J47&lt;&gt;"",Tournament!J47,"")</f>
        <v/>
      </c>
      <c r="S46" s="194" t="s">
        <v>3088</v>
      </c>
      <c r="T46" s="194" t="str">
        <f>IF(Tournament!L47&lt;&gt;"",Tournament!L47,"")</f>
        <v/>
      </c>
      <c r="U46" s="193"/>
      <c r="V46" s="193" t="str">
        <f t="shared" si="1"/>
        <v>Algeria</v>
      </c>
      <c r="W46" s="194"/>
      <c r="X46" s="194"/>
      <c r="Y46" s="194"/>
      <c r="Z46" s="194"/>
      <c r="AA46" s="194"/>
      <c r="AB46" s="194"/>
      <c r="AC46" s="194"/>
      <c r="AD46" s="195" t="str">
        <f>IF(AND(I46&lt;&gt;"",K46&lt;&gt;"",R46&lt;&gt;"",T46&lt;&gt;""),IF(AND(I46=R46,K46=T46),Setup!$D$10,IF((I46-K46)=(R46-T46),Setup!$D$11,IF(AND((I46&gt;K46),(R46&gt;T46)),Setup!$D$12,IF(AND((K46&gt;I46),(T46&gt;R46)),Setup!$D$12,0)))),"")</f>
        <v/>
      </c>
      <c r="AE46" s="183"/>
      <c r="CP46" s="168"/>
      <c r="CQ46" s="168"/>
      <c r="CR46" s="187"/>
      <c r="CS46" s="168"/>
    </row>
    <row r="47" spans="2:97" s="166" customFormat="1" ht="15" customHeight="1">
      <c r="B47" s="182"/>
      <c r="C47" s="181">
        <f>Tournament!D48</f>
        <v>33</v>
      </c>
      <c r="D47" s="181" t="str">
        <f>Tournament!E48</f>
        <v>A</v>
      </c>
      <c r="E47" s="188">
        <f>Tournament!F48</f>
        <v>41813.708333333336</v>
      </c>
      <c r="F47" s="189">
        <f>Tournament!G48</f>
        <v>41813.708333333336</v>
      </c>
      <c r="G47" s="190" t="str">
        <f>Tournament!H48</f>
        <v>Cameroon</v>
      </c>
      <c r="H47" s="180"/>
      <c r="I47" s="9"/>
      <c r="J47" s="191" t="s">
        <v>3088</v>
      </c>
      <c r="K47" s="9"/>
      <c r="L47" s="180"/>
      <c r="M47" s="180" t="str">
        <f>Tournament!N48</f>
        <v>Brazil</v>
      </c>
      <c r="N47" s="183"/>
      <c r="P47" s="192" t="str">
        <f t="shared" si="0"/>
        <v>Cameroon</v>
      </c>
      <c r="Q47" s="193"/>
      <c r="R47" s="194" t="str">
        <f>IF(Tournament!J48&lt;&gt;"",Tournament!J48,"")</f>
        <v/>
      </c>
      <c r="S47" s="194" t="s">
        <v>3088</v>
      </c>
      <c r="T47" s="194" t="str">
        <f>IF(Tournament!L48&lt;&gt;"",Tournament!L48,"")</f>
        <v/>
      </c>
      <c r="U47" s="193"/>
      <c r="V47" s="193" t="str">
        <f t="shared" si="1"/>
        <v>Brazil</v>
      </c>
      <c r="W47" s="194"/>
      <c r="X47" s="194"/>
      <c r="Y47" s="194"/>
      <c r="Z47" s="194"/>
      <c r="AA47" s="194"/>
      <c r="AB47" s="194"/>
      <c r="AC47" s="194"/>
      <c r="AD47" s="195" t="str">
        <f>IF(AND(I47&lt;&gt;"",K47&lt;&gt;"",R47&lt;&gt;"",T47&lt;&gt;""),IF(AND(I47=R47,K47=T47),Setup!$D$10,IF((I47-K47)=(R47-T47),Setup!$D$11,IF(AND((I47&gt;K47),(R47&gt;T47)),Setup!$D$12,IF(AND((K47&gt;I47),(T47&gt;R47)),Setup!$D$12,0)))),"")</f>
        <v/>
      </c>
      <c r="AE47" s="183"/>
      <c r="CP47" s="168"/>
      <c r="CQ47" s="168"/>
      <c r="CR47" s="187"/>
      <c r="CS47" s="168"/>
    </row>
    <row r="48" spans="2:97" s="166" customFormat="1" ht="15" customHeight="1">
      <c r="B48" s="182"/>
      <c r="C48" s="181">
        <f>Tournament!D49</f>
        <v>34</v>
      </c>
      <c r="D48" s="181" t="str">
        <f>Tournament!E49</f>
        <v>A</v>
      </c>
      <c r="E48" s="188">
        <f>Tournament!F49</f>
        <v>41813.708333333336</v>
      </c>
      <c r="F48" s="189">
        <f>Tournament!G49</f>
        <v>41813.708333333336</v>
      </c>
      <c r="G48" s="190" t="str">
        <f>Tournament!H49</f>
        <v>Croatia</v>
      </c>
      <c r="H48" s="180"/>
      <c r="I48" s="9"/>
      <c r="J48" s="191" t="s">
        <v>3088</v>
      </c>
      <c r="K48" s="9"/>
      <c r="L48" s="180"/>
      <c r="M48" s="180" t="str">
        <f>Tournament!N49</f>
        <v>Mexico</v>
      </c>
      <c r="N48" s="183"/>
      <c r="P48" s="192" t="str">
        <f t="shared" si="0"/>
        <v>Croatia</v>
      </c>
      <c r="Q48" s="193"/>
      <c r="R48" s="194" t="str">
        <f>IF(Tournament!J49&lt;&gt;"",Tournament!J49,"")</f>
        <v/>
      </c>
      <c r="S48" s="194" t="s">
        <v>3088</v>
      </c>
      <c r="T48" s="194" t="str">
        <f>IF(Tournament!L49&lt;&gt;"",Tournament!L49,"")</f>
        <v/>
      </c>
      <c r="U48" s="193"/>
      <c r="V48" s="193" t="str">
        <f t="shared" si="1"/>
        <v>Mexico</v>
      </c>
      <c r="W48" s="194"/>
      <c r="X48" s="194"/>
      <c r="Y48" s="194"/>
      <c r="Z48" s="194"/>
      <c r="AA48" s="194"/>
      <c r="AB48" s="194"/>
      <c r="AC48" s="194"/>
      <c r="AD48" s="195" t="str">
        <f>IF(AND(I48&lt;&gt;"",K48&lt;&gt;"",R48&lt;&gt;"",T48&lt;&gt;""),IF(AND(I48=R48,K48=T48),Setup!$D$10,IF((I48-K48)=(R48-T48),Setup!$D$11,IF(AND((I48&gt;K48),(R48&gt;T48)),Setup!$D$12,IF(AND((K48&gt;I48),(T48&gt;R48)),Setup!$D$12,0)))),"")</f>
        <v/>
      </c>
      <c r="AE48" s="183"/>
      <c r="CP48" s="168"/>
      <c r="CQ48" s="168"/>
      <c r="CR48" s="187"/>
      <c r="CS48" s="168"/>
    </row>
    <row r="49" spans="2:97" s="166" customFormat="1" ht="15" customHeight="1">
      <c r="B49" s="182"/>
      <c r="C49" s="181">
        <f>Tournament!D50</f>
        <v>35</v>
      </c>
      <c r="D49" s="181" t="str">
        <f>Tournament!E50</f>
        <v>B</v>
      </c>
      <c r="E49" s="188">
        <f>Tournament!F50</f>
        <v>41813.541666666664</v>
      </c>
      <c r="F49" s="189">
        <f>Tournament!G50</f>
        <v>41813.541666666664</v>
      </c>
      <c r="G49" s="190" t="str">
        <f>Tournament!H50</f>
        <v>Australia</v>
      </c>
      <c r="H49" s="180"/>
      <c r="I49" s="9"/>
      <c r="J49" s="191" t="s">
        <v>3088</v>
      </c>
      <c r="K49" s="9"/>
      <c r="L49" s="180"/>
      <c r="M49" s="180" t="str">
        <f>Tournament!N50</f>
        <v>Spain</v>
      </c>
      <c r="N49" s="183"/>
      <c r="P49" s="192" t="str">
        <f t="shared" si="0"/>
        <v>Australia</v>
      </c>
      <c r="Q49" s="193"/>
      <c r="R49" s="194" t="str">
        <f>IF(Tournament!J50&lt;&gt;"",Tournament!J50,"")</f>
        <v/>
      </c>
      <c r="S49" s="194" t="s">
        <v>3088</v>
      </c>
      <c r="T49" s="194" t="str">
        <f>IF(Tournament!L50&lt;&gt;"",Tournament!L50,"")</f>
        <v/>
      </c>
      <c r="U49" s="193"/>
      <c r="V49" s="193" t="str">
        <f t="shared" si="1"/>
        <v>Spain</v>
      </c>
      <c r="W49" s="194"/>
      <c r="X49" s="194"/>
      <c r="Y49" s="194"/>
      <c r="Z49" s="194"/>
      <c r="AA49" s="194"/>
      <c r="AB49" s="194"/>
      <c r="AC49" s="194"/>
      <c r="AD49" s="195" t="str">
        <f>IF(AND(I49&lt;&gt;"",K49&lt;&gt;"",R49&lt;&gt;"",T49&lt;&gt;""),IF(AND(I49=R49,K49=T49),Setup!$D$10,IF((I49-K49)=(R49-T49),Setup!$D$11,IF(AND((I49&gt;K49),(R49&gt;T49)),Setup!$D$12,IF(AND((K49&gt;I49),(T49&gt;R49)),Setup!$D$12,0)))),"")</f>
        <v/>
      </c>
      <c r="AE49" s="183"/>
      <c r="CP49" s="168"/>
      <c r="CQ49" s="168"/>
      <c r="CR49" s="187"/>
      <c r="CS49" s="168"/>
    </row>
    <row r="50" spans="2:97" s="166" customFormat="1" ht="15" customHeight="1">
      <c r="B50" s="182"/>
      <c r="C50" s="181">
        <f>Tournament!D51</f>
        <v>36</v>
      </c>
      <c r="D50" s="181" t="str">
        <f>Tournament!E51</f>
        <v>B</v>
      </c>
      <c r="E50" s="188">
        <f>Tournament!F51</f>
        <v>41813.541666666664</v>
      </c>
      <c r="F50" s="189">
        <f>Tournament!G51</f>
        <v>41813.541666666664</v>
      </c>
      <c r="G50" s="190" t="str">
        <f>Tournament!H51</f>
        <v>Netherlands</v>
      </c>
      <c r="H50" s="180"/>
      <c r="I50" s="9"/>
      <c r="J50" s="191" t="s">
        <v>3088</v>
      </c>
      <c r="K50" s="9"/>
      <c r="L50" s="180"/>
      <c r="M50" s="180" t="str">
        <f>Tournament!N51</f>
        <v>Chile</v>
      </c>
      <c r="N50" s="183"/>
      <c r="P50" s="192" t="str">
        <f t="shared" si="0"/>
        <v>Netherlands</v>
      </c>
      <c r="Q50" s="193"/>
      <c r="R50" s="194" t="str">
        <f>IF(Tournament!J51&lt;&gt;"",Tournament!J51,"")</f>
        <v/>
      </c>
      <c r="S50" s="194" t="s">
        <v>3088</v>
      </c>
      <c r="T50" s="194" t="str">
        <f>IF(Tournament!L51&lt;&gt;"",Tournament!L51,"")</f>
        <v/>
      </c>
      <c r="U50" s="193"/>
      <c r="V50" s="193" t="str">
        <f t="shared" si="1"/>
        <v>Chile</v>
      </c>
      <c r="W50" s="194"/>
      <c r="X50" s="194"/>
      <c r="Y50" s="194"/>
      <c r="Z50" s="194"/>
      <c r="AA50" s="194"/>
      <c r="AB50" s="194"/>
      <c r="AC50" s="194"/>
      <c r="AD50" s="195" t="str">
        <f>IF(AND(I50&lt;&gt;"",K50&lt;&gt;"",R50&lt;&gt;"",T50&lt;&gt;""),IF(AND(I50=R50,K50=T50),Setup!$D$10,IF((I50-K50)=(R50-T50),Setup!$D$11,IF(AND((I50&gt;K50),(R50&gt;T50)),Setup!$D$12,IF(AND((K50&gt;I50),(T50&gt;R50)),Setup!$D$12,0)))),"")</f>
        <v/>
      </c>
      <c r="AE50" s="183"/>
      <c r="CP50" s="168"/>
      <c r="CQ50" s="168"/>
      <c r="CR50" s="187"/>
      <c r="CS50" s="168"/>
    </row>
    <row r="51" spans="2:97" s="166" customFormat="1" ht="15" customHeight="1">
      <c r="B51" s="182"/>
      <c r="C51" s="181">
        <f>Tournament!D52</f>
        <v>37</v>
      </c>
      <c r="D51" s="181" t="str">
        <f>Tournament!E52</f>
        <v>C</v>
      </c>
      <c r="E51" s="188">
        <f>Tournament!F52</f>
        <v>41814.708333333336</v>
      </c>
      <c r="F51" s="189">
        <f>Tournament!G52</f>
        <v>41814.708333333336</v>
      </c>
      <c r="G51" s="190" t="str">
        <f>Tournament!H52</f>
        <v>Japan</v>
      </c>
      <c r="H51" s="180"/>
      <c r="I51" s="9"/>
      <c r="J51" s="191" t="s">
        <v>3088</v>
      </c>
      <c r="K51" s="9"/>
      <c r="L51" s="180"/>
      <c r="M51" s="180" t="str">
        <f>Tournament!N52</f>
        <v>Colombia</v>
      </c>
      <c r="N51" s="183"/>
      <c r="P51" s="192" t="str">
        <f t="shared" si="0"/>
        <v>Japan</v>
      </c>
      <c r="Q51" s="193"/>
      <c r="R51" s="194" t="str">
        <f>IF(Tournament!J52&lt;&gt;"",Tournament!J52,"")</f>
        <v/>
      </c>
      <c r="S51" s="194" t="s">
        <v>3088</v>
      </c>
      <c r="T51" s="194" t="str">
        <f>IF(Tournament!L52&lt;&gt;"",Tournament!L52,"")</f>
        <v/>
      </c>
      <c r="U51" s="193"/>
      <c r="V51" s="193" t="str">
        <f t="shared" si="1"/>
        <v>Colombia</v>
      </c>
      <c r="W51" s="194"/>
      <c r="X51" s="194"/>
      <c r="Y51" s="194"/>
      <c r="Z51" s="194"/>
      <c r="AA51" s="194"/>
      <c r="AB51" s="194"/>
      <c r="AC51" s="194"/>
      <c r="AD51" s="195" t="str">
        <f>IF(AND(I51&lt;&gt;"",K51&lt;&gt;"",R51&lt;&gt;"",T51&lt;&gt;""),IF(AND(I51=R51,K51=T51),Setup!$D$10,IF((I51-K51)=(R51-T51),Setup!$D$11,IF(AND((I51&gt;K51),(R51&gt;T51)),Setup!$D$12,IF(AND((K51&gt;I51),(T51&gt;R51)),Setup!$D$12,0)))),"")</f>
        <v/>
      </c>
      <c r="AE51" s="183"/>
      <c r="CP51" s="168"/>
      <c r="CQ51" s="168"/>
      <c r="CR51" s="187"/>
      <c r="CS51" s="168"/>
    </row>
    <row r="52" spans="2:97" s="166" customFormat="1" ht="15" customHeight="1">
      <c r="B52" s="182"/>
      <c r="C52" s="181">
        <f>Tournament!D53</f>
        <v>38</v>
      </c>
      <c r="D52" s="181" t="str">
        <f>Tournament!E53</f>
        <v>C</v>
      </c>
      <c r="E52" s="188">
        <f>Tournament!F53</f>
        <v>41814.708333333336</v>
      </c>
      <c r="F52" s="189">
        <f>Tournament!G53</f>
        <v>41814.708333333336</v>
      </c>
      <c r="G52" s="190" t="str">
        <f>Tournament!H53</f>
        <v>Greece</v>
      </c>
      <c r="H52" s="180"/>
      <c r="I52" s="9"/>
      <c r="J52" s="191" t="s">
        <v>3088</v>
      </c>
      <c r="K52" s="9"/>
      <c r="L52" s="180"/>
      <c r="M52" s="180" t="str">
        <f>Tournament!N53</f>
        <v>Ivory Coast</v>
      </c>
      <c r="N52" s="183"/>
      <c r="P52" s="192" t="str">
        <f t="shared" si="0"/>
        <v>Greece</v>
      </c>
      <c r="Q52" s="193"/>
      <c r="R52" s="194" t="str">
        <f>IF(Tournament!J53&lt;&gt;"",Tournament!J53,"")</f>
        <v/>
      </c>
      <c r="S52" s="194" t="s">
        <v>3088</v>
      </c>
      <c r="T52" s="194" t="str">
        <f>IF(Tournament!L53&lt;&gt;"",Tournament!L53,"")</f>
        <v/>
      </c>
      <c r="U52" s="193"/>
      <c r="V52" s="193" t="str">
        <f t="shared" si="1"/>
        <v>Ivory Coast</v>
      </c>
      <c r="W52" s="194"/>
      <c r="X52" s="194"/>
      <c r="Y52" s="194"/>
      <c r="Z52" s="194"/>
      <c r="AA52" s="194"/>
      <c r="AB52" s="194"/>
      <c r="AC52" s="194"/>
      <c r="AD52" s="195" t="str">
        <f>IF(AND(I52&lt;&gt;"",K52&lt;&gt;"",R52&lt;&gt;"",T52&lt;&gt;""),IF(AND(I52=R52,K52=T52),Setup!$D$10,IF((I52-K52)=(R52-T52),Setup!$D$11,IF(AND((I52&gt;K52),(R52&gt;T52)),Setup!$D$12,IF(AND((K52&gt;I52),(T52&gt;R52)),Setup!$D$12,0)))),"")</f>
        <v/>
      </c>
      <c r="AE52" s="183"/>
      <c r="CP52" s="168"/>
      <c r="CQ52" s="168"/>
      <c r="CR52" s="187"/>
      <c r="CS52" s="168"/>
    </row>
    <row r="53" spans="2:97" s="166" customFormat="1" ht="15" customHeight="1">
      <c r="B53" s="182"/>
      <c r="C53" s="181">
        <f>Tournament!D54</f>
        <v>39</v>
      </c>
      <c r="D53" s="181" t="str">
        <f>Tournament!E54</f>
        <v>D</v>
      </c>
      <c r="E53" s="188">
        <f>Tournament!F54</f>
        <v>41814.541666666664</v>
      </c>
      <c r="F53" s="189">
        <f>Tournament!G54</f>
        <v>41814.541666666664</v>
      </c>
      <c r="G53" s="190" t="str">
        <f>Tournament!H54</f>
        <v>Italy</v>
      </c>
      <c r="H53" s="180"/>
      <c r="I53" s="9"/>
      <c r="J53" s="191" t="s">
        <v>3088</v>
      </c>
      <c r="K53" s="9"/>
      <c r="L53" s="180"/>
      <c r="M53" s="180" t="str">
        <f>Tournament!N54</f>
        <v>Uruguay</v>
      </c>
      <c r="N53" s="183"/>
      <c r="P53" s="192" t="str">
        <f t="shared" si="0"/>
        <v>Italy</v>
      </c>
      <c r="Q53" s="193"/>
      <c r="R53" s="194" t="str">
        <f>IF(Tournament!J54&lt;&gt;"",Tournament!J54,"")</f>
        <v/>
      </c>
      <c r="S53" s="194" t="s">
        <v>3088</v>
      </c>
      <c r="T53" s="194" t="str">
        <f>IF(Tournament!L54&lt;&gt;"",Tournament!L54,"")</f>
        <v/>
      </c>
      <c r="U53" s="193"/>
      <c r="V53" s="193" t="str">
        <f t="shared" si="1"/>
        <v>Uruguay</v>
      </c>
      <c r="W53" s="194"/>
      <c r="X53" s="194"/>
      <c r="Y53" s="194"/>
      <c r="Z53" s="194"/>
      <c r="AA53" s="194"/>
      <c r="AB53" s="194"/>
      <c r="AC53" s="194"/>
      <c r="AD53" s="195" t="str">
        <f>IF(AND(I53&lt;&gt;"",K53&lt;&gt;"",R53&lt;&gt;"",T53&lt;&gt;""),IF(AND(I53=R53,K53=T53),Setup!$D$10,IF((I53-K53)=(R53-T53),Setup!$D$11,IF(AND((I53&gt;K53),(R53&gt;T53)),Setup!$D$12,IF(AND((K53&gt;I53),(T53&gt;R53)),Setup!$D$12,0)))),"")</f>
        <v/>
      </c>
      <c r="AE53" s="183"/>
      <c r="CP53" s="168"/>
      <c r="CQ53" s="168"/>
      <c r="CR53" s="187"/>
      <c r="CS53" s="168"/>
    </row>
    <row r="54" spans="2:97" s="166" customFormat="1" ht="15" customHeight="1">
      <c r="B54" s="182"/>
      <c r="C54" s="181">
        <f>Tournament!D55</f>
        <v>40</v>
      </c>
      <c r="D54" s="181" t="str">
        <f>Tournament!E55</f>
        <v>D</v>
      </c>
      <c r="E54" s="188">
        <f>Tournament!F55</f>
        <v>41814.541666666664</v>
      </c>
      <c r="F54" s="189">
        <f>Tournament!G55</f>
        <v>41814.541666666664</v>
      </c>
      <c r="G54" s="190" t="str">
        <f>Tournament!H55</f>
        <v>Costa Rica</v>
      </c>
      <c r="H54" s="180"/>
      <c r="I54" s="9"/>
      <c r="J54" s="191" t="s">
        <v>3088</v>
      </c>
      <c r="K54" s="9"/>
      <c r="L54" s="180"/>
      <c r="M54" s="180" t="str">
        <f>Tournament!N55</f>
        <v>England</v>
      </c>
      <c r="N54" s="183"/>
      <c r="P54" s="192" t="str">
        <f t="shared" si="0"/>
        <v>Costa Rica</v>
      </c>
      <c r="Q54" s="193"/>
      <c r="R54" s="194" t="str">
        <f>IF(Tournament!J55&lt;&gt;"",Tournament!J55,"")</f>
        <v/>
      </c>
      <c r="S54" s="194" t="s">
        <v>3088</v>
      </c>
      <c r="T54" s="194" t="str">
        <f>IF(Tournament!L55&lt;&gt;"",Tournament!L55,"")</f>
        <v/>
      </c>
      <c r="U54" s="193"/>
      <c r="V54" s="193" t="str">
        <f t="shared" si="1"/>
        <v>England</v>
      </c>
      <c r="W54" s="194"/>
      <c r="X54" s="194"/>
      <c r="Y54" s="194"/>
      <c r="Z54" s="194"/>
      <c r="AA54" s="194"/>
      <c r="AB54" s="194"/>
      <c r="AC54" s="194"/>
      <c r="AD54" s="195" t="str">
        <f>IF(AND(I54&lt;&gt;"",K54&lt;&gt;"",R54&lt;&gt;"",T54&lt;&gt;""),IF(AND(I54=R54,K54=T54),Setup!$D$10,IF((I54-K54)=(R54-T54),Setup!$D$11,IF(AND((I54&gt;K54),(R54&gt;T54)),Setup!$D$12,IF(AND((K54&gt;I54),(T54&gt;R54)),Setup!$D$12,0)))),"")</f>
        <v/>
      </c>
      <c r="AE54" s="183"/>
      <c r="CP54" s="168"/>
      <c r="CQ54" s="168"/>
      <c r="CR54" s="187"/>
      <c r="CS54" s="168"/>
    </row>
    <row r="55" spans="2:97" s="166" customFormat="1" ht="15" customHeight="1">
      <c r="B55" s="182"/>
      <c r="C55" s="181">
        <f>Tournament!D56</f>
        <v>41</v>
      </c>
      <c r="D55" s="181" t="str">
        <f>Tournament!E56</f>
        <v>E</v>
      </c>
      <c r="E55" s="188">
        <f>Tournament!F56</f>
        <v>41815.708333333336</v>
      </c>
      <c r="F55" s="189">
        <f>Tournament!G56</f>
        <v>41815.708333333336</v>
      </c>
      <c r="G55" s="190" t="str">
        <f>Tournament!H56</f>
        <v>Honduras</v>
      </c>
      <c r="H55" s="180"/>
      <c r="I55" s="9"/>
      <c r="J55" s="191" t="s">
        <v>3088</v>
      </c>
      <c r="K55" s="9"/>
      <c r="L55" s="180"/>
      <c r="M55" s="180" t="str">
        <f>Tournament!N56</f>
        <v>Switzerland</v>
      </c>
      <c r="N55" s="183"/>
      <c r="P55" s="192" t="str">
        <f t="shared" si="0"/>
        <v>Honduras</v>
      </c>
      <c r="Q55" s="193"/>
      <c r="R55" s="194" t="str">
        <f>IF(Tournament!J56&lt;&gt;"",Tournament!J56,"")</f>
        <v/>
      </c>
      <c r="S55" s="194" t="s">
        <v>3088</v>
      </c>
      <c r="T55" s="194" t="str">
        <f>IF(Tournament!L56&lt;&gt;"",Tournament!L56,"")</f>
        <v/>
      </c>
      <c r="U55" s="193"/>
      <c r="V55" s="193" t="str">
        <f t="shared" si="1"/>
        <v>Switzerland</v>
      </c>
      <c r="W55" s="194"/>
      <c r="X55" s="194"/>
      <c r="Y55" s="194"/>
      <c r="Z55" s="194"/>
      <c r="AA55" s="194"/>
      <c r="AB55" s="194"/>
      <c r="AC55" s="194"/>
      <c r="AD55" s="195" t="str">
        <f>IF(AND(I55&lt;&gt;"",K55&lt;&gt;"",R55&lt;&gt;"",T55&lt;&gt;""),IF(AND(I55=R55,K55=T55),Setup!$D$10,IF((I55-K55)=(R55-T55),Setup!$D$11,IF(AND((I55&gt;K55),(R55&gt;T55)),Setup!$D$12,IF(AND((K55&gt;I55),(T55&gt;R55)),Setup!$D$12,0)))),"")</f>
        <v/>
      </c>
      <c r="AE55" s="183"/>
      <c r="CP55" s="168"/>
      <c r="CQ55" s="168"/>
      <c r="CR55" s="187"/>
      <c r="CS55" s="168"/>
    </row>
    <row r="56" spans="2:97" s="166" customFormat="1" ht="15" customHeight="1">
      <c r="B56" s="182"/>
      <c r="C56" s="181">
        <f>Tournament!D57</f>
        <v>42</v>
      </c>
      <c r="D56" s="181" t="str">
        <f>Tournament!E57</f>
        <v>E</v>
      </c>
      <c r="E56" s="188">
        <f>Tournament!F57</f>
        <v>41815.708333333336</v>
      </c>
      <c r="F56" s="189">
        <f>Tournament!G57</f>
        <v>41815.708333333336</v>
      </c>
      <c r="G56" s="190" t="str">
        <f>Tournament!H57</f>
        <v>Ecuador</v>
      </c>
      <c r="H56" s="180"/>
      <c r="I56" s="9"/>
      <c r="J56" s="191" t="s">
        <v>3088</v>
      </c>
      <c r="K56" s="9"/>
      <c r="L56" s="180"/>
      <c r="M56" s="180" t="str">
        <f>Tournament!N57</f>
        <v>France</v>
      </c>
      <c r="N56" s="183"/>
      <c r="P56" s="192" t="str">
        <f t="shared" si="0"/>
        <v>Ecuador</v>
      </c>
      <c r="Q56" s="193"/>
      <c r="R56" s="194" t="str">
        <f>IF(Tournament!J57&lt;&gt;"",Tournament!J57,"")</f>
        <v/>
      </c>
      <c r="S56" s="194" t="s">
        <v>3088</v>
      </c>
      <c r="T56" s="194" t="str">
        <f>IF(Tournament!L57&lt;&gt;"",Tournament!L57,"")</f>
        <v/>
      </c>
      <c r="U56" s="193"/>
      <c r="V56" s="193" t="str">
        <f t="shared" si="1"/>
        <v>France</v>
      </c>
      <c r="W56" s="194"/>
      <c r="X56" s="194"/>
      <c r="Y56" s="194"/>
      <c r="Z56" s="194"/>
      <c r="AA56" s="194"/>
      <c r="AB56" s="194"/>
      <c r="AC56" s="194"/>
      <c r="AD56" s="195" t="str">
        <f>IF(AND(I56&lt;&gt;"",K56&lt;&gt;"",R56&lt;&gt;"",T56&lt;&gt;""),IF(AND(I56=R56,K56=T56),Setup!$D$10,IF((I56-K56)=(R56-T56),Setup!$D$11,IF(AND((I56&gt;K56),(R56&gt;T56)),Setup!$D$12,IF(AND((K56&gt;I56),(T56&gt;R56)),Setup!$D$12,0)))),"")</f>
        <v/>
      </c>
      <c r="AE56" s="183"/>
      <c r="CP56" s="168"/>
      <c r="CQ56" s="168"/>
      <c r="CR56" s="187"/>
      <c r="CS56" s="168"/>
    </row>
    <row r="57" spans="2:97" s="166" customFormat="1" ht="15" customHeight="1">
      <c r="B57" s="182"/>
      <c r="C57" s="181">
        <f>Tournament!D58</f>
        <v>43</v>
      </c>
      <c r="D57" s="181" t="str">
        <f>Tournament!E58</f>
        <v>F</v>
      </c>
      <c r="E57" s="188">
        <f>Tournament!F58</f>
        <v>41815.541666666664</v>
      </c>
      <c r="F57" s="189">
        <f>Tournament!G58</f>
        <v>41815.541666666664</v>
      </c>
      <c r="G57" s="190" t="str">
        <f>Tournament!H58</f>
        <v>Nigeria</v>
      </c>
      <c r="H57" s="180"/>
      <c r="I57" s="9"/>
      <c r="J57" s="191" t="s">
        <v>3088</v>
      </c>
      <c r="K57" s="9"/>
      <c r="L57" s="180"/>
      <c r="M57" s="180" t="str">
        <f>Tournament!N58</f>
        <v>Argentina</v>
      </c>
      <c r="N57" s="183"/>
      <c r="P57" s="192" t="str">
        <f t="shared" si="0"/>
        <v>Nigeria</v>
      </c>
      <c r="Q57" s="193"/>
      <c r="R57" s="194" t="str">
        <f>IF(Tournament!J58&lt;&gt;"",Tournament!J58,"")</f>
        <v/>
      </c>
      <c r="S57" s="194" t="s">
        <v>3088</v>
      </c>
      <c r="T57" s="194" t="str">
        <f>IF(Tournament!L58&lt;&gt;"",Tournament!L58,"")</f>
        <v/>
      </c>
      <c r="U57" s="193"/>
      <c r="V57" s="193" t="str">
        <f t="shared" si="1"/>
        <v>Argentina</v>
      </c>
      <c r="W57" s="194"/>
      <c r="X57" s="194"/>
      <c r="Y57" s="194"/>
      <c r="Z57" s="194"/>
      <c r="AA57" s="194"/>
      <c r="AB57" s="194"/>
      <c r="AC57" s="194"/>
      <c r="AD57" s="195" t="str">
        <f>IF(AND(I57&lt;&gt;"",K57&lt;&gt;"",R57&lt;&gt;"",T57&lt;&gt;""),IF(AND(I57=R57,K57=T57),Setup!$D$10,IF((I57-K57)=(R57-T57),Setup!$D$11,IF(AND((I57&gt;K57),(R57&gt;T57)),Setup!$D$12,IF(AND((K57&gt;I57),(T57&gt;R57)),Setup!$D$12,0)))),"")</f>
        <v/>
      </c>
      <c r="AE57" s="183"/>
      <c r="CP57" s="168"/>
      <c r="CQ57" s="168"/>
      <c r="CR57" s="187"/>
      <c r="CS57" s="168"/>
    </row>
    <row r="58" spans="2:97" s="166" customFormat="1" ht="15" customHeight="1">
      <c r="B58" s="182"/>
      <c r="C58" s="181">
        <f>Tournament!D59</f>
        <v>44</v>
      </c>
      <c r="D58" s="181" t="str">
        <f>Tournament!E59</f>
        <v>F</v>
      </c>
      <c r="E58" s="188">
        <f>Tournament!F59</f>
        <v>41815.541666666664</v>
      </c>
      <c r="F58" s="189">
        <f>Tournament!G59</f>
        <v>41815.541666666664</v>
      </c>
      <c r="G58" s="190" t="str">
        <f>Tournament!H59</f>
        <v>Bosnia-Herzegovina</v>
      </c>
      <c r="H58" s="180"/>
      <c r="I58" s="9"/>
      <c r="J58" s="191" t="s">
        <v>3088</v>
      </c>
      <c r="K58" s="9"/>
      <c r="L58" s="180"/>
      <c r="M58" s="180" t="str">
        <f>Tournament!N59</f>
        <v>Iran</v>
      </c>
      <c r="N58" s="183"/>
      <c r="P58" s="192" t="str">
        <f t="shared" si="0"/>
        <v>Bosnia-Herzegovina</v>
      </c>
      <c r="Q58" s="193"/>
      <c r="R58" s="194" t="str">
        <f>IF(Tournament!J59&lt;&gt;"",Tournament!J59,"")</f>
        <v/>
      </c>
      <c r="S58" s="194" t="s">
        <v>3088</v>
      </c>
      <c r="T58" s="194" t="str">
        <f>IF(Tournament!L59&lt;&gt;"",Tournament!L59,"")</f>
        <v/>
      </c>
      <c r="U58" s="193"/>
      <c r="V58" s="193" t="str">
        <f t="shared" si="1"/>
        <v>Iran</v>
      </c>
      <c r="W58" s="194"/>
      <c r="X58" s="194"/>
      <c r="Y58" s="194"/>
      <c r="Z58" s="194"/>
      <c r="AA58" s="194"/>
      <c r="AB58" s="194"/>
      <c r="AC58" s="194"/>
      <c r="AD58" s="195" t="str">
        <f>IF(AND(I58&lt;&gt;"",K58&lt;&gt;"",R58&lt;&gt;"",T58&lt;&gt;""),IF(AND(I58=R58,K58=T58),Setup!$D$10,IF((I58-K58)=(R58-T58),Setup!$D$11,IF(AND((I58&gt;K58),(R58&gt;T58)),Setup!$D$12,IF(AND((K58&gt;I58),(T58&gt;R58)),Setup!$D$12,0)))),"")</f>
        <v/>
      </c>
      <c r="AE58" s="183"/>
      <c r="CP58" s="168"/>
      <c r="CQ58" s="168"/>
      <c r="CR58" s="187"/>
      <c r="CS58" s="168"/>
    </row>
    <row r="59" spans="2:97" s="166" customFormat="1" ht="15" customHeight="1">
      <c r="B59" s="182"/>
      <c r="C59" s="181">
        <f>Tournament!D60</f>
        <v>45</v>
      </c>
      <c r="D59" s="181" t="str">
        <f>Tournament!E60</f>
        <v>G</v>
      </c>
      <c r="E59" s="188">
        <f>Tournament!F60</f>
        <v>41816.541666666664</v>
      </c>
      <c r="F59" s="189">
        <f>Tournament!G60</f>
        <v>41816.541666666664</v>
      </c>
      <c r="G59" s="190" t="str">
        <f>Tournament!H60</f>
        <v>USA</v>
      </c>
      <c r="H59" s="180"/>
      <c r="I59" s="9"/>
      <c r="J59" s="191" t="s">
        <v>3088</v>
      </c>
      <c r="K59" s="9"/>
      <c r="L59" s="180"/>
      <c r="M59" s="180" t="str">
        <f>Tournament!N60</f>
        <v>Germany</v>
      </c>
      <c r="N59" s="183"/>
      <c r="P59" s="192" t="str">
        <f t="shared" si="0"/>
        <v>USA</v>
      </c>
      <c r="Q59" s="193"/>
      <c r="R59" s="194" t="str">
        <f>IF(Tournament!J60&lt;&gt;"",Tournament!J60,"")</f>
        <v/>
      </c>
      <c r="S59" s="194" t="s">
        <v>3088</v>
      </c>
      <c r="T59" s="194" t="str">
        <f>IF(Tournament!L60&lt;&gt;"",Tournament!L60,"")</f>
        <v/>
      </c>
      <c r="U59" s="193"/>
      <c r="V59" s="193" t="str">
        <f t="shared" si="1"/>
        <v>Germany</v>
      </c>
      <c r="W59" s="194"/>
      <c r="X59" s="194"/>
      <c r="Y59" s="194"/>
      <c r="Z59" s="194"/>
      <c r="AA59" s="194"/>
      <c r="AB59" s="194"/>
      <c r="AC59" s="194"/>
      <c r="AD59" s="195" t="str">
        <f>IF(AND(I59&lt;&gt;"",K59&lt;&gt;"",R59&lt;&gt;"",T59&lt;&gt;""),IF(AND(I59=R59,K59=T59),Setup!$D$10,IF((I59-K59)=(R59-T59),Setup!$D$11,IF(AND((I59&gt;K59),(R59&gt;T59)),Setup!$D$12,IF(AND((K59&gt;I59),(T59&gt;R59)),Setup!$D$12,0)))),"")</f>
        <v/>
      </c>
      <c r="AE59" s="183"/>
      <c r="CP59" s="168"/>
      <c r="CQ59" s="168"/>
      <c r="CR59" s="187"/>
      <c r="CS59" s="168"/>
    </row>
    <row r="60" spans="2:97" s="166" customFormat="1" ht="15" customHeight="1">
      <c r="B60" s="182"/>
      <c r="C60" s="181">
        <f>Tournament!D61</f>
        <v>46</v>
      </c>
      <c r="D60" s="181" t="str">
        <f>Tournament!E61</f>
        <v>G</v>
      </c>
      <c r="E60" s="188">
        <f>Tournament!F61</f>
        <v>41816.541666666664</v>
      </c>
      <c r="F60" s="189">
        <f>Tournament!G61</f>
        <v>41816.541666666664</v>
      </c>
      <c r="G60" s="190" t="str">
        <f>Tournament!H61</f>
        <v>Portugal</v>
      </c>
      <c r="H60" s="180"/>
      <c r="I60" s="9"/>
      <c r="J60" s="191" t="s">
        <v>3088</v>
      </c>
      <c r="K60" s="9"/>
      <c r="L60" s="180"/>
      <c r="M60" s="180" t="str">
        <f>Tournament!N61</f>
        <v>Ghana</v>
      </c>
      <c r="N60" s="183"/>
      <c r="P60" s="192" t="str">
        <f t="shared" si="0"/>
        <v>Portugal</v>
      </c>
      <c r="Q60" s="193"/>
      <c r="R60" s="194" t="str">
        <f>IF(Tournament!J61&lt;&gt;"",Tournament!J61,"")</f>
        <v/>
      </c>
      <c r="S60" s="194" t="s">
        <v>3088</v>
      </c>
      <c r="T60" s="194" t="str">
        <f>IF(Tournament!L61&lt;&gt;"",Tournament!L61,"")</f>
        <v/>
      </c>
      <c r="U60" s="193"/>
      <c r="V60" s="193" t="str">
        <f t="shared" si="1"/>
        <v>Ghana</v>
      </c>
      <c r="W60" s="194"/>
      <c r="X60" s="194"/>
      <c r="Y60" s="194"/>
      <c r="Z60" s="194"/>
      <c r="AA60" s="194"/>
      <c r="AB60" s="194"/>
      <c r="AC60" s="194"/>
      <c r="AD60" s="195" t="str">
        <f>IF(AND(I60&lt;&gt;"",K60&lt;&gt;"",R60&lt;&gt;"",T60&lt;&gt;""),IF(AND(I60=R60,K60=T60),Setup!$D$10,IF((I60-K60)=(R60-T60),Setup!$D$11,IF(AND((I60&gt;K60),(R60&gt;T60)),Setup!$D$12,IF(AND((K60&gt;I60),(T60&gt;R60)),Setup!$D$12,0)))),"")</f>
        <v/>
      </c>
      <c r="AE60" s="183"/>
      <c r="CN60" s="168"/>
      <c r="CO60" s="168"/>
      <c r="CP60" s="187"/>
      <c r="CQ60" s="168"/>
    </row>
    <row r="61" spans="2:97" s="166" customFormat="1" ht="15" customHeight="1">
      <c r="B61" s="182"/>
      <c r="C61" s="181">
        <f>Tournament!D62</f>
        <v>47</v>
      </c>
      <c r="D61" s="181" t="str">
        <f>Tournament!E62</f>
        <v>H</v>
      </c>
      <c r="E61" s="188">
        <f>Tournament!F62</f>
        <v>41816.708333333336</v>
      </c>
      <c r="F61" s="189">
        <f>Tournament!G62</f>
        <v>41816.708333333336</v>
      </c>
      <c r="G61" s="190" t="str">
        <f>Tournament!H62</f>
        <v>South Korea</v>
      </c>
      <c r="H61" s="180"/>
      <c r="I61" s="9"/>
      <c r="J61" s="191" t="s">
        <v>3088</v>
      </c>
      <c r="K61" s="9"/>
      <c r="L61" s="180"/>
      <c r="M61" s="180" t="str">
        <f>Tournament!N62</f>
        <v>Belgium</v>
      </c>
      <c r="N61" s="183"/>
      <c r="P61" s="192" t="str">
        <f t="shared" si="0"/>
        <v>South Korea</v>
      </c>
      <c r="Q61" s="193"/>
      <c r="R61" s="194" t="str">
        <f>IF(Tournament!J62&lt;&gt;"",Tournament!J62,"")</f>
        <v/>
      </c>
      <c r="S61" s="194" t="s">
        <v>3088</v>
      </c>
      <c r="T61" s="194" t="str">
        <f>IF(Tournament!L62&lt;&gt;"",Tournament!L62,"")</f>
        <v/>
      </c>
      <c r="U61" s="193"/>
      <c r="V61" s="193" t="str">
        <f t="shared" si="1"/>
        <v>Belgium</v>
      </c>
      <c r="W61" s="194"/>
      <c r="X61" s="194"/>
      <c r="Y61" s="194"/>
      <c r="Z61" s="194"/>
      <c r="AA61" s="194"/>
      <c r="AB61" s="194"/>
      <c r="AC61" s="194"/>
      <c r="AD61" s="195" t="str">
        <f>IF(AND(I61&lt;&gt;"",K61&lt;&gt;"",R61&lt;&gt;"",T61&lt;&gt;""),IF(AND(I61=R61,K61=T61),Setup!$D$10,IF((I61-K61)=(R61-T61),Setup!$D$11,IF(AND((I61&gt;K61),(R61&gt;T61)),Setup!$D$12,IF(AND((K61&gt;I61),(T61&gt;R61)),Setup!$D$12,0)))),"")</f>
        <v/>
      </c>
      <c r="AE61" s="183"/>
      <c r="CM61" s="168"/>
      <c r="CN61" s="168"/>
      <c r="CO61" s="187"/>
      <c r="CP61" s="168"/>
    </row>
    <row r="62" spans="2:97" s="166" customFormat="1" ht="15" customHeight="1">
      <c r="B62" s="182"/>
      <c r="C62" s="181">
        <f>Tournament!D63</f>
        <v>48</v>
      </c>
      <c r="D62" s="181" t="str">
        <f>Tournament!E63</f>
        <v>H</v>
      </c>
      <c r="E62" s="188">
        <f>Tournament!F63</f>
        <v>41816.708333333336</v>
      </c>
      <c r="F62" s="189">
        <f>Tournament!G63</f>
        <v>41816.708333333336</v>
      </c>
      <c r="G62" s="190" t="str">
        <f>Tournament!H63</f>
        <v>Algeria</v>
      </c>
      <c r="H62" s="180"/>
      <c r="I62" s="9"/>
      <c r="J62" s="191" t="s">
        <v>3088</v>
      </c>
      <c r="K62" s="9"/>
      <c r="L62" s="180"/>
      <c r="M62" s="180" t="str">
        <f>Tournament!N63</f>
        <v>Russia</v>
      </c>
      <c r="N62" s="183"/>
      <c r="P62" s="192" t="str">
        <f t="shared" si="0"/>
        <v>Algeria</v>
      </c>
      <c r="Q62" s="193"/>
      <c r="R62" s="194" t="str">
        <f>IF(Tournament!J63&lt;&gt;"",Tournament!J63,"")</f>
        <v/>
      </c>
      <c r="S62" s="194" t="s">
        <v>3088</v>
      </c>
      <c r="T62" s="194" t="str">
        <f>IF(Tournament!L63&lt;&gt;"",Tournament!L63,"")</f>
        <v/>
      </c>
      <c r="U62" s="193"/>
      <c r="V62" s="193" t="str">
        <f t="shared" si="1"/>
        <v>Russia</v>
      </c>
      <c r="AD62" s="195" t="str">
        <f>IF(AND(I62&lt;&gt;"",K62&lt;&gt;"",R62&lt;&gt;"",T62&lt;&gt;""),IF(AND(I62=R62,K62=T62),Setup!$D$10,IF((I62-K62)=(R62-T62),Setup!$D$11,IF(AND((I62&gt;K62),(R62&gt;T62)),Setup!$D$12,IF(AND((K62&gt;I62),(T62&gt;R62)),Setup!$D$12,0)))),"")</f>
        <v/>
      </c>
      <c r="AE62" s="183"/>
      <c r="CM62" s="168"/>
      <c r="CN62" s="168"/>
      <c r="CO62" s="187"/>
      <c r="CP62" s="168"/>
    </row>
    <row r="63" spans="2:97" s="166" customFormat="1" ht="15" customHeight="1">
      <c r="B63" s="182"/>
      <c r="C63" s="181"/>
      <c r="D63" s="181"/>
      <c r="E63" s="188"/>
      <c r="F63" s="189"/>
      <c r="G63" s="190"/>
      <c r="H63" s="180"/>
      <c r="I63" s="191"/>
      <c r="J63" s="191"/>
      <c r="K63" s="191"/>
      <c r="L63" s="180"/>
      <c r="M63" s="180"/>
      <c r="N63" s="183"/>
      <c r="P63" s="192"/>
      <c r="Q63" s="193"/>
      <c r="R63" s="194"/>
      <c r="S63" s="194"/>
      <c r="T63" s="194"/>
      <c r="U63" s="193"/>
      <c r="V63" s="193"/>
      <c r="AD63" s="181"/>
      <c r="AE63" s="183"/>
      <c r="CM63" s="168"/>
      <c r="CN63" s="168"/>
      <c r="CO63" s="187"/>
      <c r="CP63" s="168"/>
    </row>
    <row r="64" spans="2:97" s="166" customFormat="1" ht="15" customHeight="1">
      <c r="B64" s="300" t="s">
        <v>3544</v>
      </c>
      <c r="C64" s="301"/>
      <c r="D64" s="301"/>
      <c r="E64" s="301"/>
      <c r="F64" s="301"/>
      <c r="G64" s="301"/>
      <c r="H64" s="301"/>
      <c r="I64" s="301"/>
      <c r="J64" s="301"/>
      <c r="K64" s="301"/>
      <c r="L64" s="301"/>
      <c r="M64" s="301"/>
      <c r="N64" s="302"/>
      <c r="P64" s="303" t="str">
        <f>B64</f>
        <v>Knock Out Stages</v>
      </c>
      <c r="Q64" s="304"/>
      <c r="R64" s="304"/>
      <c r="S64" s="304"/>
      <c r="T64" s="304"/>
      <c r="U64" s="304"/>
      <c r="V64" s="304"/>
      <c r="W64" s="304"/>
      <c r="X64" s="304"/>
      <c r="Y64" s="304"/>
      <c r="Z64" s="304"/>
      <c r="AA64" s="304"/>
      <c r="AB64" s="304"/>
      <c r="AC64" s="304"/>
      <c r="AD64" s="304"/>
      <c r="AE64" s="305"/>
      <c r="CM64" s="168"/>
      <c r="CN64" s="168"/>
      <c r="CO64" s="187"/>
      <c r="CP64" s="168"/>
    </row>
    <row r="65" spans="2:94" s="166" customFormat="1" ht="15" customHeight="1">
      <c r="B65" s="182"/>
      <c r="C65" s="181"/>
      <c r="D65" s="181"/>
      <c r="E65" s="188"/>
      <c r="F65" s="189"/>
      <c r="G65" s="190"/>
      <c r="H65" s="180"/>
      <c r="I65" s="191"/>
      <c r="J65" s="191"/>
      <c r="K65" s="191"/>
      <c r="L65" s="180"/>
      <c r="M65" s="180"/>
      <c r="N65" s="183"/>
      <c r="P65" s="192"/>
      <c r="Q65" s="193"/>
      <c r="R65" s="299" t="s">
        <v>3554</v>
      </c>
      <c r="S65" s="299"/>
      <c r="T65" s="299"/>
      <c r="U65" s="193"/>
      <c r="V65" s="193"/>
      <c r="W65" s="299" t="s">
        <v>3546</v>
      </c>
      <c r="X65" s="299"/>
      <c r="Y65" s="299"/>
      <c r="Z65" s="197"/>
      <c r="AA65" s="299" t="s">
        <v>3547</v>
      </c>
      <c r="AB65" s="299"/>
      <c r="AC65" s="299"/>
      <c r="AD65" s="181"/>
      <c r="AE65" s="183"/>
      <c r="CM65" s="168"/>
      <c r="CN65" s="168"/>
      <c r="CO65" s="187"/>
      <c r="CP65" s="168"/>
    </row>
    <row r="66" spans="2:94" s="166" customFormat="1" ht="15" customHeight="1">
      <c r="B66" s="182"/>
      <c r="C66" s="181">
        <v>49</v>
      </c>
      <c r="D66" s="181" t="s">
        <v>3548</v>
      </c>
      <c r="E66" s="188">
        <f>Tournament!F69</f>
        <v>41818.541666666664</v>
      </c>
      <c r="F66" s="189">
        <f>Tournament!G69</f>
        <v>41818.541666666664</v>
      </c>
      <c r="G66" s="190" t="str">
        <f>Tournament!H69</f>
        <v>Group A Winner</v>
      </c>
      <c r="H66" s="180"/>
      <c r="I66" s="9"/>
      <c r="J66" s="191" t="s">
        <v>3088</v>
      </c>
      <c r="K66" s="9"/>
      <c r="L66" s="180"/>
      <c r="M66" s="198" t="str">
        <f>Tournament!N69</f>
        <v>Group B Runner Up</v>
      </c>
      <c r="N66" s="183"/>
      <c r="P66" s="192" t="str">
        <f t="shared" ref="P66:P81" si="2">G66</f>
        <v>Group A Winner</v>
      </c>
      <c r="Q66" s="193"/>
      <c r="R66" s="194" t="str">
        <f>IF($Z$67=0,IF($Z$66=0,IF(Tournament!J70&lt;&gt;"",Tournament!J70,""),IF(Tournament!J70&lt;&gt;"",Tournament!J70+Tournament!J71,"")),IF(Tournament!J69&lt;&gt;"",Tournament!J69,""))</f>
        <v/>
      </c>
      <c r="S66" s="194" t="s">
        <v>3088</v>
      </c>
      <c r="T66" s="194" t="str">
        <f>IF($Z$67=0,IF($Z$66=0,IF(Tournament!L70&lt;&gt;"",Tournament!L70,""),IF(Tournament!L70&lt;&gt;"",Tournament!L70+Tournament!L71,"")),IF(Tournament!L69&lt;&gt;"",Tournament!L69,""))</f>
        <v/>
      </c>
      <c r="U66" s="193"/>
      <c r="V66" s="193" t="str">
        <f t="shared" ref="V66:V81" si="3">M66</f>
        <v>Group B Runner Up</v>
      </c>
      <c r="W66" s="191" t="str">
        <f>IF(Tournament!J71&lt;&gt;"",Tournament!J71,"")</f>
        <v/>
      </c>
      <c r="X66" s="199" t="s">
        <v>3088</v>
      </c>
      <c r="Y66" s="191" t="str">
        <f>IF(Tournament!L71&lt;&gt;"",Tournament!L71,"")</f>
        <v/>
      </c>
      <c r="Z66" s="199">
        <f>Setup!E16</f>
        <v>1</v>
      </c>
      <c r="AA66" s="191" t="str">
        <f>IF(Tournament!J72&lt;&gt;"",Tournament!J72,"")</f>
        <v/>
      </c>
      <c r="AB66" s="194" t="s">
        <v>3088</v>
      </c>
      <c r="AC66" s="191" t="str">
        <f>IF(Tournament!L72&lt;&gt;"",Tournament!L72,"")</f>
        <v/>
      </c>
      <c r="AD66" s="195" t="str">
        <f>IF(AND(I66&lt;&gt;"",K66&lt;&gt;"",R66&lt;&gt;"",T66&lt;&gt;""),IF(AND(I66=R66,K66=T66),Setup!$D$20,IF((I66-K66)=(R66-T66),Setup!$D$21,IF(AND((I66&gt;K66),(R66&gt;T66)),Setup!$D$22,IF(AND((K66&gt;I66),(T66&gt;R66)),Setup!$D$22,0)))),"")</f>
        <v/>
      </c>
      <c r="AE66" s="183"/>
      <c r="CM66" s="168"/>
      <c r="CN66" s="168"/>
      <c r="CO66" s="187"/>
      <c r="CP66" s="168"/>
    </row>
    <row r="67" spans="2:94" s="166" customFormat="1" ht="15" customHeight="1">
      <c r="B67" s="182"/>
      <c r="C67" s="181">
        <v>50</v>
      </c>
      <c r="D67" s="181" t="str">
        <f>D66</f>
        <v>R16</v>
      </c>
      <c r="E67" s="188">
        <f>Tournament!F75</f>
        <v>41818.708333333336</v>
      </c>
      <c r="F67" s="189">
        <f>Tournament!G75</f>
        <v>41818.708333333336</v>
      </c>
      <c r="G67" s="190" t="str">
        <f>Tournament!H75</f>
        <v>Group C Winner</v>
      </c>
      <c r="H67" s="180"/>
      <c r="I67" s="9"/>
      <c r="J67" s="191" t="s">
        <v>3088</v>
      </c>
      <c r="K67" s="9"/>
      <c r="L67" s="180"/>
      <c r="M67" s="198" t="str">
        <f>Tournament!N75</f>
        <v>Group D Runner Up</v>
      </c>
      <c r="N67" s="183"/>
      <c r="P67" s="192" t="str">
        <f t="shared" si="2"/>
        <v>Group C Winner</v>
      </c>
      <c r="Q67" s="193"/>
      <c r="R67" s="194" t="str">
        <f>IF($Z$67=0,IF($Z$66=0,IF(Tournament!J76&lt;&gt;"",Tournament!J76,""),IF(Tournament!J76&lt;&gt;"",Tournament!J76+Tournament!J77,"")),IF(Tournament!J75&lt;&gt;"",Tournament!J75,""))</f>
        <v/>
      </c>
      <c r="S67" s="194" t="s">
        <v>3088</v>
      </c>
      <c r="T67" s="194" t="str">
        <f>IF($Z$67=0,IF($Z$66=0,IF(Tournament!L76&lt;&gt;"",Tournament!L76,""),IF(Tournament!L76&lt;&gt;"",Tournament!L76+Tournament!L77,"")),IF(Tournament!L75&lt;&gt;"",Tournament!L75,""))</f>
        <v/>
      </c>
      <c r="U67" s="193"/>
      <c r="V67" s="193" t="str">
        <f t="shared" si="3"/>
        <v>Group D Runner Up</v>
      </c>
      <c r="W67" s="191" t="str">
        <f>IF(Tournament!J77&lt;&gt;"",Tournament!J77,"")</f>
        <v/>
      </c>
      <c r="X67" s="199" t="s">
        <v>3088</v>
      </c>
      <c r="Y67" s="191" t="str">
        <f>IF(Tournament!L77&lt;&gt;"",Tournament!L77,"")</f>
        <v/>
      </c>
      <c r="Z67" s="199">
        <f>Setup!E17</f>
        <v>0</v>
      </c>
      <c r="AA67" s="191" t="str">
        <f>IF(Tournament!J78&lt;&gt;"",Tournament!J78,"")</f>
        <v/>
      </c>
      <c r="AB67" s="194" t="s">
        <v>3088</v>
      </c>
      <c r="AC67" s="191" t="str">
        <f>IF(Tournament!L78&lt;&gt;"",Tournament!L78,"")</f>
        <v/>
      </c>
      <c r="AD67" s="195" t="str">
        <f>IF(AND(I67&lt;&gt;"",K67&lt;&gt;"",R67&lt;&gt;"",T67&lt;&gt;""),IF(AND(I67=R67,K67=T67),Setup!$D$20,IF((I67-K67)=(R67-T67),Setup!$D$21,IF(AND((I67&gt;K67),(R67&gt;T67)),Setup!$D$22,IF(AND((K67&gt;I67),(T67&gt;R67)),Setup!$D$22,0)))),"")</f>
        <v/>
      </c>
      <c r="AE67" s="183"/>
      <c r="CM67" s="168"/>
      <c r="CN67" s="168"/>
      <c r="CO67" s="187"/>
      <c r="CP67" s="168"/>
    </row>
    <row r="68" spans="2:94" s="166" customFormat="1" ht="15" customHeight="1">
      <c r="B68" s="182"/>
      <c r="C68" s="181">
        <v>52</v>
      </c>
      <c r="D68" s="181" t="str">
        <f t="shared" ref="D68:D73" si="4">D67</f>
        <v>R16</v>
      </c>
      <c r="E68" s="188">
        <f>Tournament!F81</f>
        <v>41819.708333333336</v>
      </c>
      <c r="F68" s="189">
        <f>Tournament!G81</f>
        <v>41819.708333333336</v>
      </c>
      <c r="G68" s="190" t="str">
        <f>Tournament!H81</f>
        <v>Group D Winner</v>
      </c>
      <c r="H68" s="180"/>
      <c r="I68" s="9"/>
      <c r="J68" s="191" t="s">
        <v>3088</v>
      </c>
      <c r="K68" s="9"/>
      <c r="L68" s="180"/>
      <c r="M68" s="198" t="str">
        <f>Tournament!N81</f>
        <v>Group C Runner Up</v>
      </c>
      <c r="N68" s="183"/>
      <c r="P68" s="192" t="str">
        <f t="shared" si="2"/>
        <v>Group D Winner</v>
      </c>
      <c r="Q68" s="193"/>
      <c r="R68" s="194" t="str">
        <f>IF($Z$67=0,IF($Z$66=0,IF(Tournament!J82&lt;&gt;"",Tournament!J82,""),IF(Tournament!J82&lt;&gt;"",Tournament!J82+Tournament!J83,"")),IF(Tournament!J81&lt;&gt;"",Tournament!J81,""))</f>
        <v/>
      </c>
      <c r="S68" s="194" t="s">
        <v>3088</v>
      </c>
      <c r="T68" s="194" t="str">
        <f>IF($Z$67=0,IF($Z$66=0,IF(Tournament!L82&lt;&gt;"",Tournament!L82,""),IF(Tournament!L82&lt;&gt;"",Tournament!L82+Tournament!L83,"")),IF(Tournament!L81&lt;&gt;"",Tournament!L81,""))</f>
        <v/>
      </c>
      <c r="U68" s="193"/>
      <c r="V68" s="193" t="str">
        <f t="shared" si="3"/>
        <v>Group C Runner Up</v>
      </c>
      <c r="W68" s="191" t="str">
        <f>IF(Tournament!J83&lt;&gt;"",Tournament!J83,"")</f>
        <v/>
      </c>
      <c r="X68" s="199" t="s">
        <v>3088</v>
      </c>
      <c r="Y68" s="191" t="str">
        <f>IF(Tournament!L83&lt;&gt;"",Tournament!L83,"")</f>
        <v/>
      </c>
      <c r="Z68" s="191"/>
      <c r="AA68" s="191" t="str">
        <f>IF(Tournament!J84&lt;&gt;"",Tournament!J84,"")</f>
        <v/>
      </c>
      <c r="AB68" s="194" t="s">
        <v>3088</v>
      </c>
      <c r="AC68" s="191" t="str">
        <f>IF(Tournament!L84&lt;&gt;"",Tournament!L84,"")</f>
        <v/>
      </c>
      <c r="AD68" s="195" t="str">
        <f>IF(AND(I68&lt;&gt;"",K68&lt;&gt;"",R68&lt;&gt;"",T68&lt;&gt;""),IF(AND(I68=R68,K68=T68),Setup!$D$20,IF((I68-K68)=(R68-T68),Setup!$D$21,IF(AND((I68&gt;K68),(R68&gt;T68)),Setup!$D$22,IF(AND((K68&gt;I68),(T68&gt;R68)),Setup!$D$22,0)))),"")</f>
        <v/>
      </c>
      <c r="AE68" s="183"/>
      <c r="CM68" s="168"/>
      <c r="CN68" s="168"/>
      <c r="CO68" s="187"/>
      <c r="CP68" s="168"/>
    </row>
    <row r="69" spans="2:94" s="166" customFormat="1" ht="15" customHeight="1">
      <c r="B69" s="182"/>
      <c r="C69" s="181">
        <v>51</v>
      </c>
      <c r="D69" s="181" t="str">
        <f t="shared" si="4"/>
        <v>R16</v>
      </c>
      <c r="E69" s="188">
        <f>Tournament!F87</f>
        <v>41819.541666666664</v>
      </c>
      <c r="F69" s="189">
        <f>Tournament!G93</f>
        <v>41820.541666666664</v>
      </c>
      <c r="G69" s="190" t="str">
        <f>Tournament!H87</f>
        <v>Group B Winner</v>
      </c>
      <c r="H69" s="180"/>
      <c r="I69" s="9"/>
      <c r="J69" s="191" t="s">
        <v>3088</v>
      </c>
      <c r="K69" s="9"/>
      <c r="L69" s="180"/>
      <c r="M69" s="198" t="str">
        <f>Tournament!N87</f>
        <v>Group A Runner Up</v>
      </c>
      <c r="N69" s="183"/>
      <c r="P69" s="192" t="str">
        <f t="shared" si="2"/>
        <v>Group B Winner</v>
      </c>
      <c r="Q69" s="193"/>
      <c r="R69" s="194" t="str">
        <f>IF($Z$67=0,IF($Z$66=0,IF(Tournament!J88&lt;&gt;"",Tournament!J88,""),IF(Tournament!J88&lt;&gt;"",Tournament!J88+Tournament!J89,"")),IF(Tournament!J87&lt;&gt;"",Tournament!J87,""))</f>
        <v/>
      </c>
      <c r="S69" s="194" t="s">
        <v>3088</v>
      </c>
      <c r="T69" s="194" t="str">
        <f>IF($Z$67=0,IF($Z$66=0,IF(Tournament!L88&lt;&gt;"",Tournament!L88,""),IF(Tournament!L88&lt;&gt;"",Tournament!L88+Tournament!L89,"")),IF(Tournament!L87&lt;&gt;"",Tournament!L87,""))</f>
        <v/>
      </c>
      <c r="U69" s="193"/>
      <c r="V69" s="193" t="str">
        <f t="shared" si="3"/>
        <v>Group A Runner Up</v>
      </c>
      <c r="W69" s="191" t="str">
        <f>IF(Tournament!J89&lt;&gt;"",Tournament!J89,"")</f>
        <v/>
      </c>
      <c r="X69" s="199" t="s">
        <v>3088</v>
      </c>
      <c r="Y69" s="191" t="str">
        <f>IF(Tournament!L89&lt;&gt;"",Tournament!L89,"")</f>
        <v/>
      </c>
      <c r="Z69" s="191"/>
      <c r="AA69" s="191" t="str">
        <f>IF(Tournament!J90&lt;&gt;"",Tournament!J90,"")</f>
        <v/>
      </c>
      <c r="AB69" s="194" t="s">
        <v>3088</v>
      </c>
      <c r="AC69" s="191" t="str">
        <f>IF(Tournament!L90&lt;&gt;"",Tournament!L90,"")</f>
        <v/>
      </c>
      <c r="AD69" s="195" t="str">
        <f>IF(AND(I69&lt;&gt;"",K69&lt;&gt;"",R69&lt;&gt;"",T69&lt;&gt;""),IF(AND(I69=R69,K69=T69),Setup!$D$20,IF((I69-K69)=(R69-T69),Setup!$D$21,IF(AND((I69&gt;K69),(R69&gt;T69)),Setup!$D$22,IF(AND((K69&gt;I69),(T69&gt;R69)),Setup!$D$22,0)))),"")</f>
        <v/>
      </c>
      <c r="AE69" s="183"/>
      <c r="CM69" s="168"/>
      <c r="CN69" s="168"/>
      <c r="CO69" s="187"/>
      <c r="CP69" s="168"/>
    </row>
    <row r="70" spans="2:94" s="166" customFormat="1" ht="15" customHeight="1">
      <c r="B70" s="182"/>
      <c r="C70" s="181">
        <v>53</v>
      </c>
      <c r="D70" s="181" t="str">
        <f t="shared" si="4"/>
        <v>R16</v>
      </c>
      <c r="E70" s="188">
        <f>Tournament!F93</f>
        <v>41820.541666666664</v>
      </c>
      <c r="F70" s="189">
        <f>Tournament!G93</f>
        <v>41820.541666666664</v>
      </c>
      <c r="G70" s="190" t="str">
        <f>Tournament!H93</f>
        <v>Group E Winner</v>
      </c>
      <c r="H70" s="180"/>
      <c r="I70" s="9"/>
      <c r="J70" s="191" t="s">
        <v>3088</v>
      </c>
      <c r="K70" s="9"/>
      <c r="L70" s="180"/>
      <c r="M70" s="198" t="str">
        <f>Tournament!N93</f>
        <v>Group F Runner Up</v>
      </c>
      <c r="N70" s="183"/>
      <c r="P70" s="192" t="str">
        <f t="shared" si="2"/>
        <v>Group E Winner</v>
      </c>
      <c r="Q70" s="193"/>
      <c r="R70" s="194" t="str">
        <f>IF($Z$67=0,IF($Z$66=0,IF(Tournament!J94&lt;&gt;"",Tournament!J94,""),IF(Tournament!J94&lt;&gt;"",Tournament!J94+Tournament!J95,"")),IF(Tournament!J93&lt;&gt;"",Tournament!J93,""))</f>
        <v/>
      </c>
      <c r="S70" s="194" t="s">
        <v>3088</v>
      </c>
      <c r="T70" s="194" t="str">
        <f>IF($Z$67=0,IF($Z$66=0,IF(Tournament!L94&lt;&gt;"",Tournament!L94,""),IF(Tournament!L94&lt;&gt;"",Tournament!L94+Tournament!L95,"")),IF(Tournament!L93&lt;&gt;"",Tournament!L93,""))</f>
        <v/>
      </c>
      <c r="U70" s="193"/>
      <c r="V70" s="193" t="str">
        <f t="shared" si="3"/>
        <v>Group F Runner Up</v>
      </c>
      <c r="W70" s="191" t="str">
        <f>IF(Tournament!J95&lt;&gt;"",Tournament!J95,"")</f>
        <v/>
      </c>
      <c r="X70" s="199" t="s">
        <v>3088</v>
      </c>
      <c r="Y70" s="191" t="str">
        <f>IF(Tournament!L95&lt;&gt;"",Tournament!L95,"")</f>
        <v/>
      </c>
      <c r="Z70" s="191"/>
      <c r="AA70" s="191" t="str">
        <f>IF(Tournament!J96&lt;&gt;"",Tournament!J96,"")</f>
        <v/>
      </c>
      <c r="AB70" s="194" t="s">
        <v>3088</v>
      </c>
      <c r="AC70" s="191" t="str">
        <f>IF(Tournament!L96&lt;&gt;"",Tournament!L96,"")</f>
        <v/>
      </c>
      <c r="AD70" s="195" t="str">
        <f>IF(AND(I70&lt;&gt;"",K70&lt;&gt;"",R70&lt;&gt;"",T70&lt;&gt;""),IF(AND(I70=R70,K70=T70),Setup!$D$20,IF((I70-K70)=(R70-T70),Setup!$D$21,IF(AND((I70&gt;K70),(R70&gt;T70)),Setup!$D$22,IF(AND((K70&gt;I70),(T70&gt;R70)),Setup!$D$22,0)))),"")</f>
        <v/>
      </c>
      <c r="AE70" s="183"/>
      <c r="CM70" s="168"/>
      <c r="CN70" s="168"/>
      <c r="CO70" s="187"/>
      <c r="CP70" s="168"/>
    </row>
    <row r="71" spans="2:94" s="166" customFormat="1" ht="15" customHeight="1">
      <c r="B71" s="182"/>
      <c r="C71" s="181">
        <v>54</v>
      </c>
      <c r="D71" s="181" t="str">
        <f t="shared" si="4"/>
        <v>R16</v>
      </c>
      <c r="E71" s="188">
        <f>Tournament!F99</f>
        <v>41820.708333333336</v>
      </c>
      <c r="F71" s="189">
        <f>Tournament!G99</f>
        <v>41820.708333333336</v>
      </c>
      <c r="G71" s="190" t="str">
        <f>Tournament!H99</f>
        <v>Group G Winner</v>
      </c>
      <c r="H71" s="180"/>
      <c r="I71" s="9"/>
      <c r="J71" s="191" t="s">
        <v>3088</v>
      </c>
      <c r="K71" s="9"/>
      <c r="L71" s="180"/>
      <c r="M71" s="198" t="str">
        <f>Tournament!N99</f>
        <v>Group H Runner Up</v>
      </c>
      <c r="N71" s="183"/>
      <c r="P71" s="192" t="str">
        <f t="shared" si="2"/>
        <v>Group G Winner</v>
      </c>
      <c r="Q71" s="193"/>
      <c r="R71" s="194" t="str">
        <f>IF($Z$67=0,IF($Z$66=0,IF(Tournament!J100&lt;&gt;"",Tournament!J100,""),IF(Tournament!J100&lt;&gt;"",Tournament!J100+Tournament!J101,"")),IF(Tournament!J99&lt;&gt;"",Tournament!J99,""))</f>
        <v/>
      </c>
      <c r="S71" s="194" t="s">
        <v>3088</v>
      </c>
      <c r="T71" s="194" t="str">
        <f>IF($Z$67=0,IF($Z$66=0,IF(Tournament!L100&lt;&gt;"",Tournament!L100,""),IF(Tournament!L100&lt;&gt;"",Tournament!L100+Tournament!L101,"")),IF(Tournament!L99&lt;&gt;"",Tournament!L99,""))</f>
        <v/>
      </c>
      <c r="U71" s="193"/>
      <c r="V71" s="193" t="str">
        <f t="shared" si="3"/>
        <v>Group H Runner Up</v>
      </c>
      <c r="W71" s="191" t="str">
        <f>IF(Tournament!J101&lt;&gt;"",Tournament!J101,"")</f>
        <v/>
      </c>
      <c r="X71" s="199" t="s">
        <v>3088</v>
      </c>
      <c r="Y71" s="191" t="str">
        <f>IF(Tournament!L101&lt;&gt;"",Tournament!L101,"")</f>
        <v/>
      </c>
      <c r="Z71" s="191"/>
      <c r="AA71" s="191" t="str">
        <f>IF(Tournament!J102&lt;&gt;"",Tournament!J102,"")</f>
        <v/>
      </c>
      <c r="AB71" s="194" t="s">
        <v>3088</v>
      </c>
      <c r="AC71" s="191" t="str">
        <f>IF(Tournament!L102&lt;&gt;"",Tournament!L102,"")</f>
        <v/>
      </c>
      <c r="AD71" s="195" t="str">
        <f>IF(AND(I71&lt;&gt;"",K71&lt;&gt;"",R71&lt;&gt;"",T71&lt;&gt;""),IF(AND(I71=R71,K71=T71),Setup!$D$20,IF((I71-K71)=(R71-T71),Setup!$D$21,IF(AND((I71&gt;K71),(R71&gt;T71)),Setup!$D$22,IF(AND((K71&gt;I71),(T71&gt;R71)),Setup!$D$22,0)))),"")</f>
        <v/>
      </c>
      <c r="AE71" s="183"/>
      <c r="CM71" s="168"/>
      <c r="CN71" s="168"/>
      <c r="CO71" s="187"/>
      <c r="CP71" s="168"/>
    </row>
    <row r="72" spans="2:94" s="166" customFormat="1" ht="15" customHeight="1">
      <c r="B72" s="182"/>
      <c r="C72" s="181">
        <v>55</v>
      </c>
      <c r="D72" s="181" t="str">
        <f t="shared" si="4"/>
        <v>R16</v>
      </c>
      <c r="E72" s="188">
        <f>Tournament!F105</f>
        <v>41821.541666666664</v>
      </c>
      <c r="F72" s="189">
        <f>Tournament!G105</f>
        <v>41821.541666666664</v>
      </c>
      <c r="G72" s="190" t="str">
        <f>Tournament!H105</f>
        <v>Group F Winner</v>
      </c>
      <c r="H72" s="180"/>
      <c r="I72" s="9"/>
      <c r="J72" s="191" t="s">
        <v>3088</v>
      </c>
      <c r="K72" s="9"/>
      <c r="L72" s="180"/>
      <c r="M72" s="198" t="str">
        <f>Tournament!N105</f>
        <v>Group E Runner Up</v>
      </c>
      <c r="N72" s="183"/>
      <c r="P72" s="192" t="str">
        <f t="shared" si="2"/>
        <v>Group F Winner</v>
      </c>
      <c r="Q72" s="193"/>
      <c r="R72" s="194" t="str">
        <f>IF($Z$67=0,IF($Z$66=0,IF(Tournament!J106&lt;&gt;"",Tournament!J106,""),IF(Tournament!J106&lt;&gt;"",Tournament!J106+Tournament!J107,"")),IF(Tournament!J105&lt;&gt;"",Tournament!J105,""))</f>
        <v/>
      </c>
      <c r="S72" s="194" t="s">
        <v>3088</v>
      </c>
      <c r="T72" s="194" t="str">
        <f>IF($Z$67=0,IF($Z$66=0,IF(Tournament!L106&lt;&gt;"",Tournament!L106,""),IF(Tournament!L106&lt;&gt;"",Tournament!L106+Tournament!L107,"")),IF(Tournament!L105&lt;&gt;"",Tournament!L105,""))</f>
        <v/>
      </c>
      <c r="U72" s="193"/>
      <c r="V72" s="193" t="str">
        <f t="shared" si="3"/>
        <v>Group E Runner Up</v>
      </c>
      <c r="W72" s="191" t="str">
        <f>IF(Tournament!J107&lt;&gt;"",Tournament!J107,"")</f>
        <v/>
      </c>
      <c r="X72" s="199" t="s">
        <v>3088</v>
      </c>
      <c r="Y72" s="191" t="str">
        <f>IF(Tournament!L107&lt;&gt;"",Tournament!L107,"")</f>
        <v/>
      </c>
      <c r="Z72" s="191"/>
      <c r="AA72" s="191" t="str">
        <f>IF(Tournament!J108&lt;&gt;"",Tournament!J108,"")</f>
        <v/>
      </c>
      <c r="AB72" s="194" t="s">
        <v>3088</v>
      </c>
      <c r="AC72" s="191" t="str">
        <f>IF(Tournament!L108&lt;&gt;"",Tournament!L108,"")</f>
        <v/>
      </c>
      <c r="AD72" s="195" t="str">
        <f>IF(AND(I72&lt;&gt;"",K72&lt;&gt;"",R72&lt;&gt;"",T72&lt;&gt;""),IF(AND(I72=R72,K72=T72),Setup!$D$20,IF((I72-K72)=(R72-T72),Setup!$D$21,IF(AND((I72&gt;K72),(R72&gt;T72)),Setup!$D$22,IF(AND((K72&gt;I72),(T72&gt;R72)),Setup!$D$22,0)))),"")</f>
        <v/>
      </c>
      <c r="AE72" s="183"/>
      <c r="CM72" s="168"/>
      <c r="CN72" s="168"/>
      <c r="CO72" s="187"/>
      <c r="CP72" s="168"/>
    </row>
    <row r="73" spans="2:94" s="166" customFormat="1" ht="15" customHeight="1">
      <c r="B73" s="182"/>
      <c r="C73" s="181">
        <v>56</v>
      </c>
      <c r="D73" s="181" t="str">
        <f t="shared" si="4"/>
        <v>R16</v>
      </c>
      <c r="E73" s="188">
        <f>Tournament!F111</f>
        <v>41821.708333333336</v>
      </c>
      <c r="F73" s="189">
        <f>Tournament!G111</f>
        <v>41821.708333333336</v>
      </c>
      <c r="G73" s="190" t="str">
        <f>Tournament!H111</f>
        <v>Group H Winner</v>
      </c>
      <c r="H73" s="180"/>
      <c r="I73" s="9"/>
      <c r="J73" s="191" t="s">
        <v>3088</v>
      </c>
      <c r="K73" s="9"/>
      <c r="L73" s="180"/>
      <c r="M73" s="198" t="str">
        <f>Tournament!N111</f>
        <v>Group G Runner Up</v>
      </c>
      <c r="N73" s="183"/>
      <c r="P73" s="192" t="str">
        <f t="shared" si="2"/>
        <v>Group H Winner</v>
      </c>
      <c r="Q73" s="193"/>
      <c r="R73" s="194" t="str">
        <f>IF($Z$67=0,IF($Z$66=0,IF(Tournament!J112&lt;&gt;"",Tournament!J112,""),IF(Tournament!J112&lt;&gt;"",Tournament!J112+Tournament!J113,"")),IF(Tournament!J111&lt;&gt;"",Tournament!J111,""))</f>
        <v/>
      </c>
      <c r="S73" s="194" t="s">
        <v>3088</v>
      </c>
      <c r="T73" s="194" t="str">
        <f>IF($Z$67=0,IF($Z$66=0,IF(Tournament!L112&lt;&gt;"",Tournament!L112,""),IF(Tournament!L112&lt;&gt;"",Tournament!L112+Tournament!L113,"")),IF(Tournament!L111&lt;&gt;"",Tournament!L111,""))</f>
        <v/>
      </c>
      <c r="U73" s="193"/>
      <c r="V73" s="193" t="str">
        <f t="shared" si="3"/>
        <v>Group G Runner Up</v>
      </c>
      <c r="W73" s="191" t="str">
        <f>IF(Tournament!J113&lt;&gt;"",Tournament!J113,"")</f>
        <v/>
      </c>
      <c r="X73" s="199" t="s">
        <v>3088</v>
      </c>
      <c r="Y73" s="191" t="str">
        <f>IF(Tournament!L113&lt;&gt;"",Tournament!L113,"")</f>
        <v/>
      </c>
      <c r="Z73" s="191"/>
      <c r="AA73" s="191" t="str">
        <f>IF(Tournament!J114&lt;&gt;"",Tournament!J114,"")</f>
        <v/>
      </c>
      <c r="AB73" s="194" t="s">
        <v>3088</v>
      </c>
      <c r="AC73" s="191" t="str">
        <f>IF(Tournament!L114&lt;&gt;"",Tournament!L114,"")</f>
        <v/>
      </c>
      <c r="AD73" s="195" t="str">
        <f>IF(AND(I73&lt;&gt;"",K73&lt;&gt;"",R73&lt;&gt;"",T73&lt;&gt;""),IF(AND(I73=R73,K73=T73),Setup!$D$20,IF((I73-K73)=(R73-T73),Setup!$D$21,IF(AND((I73&gt;K73),(R73&gt;T73)),Setup!$D$22,IF(AND((K73&gt;I73),(T73&gt;R73)),Setup!$D$22,0)))),"")</f>
        <v/>
      </c>
      <c r="AE73" s="183"/>
      <c r="CM73" s="168"/>
      <c r="CN73" s="168"/>
      <c r="CO73" s="187"/>
      <c r="CP73" s="168"/>
    </row>
    <row r="74" spans="2:94" s="166" customFormat="1" ht="15" customHeight="1">
      <c r="B74" s="182"/>
      <c r="C74" s="181">
        <v>58</v>
      </c>
      <c r="D74" s="181" t="s">
        <v>3549</v>
      </c>
      <c r="E74" s="188">
        <f>Tournament!T69</f>
        <v>41824.541666666664</v>
      </c>
      <c r="F74" s="189">
        <f>Tournament!U69</f>
        <v>41824.541666666664</v>
      </c>
      <c r="G74" s="190" t="str">
        <f>Tournament!Y69</f>
        <v>Match 53 Winner</v>
      </c>
      <c r="H74" s="180"/>
      <c r="I74" s="9"/>
      <c r="J74" s="191" t="s">
        <v>3088</v>
      </c>
      <c r="K74" s="9"/>
      <c r="L74" s="180"/>
      <c r="M74" s="198" t="str">
        <f>Tournament!AE69</f>
        <v>Match 54 Winner</v>
      </c>
      <c r="N74" s="183"/>
      <c r="P74" s="192" t="str">
        <f t="shared" si="2"/>
        <v>Match 53 Winner</v>
      </c>
      <c r="Q74" s="193"/>
      <c r="R74" s="194" t="str">
        <f>IF($Z$67=0,IF($Z$66=0,IF(Tournament!AA70&lt;&gt;"",Tournament!AA70,""),IF(Tournament!AA70&lt;&gt;"",Tournament!AA70+Tournament!AA71,"")),IF(Tournament!AA69&lt;&gt;"",Tournament!AA69,""))</f>
        <v/>
      </c>
      <c r="S74" s="194" t="s">
        <v>3088</v>
      </c>
      <c r="T74" s="194" t="str">
        <f>IF($Z$67=0,IF($Z$66=0,IF(Tournament!AC70&lt;&gt;"",Tournament!AC70,""),IF(Tournament!AC70&lt;&gt;"",Tournament!AC70+Tournament!AC71,"")),IF(Tournament!AC69&lt;&gt;"",Tournament!AC69,""))</f>
        <v/>
      </c>
      <c r="U74" s="193"/>
      <c r="V74" s="193" t="str">
        <f t="shared" si="3"/>
        <v>Match 54 Winner</v>
      </c>
      <c r="W74" s="191" t="str">
        <f>IF(Tournament!AA71&lt;&gt;"",Tournament!AA71,"")</f>
        <v/>
      </c>
      <c r="X74" s="199" t="s">
        <v>3088</v>
      </c>
      <c r="Y74" s="191" t="str">
        <f>IF(Tournament!AC71&lt;&gt;"",Tournament!AC71,"")</f>
        <v/>
      </c>
      <c r="Z74" s="191"/>
      <c r="AA74" s="191" t="str">
        <f>IF(Tournament!AA72&lt;&gt;"",Tournament!AA72,"")</f>
        <v/>
      </c>
      <c r="AB74" s="194" t="s">
        <v>3088</v>
      </c>
      <c r="AC74" s="191" t="str">
        <f>IF(Tournament!AC72&lt;&gt;"",Tournament!AC72,"")</f>
        <v/>
      </c>
      <c r="AD74" s="195" t="str">
        <f>IF(AND(I74&lt;&gt;"",K74&lt;&gt;"",R74&lt;&gt;"",T74&lt;&gt;""),IF(AND(I74=R74,K74=T74),Setup!$E$20,IF((I74-K74)=(R74-T74),Setup!$E$21,IF(AND((I74&gt;K74),(R74&gt;T74)),Setup!$E$22,IF(AND((K74&gt;I74),(T74&gt;R74)),Setup!$E$22,0)))),"")</f>
        <v/>
      </c>
      <c r="AE74" s="183"/>
      <c r="CM74" s="168"/>
      <c r="CN74" s="168"/>
      <c r="CO74" s="187"/>
      <c r="CP74" s="168"/>
    </row>
    <row r="75" spans="2:94" s="166" customFormat="1" ht="15" customHeight="1">
      <c r="B75" s="182"/>
      <c r="C75" s="181">
        <v>57</v>
      </c>
      <c r="D75" s="181" t="str">
        <f>D74</f>
        <v>QF</v>
      </c>
      <c r="E75" s="188">
        <f>Tournament!T74</f>
        <v>41824.708333333336</v>
      </c>
      <c r="F75" s="189">
        <f>Tournament!U74</f>
        <v>41824.708333333336</v>
      </c>
      <c r="G75" s="190" t="str">
        <f>Tournament!Y74</f>
        <v>Match 49 Winner</v>
      </c>
      <c r="H75" s="180"/>
      <c r="I75" s="9"/>
      <c r="J75" s="191" t="s">
        <v>3088</v>
      </c>
      <c r="K75" s="9"/>
      <c r="L75" s="180"/>
      <c r="M75" s="198" t="str">
        <f>Tournament!AE74</f>
        <v>Match 50 Winner</v>
      </c>
      <c r="N75" s="183"/>
      <c r="P75" s="192" t="str">
        <f t="shared" si="2"/>
        <v>Match 49 Winner</v>
      </c>
      <c r="Q75" s="193"/>
      <c r="R75" s="194" t="str">
        <f>IF($Z$67=0,IF($Z$66=0,IF(Tournament!AA75&lt;&gt;"",Tournament!AA75,""),IF(Tournament!AA75&lt;&gt;"",Tournament!AA75+Tournament!AA76,"")),IF(Tournament!AA74&lt;&gt;"",Tournament!AA74,""))</f>
        <v/>
      </c>
      <c r="S75" s="194" t="s">
        <v>3088</v>
      </c>
      <c r="T75" s="194" t="str">
        <f>IF($Z$67=0,IF($Z$66=0,IF(Tournament!AC75&lt;&gt;"",Tournament!AC75,""),IF(Tournament!AC75&lt;&gt;"",Tournament!AC75+Tournament!AC76,"")),IF(Tournament!AC74&lt;&gt;"",Tournament!AC74,""))</f>
        <v/>
      </c>
      <c r="U75" s="193"/>
      <c r="V75" s="193" t="str">
        <f t="shared" si="3"/>
        <v>Match 50 Winner</v>
      </c>
      <c r="W75" s="191" t="str">
        <f>IF(Tournament!AA76&lt;&gt;"",Tournament!AA76,"")</f>
        <v/>
      </c>
      <c r="X75" s="199" t="s">
        <v>3088</v>
      </c>
      <c r="Y75" s="191" t="str">
        <f>IF(Tournament!AC76&lt;&gt;"",Tournament!AC76,"")</f>
        <v/>
      </c>
      <c r="Z75" s="191"/>
      <c r="AA75" s="191" t="str">
        <f>IF(Tournament!AA77&lt;&gt;"",Tournament!AA77,"")</f>
        <v/>
      </c>
      <c r="AB75" s="194" t="s">
        <v>3088</v>
      </c>
      <c r="AC75" s="191" t="str">
        <f>IF(Tournament!AC77&lt;&gt;"",Tournament!AC77,"")</f>
        <v/>
      </c>
      <c r="AD75" s="195" t="str">
        <f>IF(AND(I75&lt;&gt;"",K75&lt;&gt;"",R75&lt;&gt;"",T75&lt;&gt;""),IF(AND(I75=R75,K75=T75),Setup!$E$20,IF((I75-K75)=(R75-T75),Setup!$E$21,IF(AND((I75&gt;K75),(R75&gt;T75)),Setup!$E$22,IF(AND((K75&gt;I75),(T75&gt;R75)),Setup!$E$22,0)))),"")</f>
        <v/>
      </c>
      <c r="AE75" s="183"/>
      <c r="CM75" s="168"/>
      <c r="CN75" s="168"/>
      <c r="CO75" s="187"/>
      <c r="CP75" s="168"/>
    </row>
    <row r="76" spans="2:94" s="166" customFormat="1" ht="15" customHeight="1">
      <c r="B76" s="182"/>
      <c r="C76" s="181">
        <v>59</v>
      </c>
      <c r="D76" s="181" t="str">
        <f>D75</f>
        <v>QF</v>
      </c>
      <c r="E76" s="188">
        <f>Tournament!T79</f>
        <v>41825.708333333336</v>
      </c>
      <c r="F76" s="189">
        <f>Tournament!U79</f>
        <v>41825.708333333336</v>
      </c>
      <c r="G76" s="190" t="str">
        <f>Tournament!Y79</f>
        <v>Match 51 Winner</v>
      </c>
      <c r="H76" s="180"/>
      <c r="I76" s="9"/>
      <c r="J76" s="191" t="s">
        <v>3088</v>
      </c>
      <c r="K76" s="9"/>
      <c r="L76" s="180"/>
      <c r="M76" s="198" t="str">
        <f>Tournament!AE79</f>
        <v>Match 52 Winner</v>
      </c>
      <c r="N76" s="183"/>
      <c r="P76" s="192" t="str">
        <f t="shared" si="2"/>
        <v>Match 51 Winner</v>
      </c>
      <c r="Q76" s="193"/>
      <c r="R76" s="194" t="str">
        <f>IF($Z$67=0,IF($Z$66=0,IF(Tournament!AA80&lt;&gt;"",Tournament!AA80,""),IF(Tournament!AA80&lt;&gt;"",Tournament!AA80+Tournament!AA81,"")),IF(Tournament!AA79&lt;&gt;"",Tournament!AA79,""))</f>
        <v/>
      </c>
      <c r="S76" s="194" t="s">
        <v>3088</v>
      </c>
      <c r="T76" s="194" t="str">
        <f>IF($Z$67=0,IF($Z$66=0,IF(Tournament!AC80&lt;&gt;"",Tournament!AC80,""),IF(Tournament!AC80&lt;&gt;"",Tournament!AC80+Tournament!AC81,"")),IF(Tournament!AC79&lt;&gt;"",Tournament!AC79,""))</f>
        <v/>
      </c>
      <c r="U76" s="193"/>
      <c r="V76" s="193" t="str">
        <f t="shared" si="3"/>
        <v>Match 52 Winner</v>
      </c>
      <c r="W76" s="191" t="str">
        <f>IF(Tournament!AA81&lt;&gt;"",Tournament!AA81,"")</f>
        <v/>
      </c>
      <c r="X76" s="199" t="s">
        <v>3088</v>
      </c>
      <c r="Y76" s="191" t="str">
        <f>IF(Tournament!AC81&lt;&gt;"",Tournament!AC81,"")</f>
        <v/>
      </c>
      <c r="Z76" s="191"/>
      <c r="AA76" s="191" t="str">
        <f>IF(Tournament!AA82&lt;&gt;"",Tournament!AA82,"")</f>
        <v/>
      </c>
      <c r="AB76" s="194" t="s">
        <v>3088</v>
      </c>
      <c r="AC76" s="191" t="str">
        <f>IF(Tournament!AC82&lt;&gt;"",Tournament!AC82,"")</f>
        <v/>
      </c>
      <c r="AD76" s="195" t="str">
        <f>IF(AND(I76&lt;&gt;"",K76&lt;&gt;"",R76&lt;&gt;"",T76&lt;&gt;""),IF(AND(I76=R76,K76=T76),Setup!$E$20,IF((I76-K76)=(R76-T76),Setup!$E$21,IF(AND((I76&gt;K76),(R76&gt;T76)),Setup!$E$22,IF(AND((K76&gt;I76),(T76&gt;R76)),Setup!$E$22,0)))),"")</f>
        <v/>
      </c>
      <c r="AE76" s="183"/>
      <c r="CM76" s="168"/>
      <c r="CN76" s="168"/>
      <c r="CO76" s="187"/>
      <c r="CP76" s="168"/>
    </row>
    <row r="77" spans="2:94" s="166" customFormat="1" ht="15" customHeight="1">
      <c r="B77" s="182"/>
      <c r="C77" s="181">
        <v>60</v>
      </c>
      <c r="D77" s="181" t="str">
        <f>D76</f>
        <v>QF</v>
      </c>
      <c r="E77" s="188">
        <f>Tournament!T84</f>
        <v>41825.541666666664</v>
      </c>
      <c r="F77" s="189">
        <f>Tournament!U84</f>
        <v>41825.541666666664</v>
      </c>
      <c r="G77" s="190" t="str">
        <f>Tournament!Y84</f>
        <v>Match 55 Winner</v>
      </c>
      <c r="H77" s="180"/>
      <c r="I77" s="9"/>
      <c r="J77" s="191" t="s">
        <v>3088</v>
      </c>
      <c r="K77" s="9"/>
      <c r="L77" s="180"/>
      <c r="M77" s="198" t="str">
        <f>Tournament!AE84</f>
        <v>Match 56 Winner</v>
      </c>
      <c r="N77" s="183"/>
      <c r="P77" s="192" t="str">
        <f t="shared" si="2"/>
        <v>Match 55 Winner</v>
      </c>
      <c r="Q77" s="193"/>
      <c r="R77" s="194" t="str">
        <f>IF($Z$67=0,IF($Z$66=0,IF(Tournament!AA85&lt;&gt;"",Tournament!AA85,""),IF(Tournament!AA85&lt;&gt;"",Tournament!AA85+Tournament!AA86,"")),IF(Tournament!AA84&lt;&gt;"",Tournament!AA84,""))</f>
        <v/>
      </c>
      <c r="S77" s="194" t="s">
        <v>3088</v>
      </c>
      <c r="T77" s="194" t="str">
        <f>IF($Z$67=0,IF($Z$66=0,IF(Tournament!AC85&lt;&gt;"",Tournament!AC85,""),IF(Tournament!AC85&lt;&gt;"",Tournament!AC85+Tournament!AC86,"")),IF(Tournament!AC84&lt;&gt;"",Tournament!AC84,""))</f>
        <v/>
      </c>
      <c r="U77" s="193"/>
      <c r="V77" s="193" t="str">
        <f t="shared" si="3"/>
        <v>Match 56 Winner</v>
      </c>
      <c r="W77" s="191" t="str">
        <f>IF(Tournament!AA86&lt;&gt;"",Tournament!AA86,"")</f>
        <v/>
      </c>
      <c r="X77" s="199" t="s">
        <v>3088</v>
      </c>
      <c r="Y77" s="191" t="str">
        <f>IF(Tournament!AC86&lt;&gt;"",Tournament!AC86,"")</f>
        <v/>
      </c>
      <c r="Z77" s="191"/>
      <c r="AA77" s="191" t="str">
        <f>IF(Tournament!AA87&lt;&gt;"",Tournament!AA87,"")</f>
        <v/>
      </c>
      <c r="AB77" s="194" t="s">
        <v>3088</v>
      </c>
      <c r="AC77" s="191" t="str">
        <f>IF(Tournament!AC87&lt;&gt;"",Tournament!AC87,"")</f>
        <v/>
      </c>
      <c r="AD77" s="195" t="str">
        <f>IF(AND(I77&lt;&gt;"",K77&lt;&gt;"",R77&lt;&gt;"",T77&lt;&gt;""),IF(AND(I77=R77,K77=T77),Setup!$E$20,IF((I77-K77)=(R77-T77),Setup!$E$21,IF(AND((I77&gt;K77),(R77&gt;T77)),Setup!$E$22,IF(AND((K77&gt;I77),(T77&gt;R77)),Setup!$E$22,0)))),"")</f>
        <v/>
      </c>
      <c r="AE77" s="183"/>
      <c r="CM77" s="168"/>
      <c r="CN77" s="168"/>
      <c r="CO77" s="187"/>
      <c r="CP77" s="168"/>
    </row>
    <row r="78" spans="2:94" s="166" customFormat="1" ht="15" customHeight="1">
      <c r="B78" s="182"/>
      <c r="C78" s="181">
        <v>61</v>
      </c>
      <c r="D78" s="181" t="s">
        <v>3550</v>
      </c>
      <c r="E78" s="188">
        <f>Tournament!T92</f>
        <v>41828.708333333336</v>
      </c>
      <c r="F78" s="189">
        <f>Tournament!U92</f>
        <v>41828.708333333336</v>
      </c>
      <c r="G78" s="190" t="str">
        <f>Tournament!Y92</f>
        <v>Match 57 Winner</v>
      </c>
      <c r="H78" s="180"/>
      <c r="I78" s="9"/>
      <c r="J78" s="191" t="s">
        <v>3088</v>
      </c>
      <c r="K78" s="9"/>
      <c r="L78" s="180"/>
      <c r="M78" s="198" t="str">
        <f>Tournament!AE92</f>
        <v>Match 58 Winner</v>
      </c>
      <c r="N78" s="183"/>
      <c r="P78" s="192" t="str">
        <f t="shared" si="2"/>
        <v>Match 57 Winner</v>
      </c>
      <c r="Q78" s="193"/>
      <c r="R78" s="194" t="str">
        <f>IF($Z$67=0,IF($Z$66=0,IF(Tournament!AA93&lt;&gt;"",Tournament!AA93,""),IF(Tournament!AA93&lt;&gt;"",Tournament!AA93+Tournament!AA94,"")),IF(Tournament!AA92&lt;&gt;"",Tournament!AA92,""))</f>
        <v/>
      </c>
      <c r="S78" s="194" t="s">
        <v>3088</v>
      </c>
      <c r="T78" s="194" t="str">
        <f>IF($Z$67=0,IF($Z$66=0,IF(Tournament!AC93&lt;&gt;"",Tournament!AC93,""),IF(Tournament!AC93&lt;&gt;"",Tournament!AC93+Tournament!AC94,"")),IF(Tournament!AC92&lt;&gt;"",Tournament!AC92,""))</f>
        <v/>
      </c>
      <c r="U78" s="193"/>
      <c r="V78" s="193" t="str">
        <f t="shared" si="3"/>
        <v>Match 58 Winner</v>
      </c>
      <c r="W78" s="191" t="str">
        <f>IF(Tournament!AA94&lt;&gt;"",Tournament!AA94,"")</f>
        <v/>
      </c>
      <c r="X78" s="199" t="s">
        <v>3088</v>
      </c>
      <c r="Y78" s="191" t="str">
        <f>IF(Tournament!AC94&lt;&gt;"",Tournament!AC94,"")</f>
        <v/>
      </c>
      <c r="Z78" s="191"/>
      <c r="AA78" s="191" t="str">
        <f>IF(Tournament!AA95&lt;&gt;"",Tournament!AA95,"")</f>
        <v/>
      </c>
      <c r="AB78" s="194" t="s">
        <v>3088</v>
      </c>
      <c r="AC78" s="191" t="str">
        <f>IF(Tournament!AC95&lt;&gt;"",Tournament!AC95,"")</f>
        <v/>
      </c>
      <c r="AD78" s="195" t="str">
        <f>IF(AND(I78&lt;&gt;"",K78&lt;&gt;"",R78&lt;&gt;"",T78&lt;&gt;""),IF(AND(I78=R78,K78=T78),Setup!$F$20,IF((I78-K78)=(R78-T78),Setup!$F$21,IF(AND((I78&gt;K78),(R78&gt;T78)),Setup!$F$22,IF(AND((K78&gt;I78),(T78&gt;R78)),Setup!$F$22,0)))),"")</f>
        <v/>
      </c>
      <c r="AE78" s="183"/>
      <c r="CM78" s="168"/>
      <c r="CN78" s="168"/>
      <c r="CO78" s="187"/>
      <c r="CP78" s="168"/>
    </row>
    <row r="79" spans="2:94" s="166" customFormat="1" ht="15" customHeight="1">
      <c r="B79" s="182"/>
      <c r="C79" s="181">
        <v>62</v>
      </c>
      <c r="D79" s="181" t="str">
        <f>D78</f>
        <v>SF</v>
      </c>
      <c r="E79" s="188">
        <f>Tournament!T97</f>
        <v>41829.708333333336</v>
      </c>
      <c r="F79" s="189">
        <f>Tournament!U97</f>
        <v>41829.708333333336</v>
      </c>
      <c r="G79" s="190" t="str">
        <f>Tournament!Y97</f>
        <v>Match 59 Winner</v>
      </c>
      <c r="H79" s="180"/>
      <c r="I79" s="9"/>
      <c r="J79" s="191" t="s">
        <v>3088</v>
      </c>
      <c r="K79" s="9"/>
      <c r="L79" s="180"/>
      <c r="M79" s="198" t="str">
        <f>Tournament!AE97</f>
        <v>Match 60 Winner</v>
      </c>
      <c r="N79" s="183"/>
      <c r="P79" s="192" t="str">
        <f t="shared" si="2"/>
        <v>Match 59 Winner</v>
      </c>
      <c r="Q79" s="193"/>
      <c r="R79" s="194" t="str">
        <f>IF($Z$67=0,IF($Z$66=0,IF(Tournament!AA98&lt;&gt;"",Tournament!AA98,""),IF(Tournament!AA98&lt;&gt;"",Tournament!AA98+Tournament!AA99,"")),IF(Tournament!AA97&lt;&gt;"",Tournament!AA97,""))</f>
        <v/>
      </c>
      <c r="S79" s="194" t="s">
        <v>3088</v>
      </c>
      <c r="T79" s="194" t="str">
        <f>IF($Z$67=0,IF($Z$66=0,IF(Tournament!AC98&lt;&gt;"",Tournament!AC98,""),IF(Tournament!AC98&lt;&gt;"",Tournament!AC98+Tournament!AC99,"")),IF(Tournament!AC97&lt;&gt;"",Tournament!AC97,""))</f>
        <v/>
      </c>
      <c r="U79" s="193"/>
      <c r="V79" s="193" t="str">
        <f t="shared" si="3"/>
        <v>Match 60 Winner</v>
      </c>
      <c r="W79" s="191" t="str">
        <f>IF(Tournament!AA99&lt;&gt;"",Tournament!AA99,"")</f>
        <v/>
      </c>
      <c r="X79" s="199" t="s">
        <v>3088</v>
      </c>
      <c r="Y79" s="191" t="str">
        <f>IF(Tournament!AC99&lt;&gt;"",Tournament!AC99,"")</f>
        <v/>
      </c>
      <c r="Z79" s="191"/>
      <c r="AA79" s="191" t="str">
        <f>IF(Tournament!AA100&lt;&gt;"",Tournament!AA100,"")</f>
        <v/>
      </c>
      <c r="AB79" s="194" t="s">
        <v>3088</v>
      </c>
      <c r="AC79" s="191" t="str">
        <f>IF(Tournament!AC100&lt;&gt;"",Tournament!AC100,"")</f>
        <v/>
      </c>
      <c r="AD79" s="195" t="str">
        <f>IF(AND(I79&lt;&gt;"",K79&lt;&gt;"",R79&lt;&gt;"",T79&lt;&gt;""),IF(AND(I79=R79,K79=T79),Setup!$F$20,IF((I79-K79)=(R79-T79),Setup!$F$21,IF(AND((I79&gt;K79),(R79&gt;T79)),Setup!$F$22,IF(AND((K79&gt;I79),(T79&gt;R79)),Setup!$F$22,0)))),"")</f>
        <v/>
      </c>
      <c r="AE79" s="183"/>
      <c r="CM79" s="168"/>
      <c r="CN79" s="168"/>
      <c r="CO79" s="187"/>
      <c r="CP79" s="168"/>
    </row>
    <row r="80" spans="2:94" s="166" customFormat="1" ht="15" customHeight="1">
      <c r="B80" s="182"/>
      <c r="C80" s="181">
        <v>63</v>
      </c>
      <c r="D80" s="181" t="s">
        <v>3551</v>
      </c>
      <c r="E80" s="188">
        <f>Tournament!T105</f>
        <v>41832.708333333336</v>
      </c>
      <c r="F80" s="189">
        <f>Tournament!U105</f>
        <v>41832.708333333336</v>
      </c>
      <c r="G80" s="190" t="str">
        <f>Tournament!Y105</f>
        <v>Match 61 Loser</v>
      </c>
      <c r="H80" s="180"/>
      <c r="I80" s="9"/>
      <c r="J80" s="191" t="s">
        <v>3088</v>
      </c>
      <c r="K80" s="9"/>
      <c r="L80" s="180"/>
      <c r="M80" s="198" t="str">
        <f>Tournament!AE105</f>
        <v>Match 62 Loser</v>
      </c>
      <c r="N80" s="183"/>
      <c r="P80" s="192" t="str">
        <f t="shared" si="2"/>
        <v>Match 61 Loser</v>
      </c>
      <c r="Q80" s="193"/>
      <c r="R80" s="194" t="str">
        <f>IF($Z$67=0,IF($Z$66=0,IF(Tournament!AA106&lt;&gt;"",Tournament!AA106,""),IF(Tournament!AA106&lt;&gt;"",Tournament!AA106+Tournament!AA107,"")),IF(Tournament!AA105&lt;&gt;"",Tournament!AA105,""))</f>
        <v/>
      </c>
      <c r="S80" s="194" t="s">
        <v>3088</v>
      </c>
      <c r="T80" s="194" t="str">
        <f>IF($Z$67=0,IF($Z$66=0,IF(Tournament!AC106&lt;&gt;"",Tournament!AC106,""),IF(Tournament!AC106&lt;&gt;"",Tournament!AC106+Tournament!AC107,"")),IF(Tournament!AC105&lt;&gt;"",Tournament!AC105,""))</f>
        <v/>
      </c>
      <c r="U80" s="193"/>
      <c r="V80" s="193" t="str">
        <f t="shared" si="3"/>
        <v>Match 62 Loser</v>
      </c>
      <c r="W80" s="191" t="str">
        <f>IF(Tournament!AA107&lt;&gt;"",Tournament!AA107,"")</f>
        <v/>
      </c>
      <c r="X80" s="199" t="s">
        <v>3088</v>
      </c>
      <c r="Y80" s="191" t="str">
        <f>IF(Tournament!AC107&lt;&gt;"",Tournament!AC107,"")</f>
        <v/>
      </c>
      <c r="Z80" s="191"/>
      <c r="AA80" s="191" t="str">
        <f>IF(Tournament!AA108&lt;&gt;"",Tournament!AA108,"")</f>
        <v/>
      </c>
      <c r="AB80" s="194" t="s">
        <v>3088</v>
      </c>
      <c r="AC80" s="191" t="str">
        <f>IF(Tournament!AC108&lt;&gt;"",Tournament!AC108,"")</f>
        <v/>
      </c>
      <c r="AD80" s="195" t="str">
        <f>IF(AND(I80&lt;&gt;"",K80&lt;&gt;"",R80&lt;&gt;"",T80&lt;&gt;""),IF(AND(I80=R80,K80=T80),Setup!$G$20,IF((I80-K80)=(R80-T80),Setup!$G$21,IF(AND((I80&gt;K80),(R80&gt;T80)),Setup!$G$22,IF(AND((K80&gt;I80),(T80&gt;R80)),Setup!$G$22,0)))),"")</f>
        <v/>
      </c>
      <c r="AE80" s="183"/>
      <c r="CM80" s="168"/>
      <c r="CN80" s="168"/>
      <c r="CO80" s="187"/>
      <c r="CP80" s="168"/>
    </row>
    <row r="81" spans="2:94" s="166" customFormat="1" ht="15" customHeight="1">
      <c r="B81" s="182"/>
      <c r="C81" s="181">
        <v>64</v>
      </c>
      <c r="D81" s="181" t="s">
        <v>3105</v>
      </c>
      <c r="E81" s="188">
        <f>Tournament!T113</f>
        <v>41833.666666666664</v>
      </c>
      <c r="F81" s="189">
        <f>Tournament!U113</f>
        <v>41833.666666666664</v>
      </c>
      <c r="G81" s="190" t="str">
        <f>Tournament!Y113</f>
        <v>Match 61 Winner</v>
      </c>
      <c r="H81" s="180"/>
      <c r="I81" s="9"/>
      <c r="J81" s="191" t="s">
        <v>3088</v>
      </c>
      <c r="K81" s="9"/>
      <c r="L81" s="180"/>
      <c r="M81" s="198" t="str">
        <f>Tournament!AE113</f>
        <v>Match 62 Winner</v>
      </c>
      <c r="N81" s="183"/>
      <c r="P81" s="192" t="str">
        <f t="shared" si="2"/>
        <v>Match 61 Winner</v>
      </c>
      <c r="Q81" s="193"/>
      <c r="R81" s="194" t="str">
        <f>IF($Z$67=0,IF($Z$66=0,IF(Tournament!AA114&lt;&gt;"",Tournament!AA114,""),IF(Tournament!AA114&lt;&gt;"",Tournament!AA114+Tournament!AA115,"")),IF(Tournament!AA113&lt;&gt;"",Tournament!AA113,""))</f>
        <v/>
      </c>
      <c r="S81" s="194" t="s">
        <v>3088</v>
      </c>
      <c r="T81" s="194" t="str">
        <f>IF($Z$67=0,IF($Z$66=0,IF(Tournament!AC114&lt;&gt;"",Tournament!AC114,""),IF(Tournament!AC114&lt;&gt;"",Tournament!AC114+Tournament!AC115,"")),IF(Tournament!AC113&lt;&gt;"",Tournament!AC113,""))</f>
        <v/>
      </c>
      <c r="U81" s="193"/>
      <c r="V81" s="193" t="str">
        <f t="shared" si="3"/>
        <v>Match 62 Winner</v>
      </c>
      <c r="W81" s="191" t="str">
        <f>IF(Tournament!AA115&lt;&gt;"",Tournament!AA115,"")</f>
        <v/>
      </c>
      <c r="X81" s="199" t="s">
        <v>3088</v>
      </c>
      <c r="Y81" s="191" t="str">
        <f>IF(Tournament!AC115&lt;&gt;"",Tournament!AC115,"")</f>
        <v/>
      </c>
      <c r="Z81" s="191"/>
      <c r="AA81" s="191" t="str">
        <f>IF(Tournament!AA116&lt;&gt;"",Tournament!AA116,"")</f>
        <v/>
      </c>
      <c r="AB81" s="194" t="s">
        <v>3088</v>
      </c>
      <c r="AC81" s="191" t="str">
        <f>IF(Tournament!AC116&lt;&gt;"",Tournament!AC116,"")</f>
        <v/>
      </c>
      <c r="AD81" s="195" t="str">
        <f>IF(AND(I81&lt;&gt;"",K81&lt;&gt;"",R81&lt;&gt;"",T81&lt;&gt;""),IF(AND(I81=R81,K81=T81),Setup!$H$20,IF((I81-K81)=(R81-T81),Setup!$H$21,IF(AND((I81&gt;K81),(R81&gt;T81)),Setup!$H$22,IF(AND((K81&gt;I81),(T81&gt;R81)),Setup!$H$22,0)))),"")</f>
        <v/>
      </c>
      <c r="AE81" s="183"/>
      <c r="CM81" s="168"/>
      <c r="CN81" s="168"/>
      <c r="CO81" s="187"/>
      <c r="CP81" s="168"/>
    </row>
    <row r="82" spans="2:94" s="166" customFormat="1" ht="15" customHeight="1">
      <c r="B82" s="200"/>
      <c r="C82" s="201"/>
      <c r="D82" s="201"/>
      <c r="E82" s="201"/>
      <c r="F82" s="201"/>
      <c r="G82" s="201"/>
      <c r="H82" s="201"/>
      <c r="I82" s="201"/>
      <c r="J82" s="202"/>
      <c r="K82" s="201"/>
      <c r="L82" s="201"/>
      <c r="M82" s="201"/>
      <c r="N82" s="203"/>
      <c r="P82" s="200"/>
      <c r="Q82" s="201"/>
      <c r="R82" s="201"/>
      <c r="S82" s="202"/>
      <c r="T82" s="201"/>
      <c r="U82" s="201"/>
      <c r="V82" s="201"/>
      <c r="W82" s="201"/>
      <c r="X82" s="202"/>
      <c r="Y82" s="201"/>
      <c r="Z82" s="201"/>
      <c r="AA82" s="201"/>
      <c r="AB82" s="202"/>
      <c r="AC82" s="201"/>
      <c r="AD82" s="202"/>
      <c r="AE82" s="203"/>
      <c r="CM82" s="168"/>
      <c r="CN82" s="168"/>
      <c r="CO82" s="187"/>
      <c r="CP82" s="168"/>
    </row>
    <row r="83" spans="2:94" s="166" customFormat="1" ht="15" customHeight="1">
      <c r="B83" s="166" t="s">
        <v>3905</v>
      </c>
      <c r="N83" s="180"/>
      <c r="AD83" s="167"/>
      <c r="CM83" s="168"/>
      <c r="CN83" s="168"/>
      <c r="CO83" s="187"/>
      <c r="CP83" s="168"/>
    </row>
    <row r="84" spans="2:94" s="166" customFormat="1" ht="15" hidden="1" customHeight="1">
      <c r="N84" s="180"/>
      <c r="AD84" s="167"/>
      <c r="CM84" s="168"/>
      <c r="CN84" s="168"/>
      <c r="CO84" s="187"/>
      <c r="CP84" s="168"/>
    </row>
    <row r="85" spans="2:94" s="166" customFormat="1" ht="15" hidden="1" customHeight="1">
      <c r="N85" s="180"/>
      <c r="AD85" s="167"/>
      <c r="CM85" s="168"/>
      <c r="CN85" s="168"/>
      <c r="CO85" s="187"/>
      <c r="CP85" s="168"/>
    </row>
    <row r="86" spans="2:94" s="166" customFormat="1" ht="15" hidden="1" customHeight="1">
      <c r="N86" s="180"/>
      <c r="AD86" s="167"/>
      <c r="CM86" s="168"/>
      <c r="CN86" s="168"/>
      <c r="CO86" s="187"/>
      <c r="CP86" s="168"/>
    </row>
    <row r="87" spans="2:94" s="166" customFormat="1" ht="15" hidden="1" customHeight="1">
      <c r="N87" s="180"/>
      <c r="AD87" s="167"/>
      <c r="CM87" s="168"/>
      <c r="CN87" s="168"/>
      <c r="CO87" s="187"/>
      <c r="CP87" s="168"/>
    </row>
    <row r="88" spans="2:94" s="166" customFormat="1" ht="15" hidden="1" customHeight="1">
      <c r="N88" s="180"/>
      <c r="AD88" s="167"/>
      <c r="CM88" s="168"/>
      <c r="CN88" s="168"/>
      <c r="CO88" s="187"/>
      <c r="CP88" s="168"/>
    </row>
    <row r="89" spans="2:94" s="166" customFormat="1" ht="15" hidden="1" customHeight="1">
      <c r="N89" s="180"/>
      <c r="AD89" s="167"/>
      <c r="CM89" s="168"/>
      <c r="CN89" s="168"/>
      <c r="CO89" s="187"/>
      <c r="CP89" s="168"/>
    </row>
    <row r="90" spans="2:94" s="166" customFormat="1" ht="15" hidden="1" customHeight="1">
      <c r="N90" s="180"/>
      <c r="AD90" s="167"/>
      <c r="CM90" s="168"/>
      <c r="CN90" s="168"/>
      <c r="CO90" s="187"/>
      <c r="CP90" s="168"/>
    </row>
    <row r="91" spans="2:94" s="166" customFormat="1" ht="15" hidden="1" customHeight="1">
      <c r="N91" s="180"/>
      <c r="AD91" s="167"/>
      <c r="CM91" s="168"/>
      <c r="CN91" s="168"/>
      <c r="CO91" s="187"/>
      <c r="CP91" s="168"/>
    </row>
    <row r="92" spans="2:94" s="166" customFormat="1" ht="15" hidden="1" customHeight="1">
      <c r="N92" s="180"/>
      <c r="AD92" s="167"/>
      <c r="CM92" s="168"/>
      <c r="CN92" s="168"/>
      <c r="CO92" s="187"/>
      <c r="CP92" s="168"/>
    </row>
    <row r="93" spans="2:94" s="166" customFormat="1" ht="15" hidden="1" customHeight="1">
      <c r="N93" s="180"/>
      <c r="AD93" s="167"/>
      <c r="CM93" s="168"/>
      <c r="CN93" s="168"/>
      <c r="CO93" s="187"/>
      <c r="CP93" s="168"/>
    </row>
    <row r="94" spans="2:94" s="166" customFormat="1" ht="15" hidden="1" customHeight="1">
      <c r="N94" s="180"/>
      <c r="AD94" s="167"/>
      <c r="CM94" s="168"/>
      <c r="CN94" s="168"/>
      <c r="CO94" s="187"/>
      <c r="CP94" s="168"/>
    </row>
    <row r="95" spans="2:94" s="166" customFormat="1" ht="15" hidden="1" customHeight="1">
      <c r="N95" s="180"/>
      <c r="AD95" s="167"/>
      <c r="CM95" s="168"/>
      <c r="CN95" s="168"/>
      <c r="CO95" s="187"/>
      <c r="CP95" s="168"/>
    </row>
    <row r="96" spans="2:94" s="166" customFormat="1" ht="15" hidden="1" customHeight="1">
      <c r="N96" s="180"/>
      <c r="AD96" s="167"/>
      <c r="CM96" s="168"/>
      <c r="CN96" s="168"/>
      <c r="CO96" s="187"/>
      <c r="CP96" s="168"/>
    </row>
    <row r="97" spans="14:94" s="166" customFormat="1" ht="15" hidden="1" customHeight="1">
      <c r="N97" s="180"/>
      <c r="AD97" s="167"/>
      <c r="CM97" s="168"/>
      <c r="CN97" s="168"/>
      <c r="CO97" s="187"/>
      <c r="CP97" s="168"/>
    </row>
    <row r="98" spans="14:94" s="166" customFormat="1" ht="15" hidden="1" customHeight="1">
      <c r="N98" s="180"/>
      <c r="AD98" s="167"/>
      <c r="CM98" s="168"/>
      <c r="CN98" s="168"/>
      <c r="CO98" s="187"/>
      <c r="CP98" s="168"/>
    </row>
    <row r="99" spans="14:94" s="166" customFormat="1" ht="15" hidden="1" customHeight="1">
      <c r="N99" s="180"/>
      <c r="AD99" s="167"/>
      <c r="CM99" s="168"/>
      <c r="CN99" s="168"/>
      <c r="CO99" s="187"/>
      <c r="CP99" s="168"/>
    </row>
    <row r="100" spans="14:94" s="166" customFormat="1" ht="15" hidden="1" customHeight="1">
      <c r="N100" s="180"/>
      <c r="AD100" s="167"/>
      <c r="CM100" s="168"/>
      <c r="CN100" s="168"/>
      <c r="CO100" s="187"/>
      <c r="CP100" s="168"/>
    </row>
    <row r="101" spans="14:94" s="166" customFormat="1" ht="15" hidden="1" customHeight="1">
      <c r="N101" s="180"/>
      <c r="AD101" s="167"/>
      <c r="CM101" s="168"/>
      <c r="CN101" s="168"/>
      <c r="CO101" s="187"/>
      <c r="CP101" s="168"/>
    </row>
    <row r="102" spans="14:94" s="166" customFormat="1" ht="15" hidden="1" customHeight="1">
      <c r="N102" s="180"/>
      <c r="AD102" s="167"/>
      <c r="CM102" s="168"/>
      <c r="CN102" s="168"/>
      <c r="CO102" s="187"/>
      <c r="CP102" s="168"/>
    </row>
    <row r="103" spans="14:94" s="166" customFormat="1" ht="15" hidden="1" customHeight="1">
      <c r="N103" s="180"/>
      <c r="AD103" s="167"/>
      <c r="CM103" s="168"/>
      <c r="CN103" s="168"/>
      <c r="CO103" s="187"/>
      <c r="CP103" s="168"/>
    </row>
    <row r="104" spans="14:94" s="166" customFormat="1" ht="15" hidden="1" customHeight="1">
      <c r="N104" s="180"/>
      <c r="AD104" s="167"/>
      <c r="CM104" s="168"/>
      <c r="CN104" s="168"/>
      <c r="CO104" s="187"/>
      <c r="CP104" s="168"/>
    </row>
    <row r="105" spans="14:94" s="166" customFormat="1" ht="15" hidden="1" customHeight="1">
      <c r="N105" s="180"/>
      <c r="AD105" s="167"/>
      <c r="CM105" s="168"/>
      <c r="CN105" s="168"/>
      <c r="CO105" s="187"/>
      <c r="CP105" s="168"/>
    </row>
    <row r="106" spans="14:94" s="166" customFormat="1" ht="15" hidden="1" customHeight="1">
      <c r="N106" s="180"/>
      <c r="AD106" s="167"/>
      <c r="CM106" s="168"/>
      <c r="CN106" s="168"/>
      <c r="CO106" s="187"/>
      <c r="CP106" s="168"/>
    </row>
    <row r="107" spans="14:94" s="166" customFormat="1" ht="15" hidden="1" customHeight="1">
      <c r="N107" s="180"/>
      <c r="AD107" s="167"/>
      <c r="CM107" s="168"/>
      <c r="CN107" s="168"/>
      <c r="CO107" s="187"/>
      <c r="CP107" s="168"/>
    </row>
    <row r="108" spans="14:94" s="166" customFormat="1" ht="15" hidden="1" customHeight="1">
      <c r="N108" s="180"/>
      <c r="AD108" s="167"/>
      <c r="CM108" s="168"/>
      <c r="CN108" s="168"/>
      <c r="CO108" s="187"/>
      <c r="CP108" s="168"/>
    </row>
    <row r="109" spans="14:94" s="166" customFormat="1" ht="15" hidden="1" customHeight="1">
      <c r="N109" s="180"/>
      <c r="AD109" s="167"/>
      <c r="CM109" s="168"/>
      <c r="CN109" s="168"/>
      <c r="CO109" s="187"/>
      <c r="CP109" s="168"/>
    </row>
    <row r="110" spans="14:94" s="166" customFormat="1" ht="15" hidden="1" customHeight="1">
      <c r="N110" s="180"/>
      <c r="AD110" s="167"/>
      <c r="CM110" s="168"/>
      <c r="CN110" s="168"/>
      <c r="CO110" s="187"/>
      <c r="CP110" s="168"/>
    </row>
    <row r="111" spans="14:94" s="166" customFormat="1" ht="15" hidden="1" customHeight="1">
      <c r="N111" s="180"/>
      <c r="AD111" s="167"/>
      <c r="CM111" s="168"/>
      <c r="CN111" s="168"/>
      <c r="CO111" s="187"/>
      <c r="CP111" s="168"/>
    </row>
    <row r="112" spans="14:94" s="166" customFormat="1" ht="15" hidden="1" customHeight="1">
      <c r="N112" s="180"/>
      <c r="AD112" s="167"/>
      <c r="CM112" s="168"/>
      <c r="CN112" s="168"/>
      <c r="CO112" s="187"/>
      <c r="CP112" s="168"/>
    </row>
    <row r="113" spans="2:94" s="166" customFormat="1" ht="15" hidden="1" customHeight="1">
      <c r="N113" s="180"/>
      <c r="AD113" s="167"/>
      <c r="CM113" s="168"/>
      <c r="CN113" s="168"/>
      <c r="CO113" s="187"/>
      <c r="CP113" s="168"/>
    </row>
    <row r="114" spans="2:94" s="166" customFormat="1" ht="15" hidden="1" customHeight="1">
      <c r="N114" s="180"/>
      <c r="AD114" s="167"/>
      <c r="CM114" s="168"/>
      <c r="CN114" s="168"/>
      <c r="CO114" s="187"/>
      <c r="CP114" s="168"/>
    </row>
    <row r="115" spans="2:94" s="166" customFormat="1" ht="15" hidden="1" customHeight="1">
      <c r="N115" s="180"/>
      <c r="AD115" s="167"/>
      <c r="CM115" s="168"/>
      <c r="CN115" s="168"/>
      <c r="CO115" s="187"/>
      <c r="CP115" s="168"/>
    </row>
    <row r="116" spans="2:94" s="166" customFormat="1" ht="15" hidden="1" customHeight="1">
      <c r="N116" s="180"/>
      <c r="AD116" s="167"/>
      <c r="CM116" s="168"/>
      <c r="CN116" s="168"/>
      <c r="CO116" s="187"/>
      <c r="CP116" s="168"/>
    </row>
    <row r="117" spans="2:94" s="166" customFormat="1" ht="15" hidden="1" customHeight="1">
      <c r="N117" s="180"/>
      <c r="AD117" s="167"/>
      <c r="CM117" s="168"/>
      <c r="CN117" s="168"/>
      <c r="CO117" s="187"/>
      <c r="CP117" s="168"/>
    </row>
    <row r="118" spans="2:94" s="166" customFormat="1" ht="15" hidden="1" customHeight="1">
      <c r="N118" s="180"/>
      <c r="AD118" s="167"/>
      <c r="CM118" s="168"/>
      <c r="CN118" s="168"/>
      <c r="CO118" s="187"/>
      <c r="CP118" s="168"/>
    </row>
    <row r="119" spans="2:94" s="166" customFormat="1" ht="15" hidden="1" customHeight="1">
      <c r="N119" s="180"/>
      <c r="AD119" s="167"/>
      <c r="CM119" s="168"/>
      <c r="CN119" s="168"/>
      <c r="CO119" s="187"/>
      <c r="CP119" s="168"/>
    </row>
    <row r="120" spans="2:94" s="166" customFormat="1" ht="15" hidden="1" customHeight="1">
      <c r="N120" s="180"/>
      <c r="AD120" s="167"/>
      <c r="CM120" s="168"/>
      <c r="CN120" s="168"/>
      <c r="CO120" s="187" t="s">
        <v>1404</v>
      </c>
      <c r="CP120" s="168"/>
    </row>
    <row r="121" spans="2:94" s="166" customFormat="1" ht="15" hidden="1" customHeight="1">
      <c r="N121" s="180"/>
      <c r="AD121" s="167"/>
      <c r="CM121" s="168"/>
      <c r="CN121" s="168"/>
      <c r="CO121" s="187" t="s">
        <v>1405</v>
      </c>
      <c r="CP121" s="168"/>
    </row>
    <row r="122" spans="2:94" s="166" customFormat="1" ht="15" hidden="1" customHeight="1">
      <c r="N122" s="180"/>
      <c r="AD122" s="167"/>
      <c r="CM122" s="168"/>
      <c r="CN122" s="168"/>
      <c r="CO122" s="187" t="s">
        <v>1406</v>
      </c>
      <c r="CP122" s="168"/>
    </row>
    <row r="123" spans="2:94" s="166" customFormat="1" ht="15" hidden="1" customHeight="1">
      <c r="N123" s="180"/>
      <c r="AD123" s="167"/>
      <c r="CM123" s="168"/>
      <c r="CN123" s="168"/>
      <c r="CO123" s="187" t="s">
        <v>1407</v>
      </c>
      <c r="CP123" s="168"/>
    </row>
    <row r="124" spans="2:94" s="166" customFormat="1" ht="15" hidden="1" customHeight="1">
      <c r="N124" s="180"/>
      <c r="AD124" s="167"/>
      <c r="CM124" s="168"/>
      <c r="CN124" s="168"/>
      <c r="CO124" s="187" t="s">
        <v>1408</v>
      </c>
      <c r="CP124" s="168"/>
    </row>
    <row r="125" spans="2:94" s="166" customFormat="1" ht="15" hidden="1" customHeight="1">
      <c r="B125" s="180"/>
      <c r="C125" s="180"/>
      <c r="D125" s="180"/>
      <c r="E125" s="180"/>
      <c r="F125" s="180"/>
      <c r="G125" s="180"/>
      <c r="H125" s="180"/>
      <c r="I125" s="180"/>
      <c r="J125" s="181"/>
      <c r="K125" s="180"/>
      <c r="L125" s="180"/>
      <c r="M125" s="180"/>
      <c r="N125" s="180"/>
      <c r="P125" s="180"/>
      <c r="Q125" s="180"/>
      <c r="R125" s="180"/>
      <c r="S125" s="181"/>
      <c r="T125" s="180"/>
      <c r="U125" s="180"/>
      <c r="V125" s="180"/>
      <c r="W125" s="180"/>
      <c r="X125" s="181"/>
      <c r="Y125" s="180"/>
      <c r="Z125" s="180"/>
      <c r="AA125" s="180"/>
      <c r="AB125" s="181"/>
      <c r="AC125" s="180"/>
      <c r="AD125" s="167"/>
      <c r="CM125" s="168"/>
      <c r="CN125" s="168"/>
      <c r="CO125" s="187" t="s">
        <v>1409</v>
      </c>
      <c r="CP125" s="168"/>
    </row>
    <row r="126" spans="2:94" s="166" customFormat="1" ht="15" hidden="1" customHeight="1">
      <c r="B126" s="180"/>
      <c r="C126" s="180"/>
      <c r="D126" s="180"/>
      <c r="E126" s="180"/>
      <c r="F126" s="180"/>
      <c r="G126" s="180"/>
      <c r="H126" s="180"/>
      <c r="I126" s="180"/>
      <c r="J126" s="181"/>
      <c r="K126" s="180"/>
      <c r="L126" s="180"/>
      <c r="M126" s="180"/>
      <c r="N126" s="180"/>
      <c r="P126" s="180"/>
      <c r="Q126" s="180"/>
      <c r="R126" s="180"/>
      <c r="S126" s="181"/>
      <c r="T126" s="180"/>
      <c r="U126" s="180"/>
      <c r="V126" s="180"/>
      <c r="W126" s="180"/>
      <c r="X126" s="181"/>
      <c r="Y126" s="180"/>
      <c r="Z126" s="180"/>
      <c r="AA126" s="180"/>
      <c r="AB126" s="181"/>
      <c r="AC126" s="180"/>
      <c r="AD126" s="167"/>
      <c r="CM126" s="168"/>
      <c r="CN126" s="168"/>
      <c r="CO126" s="187" t="s">
        <v>1410</v>
      </c>
      <c r="CP126" s="168"/>
    </row>
  </sheetData>
  <sheetProtection password="CE4F" sheet="1" objects="1" scenarios="1" formatCells="0" formatColumns="0" formatRows="0" insertColumns="0" insertRows="0" insertHyperlinks="0" sort="0" autoFilter="0" pivotTables="0"/>
  <mergeCells count="23">
    <mergeCell ref="B4:C4"/>
    <mergeCell ref="D4:M4"/>
    <mergeCell ref="H5:L5"/>
    <mergeCell ref="AC5:AE5"/>
    <mergeCell ref="B6:C7"/>
    <mergeCell ref="D6:F6"/>
    <mergeCell ref="H6:L6"/>
    <mergeCell ref="D7:F7"/>
    <mergeCell ref="H7:L7"/>
    <mergeCell ref="AC7:AE7"/>
    <mergeCell ref="B9:N9"/>
    <mergeCell ref="P9:AE9"/>
    <mergeCell ref="B11:N11"/>
    <mergeCell ref="P11:AE11"/>
    <mergeCell ref="I13:K13"/>
    <mergeCell ref="R13:T13"/>
    <mergeCell ref="W13:Y13"/>
    <mergeCell ref="AA13:AC13"/>
    <mergeCell ref="B64:N64"/>
    <mergeCell ref="P64:AE64"/>
    <mergeCell ref="R65:T65"/>
    <mergeCell ref="W65:Y65"/>
    <mergeCell ref="AA65:AC65"/>
  </mergeCells>
  <conditionalFormatting sqref="G15:G62 G66:G81">
    <cfRule type="expression" dxfId="71" priority="21" stopIfTrue="1">
      <formula>I15&gt;K15</formula>
    </cfRule>
    <cfRule type="expression" dxfId="70" priority="22" stopIfTrue="1">
      <formula>I15&lt;K15</formula>
    </cfRule>
  </conditionalFormatting>
  <conditionalFormatting sqref="M15:M62">
    <cfRule type="expression" dxfId="69" priority="23" stopIfTrue="1">
      <formula>K15&gt;I15</formula>
    </cfRule>
    <cfRule type="expression" dxfId="68" priority="24" stopIfTrue="1">
      <formula>K15&lt;I15</formula>
    </cfRule>
  </conditionalFormatting>
  <conditionalFormatting sqref="S15:S62 S66:S81">
    <cfRule type="expression" dxfId="67" priority="25" stopIfTrue="1">
      <formula>AND($R15&lt;&gt;"",$T15&lt;&gt;"")</formula>
    </cfRule>
  </conditionalFormatting>
  <conditionalFormatting sqref="P15:R62 P66:R81 T66:T81">
    <cfRule type="expression" dxfId="66" priority="26" stopIfTrue="1">
      <formula>AND($R15&gt;$T15,$R15&lt;&gt;"",$T15&lt;&gt;"")</formula>
    </cfRule>
    <cfRule type="expression" dxfId="65" priority="27" stopIfTrue="1">
      <formula>AND($R15&lt;$T15,$R15&lt;&gt;"",$T15&lt;&gt;"")</formula>
    </cfRule>
    <cfRule type="expression" dxfId="64" priority="28" stopIfTrue="1">
      <formula>AND($R15&lt;&gt;"",$T15&lt;&gt;"")</formula>
    </cfRule>
  </conditionalFormatting>
  <conditionalFormatting sqref="U66:V81 T15:V62">
    <cfRule type="expression" dxfId="63" priority="29" stopIfTrue="1">
      <formula>AND($T15&gt;$R15,$R15&lt;&gt;"",$T15&lt;&gt;"")</formula>
    </cfRule>
    <cfRule type="expression" dxfId="62" priority="30" stopIfTrue="1">
      <formula>AND($T15&lt;$R15,$R15&lt;&gt;"",$T15&lt;&gt;"")</formula>
    </cfRule>
    <cfRule type="expression" dxfId="61" priority="31" stopIfTrue="1">
      <formula>AND($R15&lt;&gt;"",$T15&lt;&gt;"")</formula>
    </cfRule>
  </conditionalFormatting>
  <conditionalFormatting sqref="O15">
    <cfRule type="expression" dxfId="60" priority="32" stopIfTrue="1">
      <formula>#REF!&gt;#REF!</formula>
    </cfRule>
    <cfRule type="expression" dxfId="59" priority="33" stopIfTrue="1">
      <formula>#REF!&lt;#REF!</formula>
    </cfRule>
  </conditionalFormatting>
  <conditionalFormatting sqref="I15:I62 K15:K62 K66:K81 I66:I81">
    <cfRule type="expression" dxfId="58" priority="34" stopIfTrue="1">
      <formula>ISBLANK(I15)</formula>
    </cfRule>
  </conditionalFormatting>
  <conditionalFormatting sqref="X15:X61">
    <cfRule type="expression" dxfId="57" priority="14" stopIfTrue="1">
      <formula>AND($R15&lt;&gt;"",$T15&lt;&gt;"")</formula>
    </cfRule>
  </conditionalFormatting>
  <conditionalFormatting sqref="W15:W61">
    <cfRule type="expression" dxfId="56" priority="15" stopIfTrue="1">
      <formula>AND($R15&gt;$T15,$R15&lt;&gt;"",$T15&lt;&gt;"")</formula>
    </cfRule>
    <cfRule type="expression" dxfId="55" priority="16" stopIfTrue="1">
      <formula>AND($R15&lt;$T15,$R15&lt;&gt;"",$T15&lt;&gt;"")</formula>
    </cfRule>
    <cfRule type="expression" dxfId="54" priority="17" stopIfTrue="1">
      <formula>AND($R15&lt;&gt;"",$T15&lt;&gt;"")</formula>
    </cfRule>
  </conditionalFormatting>
  <conditionalFormatting sqref="Y15:Z61">
    <cfRule type="expression" dxfId="53" priority="18" stopIfTrue="1">
      <formula>AND($T15&gt;$R15,$R15&lt;&gt;"",$T15&lt;&gt;"")</formula>
    </cfRule>
    <cfRule type="expression" dxfId="52" priority="19" stopIfTrue="1">
      <formula>AND($T15&lt;$R15,$R15&lt;&gt;"",$T15&lt;&gt;"")</formula>
    </cfRule>
    <cfRule type="expression" dxfId="51" priority="20" stopIfTrue="1">
      <formula>AND($R15&lt;&gt;"",$T15&lt;&gt;"")</formula>
    </cfRule>
  </conditionalFormatting>
  <conditionalFormatting sqref="AB15:AB61">
    <cfRule type="expression" dxfId="50" priority="7" stopIfTrue="1">
      <formula>AND($R15&lt;&gt;"",$T15&lt;&gt;"")</formula>
    </cfRule>
  </conditionalFormatting>
  <conditionalFormatting sqref="AA15:AA61">
    <cfRule type="expression" dxfId="49" priority="8" stopIfTrue="1">
      <formula>AND($R15&gt;$T15,$R15&lt;&gt;"",$T15&lt;&gt;"")</formula>
    </cfRule>
    <cfRule type="expression" dxfId="48" priority="9" stopIfTrue="1">
      <formula>AND($R15&lt;$T15,$R15&lt;&gt;"",$T15&lt;&gt;"")</formula>
    </cfRule>
    <cfRule type="expression" dxfId="47" priority="10" stopIfTrue="1">
      <formula>AND($R15&lt;&gt;"",$T15&lt;&gt;"")</formula>
    </cfRule>
  </conditionalFormatting>
  <conditionalFormatting sqref="AC15:AC61">
    <cfRule type="expression" dxfId="46" priority="11" stopIfTrue="1">
      <formula>AND($T15&gt;$R15,$R15&lt;&gt;"",$T15&lt;&gt;"")</formula>
    </cfRule>
    <cfRule type="expression" dxfId="45" priority="12" stopIfTrue="1">
      <formula>AND($T15&lt;$R15,$R15&lt;&gt;"",$T15&lt;&gt;"")</formula>
    </cfRule>
    <cfRule type="expression" dxfId="44" priority="13" stopIfTrue="1">
      <formula>AND($R15&lt;&gt;"",$T15&lt;&gt;"")</formula>
    </cfRule>
  </conditionalFormatting>
  <conditionalFormatting sqref="M66:M81">
    <cfRule type="expression" dxfId="43" priority="35">
      <formula>K66&gt;I66</formula>
    </cfRule>
    <cfRule type="expression" dxfId="42" priority="36">
      <formula>$K66&lt;$I66</formula>
    </cfRule>
  </conditionalFormatting>
  <conditionalFormatting sqref="X66:X81">
    <cfRule type="expression" dxfId="41" priority="6">
      <formula>AND($W66&lt;&gt;"",$Y66&lt;&gt;"")</formula>
    </cfRule>
  </conditionalFormatting>
  <conditionalFormatting sqref="AB66:AB81">
    <cfRule type="expression" dxfId="40" priority="5">
      <formula>AND($AA66&lt;&gt;"",$AC66&lt;&gt;"")</formula>
    </cfRule>
  </conditionalFormatting>
  <conditionalFormatting sqref="AA65:AC65">
    <cfRule type="expression" dxfId="39" priority="4">
      <formula>$Z$67=1</formula>
    </cfRule>
  </conditionalFormatting>
  <conditionalFormatting sqref="W65:Y65">
    <cfRule type="expression" dxfId="38" priority="3">
      <formula>OR($Z$66=1,$Z$67=1)</formula>
    </cfRule>
  </conditionalFormatting>
  <conditionalFormatting sqref="W66:Y81">
    <cfRule type="expression" dxfId="37" priority="2">
      <formula>OR($Z$66=1,$Z$67=1)</formula>
    </cfRule>
  </conditionalFormatting>
  <conditionalFormatting sqref="AA66:AC81">
    <cfRule type="expression" dxfId="36" priority="1">
      <formula>$Z$67=1</formula>
    </cfRule>
  </conditionalFormatting>
  <printOptions horizontalCentered="1" verticalCentered="1"/>
  <pageMargins left="0.39" right="0.32" top="0.28999999999999998" bottom="0.39" header="0.21" footer="0.26"/>
  <pageSetup scale="59" orientation="portrait" horizontalDpi="300" verticalDpi="300" r:id="rId1"/>
  <headerFooter alignWithMargins="0">
    <oddFooter xml:space="preserve">&amp;C
</oddFooter>
  </headerFooter>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S126"/>
  <sheetViews>
    <sheetView showGridLines="0" zoomScaleNormal="100" workbookViewId="0">
      <selection activeCell="AD82" sqref="AD82"/>
    </sheetView>
  </sheetViews>
  <sheetFormatPr defaultColWidth="0" defaultRowHeight="14.4" customHeight="1" zeroHeight="1"/>
  <cols>
    <col min="1" max="1" width="2.44140625" style="204" customWidth="1"/>
    <col min="2" max="2" width="3.6640625" style="204" customWidth="1"/>
    <col min="3" max="3" width="4.109375" style="204" customWidth="1"/>
    <col min="4" max="4" width="6.33203125" style="204" customWidth="1"/>
    <col min="5" max="5" width="8.21875" style="204" customWidth="1"/>
    <col min="6" max="6" width="6.88671875" style="205" customWidth="1"/>
    <col min="7" max="7" width="20.6640625" style="204" customWidth="1"/>
    <col min="8" max="8" width="1.77734375" style="204" customWidth="1"/>
    <col min="9" max="9" width="3.44140625" style="204" customWidth="1"/>
    <col min="10" max="10" width="1.77734375" style="206" customWidth="1"/>
    <col min="11" max="11" width="3.44140625" style="204" customWidth="1"/>
    <col min="12" max="12" width="1.6640625" style="204" customWidth="1"/>
    <col min="13" max="13" width="20.6640625" style="204" customWidth="1"/>
    <col min="14" max="14" width="2.44140625" style="204" customWidth="1"/>
    <col min="15" max="15" width="1.77734375" style="204" customWidth="1"/>
    <col min="16" max="16" width="20.6640625" style="204" customWidth="1"/>
    <col min="17" max="17" width="1.6640625" style="204" customWidth="1"/>
    <col min="18" max="18" width="3.44140625" style="204" customWidth="1"/>
    <col min="19" max="19" width="1.77734375" style="206" customWidth="1"/>
    <col min="20" max="20" width="3.44140625" style="204" customWidth="1"/>
    <col min="21" max="21" width="1.6640625" style="204" customWidth="1"/>
    <col min="22" max="22" width="17.5546875" style="204" customWidth="1"/>
    <col min="23" max="23" width="3.44140625" style="204" customWidth="1"/>
    <col min="24" max="24" width="1.77734375" style="206" customWidth="1"/>
    <col min="25" max="25" width="3.44140625" style="204" customWidth="1"/>
    <col min="26" max="26" width="1.77734375" style="204" customWidth="1"/>
    <col min="27" max="27" width="3.44140625" style="204" customWidth="1"/>
    <col min="28" max="28" width="1.77734375" style="206" customWidth="1"/>
    <col min="29" max="29" width="3.44140625" style="204" customWidth="1"/>
    <col min="30" max="30" width="5.77734375" style="206" customWidth="1"/>
    <col min="31" max="31" width="9.109375" style="204" customWidth="1"/>
    <col min="32" max="32" width="2.6640625" style="204" customWidth="1"/>
    <col min="33" max="33" width="9.109375" style="204" hidden="1" customWidth="1"/>
    <col min="34" max="90" width="0" style="204" hidden="1" customWidth="1"/>
    <col min="91" max="94" width="0" style="207" hidden="1" customWidth="1"/>
    <col min="95" max="97" width="0" style="204" hidden="1" customWidth="1"/>
    <col min="98" max="16384" width="9.109375" style="204" hidden="1"/>
  </cols>
  <sheetData>
    <row r="1" spans="2:97" s="166" customFormat="1" ht="15" customHeight="1">
      <c r="J1" s="167"/>
      <c r="S1" s="167"/>
      <c r="X1" s="167"/>
      <c r="AB1" s="167"/>
      <c r="AD1" s="167"/>
      <c r="CM1" s="168"/>
      <c r="CN1" s="168"/>
      <c r="CO1" s="168"/>
      <c r="CP1" s="168"/>
    </row>
    <row r="2" spans="2:97" s="166" customFormat="1" ht="15" customHeight="1">
      <c r="J2" s="167"/>
      <c r="S2" s="167"/>
      <c r="X2" s="167"/>
      <c r="AB2" s="167"/>
      <c r="AD2" s="167"/>
      <c r="CM2" s="168"/>
      <c r="CN2" s="168"/>
      <c r="CO2" s="168"/>
      <c r="CP2" s="168"/>
    </row>
    <row r="3" spans="2:97" s="166" customFormat="1" ht="15" customHeight="1">
      <c r="J3" s="167"/>
      <c r="S3" s="167"/>
      <c r="X3" s="167"/>
      <c r="AB3" s="167"/>
      <c r="AD3" s="167"/>
      <c r="CM3" s="168"/>
      <c r="CN3" s="168"/>
      <c r="CO3" s="168"/>
      <c r="CP3" s="168"/>
    </row>
    <row r="4" spans="2:97" s="166" customFormat="1" ht="25.05" customHeight="1">
      <c r="B4" s="297" t="s">
        <v>3871</v>
      </c>
      <c r="C4" s="298"/>
      <c r="D4" s="307" t="str">
        <f ca="1">IF(INDIRECT("'Player Name'!"&amp;"$c"&amp;B8)&lt;&gt;"",INDIRECT("'Player Name'!"&amp;"$c"&amp;B8),"")</f>
        <v>John 15</v>
      </c>
      <c r="E4" s="308"/>
      <c r="F4" s="308"/>
      <c r="G4" s="308"/>
      <c r="H4" s="308"/>
      <c r="I4" s="308"/>
      <c r="J4" s="308"/>
      <c r="K4" s="308"/>
      <c r="L4" s="308"/>
      <c r="M4" s="309"/>
      <c r="S4" s="167"/>
      <c r="X4" s="167"/>
      <c r="AB4" s="167"/>
      <c r="CM4" s="168"/>
      <c r="CN4" s="168"/>
      <c r="CO4" s="168"/>
      <c r="CP4" s="168"/>
    </row>
    <row r="5" spans="2:97" s="173" customFormat="1" ht="15" customHeight="1">
      <c r="B5" s="169"/>
      <c r="C5" s="169"/>
      <c r="D5" s="170"/>
      <c r="E5" s="170"/>
      <c r="F5" s="170"/>
      <c r="G5" s="171" t="s">
        <v>848</v>
      </c>
      <c r="H5" s="294" t="s">
        <v>3872</v>
      </c>
      <c r="I5" s="294"/>
      <c r="J5" s="294"/>
      <c r="K5" s="294"/>
      <c r="L5" s="295"/>
      <c r="M5" s="171" t="s">
        <v>3870</v>
      </c>
      <c r="N5" s="166"/>
      <c r="O5" s="166"/>
      <c r="P5" s="172"/>
      <c r="Q5" s="166"/>
      <c r="R5" s="166"/>
      <c r="S5" s="167"/>
      <c r="T5" s="166"/>
      <c r="U5" s="166"/>
      <c r="V5" s="166"/>
      <c r="W5" s="166"/>
      <c r="X5" s="167"/>
      <c r="Y5" s="166"/>
      <c r="Z5" s="166"/>
      <c r="AA5" s="166"/>
      <c r="AB5" s="167"/>
      <c r="AC5" s="296"/>
      <c r="AD5" s="296"/>
      <c r="AE5" s="296"/>
      <c r="CM5" s="174"/>
      <c r="CN5" s="174"/>
      <c r="CO5" s="174"/>
      <c r="CP5" s="174"/>
    </row>
    <row r="6" spans="2:97" s="166" customFormat="1" ht="15" customHeight="1">
      <c r="B6" s="318">
        <f>B8-5</f>
        <v>15</v>
      </c>
      <c r="C6" s="318"/>
      <c r="D6" s="315" t="s">
        <v>3868</v>
      </c>
      <c r="E6" s="315"/>
      <c r="F6" s="315"/>
      <c r="G6" s="175">
        <f>SUM(AD15:AD62)</f>
        <v>0</v>
      </c>
      <c r="H6" s="310">
        <f>SUM(AD66:AD81)</f>
        <v>0</v>
      </c>
      <c r="I6" s="311"/>
      <c r="J6" s="311"/>
      <c r="K6" s="311"/>
      <c r="L6" s="311"/>
      <c r="M6" s="176">
        <f>H6+G6</f>
        <v>0</v>
      </c>
      <c r="X6" s="167"/>
      <c r="AB6" s="167"/>
      <c r="CM6" s="168"/>
      <c r="CN6" s="168"/>
      <c r="CO6" s="168"/>
      <c r="CP6" s="168"/>
    </row>
    <row r="7" spans="2:97" s="166" customFormat="1" ht="15" customHeight="1">
      <c r="B7" s="318"/>
      <c r="C7" s="319"/>
      <c r="D7" s="316" t="s">
        <v>3869</v>
      </c>
      <c r="E7" s="317"/>
      <c r="F7" s="317"/>
      <c r="G7" s="177"/>
      <c r="H7" s="312"/>
      <c r="I7" s="312"/>
      <c r="J7" s="312"/>
      <c r="K7" s="312"/>
      <c r="L7" s="313"/>
      <c r="M7" s="178">
        <f ca="1">INDEX('Player Leaderboard'!$A$9:$A$23,MATCH($D4,'Player Leaderboard'!$B$9:$B$23,0),0)</f>
        <v>15</v>
      </c>
      <c r="P7" s="210" t="str">
        <f>HYPERLINK("["&amp;Setup!$C$5&amp;"]'Player ("&amp;B8-6&amp;")'!B6","&lt;&lt; Previous Player ("&amp;B8-6&amp;")")</f>
        <v>&lt;&lt; Previous Player (14)</v>
      </c>
      <c r="S7" s="167"/>
      <c r="X7" s="167"/>
      <c r="AB7" s="167"/>
      <c r="AC7" s="320"/>
      <c r="AD7" s="320"/>
      <c r="AE7" s="320"/>
      <c r="CM7" s="168"/>
      <c r="CN7" s="168"/>
      <c r="CO7" s="168"/>
      <c r="CP7" s="168"/>
    </row>
    <row r="8" spans="2:97" s="166" customFormat="1" ht="15" customHeight="1">
      <c r="B8" s="208">
        <v>20</v>
      </c>
      <c r="J8" s="167"/>
      <c r="S8" s="167"/>
      <c r="X8" s="167"/>
      <c r="AB8" s="167"/>
      <c r="AD8" s="167"/>
      <c r="CM8" s="168"/>
      <c r="CN8" s="168"/>
      <c r="CO8" s="168"/>
      <c r="CP8" s="168"/>
    </row>
    <row r="9" spans="2:97" s="166" customFormat="1" ht="15" customHeight="1">
      <c r="B9" s="314" t="s">
        <v>491</v>
      </c>
      <c r="C9" s="314"/>
      <c r="D9" s="314"/>
      <c r="E9" s="314"/>
      <c r="F9" s="314"/>
      <c r="G9" s="314"/>
      <c r="H9" s="314"/>
      <c r="I9" s="314"/>
      <c r="J9" s="314"/>
      <c r="K9" s="314"/>
      <c r="L9" s="314"/>
      <c r="M9" s="314"/>
      <c r="N9" s="314"/>
      <c r="P9" s="303" t="s">
        <v>492</v>
      </c>
      <c r="Q9" s="304"/>
      <c r="R9" s="304"/>
      <c r="S9" s="304"/>
      <c r="T9" s="304"/>
      <c r="U9" s="304"/>
      <c r="V9" s="304"/>
      <c r="W9" s="304"/>
      <c r="X9" s="304"/>
      <c r="Y9" s="304"/>
      <c r="Z9" s="304"/>
      <c r="AA9" s="304"/>
      <c r="AB9" s="304"/>
      <c r="AC9" s="304"/>
      <c r="AD9" s="304"/>
      <c r="AE9" s="305"/>
      <c r="CM9" s="168"/>
      <c r="CN9" s="168"/>
      <c r="CO9" s="168"/>
      <c r="CP9" s="168"/>
    </row>
    <row r="10" spans="2:97" s="166" customFormat="1" ht="15" customHeight="1">
      <c r="B10" s="180"/>
      <c r="C10" s="180"/>
      <c r="D10" s="180"/>
      <c r="E10" s="180"/>
      <c r="F10" s="180"/>
      <c r="G10" s="180"/>
      <c r="H10" s="180"/>
      <c r="I10" s="180"/>
      <c r="J10" s="181"/>
      <c r="K10" s="180"/>
      <c r="L10" s="180"/>
      <c r="M10" s="180"/>
      <c r="N10" s="180"/>
      <c r="O10" s="180"/>
      <c r="P10" s="180"/>
      <c r="Q10" s="180"/>
      <c r="R10" s="180"/>
      <c r="S10" s="180"/>
      <c r="T10" s="180"/>
      <c r="U10" s="180"/>
      <c r="V10" s="180"/>
      <c r="W10" s="180"/>
      <c r="X10" s="180"/>
      <c r="Y10" s="180"/>
      <c r="Z10" s="180"/>
      <c r="AA10" s="180"/>
      <c r="AB10" s="180"/>
      <c r="AC10" s="180"/>
      <c r="AD10" s="180"/>
      <c r="AE10" s="180"/>
      <c r="AF10" s="180"/>
      <c r="AG10" s="180"/>
      <c r="CM10" s="168"/>
      <c r="CN10" s="168"/>
      <c r="CO10" s="168"/>
      <c r="CP10" s="168"/>
    </row>
    <row r="11" spans="2:97" s="166" customFormat="1" ht="15" customHeight="1">
      <c r="B11" s="300" t="str">
        <f>Tournament!B10</f>
        <v>Group Stages</v>
      </c>
      <c r="C11" s="301"/>
      <c r="D11" s="301"/>
      <c r="E11" s="301"/>
      <c r="F11" s="301"/>
      <c r="G11" s="301"/>
      <c r="H11" s="301"/>
      <c r="I11" s="301"/>
      <c r="J11" s="301"/>
      <c r="K11" s="301"/>
      <c r="L11" s="301"/>
      <c r="M11" s="301"/>
      <c r="N11" s="302"/>
      <c r="P11" s="303" t="str">
        <f>B11</f>
        <v>Group Stages</v>
      </c>
      <c r="Q11" s="304"/>
      <c r="R11" s="304"/>
      <c r="S11" s="304"/>
      <c r="T11" s="304"/>
      <c r="U11" s="304"/>
      <c r="V11" s="304"/>
      <c r="W11" s="304"/>
      <c r="X11" s="304"/>
      <c r="Y11" s="304"/>
      <c r="Z11" s="304"/>
      <c r="AA11" s="304"/>
      <c r="AB11" s="304"/>
      <c r="AC11" s="304"/>
      <c r="AD11" s="304"/>
      <c r="AE11" s="305"/>
      <c r="CM11" s="168"/>
      <c r="CN11" s="168"/>
      <c r="CO11" s="168"/>
      <c r="CP11" s="168"/>
    </row>
    <row r="12" spans="2:97" s="166" customFormat="1" ht="15" customHeight="1">
      <c r="B12" s="182"/>
      <c r="C12" s="180"/>
      <c r="D12" s="180"/>
      <c r="E12" s="180"/>
      <c r="F12" s="180"/>
      <c r="G12" s="180"/>
      <c r="H12" s="180"/>
      <c r="I12" s="180"/>
      <c r="J12" s="181"/>
      <c r="K12" s="180"/>
      <c r="L12" s="180"/>
      <c r="M12" s="180"/>
      <c r="N12" s="183"/>
      <c r="P12" s="182"/>
      <c r="Q12" s="180"/>
      <c r="R12" s="180"/>
      <c r="S12" s="180"/>
      <c r="T12" s="180"/>
      <c r="U12" s="180"/>
      <c r="V12" s="180"/>
      <c r="W12" s="180"/>
      <c r="X12" s="180"/>
      <c r="Y12" s="180"/>
      <c r="Z12" s="180"/>
      <c r="AA12" s="180"/>
      <c r="AB12" s="180"/>
      <c r="AC12" s="180"/>
      <c r="AD12" s="180"/>
      <c r="AE12" s="183"/>
      <c r="CM12" s="168"/>
      <c r="CN12" s="168"/>
      <c r="CO12" s="168"/>
      <c r="CP12" s="168"/>
    </row>
    <row r="13" spans="2:97" s="166" customFormat="1" ht="15" customHeight="1">
      <c r="B13" s="182"/>
      <c r="C13" s="184" t="str">
        <f>Tournament!D14</f>
        <v>Match #</v>
      </c>
      <c r="D13" s="184" t="str">
        <f>Tournament!E14</f>
        <v>Group</v>
      </c>
      <c r="E13" s="184" t="str">
        <f>Tournament!F14</f>
        <v>Date</v>
      </c>
      <c r="F13" s="184" t="str">
        <f>Tournament!G14</f>
        <v>Time</v>
      </c>
      <c r="G13" s="184" t="str">
        <f>Tournament!H14</f>
        <v>Country</v>
      </c>
      <c r="H13" s="184"/>
      <c r="I13" s="306" t="str">
        <f>Tournament!J14</f>
        <v>Score</v>
      </c>
      <c r="J13" s="306"/>
      <c r="K13" s="306"/>
      <c r="L13" s="184"/>
      <c r="M13" s="184" t="str">
        <f>Tournament!N14</f>
        <v>Country</v>
      </c>
      <c r="N13" s="183"/>
      <c r="P13" s="185" t="str">
        <f>G13</f>
        <v>Country</v>
      </c>
      <c r="Q13" s="184"/>
      <c r="R13" s="306" t="str">
        <f>I13</f>
        <v>Score</v>
      </c>
      <c r="S13" s="306"/>
      <c r="T13" s="306"/>
      <c r="U13" s="184"/>
      <c r="V13" s="184" t="str">
        <f>M13</f>
        <v>Country</v>
      </c>
      <c r="W13" s="306"/>
      <c r="X13" s="306"/>
      <c r="Y13" s="306"/>
      <c r="Z13" s="184"/>
      <c r="AA13" s="306"/>
      <c r="AB13" s="306"/>
      <c r="AC13" s="306"/>
      <c r="AD13" s="184" t="s">
        <v>3277</v>
      </c>
      <c r="AE13" s="183"/>
      <c r="CP13" s="168"/>
      <c r="CQ13" s="186"/>
      <c r="CR13" s="187"/>
      <c r="CS13" s="168"/>
    </row>
    <row r="14" spans="2:97" s="166" customFormat="1" ht="15" customHeight="1">
      <c r="B14" s="182"/>
      <c r="C14" s="180"/>
      <c r="D14" s="180"/>
      <c r="E14" s="180"/>
      <c r="F14" s="180"/>
      <c r="G14" s="180"/>
      <c r="H14" s="180"/>
      <c r="I14" s="180"/>
      <c r="J14" s="180"/>
      <c r="K14" s="180"/>
      <c r="L14" s="180"/>
      <c r="M14" s="180"/>
      <c r="N14" s="183"/>
      <c r="P14" s="182"/>
      <c r="Q14" s="180"/>
      <c r="R14" s="180"/>
      <c r="S14" s="180"/>
      <c r="T14" s="180"/>
      <c r="U14" s="180"/>
      <c r="V14" s="180"/>
      <c r="W14" s="180"/>
      <c r="X14" s="180"/>
      <c r="Y14" s="180"/>
      <c r="Z14" s="180"/>
      <c r="AA14" s="180"/>
      <c r="AB14" s="180"/>
      <c r="AC14" s="180"/>
      <c r="AD14" s="181"/>
      <c r="AE14" s="183"/>
      <c r="CP14" s="168"/>
      <c r="CQ14" s="186"/>
      <c r="CR14" s="187"/>
      <c r="CS14" s="168"/>
    </row>
    <row r="15" spans="2:97" s="166" customFormat="1" ht="15" customHeight="1">
      <c r="B15" s="182"/>
      <c r="C15" s="181">
        <f>Tournament!D16</f>
        <v>1</v>
      </c>
      <c r="D15" s="181" t="str">
        <f>Tournament!E16</f>
        <v>A</v>
      </c>
      <c r="E15" s="188">
        <f>Tournament!F16</f>
        <v>41802.708333333336</v>
      </c>
      <c r="F15" s="189">
        <f>Tournament!G16</f>
        <v>41802.708333333336</v>
      </c>
      <c r="G15" s="190" t="str">
        <f>Tournament!H16</f>
        <v>Brazil</v>
      </c>
      <c r="H15" s="180"/>
      <c r="I15" s="9"/>
      <c r="J15" s="191" t="s">
        <v>3088</v>
      </c>
      <c r="K15" s="9"/>
      <c r="L15" s="180"/>
      <c r="M15" s="180" t="str">
        <f>Tournament!N16</f>
        <v>Croatia</v>
      </c>
      <c r="N15" s="183"/>
      <c r="O15" s="180"/>
      <c r="P15" s="192" t="str">
        <f>G15</f>
        <v>Brazil</v>
      </c>
      <c r="Q15" s="193"/>
      <c r="R15" s="194">
        <f>IF(Tournament!J16&lt;&gt;"",Tournament!J16,"")</f>
        <v>3</v>
      </c>
      <c r="S15" s="194" t="s">
        <v>3088</v>
      </c>
      <c r="T15" s="194">
        <f>IF(Tournament!L16&lt;&gt;"",Tournament!L16,"")</f>
        <v>1</v>
      </c>
      <c r="U15" s="193"/>
      <c r="V15" s="193" t="str">
        <f>M15</f>
        <v>Croatia</v>
      </c>
      <c r="W15" s="194"/>
      <c r="X15" s="194"/>
      <c r="Y15" s="194"/>
      <c r="Z15" s="194"/>
      <c r="AA15" s="194"/>
      <c r="AB15" s="194"/>
      <c r="AC15" s="194"/>
      <c r="AD15" s="195" t="str">
        <f>IF(AND(I15&lt;&gt;"",K15&lt;&gt;"",R15&lt;&gt;"",T15&lt;&gt;""),IF(AND(I15=R15,K15=T15),Setup!$D$10,IF((I15-K15)=(R15-T15),Setup!$D$11,IF(AND((I15&gt;K15),(R15&gt;T15)),Setup!$D$12,IF(AND((K15&gt;I15),(T15&gt;R15)),Setup!$D$12,0)))),"")</f>
        <v/>
      </c>
      <c r="AE15" s="183"/>
      <c r="CP15" s="168"/>
      <c r="CQ15" s="186"/>
      <c r="CR15" s="187"/>
      <c r="CS15" s="168"/>
    </row>
    <row r="16" spans="2:97" s="166" customFormat="1" ht="15" customHeight="1">
      <c r="B16" s="182"/>
      <c r="C16" s="181">
        <f>Tournament!D17</f>
        <v>2</v>
      </c>
      <c r="D16" s="181" t="str">
        <f>Tournament!E17</f>
        <v>A</v>
      </c>
      <c r="E16" s="188">
        <f>Tournament!F17</f>
        <v>41803.541666666664</v>
      </c>
      <c r="F16" s="189">
        <f>Tournament!G17</f>
        <v>41803.541666666664</v>
      </c>
      <c r="G16" s="190" t="str">
        <f>Tournament!H17</f>
        <v>Mexico</v>
      </c>
      <c r="H16" s="180"/>
      <c r="I16" s="9"/>
      <c r="J16" s="191" t="s">
        <v>3088</v>
      </c>
      <c r="K16" s="9"/>
      <c r="L16" s="180"/>
      <c r="M16" s="180" t="str">
        <f>Tournament!N17</f>
        <v>Cameroon</v>
      </c>
      <c r="N16" s="183"/>
      <c r="P16" s="192" t="str">
        <f t="shared" ref="P16:P62" si="0">G16</f>
        <v>Mexico</v>
      </c>
      <c r="Q16" s="193"/>
      <c r="R16" s="194">
        <f>IF(Tournament!J17&lt;&gt;"",Tournament!J17,"")</f>
        <v>1</v>
      </c>
      <c r="S16" s="194" t="s">
        <v>3088</v>
      </c>
      <c r="T16" s="194">
        <f>IF(Tournament!L17&lt;&gt;"",Tournament!L17,"")</f>
        <v>0</v>
      </c>
      <c r="U16" s="193"/>
      <c r="V16" s="193" t="str">
        <f t="shared" ref="V16:V62" si="1">M16</f>
        <v>Cameroon</v>
      </c>
      <c r="W16" s="194"/>
      <c r="X16" s="194"/>
      <c r="Y16" s="194"/>
      <c r="Z16" s="194"/>
      <c r="AA16" s="194"/>
      <c r="AB16" s="194"/>
      <c r="AC16" s="194"/>
      <c r="AD16" s="195" t="str">
        <f>IF(AND(I16&lt;&gt;"",K16&lt;&gt;"",R16&lt;&gt;"",T16&lt;&gt;""),IF(AND(I16=R16,K16=T16),Setup!$D$10,IF((I16-K16)=(R16-T16),Setup!$D$11,IF(AND((I16&gt;K16),(R16&gt;T16)),Setup!$D$12,IF(AND((K16&gt;I16),(T16&gt;R16)),Setup!$D$12,0)))),"")</f>
        <v/>
      </c>
      <c r="AE16" s="183"/>
      <c r="AI16" s="179" t="s">
        <v>3904</v>
      </c>
      <c r="CP16" s="168"/>
      <c r="CQ16" s="186"/>
      <c r="CR16" s="187"/>
      <c r="CS16" s="168"/>
    </row>
    <row r="17" spans="2:97" s="166" customFormat="1" ht="15" customHeight="1">
      <c r="B17" s="182"/>
      <c r="C17" s="181">
        <f>Tournament!D18</f>
        <v>3</v>
      </c>
      <c r="D17" s="181" t="str">
        <f>Tournament!E18</f>
        <v>B</v>
      </c>
      <c r="E17" s="188">
        <f>Tournament!F18</f>
        <v>41803.666666666664</v>
      </c>
      <c r="F17" s="189">
        <f>Tournament!G18</f>
        <v>41803.666666666664</v>
      </c>
      <c r="G17" s="190" t="str">
        <f>Tournament!H18</f>
        <v>Spain</v>
      </c>
      <c r="H17" s="180"/>
      <c r="I17" s="9"/>
      <c r="J17" s="191" t="s">
        <v>3088</v>
      </c>
      <c r="K17" s="9"/>
      <c r="L17" s="180"/>
      <c r="M17" s="180" t="str">
        <f>Tournament!N18</f>
        <v>Netherlands</v>
      </c>
      <c r="N17" s="183"/>
      <c r="P17" s="192" t="str">
        <f t="shared" si="0"/>
        <v>Spain</v>
      </c>
      <c r="Q17" s="193"/>
      <c r="R17" s="194">
        <f>IF(Tournament!J18&lt;&gt;"",Tournament!J18,"")</f>
        <v>1</v>
      </c>
      <c r="S17" s="194" t="s">
        <v>3088</v>
      </c>
      <c r="T17" s="194">
        <f>IF(Tournament!L18&lt;&gt;"",Tournament!L18,"")</f>
        <v>5</v>
      </c>
      <c r="U17" s="193"/>
      <c r="V17" s="193" t="str">
        <f t="shared" si="1"/>
        <v>Netherlands</v>
      </c>
      <c r="W17" s="194"/>
      <c r="X17" s="194"/>
      <c r="Y17" s="194"/>
      <c r="Z17" s="194"/>
      <c r="AA17" s="194"/>
      <c r="AB17" s="194"/>
      <c r="AC17" s="194"/>
      <c r="AD17" s="195" t="str">
        <f>IF(AND(I17&lt;&gt;"",K17&lt;&gt;"",R17&lt;&gt;"",T17&lt;&gt;""),IF(AND(I17=R17,K17=T17),Setup!$D$10,IF((I17-K17)=(R17-T17),Setup!$D$11,IF(AND((I17&gt;K17),(R17&gt;T17)),Setup!$D$12,IF(AND((K17&gt;I17),(T17&gt;R17)),Setup!$D$12,0)))),"")</f>
        <v/>
      </c>
      <c r="AE17" s="183"/>
      <c r="CP17" s="168"/>
      <c r="CQ17" s="186"/>
      <c r="CR17" s="187"/>
      <c r="CS17" s="168"/>
    </row>
    <row r="18" spans="2:97" s="166" customFormat="1" ht="15" customHeight="1">
      <c r="B18" s="182"/>
      <c r="C18" s="181">
        <f>Tournament!D19</f>
        <v>4</v>
      </c>
      <c r="D18" s="181" t="str">
        <f>Tournament!E19</f>
        <v>B</v>
      </c>
      <c r="E18" s="188">
        <f>Tournament!F19</f>
        <v>41803.791666666664</v>
      </c>
      <c r="F18" s="189">
        <f>Tournament!G19</f>
        <v>41803.791666666664</v>
      </c>
      <c r="G18" s="190" t="str">
        <f>Tournament!H19</f>
        <v>Chile</v>
      </c>
      <c r="H18" s="180"/>
      <c r="I18" s="9"/>
      <c r="J18" s="191" t="s">
        <v>3088</v>
      </c>
      <c r="K18" s="9"/>
      <c r="L18" s="180"/>
      <c r="M18" s="180" t="str">
        <f>Tournament!N19</f>
        <v>Australia</v>
      </c>
      <c r="N18" s="183"/>
      <c r="P18" s="192" t="str">
        <f t="shared" si="0"/>
        <v>Chile</v>
      </c>
      <c r="Q18" s="193"/>
      <c r="R18" s="194">
        <f>IF(Tournament!J19&lt;&gt;"",Tournament!J19,"")</f>
        <v>3</v>
      </c>
      <c r="S18" s="194" t="s">
        <v>3088</v>
      </c>
      <c r="T18" s="194">
        <f>IF(Tournament!L19&lt;&gt;"",Tournament!L19,"")</f>
        <v>1</v>
      </c>
      <c r="U18" s="193"/>
      <c r="V18" s="193" t="str">
        <f t="shared" si="1"/>
        <v>Australia</v>
      </c>
      <c r="W18" s="194"/>
      <c r="X18" s="194"/>
      <c r="Y18" s="194"/>
      <c r="Z18" s="194"/>
      <c r="AA18" s="194"/>
      <c r="AB18" s="194"/>
      <c r="AC18" s="194"/>
      <c r="AD18" s="195" t="str">
        <f>IF(AND(I18&lt;&gt;"",K18&lt;&gt;"",R18&lt;&gt;"",T18&lt;&gt;""),IF(AND(I18=R18,K18=T18),Setup!$D$10,IF((I18-K18)=(R18-T18),Setup!$D$11,IF(AND((I18&gt;K18),(R18&gt;T18)),Setup!$D$12,IF(AND((K18&gt;I18),(T18&gt;R18)),Setup!$D$12,0)))),"")</f>
        <v/>
      </c>
      <c r="AE18" s="183"/>
      <c r="CP18" s="168"/>
      <c r="CQ18" s="186"/>
      <c r="CR18" s="187"/>
      <c r="CS18" s="168"/>
    </row>
    <row r="19" spans="2:97" s="166" customFormat="1" ht="15" customHeight="1">
      <c r="B19" s="182"/>
      <c r="C19" s="181">
        <f>Tournament!D20</f>
        <v>5</v>
      </c>
      <c r="D19" s="181" t="str">
        <f>Tournament!E20</f>
        <v>C</v>
      </c>
      <c r="E19" s="188">
        <f>Tournament!F20</f>
        <v>41804.541666666664</v>
      </c>
      <c r="F19" s="189">
        <f>Tournament!G20</f>
        <v>41804.541666666664</v>
      </c>
      <c r="G19" s="190" t="str">
        <f>Tournament!H20</f>
        <v>Colombia</v>
      </c>
      <c r="H19" s="180"/>
      <c r="I19" s="9"/>
      <c r="J19" s="191" t="s">
        <v>3088</v>
      </c>
      <c r="K19" s="9"/>
      <c r="L19" s="180"/>
      <c r="M19" s="180" t="str">
        <f>Tournament!N20</f>
        <v>Greece</v>
      </c>
      <c r="N19" s="183"/>
      <c r="P19" s="192" t="str">
        <f t="shared" si="0"/>
        <v>Colombia</v>
      </c>
      <c r="Q19" s="193"/>
      <c r="R19" s="194" t="str">
        <f>IF(Tournament!J20&lt;&gt;"",Tournament!J20,"")</f>
        <v/>
      </c>
      <c r="S19" s="194" t="s">
        <v>3088</v>
      </c>
      <c r="T19" s="194" t="str">
        <f>IF(Tournament!L20&lt;&gt;"",Tournament!L20,"")</f>
        <v/>
      </c>
      <c r="U19" s="193"/>
      <c r="V19" s="193" t="str">
        <f t="shared" si="1"/>
        <v>Greece</v>
      </c>
      <c r="W19" s="194"/>
      <c r="X19" s="194"/>
      <c r="Y19" s="194"/>
      <c r="Z19" s="194"/>
      <c r="AA19" s="194"/>
      <c r="AB19" s="194"/>
      <c r="AC19" s="194"/>
      <c r="AD19" s="195" t="str">
        <f>IF(AND(I19&lt;&gt;"",K19&lt;&gt;"",R19&lt;&gt;"",T19&lt;&gt;""),IF(AND(I19=R19,K19=T19),Setup!$D$10,IF((I19-K19)=(R19-T19),Setup!$D$11,IF(AND((I19&gt;K19),(R19&gt;T19)),Setup!$D$12,IF(AND((K19&gt;I19),(T19&gt;R19)),Setup!$D$12,0)))),"")</f>
        <v/>
      </c>
      <c r="AE19" s="183"/>
      <c r="CP19" s="168"/>
      <c r="CQ19" s="186"/>
      <c r="CR19" s="187"/>
      <c r="CS19" s="168"/>
    </row>
    <row r="20" spans="2:97" s="166" customFormat="1" ht="15" customHeight="1">
      <c r="B20" s="182"/>
      <c r="C20" s="181">
        <f>Tournament!D21</f>
        <v>6</v>
      </c>
      <c r="D20" s="181" t="str">
        <f>Tournament!E21</f>
        <v>C</v>
      </c>
      <c r="E20" s="188">
        <f>Tournament!F21</f>
        <v>41804.916666666664</v>
      </c>
      <c r="F20" s="189">
        <f>Tournament!G21</f>
        <v>41804.916666666664</v>
      </c>
      <c r="G20" s="190" t="str">
        <f>Tournament!H21</f>
        <v>Ivory Coast</v>
      </c>
      <c r="H20" s="180"/>
      <c r="I20" s="9"/>
      <c r="J20" s="191" t="s">
        <v>3088</v>
      </c>
      <c r="K20" s="9"/>
      <c r="L20" s="180"/>
      <c r="M20" s="180" t="str">
        <f>Tournament!N21</f>
        <v>Japan</v>
      </c>
      <c r="N20" s="183"/>
      <c r="P20" s="192" t="str">
        <f t="shared" si="0"/>
        <v>Ivory Coast</v>
      </c>
      <c r="Q20" s="193"/>
      <c r="R20" s="194" t="str">
        <f>IF(Tournament!J21&lt;&gt;"",Tournament!J21,"")</f>
        <v/>
      </c>
      <c r="S20" s="194" t="s">
        <v>3088</v>
      </c>
      <c r="T20" s="194" t="str">
        <f>IF(Tournament!L21&lt;&gt;"",Tournament!L21,"")</f>
        <v/>
      </c>
      <c r="U20" s="193"/>
      <c r="V20" s="193" t="str">
        <f t="shared" si="1"/>
        <v>Japan</v>
      </c>
      <c r="W20" s="194"/>
      <c r="X20" s="194"/>
      <c r="Y20" s="194"/>
      <c r="Z20" s="194"/>
      <c r="AA20" s="194"/>
      <c r="AB20" s="194"/>
      <c r="AC20" s="194"/>
      <c r="AD20" s="195" t="str">
        <f>IF(AND(I20&lt;&gt;"",K20&lt;&gt;"",R20&lt;&gt;"",T20&lt;&gt;""),IF(AND(I20=R20,K20=T20),Setup!$D$10,IF((I20-K20)=(R20-T20),Setup!$D$11,IF(AND((I20&gt;K20),(R20&gt;T20)),Setup!$D$12,IF(AND((K20&gt;I20),(T20&gt;R20)),Setup!$D$12,0)))),"")</f>
        <v/>
      </c>
      <c r="AE20" s="183"/>
      <c r="CP20" s="168"/>
      <c r="CQ20" s="186"/>
      <c r="CR20" s="187"/>
      <c r="CS20" s="168"/>
    </row>
    <row r="21" spans="2:97" s="166" customFormat="1" ht="15" customHeight="1">
      <c r="B21" s="182"/>
      <c r="C21" s="181">
        <f>Tournament!D22</f>
        <v>7</v>
      </c>
      <c r="D21" s="181" t="str">
        <f>Tournament!E22</f>
        <v>D</v>
      </c>
      <c r="E21" s="188">
        <f>Tournament!F22</f>
        <v>41804.666666666664</v>
      </c>
      <c r="F21" s="189">
        <f>Tournament!G22</f>
        <v>41804.666666666664</v>
      </c>
      <c r="G21" s="190" t="str">
        <f>Tournament!H22</f>
        <v>Uruguay</v>
      </c>
      <c r="H21" s="180"/>
      <c r="I21" s="9"/>
      <c r="J21" s="191" t="s">
        <v>3088</v>
      </c>
      <c r="K21" s="9"/>
      <c r="L21" s="180"/>
      <c r="M21" s="180" t="str">
        <f>Tournament!N22</f>
        <v>Costa Rica</v>
      </c>
      <c r="N21" s="183"/>
      <c r="P21" s="192" t="str">
        <f t="shared" si="0"/>
        <v>Uruguay</v>
      </c>
      <c r="Q21" s="193"/>
      <c r="R21" s="194" t="str">
        <f>IF(Tournament!J22&lt;&gt;"",Tournament!J22,"")</f>
        <v/>
      </c>
      <c r="S21" s="194" t="s">
        <v>3088</v>
      </c>
      <c r="T21" s="194" t="str">
        <f>IF(Tournament!L22&lt;&gt;"",Tournament!L22,"")</f>
        <v/>
      </c>
      <c r="U21" s="193"/>
      <c r="V21" s="193" t="str">
        <f t="shared" si="1"/>
        <v>Costa Rica</v>
      </c>
      <c r="W21" s="194"/>
      <c r="X21" s="194"/>
      <c r="Y21" s="194"/>
      <c r="Z21" s="194"/>
      <c r="AA21" s="194"/>
      <c r="AB21" s="194"/>
      <c r="AC21" s="194"/>
      <c r="AD21" s="195" t="str">
        <f>IF(AND(I21&lt;&gt;"",K21&lt;&gt;"",R21&lt;&gt;"",T21&lt;&gt;""),IF(AND(I21=R21,K21=T21),Setup!$D$10,IF((I21-K21)=(R21-T21),Setup!$D$11,IF(AND((I21&gt;K21),(R21&gt;T21)),Setup!$D$12,IF(AND((K21&gt;I21),(T21&gt;R21)),Setup!$D$12,0)))),"")</f>
        <v/>
      </c>
      <c r="AE21" s="183"/>
      <c r="CP21" s="168"/>
      <c r="CQ21" s="196"/>
      <c r="CR21" s="187"/>
      <c r="CS21" s="168"/>
    </row>
    <row r="22" spans="2:97" s="166" customFormat="1" ht="15" customHeight="1">
      <c r="B22" s="182"/>
      <c r="C22" s="181">
        <f>Tournament!D23</f>
        <v>8</v>
      </c>
      <c r="D22" s="181" t="str">
        <f>Tournament!E23</f>
        <v>D</v>
      </c>
      <c r="E22" s="188">
        <f>Tournament!F23</f>
        <v>41804.791666666664</v>
      </c>
      <c r="F22" s="189">
        <f>Tournament!G23</f>
        <v>41804.791666666664</v>
      </c>
      <c r="G22" s="190" t="str">
        <f>Tournament!H23</f>
        <v>England</v>
      </c>
      <c r="H22" s="180"/>
      <c r="I22" s="9"/>
      <c r="J22" s="191" t="s">
        <v>3088</v>
      </c>
      <c r="K22" s="9"/>
      <c r="L22" s="180"/>
      <c r="M22" s="180" t="str">
        <f>Tournament!N23</f>
        <v>Italy</v>
      </c>
      <c r="N22" s="183"/>
      <c r="P22" s="192" t="str">
        <f t="shared" si="0"/>
        <v>England</v>
      </c>
      <c r="Q22" s="193"/>
      <c r="R22" s="194" t="str">
        <f>IF(Tournament!J23&lt;&gt;"",Tournament!J23,"")</f>
        <v/>
      </c>
      <c r="S22" s="194" t="s">
        <v>3088</v>
      </c>
      <c r="T22" s="194" t="str">
        <f>IF(Tournament!L23&lt;&gt;"",Tournament!L23,"")</f>
        <v/>
      </c>
      <c r="U22" s="193"/>
      <c r="V22" s="193" t="str">
        <f t="shared" si="1"/>
        <v>Italy</v>
      </c>
      <c r="W22" s="194"/>
      <c r="X22" s="194"/>
      <c r="Y22" s="194"/>
      <c r="Z22" s="194"/>
      <c r="AA22" s="194"/>
      <c r="AB22" s="194"/>
      <c r="AC22" s="194"/>
      <c r="AD22" s="195" t="str">
        <f>IF(AND(I22&lt;&gt;"",K22&lt;&gt;"",R22&lt;&gt;"",T22&lt;&gt;""),IF(AND(I22=R22,K22=T22),Setup!$D$10,IF((I22-K22)=(R22-T22),Setup!$D$11,IF(AND((I22&gt;K22),(R22&gt;T22)),Setup!$D$12,IF(AND((K22&gt;I22),(T22&gt;R22)),Setup!$D$12,0)))),"")</f>
        <v/>
      </c>
      <c r="AE22" s="183"/>
      <c r="CP22" s="168"/>
      <c r="CQ22" s="186"/>
      <c r="CR22" s="187"/>
      <c r="CS22" s="168"/>
    </row>
    <row r="23" spans="2:97" s="166" customFormat="1" ht="15" customHeight="1">
      <c r="B23" s="182"/>
      <c r="C23" s="181">
        <f>Tournament!D24</f>
        <v>9</v>
      </c>
      <c r="D23" s="181" t="str">
        <f>Tournament!E24</f>
        <v>E</v>
      </c>
      <c r="E23" s="188">
        <f>Tournament!F24</f>
        <v>41805.541666666664</v>
      </c>
      <c r="F23" s="189">
        <f>Tournament!G24</f>
        <v>41805.541666666664</v>
      </c>
      <c r="G23" s="190" t="str">
        <f>Tournament!H24</f>
        <v>Switzerland</v>
      </c>
      <c r="H23" s="180"/>
      <c r="I23" s="9"/>
      <c r="J23" s="191" t="s">
        <v>3088</v>
      </c>
      <c r="K23" s="9"/>
      <c r="L23" s="180"/>
      <c r="M23" s="180" t="str">
        <f>Tournament!N24</f>
        <v>Ecuador</v>
      </c>
      <c r="N23" s="183"/>
      <c r="P23" s="192" t="str">
        <f t="shared" si="0"/>
        <v>Switzerland</v>
      </c>
      <c r="Q23" s="193"/>
      <c r="R23" s="194" t="str">
        <f>IF(Tournament!J24&lt;&gt;"",Tournament!J24,"")</f>
        <v/>
      </c>
      <c r="S23" s="194" t="s">
        <v>3088</v>
      </c>
      <c r="T23" s="194" t="str">
        <f>IF(Tournament!L24&lt;&gt;"",Tournament!L24,"")</f>
        <v/>
      </c>
      <c r="U23" s="193"/>
      <c r="V23" s="193" t="str">
        <f t="shared" si="1"/>
        <v>Ecuador</v>
      </c>
      <c r="W23" s="194"/>
      <c r="X23" s="194"/>
      <c r="Y23" s="194"/>
      <c r="Z23" s="194"/>
      <c r="AA23" s="194"/>
      <c r="AB23" s="194"/>
      <c r="AC23" s="194"/>
      <c r="AD23" s="195" t="str">
        <f>IF(AND(I23&lt;&gt;"",K23&lt;&gt;"",R23&lt;&gt;"",T23&lt;&gt;""),IF(AND(I23=R23,K23=T23),Setup!$D$10,IF((I23-K23)=(R23-T23),Setup!$D$11,IF(AND((I23&gt;K23),(R23&gt;T23)),Setup!$D$12,IF(AND((K23&gt;I23),(T23&gt;R23)),Setup!$D$12,0)))),"")</f>
        <v/>
      </c>
      <c r="AE23" s="183"/>
      <c r="CP23" s="168"/>
      <c r="CQ23" s="186"/>
      <c r="CR23" s="187"/>
      <c r="CS23" s="168"/>
    </row>
    <row r="24" spans="2:97" s="166" customFormat="1" ht="15" customHeight="1">
      <c r="B24" s="182"/>
      <c r="C24" s="181">
        <f>Tournament!D25</f>
        <v>10</v>
      </c>
      <c r="D24" s="181" t="str">
        <f>Tournament!E25</f>
        <v>E</v>
      </c>
      <c r="E24" s="188">
        <f>Tournament!F25</f>
        <v>41805.666666666664</v>
      </c>
      <c r="F24" s="189">
        <f>Tournament!G25</f>
        <v>41805.666666666664</v>
      </c>
      <c r="G24" s="190" t="str">
        <f>Tournament!H25</f>
        <v>France</v>
      </c>
      <c r="H24" s="180"/>
      <c r="I24" s="9"/>
      <c r="J24" s="191" t="s">
        <v>3088</v>
      </c>
      <c r="K24" s="9"/>
      <c r="L24" s="180"/>
      <c r="M24" s="180" t="str">
        <f>Tournament!N25</f>
        <v>Honduras</v>
      </c>
      <c r="N24" s="183"/>
      <c r="P24" s="192" t="str">
        <f t="shared" si="0"/>
        <v>France</v>
      </c>
      <c r="Q24" s="193"/>
      <c r="R24" s="194" t="str">
        <f>IF(Tournament!J25&lt;&gt;"",Tournament!J25,"")</f>
        <v/>
      </c>
      <c r="S24" s="194" t="s">
        <v>3088</v>
      </c>
      <c r="T24" s="194" t="str">
        <f>IF(Tournament!L25&lt;&gt;"",Tournament!L25,"")</f>
        <v/>
      </c>
      <c r="U24" s="193"/>
      <c r="V24" s="193" t="str">
        <f t="shared" si="1"/>
        <v>Honduras</v>
      </c>
      <c r="W24" s="194"/>
      <c r="X24" s="194"/>
      <c r="Y24" s="194"/>
      <c r="Z24" s="194"/>
      <c r="AA24" s="194"/>
      <c r="AB24" s="194"/>
      <c r="AC24" s="194"/>
      <c r="AD24" s="195" t="str">
        <f>IF(AND(I24&lt;&gt;"",K24&lt;&gt;"",R24&lt;&gt;"",T24&lt;&gt;""),IF(AND(I24=R24,K24=T24),Setup!$D$10,IF((I24-K24)=(R24-T24),Setup!$D$11,IF(AND((I24&gt;K24),(R24&gt;T24)),Setup!$D$12,IF(AND((K24&gt;I24),(T24&gt;R24)),Setup!$D$12,0)))),"")</f>
        <v/>
      </c>
      <c r="AE24" s="183"/>
      <c r="CP24" s="168"/>
      <c r="CQ24" s="186"/>
      <c r="CR24" s="187"/>
      <c r="CS24" s="168"/>
    </row>
    <row r="25" spans="2:97" s="166" customFormat="1" ht="15" customHeight="1">
      <c r="B25" s="182"/>
      <c r="C25" s="181">
        <f>Tournament!D26</f>
        <v>11</v>
      </c>
      <c r="D25" s="181" t="str">
        <f>Tournament!E26</f>
        <v>F</v>
      </c>
      <c r="E25" s="188">
        <f>Tournament!F26</f>
        <v>41805.791666666664</v>
      </c>
      <c r="F25" s="189">
        <f>Tournament!G26</f>
        <v>41805.791666666664</v>
      </c>
      <c r="G25" s="190" t="str">
        <f>Tournament!H26</f>
        <v>Argentina</v>
      </c>
      <c r="H25" s="180"/>
      <c r="I25" s="9"/>
      <c r="J25" s="191" t="s">
        <v>3088</v>
      </c>
      <c r="K25" s="9"/>
      <c r="L25" s="180"/>
      <c r="M25" s="180" t="str">
        <f>Tournament!N26</f>
        <v>Bosnia-Herzegovina</v>
      </c>
      <c r="N25" s="183"/>
      <c r="P25" s="192" t="str">
        <f t="shared" si="0"/>
        <v>Argentina</v>
      </c>
      <c r="Q25" s="193"/>
      <c r="R25" s="194" t="str">
        <f>IF(Tournament!J26&lt;&gt;"",Tournament!J26,"")</f>
        <v/>
      </c>
      <c r="S25" s="194" t="s">
        <v>3088</v>
      </c>
      <c r="T25" s="194" t="str">
        <f>IF(Tournament!L26&lt;&gt;"",Tournament!L26,"")</f>
        <v/>
      </c>
      <c r="U25" s="193"/>
      <c r="V25" s="193" t="str">
        <f t="shared" si="1"/>
        <v>Bosnia-Herzegovina</v>
      </c>
      <c r="W25" s="194"/>
      <c r="X25" s="194"/>
      <c r="Y25" s="194"/>
      <c r="Z25" s="194"/>
      <c r="AA25" s="194"/>
      <c r="AB25" s="194"/>
      <c r="AC25" s="194"/>
      <c r="AD25" s="195" t="str">
        <f>IF(AND(I25&lt;&gt;"",K25&lt;&gt;"",R25&lt;&gt;"",T25&lt;&gt;""),IF(AND(I25=R25,K25=T25),Setup!$D$10,IF((I25-K25)=(R25-T25),Setup!$D$11,IF(AND((I25&gt;K25),(R25&gt;T25)),Setup!$D$12,IF(AND((K25&gt;I25),(T25&gt;R25)),Setup!$D$12,0)))),"")</f>
        <v/>
      </c>
      <c r="AE25" s="183"/>
      <c r="CP25" s="168"/>
      <c r="CQ25" s="186"/>
      <c r="CR25" s="187"/>
      <c r="CS25" s="168"/>
    </row>
    <row r="26" spans="2:97" s="166" customFormat="1" ht="15" customHeight="1">
      <c r="B26" s="182"/>
      <c r="C26" s="181">
        <f>Tournament!D27</f>
        <v>12</v>
      </c>
      <c r="D26" s="181" t="str">
        <f>Tournament!E27</f>
        <v>F</v>
      </c>
      <c r="E26" s="188">
        <f>Tournament!F27</f>
        <v>41806.666666666664</v>
      </c>
      <c r="F26" s="189">
        <f>Tournament!G27</f>
        <v>41806.666666666664</v>
      </c>
      <c r="G26" s="190" t="str">
        <f>Tournament!H27</f>
        <v>Iran</v>
      </c>
      <c r="H26" s="180"/>
      <c r="I26" s="9"/>
      <c r="J26" s="191" t="s">
        <v>3088</v>
      </c>
      <c r="K26" s="9"/>
      <c r="L26" s="180"/>
      <c r="M26" s="180" t="str">
        <f>Tournament!N27</f>
        <v>Nigeria</v>
      </c>
      <c r="N26" s="183"/>
      <c r="P26" s="192" t="str">
        <f t="shared" si="0"/>
        <v>Iran</v>
      </c>
      <c r="Q26" s="193"/>
      <c r="R26" s="194" t="str">
        <f>IF(Tournament!J27&lt;&gt;"",Tournament!J27,"")</f>
        <v/>
      </c>
      <c r="S26" s="194" t="s">
        <v>3088</v>
      </c>
      <c r="T26" s="194" t="str">
        <f>IF(Tournament!L27&lt;&gt;"",Tournament!L27,"")</f>
        <v/>
      </c>
      <c r="U26" s="193"/>
      <c r="V26" s="193" t="str">
        <f t="shared" si="1"/>
        <v>Nigeria</v>
      </c>
      <c r="W26" s="194"/>
      <c r="X26" s="194"/>
      <c r="Y26" s="194"/>
      <c r="Z26" s="194"/>
      <c r="AA26" s="194"/>
      <c r="AB26" s="194"/>
      <c r="AC26" s="194"/>
      <c r="AD26" s="195" t="str">
        <f>IF(AND(I26&lt;&gt;"",K26&lt;&gt;"",R26&lt;&gt;"",T26&lt;&gt;""),IF(AND(I26=R26,K26=T26),Setup!$D$10,IF((I26-K26)=(R26-T26),Setup!$D$11,IF(AND((I26&gt;K26),(R26&gt;T26)),Setup!$D$12,IF(AND((K26&gt;I26),(T26&gt;R26)),Setup!$D$12,0)))),"")</f>
        <v/>
      </c>
      <c r="AE26" s="183"/>
      <c r="CP26" s="168"/>
      <c r="CQ26" s="186"/>
      <c r="CR26" s="187"/>
      <c r="CS26" s="168"/>
    </row>
    <row r="27" spans="2:97" s="166" customFormat="1" ht="15" customHeight="1">
      <c r="B27" s="182"/>
      <c r="C27" s="181">
        <f>Tournament!D28</f>
        <v>13</v>
      </c>
      <c r="D27" s="181" t="str">
        <f>Tournament!E28</f>
        <v>G</v>
      </c>
      <c r="E27" s="188">
        <f>Tournament!F28</f>
        <v>41806.541666666664</v>
      </c>
      <c r="F27" s="189">
        <f>Tournament!G28</f>
        <v>41806.541666666664</v>
      </c>
      <c r="G27" s="190" t="str">
        <f>Tournament!H28</f>
        <v>Germany</v>
      </c>
      <c r="H27" s="180"/>
      <c r="I27" s="9"/>
      <c r="J27" s="191" t="s">
        <v>3088</v>
      </c>
      <c r="K27" s="9"/>
      <c r="L27" s="180"/>
      <c r="M27" s="180" t="str">
        <f>Tournament!N28</f>
        <v>Portugal</v>
      </c>
      <c r="N27" s="183"/>
      <c r="P27" s="192" t="str">
        <f t="shared" si="0"/>
        <v>Germany</v>
      </c>
      <c r="Q27" s="193"/>
      <c r="R27" s="194" t="str">
        <f>IF(Tournament!J28&lt;&gt;"",Tournament!J28,"")</f>
        <v/>
      </c>
      <c r="S27" s="194" t="s">
        <v>3088</v>
      </c>
      <c r="T27" s="194" t="str">
        <f>IF(Tournament!L28&lt;&gt;"",Tournament!L28,"")</f>
        <v/>
      </c>
      <c r="U27" s="193"/>
      <c r="V27" s="193" t="str">
        <f t="shared" si="1"/>
        <v>Portugal</v>
      </c>
      <c r="W27" s="194"/>
      <c r="X27" s="194"/>
      <c r="Y27" s="194"/>
      <c r="Z27" s="194"/>
      <c r="AA27" s="194"/>
      <c r="AB27" s="194"/>
      <c r="AC27" s="194"/>
      <c r="AD27" s="195" t="str">
        <f>IF(AND(I27&lt;&gt;"",K27&lt;&gt;"",R27&lt;&gt;"",T27&lt;&gt;""),IF(AND(I27=R27,K27=T27),Setup!$D$10,IF((I27-K27)=(R27-T27),Setup!$D$11,IF(AND((I27&gt;K27),(R27&gt;T27)),Setup!$D$12,IF(AND((K27&gt;I27),(T27&gt;R27)),Setup!$D$12,0)))),"")</f>
        <v/>
      </c>
      <c r="AE27" s="183"/>
      <c r="CP27" s="168"/>
      <c r="CQ27" s="186"/>
      <c r="CR27" s="187"/>
      <c r="CS27" s="168"/>
    </row>
    <row r="28" spans="2:97" s="166" customFormat="1" ht="15" customHeight="1">
      <c r="B28" s="182"/>
      <c r="C28" s="181">
        <f>Tournament!D29</f>
        <v>14</v>
      </c>
      <c r="D28" s="181" t="str">
        <f>Tournament!E29</f>
        <v>G</v>
      </c>
      <c r="E28" s="188">
        <f>Tournament!F29</f>
        <v>41806.791666666664</v>
      </c>
      <c r="F28" s="189">
        <f>Tournament!G29</f>
        <v>41806.791666666664</v>
      </c>
      <c r="G28" s="190" t="str">
        <f>Tournament!H29</f>
        <v>Ghana</v>
      </c>
      <c r="H28" s="180"/>
      <c r="I28" s="9"/>
      <c r="J28" s="191" t="s">
        <v>3088</v>
      </c>
      <c r="K28" s="9"/>
      <c r="L28" s="180"/>
      <c r="M28" s="180" t="str">
        <f>Tournament!N29</f>
        <v>USA</v>
      </c>
      <c r="N28" s="183"/>
      <c r="P28" s="192" t="str">
        <f t="shared" si="0"/>
        <v>Ghana</v>
      </c>
      <c r="Q28" s="193"/>
      <c r="R28" s="194" t="str">
        <f>IF(Tournament!J29&lt;&gt;"",Tournament!J29,"")</f>
        <v/>
      </c>
      <c r="S28" s="194" t="s">
        <v>3088</v>
      </c>
      <c r="T28" s="194" t="str">
        <f>IF(Tournament!L29&lt;&gt;"",Tournament!L29,"")</f>
        <v/>
      </c>
      <c r="U28" s="193"/>
      <c r="V28" s="193" t="str">
        <f t="shared" si="1"/>
        <v>USA</v>
      </c>
      <c r="W28" s="194"/>
      <c r="X28" s="194"/>
      <c r="Y28" s="194"/>
      <c r="Z28" s="194"/>
      <c r="AA28" s="194"/>
      <c r="AB28" s="194"/>
      <c r="AC28" s="194"/>
      <c r="AD28" s="195" t="str">
        <f>IF(AND(I28&lt;&gt;"",K28&lt;&gt;"",R28&lt;&gt;"",T28&lt;&gt;""),IF(AND(I28=R28,K28=T28),Setup!$D$10,IF((I28-K28)=(R28-T28),Setup!$D$11,IF(AND((I28&gt;K28),(R28&gt;T28)),Setup!$D$12,IF(AND((K28&gt;I28),(T28&gt;R28)),Setup!$D$12,0)))),"")</f>
        <v/>
      </c>
      <c r="AE28" s="183"/>
      <c r="CP28" s="168"/>
      <c r="CQ28" s="186"/>
      <c r="CR28" s="187"/>
      <c r="CS28" s="168"/>
    </row>
    <row r="29" spans="2:97" s="166" customFormat="1" ht="15" customHeight="1">
      <c r="B29" s="182"/>
      <c r="C29" s="181">
        <f>Tournament!D30</f>
        <v>15</v>
      </c>
      <c r="D29" s="181" t="str">
        <f>Tournament!E30</f>
        <v>H</v>
      </c>
      <c r="E29" s="188">
        <f>Tournament!F30</f>
        <v>41807.541666666664</v>
      </c>
      <c r="F29" s="189">
        <f>Tournament!G30</f>
        <v>41807.541666666664</v>
      </c>
      <c r="G29" s="190" t="str">
        <f>Tournament!H30</f>
        <v>Belgium</v>
      </c>
      <c r="H29" s="180"/>
      <c r="I29" s="9"/>
      <c r="J29" s="191" t="s">
        <v>3088</v>
      </c>
      <c r="K29" s="9"/>
      <c r="L29" s="180"/>
      <c r="M29" s="180" t="str">
        <f>Tournament!N30</f>
        <v>Algeria</v>
      </c>
      <c r="N29" s="183"/>
      <c r="P29" s="192" t="str">
        <f t="shared" si="0"/>
        <v>Belgium</v>
      </c>
      <c r="Q29" s="193"/>
      <c r="R29" s="194" t="str">
        <f>IF(Tournament!J30&lt;&gt;"",Tournament!J30,"")</f>
        <v/>
      </c>
      <c r="S29" s="194" t="s">
        <v>3088</v>
      </c>
      <c r="T29" s="194" t="str">
        <f>IF(Tournament!L30&lt;&gt;"",Tournament!L30,"")</f>
        <v/>
      </c>
      <c r="U29" s="193"/>
      <c r="V29" s="193" t="str">
        <f t="shared" si="1"/>
        <v>Algeria</v>
      </c>
      <c r="W29" s="194"/>
      <c r="X29" s="194"/>
      <c r="Y29" s="194"/>
      <c r="Z29" s="194"/>
      <c r="AA29" s="194"/>
      <c r="AB29" s="194"/>
      <c r="AC29" s="194"/>
      <c r="AD29" s="195" t="str">
        <f>IF(AND(I29&lt;&gt;"",K29&lt;&gt;"",R29&lt;&gt;"",T29&lt;&gt;""),IF(AND(I29=R29,K29=T29),Setup!$D$10,IF((I29-K29)=(R29-T29),Setup!$D$11,IF(AND((I29&gt;K29),(R29&gt;T29)),Setup!$D$12,IF(AND((K29&gt;I29),(T29&gt;R29)),Setup!$D$12,0)))),"")</f>
        <v/>
      </c>
      <c r="AE29" s="183"/>
      <c r="CP29" s="168"/>
      <c r="CQ29" s="186"/>
      <c r="CR29" s="187"/>
      <c r="CS29" s="168"/>
    </row>
    <row r="30" spans="2:97" s="166" customFormat="1" ht="15" customHeight="1">
      <c r="B30" s="182"/>
      <c r="C30" s="181">
        <f>Tournament!D31</f>
        <v>16</v>
      </c>
      <c r="D30" s="181" t="str">
        <f>Tournament!E31</f>
        <v>H</v>
      </c>
      <c r="E30" s="188">
        <f>Tournament!F31</f>
        <v>41807.791666666664</v>
      </c>
      <c r="F30" s="189">
        <f>Tournament!G31</f>
        <v>41807.791666666664</v>
      </c>
      <c r="G30" s="190" t="str">
        <f>Tournament!H31</f>
        <v>Russia</v>
      </c>
      <c r="H30" s="180"/>
      <c r="I30" s="9"/>
      <c r="J30" s="191" t="s">
        <v>3088</v>
      </c>
      <c r="K30" s="9"/>
      <c r="L30" s="180"/>
      <c r="M30" s="180" t="str">
        <f>Tournament!N31</f>
        <v>South Korea</v>
      </c>
      <c r="N30" s="183"/>
      <c r="P30" s="192" t="str">
        <f t="shared" si="0"/>
        <v>Russia</v>
      </c>
      <c r="Q30" s="193"/>
      <c r="R30" s="194" t="str">
        <f>IF(Tournament!J31&lt;&gt;"",Tournament!J31,"")</f>
        <v/>
      </c>
      <c r="S30" s="194" t="s">
        <v>3088</v>
      </c>
      <c r="T30" s="194" t="str">
        <f>IF(Tournament!L31&lt;&gt;"",Tournament!L31,"")</f>
        <v/>
      </c>
      <c r="U30" s="193"/>
      <c r="V30" s="193" t="str">
        <f t="shared" si="1"/>
        <v>South Korea</v>
      </c>
      <c r="W30" s="194"/>
      <c r="X30" s="194"/>
      <c r="Y30" s="194"/>
      <c r="Z30" s="194"/>
      <c r="AA30" s="194"/>
      <c r="AB30" s="194"/>
      <c r="AC30" s="194"/>
      <c r="AD30" s="195" t="str">
        <f>IF(AND(I30&lt;&gt;"",K30&lt;&gt;"",R30&lt;&gt;"",T30&lt;&gt;""),IF(AND(I30=R30,K30=T30),Setup!$D$10,IF((I30-K30)=(R30-T30),Setup!$D$11,IF(AND((I30&gt;K30),(R30&gt;T30)),Setup!$D$12,IF(AND((K30&gt;I30),(T30&gt;R30)),Setup!$D$12,0)))),"")</f>
        <v/>
      </c>
      <c r="AE30" s="183"/>
      <c r="CP30" s="168"/>
      <c r="CQ30" s="186"/>
      <c r="CR30" s="187"/>
      <c r="CS30" s="168"/>
    </row>
    <row r="31" spans="2:97" s="166" customFormat="1" ht="15" customHeight="1">
      <c r="B31" s="182"/>
      <c r="C31" s="181">
        <f>Tournament!D32</f>
        <v>17</v>
      </c>
      <c r="D31" s="181" t="str">
        <f>Tournament!E32</f>
        <v>A</v>
      </c>
      <c r="E31" s="188">
        <f>Tournament!F32</f>
        <v>41807.666666666664</v>
      </c>
      <c r="F31" s="189">
        <f>Tournament!G32</f>
        <v>41807.666666666664</v>
      </c>
      <c r="G31" s="190" t="str">
        <f>Tournament!H32</f>
        <v>Brazil</v>
      </c>
      <c r="H31" s="180"/>
      <c r="I31" s="9"/>
      <c r="J31" s="191" t="s">
        <v>3088</v>
      </c>
      <c r="K31" s="9"/>
      <c r="L31" s="180"/>
      <c r="M31" s="180" t="str">
        <f>Tournament!N32</f>
        <v>Mexico</v>
      </c>
      <c r="N31" s="183"/>
      <c r="P31" s="192" t="str">
        <f t="shared" si="0"/>
        <v>Brazil</v>
      </c>
      <c r="Q31" s="193"/>
      <c r="R31" s="194" t="str">
        <f>IF(Tournament!J32&lt;&gt;"",Tournament!J32,"")</f>
        <v/>
      </c>
      <c r="S31" s="194" t="s">
        <v>3088</v>
      </c>
      <c r="T31" s="194" t="str">
        <f>IF(Tournament!L32&lt;&gt;"",Tournament!L32,"")</f>
        <v/>
      </c>
      <c r="U31" s="193"/>
      <c r="V31" s="193" t="str">
        <f t="shared" si="1"/>
        <v>Mexico</v>
      </c>
      <c r="W31" s="194"/>
      <c r="X31" s="194"/>
      <c r="Y31" s="194"/>
      <c r="Z31" s="194"/>
      <c r="AA31" s="194"/>
      <c r="AB31" s="194"/>
      <c r="AC31" s="194"/>
      <c r="AD31" s="195" t="str">
        <f>IF(AND(I31&lt;&gt;"",K31&lt;&gt;"",R31&lt;&gt;"",T31&lt;&gt;""),IF(AND(I31=R31,K31=T31),Setup!$D$10,IF((I31-K31)=(R31-T31),Setup!$D$11,IF(AND((I31&gt;K31),(R31&gt;T31)),Setup!$D$12,IF(AND((K31&gt;I31),(T31&gt;R31)),Setup!$D$12,0)))),"")</f>
        <v/>
      </c>
      <c r="AE31" s="183"/>
      <c r="CP31" s="168"/>
      <c r="CQ31" s="186"/>
      <c r="CR31" s="187"/>
      <c r="CS31" s="168"/>
    </row>
    <row r="32" spans="2:97" s="166" customFormat="1" ht="15" customHeight="1">
      <c r="B32" s="182"/>
      <c r="C32" s="181">
        <f>Tournament!D33</f>
        <v>18</v>
      </c>
      <c r="D32" s="181" t="str">
        <f>Tournament!E33</f>
        <v>A</v>
      </c>
      <c r="E32" s="188">
        <f>Tournament!F33</f>
        <v>41808.791666666664</v>
      </c>
      <c r="F32" s="189">
        <f>Tournament!G33</f>
        <v>41808.791666666664</v>
      </c>
      <c r="G32" s="190" t="str">
        <f>Tournament!H33</f>
        <v>Cameroon</v>
      </c>
      <c r="H32" s="180"/>
      <c r="I32" s="9"/>
      <c r="J32" s="191" t="s">
        <v>3088</v>
      </c>
      <c r="K32" s="9"/>
      <c r="L32" s="180"/>
      <c r="M32" s="180" t="str">
        <f>Tournament!N33</f>
        <v>Croatia</v>
      </c>
      <c r="N32" s="183"/>
      <c r="P32" s="192" t="str">
        <f t="shared" si="0"/>
        <v>Cameroon</v>
      </c>
      <c r="Q32" s="193"/>
      <c r="R32" s="194" t="str">
        <f>IF(Tournament!J33&lt;&gt;"",Tournament!J33,"")</f>
        <v/>
      </c>
      <c r="S32" s="194" t="s">
        <v>3088</v>
      </c>
      <c r="T32" s="194" t="str">
        <f>IF(Tournament!L33&lt;&gt;"",Tournament!L33,"")</f>
        <v/>
      </c>
      <c r="U32" s="193"/>
      <c r="V32" s="193" t="str">
        <f t="shared" si="1"/>
        <v>Croatia</v>
      </c>
      <c r="W32" s="194"/>
      <c r="X32" s="194"/>
      <c r="Y32" s="194"/>
      <c r="Z32" s="194"/>
      <c r="AA32" s="194"/>
      <c r="AB32" s="194"/>
      <c r="AC32" s="194"/>
      <c r="AD32" s="195" t="str">
        <f>IF(AND(I32&lt;&gt;"",K32&lt;&gt;"",R32&lt;&gt;"",T32&lt;&gt;""),IF(AND(I32=R32,K32=T32),Setup!$D$10,IF((I32-K32)=(R32-T32),Setup!$D$11,IF(AND((I32&gt;K32),(R32&gt;T32)),Setup!$D$12,IF(AND((K32&gt;I32),(T32&gt;R32)),Setup!$D$12,0)))),"")</f>
        <v/>
      </c>
      <c r="AE32" s="183"/>
      <c r="CP32" s="168"/>
      <c r="CQ32" s="186"/>
      <c r="CR32" s="187"/>
      <c r="CS32" s="168"/>
    </row>
    <row r="33" spans="2:97" s="166" customFormat="1" ht="15" customHeight="1">
      <c r="B33" s="182"/>
      <c r="C33" s="181">
        <f>Tournament!D34</f>
        <v>19</v>
      </c>
      <c r="D33" s="181" t="str">
        <f>Tournament!E34</f>
        <v>B</v>
      </c>
      <c r="E33" s="188">
        <f>Tournament!F34</f>
        <v>41808.666666666664</v>
      </c>
      <c r="F33" s="189">
        <f>Tournament!G34</f>
        <v>41808.666666666664</v>
      </c>
      <c r="G33" s="190" t="str">
        <f>Tournament!H34</f>
        <v>Spain</v>
      </c>
      <c r="H33" s="180"/>
      <c r="I33" s="9"/>
      <c r="J33" s="191" t="s">
        <v>3088</v>
      </c>
      <c r="K33" s="9"/>
      <c r="L33" s="180"/>
      <c r="M33" s="180" t="str">
        <f>Tournament!N34</f>
        <v>Chile</v>
      </c>
      <c r="N33" s="183"/>
      <c r="P33" s="192" t="str">
        <f t="shared" si="0"/>
        <v>Spain</v>
      </c>
      <c r="Q33" s="193"/>
      <c r="R33" s="194" t="str">
        <f>IF(Tournament!J34&lt;&gt;"",Tournament!J34,"")</f>
        <v/>
      </c>
      <c r="S33" s="194" t="s">
        <v>3088</v>
      </c>
      <c r="T33" s="194" t="str">
        <f>IF(Tournament!L34&lt;&gt;"",Tournament!L34,"")</f>
        <v/>
      </c>
      <c r="U33" s="193"/>
      <c r="V33" s="193" t="str">
        <f t="shared" si="1"/>
        <v>Chile</v>
      </c>
      <c r="W33" s="194"/>
      <c r="X33" s="194"/>
      <c r="Y33" s="194"/>
      <c r="Z33" s="194"/>
      <c r="AA33" s="194"/>
      <c r="AB33" s="194"/>
      <c r="AC33" s="194"/>
      <c r="AD33" s="195" t="str">
        <f>IF(AND(I33&lt;&gt;"",K33&lt;&gt;"",R33&lt;&gt;"",T33&lt;&gt;""),IF(AND(I33=R33,K33=T33),Setup!$D$10,IF((I33-K33)=(R33-T33),Setup!$D$11,IF(AND((I33&gt;K33),(R33&gt;T33)),Setup!$D$12,IF(AND((K33&gt;I33),(T33&gt;R33)),Setup!$D$12,0)))),"")</f>
        <v/>
      </c>
      <c r="AE33" s="183"/>
      <c r="CP33" s="168"/>
      <c r="CQ33" s="186"/>
      <c r="CR33" s="187"/>
      <c r="CS33" s="168"/>
    </row>
    <row r="34" spans="2:97" s="166" customFormat="1" ht="15" customHeight="1">
      <c r="B34" s="182"/>
      <c r="C34" s="181">
        <f>Tournament!D35</f>
        <v>20</v>
      </c>
      <c r="D34" s="181" t="str">
        <f>Tournament!E35</f>
        <v>B</v>
      </c>
      <c r="E34" s="188">
        <f>Tournament!F35</f>
        <v>41808.541666666664</v>
      </c>
      <c r="F34" s="189">
        <f>Tournament!G35</f>
        <v>41808.541666666664</v>
      </c>
      <c r="G34" s="190" t="str">
        <f>Tournament!H35</f>
        <v>Australia</v>
      </c>
      <c r="H34" s="180"/>
      <c r="I34" s="9"/>
      <c r="J34" s="191" t="s">
        <v>3088</v>
      </c>
      <c r="K34" s="9"/>
      <c r="L34" s="180"/>
      <c r="M34" s="180" t="str">
        <f>Tournament!N35</f>
        <v>Netherlands</v>
      </c>
      <c r="N34" s="183"/>
      <c r="P34" s="192" t="str">
        <f t="shared" si="0"/>
        <v>Australia</v>
      </c>
      <c r="Q34" s="193"/>
      <c r="R34" s="194" t="str">
        <f>IF(Tournament!J35&lt;&gt;"",Tournament!J35,"")</f>
        <v/>
      </c>
      <c r="S34" s="194" t="s">
        <v>3088</v>
      </c>
      <c r="T34" s="194" t="str">
        <f>IF(Tournament!L35&lt;&gt;"",Tournament!L35,"")</f>
        <v/>
      </c>
      <c r="U34" s="193"/>
      <c r="V34" s="193" t="str">
        <f t="shared" si="1"/>
        <v>Netherlands</v>
      </c>
      <c r="W34" s="194"/>
      <c r="X34" s="194"/>
      <c r="Y34" s="194"/>
      <c r="Z34" s="194"/>
      <c r="AA34" s="194"/>
      <c r="AB34" s="194"/>
      <c r="AC34" s="194"/>
      <c r="AD34" s="195" t="str">
        <f>IF(AND(I34&lt;&gt;"",K34&lt;&gt;"",R34&lt;&gt;"",T34&lt;&gt;""),IF(AND(I34=R34,K34=T34),Setup!$D$10,IF((I34-K34)=(R34-T34),Setup!$D$11,IF(AND((I34&gt;K34),(R34&gt;T34)),Setup!$D$12,IF(AND((K34&gt;I34),(T34&gt;R34)),Setup!$D$12,0)))),"")</f>
        <v/>
      </c>
      <c r="AE34" s="183"/>
      <c r="CP34" s="168"/>
      <c r="CQ34" s="186"/>
      <c r="CR34" s="187"/>
      <c r="CS34" s="168"/>
    </row>
    <row r="35" spans="2:97" s="166" customFormat="1" ht="15" customHeight="1">
      <c r="B35" s="182"/>
      <c r="C35" s="181">
        <f>Tournament!D36</f>
        <v>21</v>
      </c>
      <c r="D35" s="181" t="str">
        <f>Tournament!E36</f>
        <v>C</v>
      </c>
      <c r="E35" s="188">
        <f>Tournament!F36</f>
        <v>41809.541666666664</v>
      </c>
      <c r="F35" s="189">
        <f>Tournament!G36</f>
        <v>41809.541666666664</v>
      </c>
      <c r="G35" s="190" t="str">
        <f>Tournament!H36</f>
        <v>Colombia</v>
      </c>
      <c r="H35" s="180"/>
      <c r="I35" s="9"/>
      <c r="J35" s="191" t="s">
        <v>3088</v>
      </c>
      <c r="K35" s="9"/>
      <c r="L35" s="180"/>
      <c r="M35" s="180" t="str">
        <f>Tournament!N36</f>
        <v>Ivory Coast</v>
      </c>
      <c r="N35" s="183"/>
      <c r="P35" s="192" t="str">
        <f t="shared" si="0"/>
        <v>Colombia</v>
      </c>
      <c r="Q35" s="193"/>
      <c r="R35" s="194" t="str">
        <f>IF(Tournament!J36&lt;&gt;"",Tournament!J36,"")</f>
        <v/>
      </c>
      <c r="S35" s="194" t="s">
        <v>3088</v>
      </c>
      <c r="T35" s="194" t="str">
        <f>IF(Tournament!L36&lt;&gt;"",Tournament!L36,"")</f>
        <v/>
      </c>
      <c r="U35" s="193"/>
      <c r="V35" s="193" t="str">
        <f t="shared" si="1"/>
        <v>Ivory Coast</v>
      </c>
      <c r="W35" s="194"/>
      <c r="X35" s="194"/>
      <c r="Y35" s="194"/>
      <c r="Z35" s="194"/>
      <c r="AA35" s="194"/>
      <c r="AB35" s="194"/>
      <c r="AC35" s="194"/>
      <c r="AD35" s="195" t="str">
        <f>IF(AND(I35&lt;&gt;"",K35&lt;&gt;"",R35&lt;&gt;"",T35&lt;&gt;""),IF(AND(I35=R35,K35=T35),Setup!$D$10,IF((I35-K35)=(R35-T35),Setup!$D$11,IF(AND((I35&gt;K35),(R35&gt;T35)),Setup!$D$12,IF(AND((K35&gt;I35),(T35&gt;R35)),Setup!$D$12,0)))),"")</f>
        <v/>
      </c>
      <c r="AE35" s="183"/>
      <c r="CP35" s="168"/>
      <c r="CQ35" s="186"/>
      <c r="CR35" s="187"/>
      <c r="CS35" s="168"/>
    </row>
    <row r="36" spans="2:97" s="166" customFormat="1" ht="15" customHeight="1">
      <c r="B36" s="182"/>
      <c r="C36" s="181">
        <f>Tournament!D37</f>
        <v>22</v>
      </c>
      <c r="D36" s="181" t="str">
        <f>Tournament!E37</f>
        <v>C</v>
      </c>
      <c r="E36" s="188">
        <f>Tournament!F37</f>
        <v>41809.791666666664</v>
      </c>
      <c r="F36" s="189">
        <f>Tournament!G37</f>
        <v>41809.791666666664</v>
      </c>
      <c r="G36" s="190" t="str">
        <f>Tournament!H37</f>
        <v>Japan</v>
      </c>
      <c r="H36" s="180"/>
      <c r="I36" s="9"/>
      <c r="J36" s="191" t="s">
        <v>3088</v>
      </c>
      <c r="K36" s="9"/>
      <c r="L36" s="180"/>
      <c r="M36" s="180" t="str">
        <f>Tournament!N37</f>
        <v>Greece</v>
      </c>
      <c r="N36" s="183"/>
      <c r="P36" s="192" t="str">
        <f t="shared" si="0"/>
        <v>Japan</v>
      </c>
      <c r="Q36" s="193"/>
      <c r="R36" s="194" t="str">
        <f>IF(Tournament!J37&lt;&gt;"",Tournament!J37,"")</f>
        <v/>
      </c>
      <c r="S36" s="194" t="s">
        <v>3088</v>
      </c>
      <c r="T36" s="194" t="str">
        <f>IF(Tournament!L37&lt;&gt;"",Tournament!L37,"")</f>
        <v/>
      </c>
      <c r="U36" s="193"/>
      <c r="V36" s="193" t="str">
        <f t="shared" si="1"/>
        <v>Greece</v>
      </c>
      <c r="W36" s="194"/>
      <c r="X36" s="194"/>
      <c r="Y36" s="194"/>
      <c r="Z36" s="194"/>
      <c r="AA36" s="194"/>
      <c r="AB36" s="194"/>
      <c r="AC36" s="194"/>
      <c r="AD36" s="195" t="str">
        <f>IF(AND(I36&lt;&gt;"",K36&lt;&gt;"",R36&lt;&gt;"",T36&lt;&gt;""),IF(AND(I36=R36,K36=T36),Setup!$D$10,IF((I36-K36)=(R36-T36),Setup!$D$11,IF(AND((I36&gt;K36),(R36&gt;T36)),Setup!$D$12,IF(AND((K36&gt;I36),(T36&gt;R36)),Setup!$D$12,0)))),"")</f>
        <v/>
      </c>
      <c r="AE36" s="183"/>
      <c r="CP36" s="168"/>
      <c r="CQ36" s="186"/>
      <c r="CR36" s="187"/>
      <c r="CS36" s="168"/>
    </row>
    <row r="37" spans="2:97" s="166" customFormat="1" ht="15" customHeight="1">
      <c r="B37" s="182"/>
      <c r="C37" s="181">
        <f>Tournament!D38</f>
        <v>23</v>
      </c>
      <c r="D37" s="181" t="str">
        <f>Tournament!E38</f>
        <v>D</v>
      </c>
      <c r="E37" s="188">
        <f>Tournament!F38</f>
        <v>41809.666666666664</v>
      </c>
      <c r="F37" s="189">
        <f>Tournament!G38</f>
        <v>41809.666666666664</v>
      </c>
      <c r="G37" s="190" t="str">
        <f>Tournament!H38</f>
        <v>Uruguay</v>
      </c>
      <c r="H37" s="180"/>
      <c r="I37" s="9"/>
      <c r="J37" s="191" t="s">
        <v>3088</v>
      </c>
      <c r="K37" s="9"/>
      <c r="L37" s="180"/>
      <c r="M37" s="180" t="str">
        <f>Tournament!N38</f>
        <v>England</v>
      </c>
      <c r="N37" s="183"/>
      <c r="P37" s="192" t="str">
        <f t="shared" si="0"/>
        <v>Uruguay</v>
      </c>
      <c r="Q37" s="193"/>
      <c r="R37" s="194" t="str">
        <f>IF(Tournament!J38&lt;&gt;"",Tournament!J38,"")</f>
        <v/>
      </c>
      <c r="S37" s="194" t="s">
        <v>3088</v>
      </c>
      <c r="T37" s="194" t="str">
        <f>IF(Tournament!L38&lt;&gt;"",Tournament!L38,"")</f>
        <v/>
      </c>
      <c r="U37" s="193"/>
      <c r="V37" s="193" t="str">
        <f t="shared" si="1"/>
        <v>England</v>
      </c>
      <c r="W37" s="194"/>
      <c r="X37" s="194"/>
      <c r="Y37" s="194"/>
      <c r="Z37" s="194"/>
      <c r="AA37" s="194"/>
      <c r="AB37" s="194"/>
      <c r="AC37" s="194"/>
      <c r="AD37" s="195" t="str">
        <f>IF(AND(I37&lt;&gt;"",K37&lt;&gt;"",R37&lt;&gt;"",T37&lt;&gt;""),IF(AND(I37=R37,K37=T37),Setup!$D$10,IF((I37-K37)=(R37-T37),Setup!$D$11,IF(AND((I37&gt;K37),(R37&gt;T37)),Setup!$D$12,IF(AND((K37&gt;I37),(T37&gt;R37)),Setup!$D$12,0)))),"")</f>
        <v/>
      </c>
      <c r="AE37" s="183"/>
      <c r="CP37" s="168"/>
      <c r="CQ37" s="186"/>
      <c r="CR37" s="187"/>
      <c r="CS37" s="168"/>
    </row>
    <row r="38" spans="2:97" s="166" customFormat="1" ht="15" customHeight="1">
      <c r="B38" s="182"/>
      <c r="C38" s="181">
        <f>Tournament!D39</f>
        <v>24</v>
      </c>
      <c r="D38" s="181" t="str">
        <f>Tournament!E39</f>
        <v>D</v>
      </c>
      <c r="E38" s="188">
        <f>Tournament!F39</f>
        <v>41810.541666666664</v>
      </c>
      <c r="F38" s="189">
        <f>Tournament!G39</f>
        <v>41810.541666666664</v>
      </c>
      <c r="G38" s="190" t="str">
        <f>Tournament!H39</f>
        <v>Italy</v>
      </c>
      <c r="H38" s="180"/>
      <c r="I38" s="9"/>
      <c r="J38" s="191" t="s">
        <v>3088</v>
      </c>
      <c r="K38" s="9"/>
      <c r="L38" s="180"/>
      <c r="M38" s="180" t="str">
        <f>Tournament!N39</f>
        <v>Costa Rica</v>
      </c>
      <c r="N38" s="183"/>
      <c r="P38" s="192" t="str">
        <f t="shared" si="0"/>
        <v>Italy</v>
      </c>
      <c r="Q38" s="193"/>
      <c r="R38" s="194" t="str">
        <f>IF(Tournament!J39&lt;&gt;"",Tournament!J39,"")</f>
        <v/>
      </c>
      <c r="S38" s="194" t="s">
        <v>3088</v>
      </c>
      <c r="T38" s="194" t="str">
        <f>IF(Tournament!L39&lt;&gt;"",Tournament!L39,"")</f>
        <v/>
      </c>
      <c r="U38" s="193"/>
      <c r="V38" s="193" t="str">
        <f t="shared" si="1"/>
        <v>Costa Rica</v>
      </c>
      <c r="W38" s="194"/>
      <c r="X38" s="194"/>
      <c r="Y38" s="194"/>
      <c r="Z38" s="194"/>
      <c r="AA38" s="194"/>
      <c r="AB38" s="194"/>
      <c r="AC38" s="194"/>
      <c r="AD38" s="195" t="str">
        <f>IF(AND(I38&lt;&gt;"",K38&lt;&gt;"",R38&lt;&gt;"",T38&lt;&gt;""),IF(AND(I38=R38,K38=T38),Setup!$D$10,IF((I38-K38)=(R38-T38),Setup!$D$11,IF(AND((I38&gt;K38),(R38&gt;T38)),Setup!$D$12,IF(AND((K38&gt;I38),(T38&gt;R38)),Setup!$D$12,0)))),"")</f>
        <v/>
      </c>
      <c r="AE38" s="183"/>
      <c r="CP38" s="168"/>
      <c r="CQ38" s="186"/>
      <c r="CR38" s="187"/>
      <c r="CS38" s="168"/>
    </row>
    <row r="39" spans="2:97" s="166" customFormat="1" ht="15" customHeight="1">
      <c r="B39" s="182"/>
      <c r="C39" s="181">
        <f>Tournament!D40</f>
        <v>25</v>
      </c>
      <c r="D39" s="181" t="str">
        <f>Tournament!E40</f>
        <v>E</v>
      </c>
      <c r="E39" s="188">
        <f>Tournament!F40</f>
        <v>41810.666666666664</v>
      </c>
      <c r="F39" s="189">
        <f>Tournament!G40</f>
        <v>41810.666666666664</v>
      </c>
      <c r="G39" s="190" t="str">
        <f>Tournament!H40</f>
        <v>Switzerland</v>
      </c>
      <c r="H39" s="180"/>
      <c r="I39" s="9"/>
      <c r="J39" s="191" t="s">
        <v>3088</v>
      </c>
      <c r="K39" s="9"/>
      <c r="L39" s="180"/>
      <c r="M39" s="180" t="str">
        <f>Tournament!N40</f>
        <v>France</v>
      </c>
      <c r="N39" s="183"/>
      <c r="P39" s="192" t="str">
        <f t="shared" si="0"/>
        <v>Switzerland</v>
      </c>
      <c r="Q39" s="193"/>
      <c r="R39" s="194" t="str">
        <f>IF(Tournament!J40&lt;&gt;"",Tournament!J40,"")</f>
        <v/>
      </c>
      <c r="S39" s="194" t="s">
        <v>3088</v>
      </c>
      <c r="T39" s="194" t="str">
        <f>IF(Tournament!L40&lt;&gt;"",Tournament!L40,"")</f>
        <v/>
      </c>
      <c r="U39" s="193"/>
      <c r="V39" s="193" t="str">
        <f t="shared" si="1"/>
        <v>France</v>
      </c>
      <c r="W39" s="194"/>
      <c r="X39" s="194"/>
      <c r="Y39" s="194"/>
      <c r="Z39" s="194"/>
      <c r="AA39" s="194"/>
      <c r="AB39" s="194"/>
      <c r="AC39" s="194"/>
      <c r="AD39" s="195" t="str">
        <f>IF(AND(I39&lt;&gt;"",K39&lt;&gt;"",R39&lt;&gt;"",T39&lt;&gt;""),IF(AND(I39=R39,K39=T39),Setup!$D$10,IF((I39-K39)=(R39-T39),Setup!$D$11,IF(AND((I39&gt;K39),(R39&gt;T39)),Setup!$D$12,IF(AND((K39&gt;I39),(T39&gt;R39)),Setup!$D$12,0)))),"")</f>
        <v/>
      </c>
      <c r="AE39" s="183"/>
      <c r="CP39" s="168"/>
      <c r="CQ39" s="186"/>
      <c r="CR39" s="187"/>
      <c r="CS39" s="168"/>
    </row>
    <row r="40" spans="2:97" s="166" customFormat="1" ht="15" customHeight="1">
      <c r="B40" s="182"/>
      <c r="C40" s="181">
        <f>Tournament!D41</f>
        <v>26</v>
      </c>
      <c r="D40" s="181" t="str">
        <f>Tournament!E41</f>
        <v>E</v>
      </c>
      <c r="E40" s="188">
        <f>Tournament!F41</f>
        <v>41810.791666666664</v>
      </c>
      <c r="F40" s="189">
        <f>Tournament!G41</f>
        <v>41810.791666666664</v>
      </c>
      <c r="G40" s="190" t="str">
        <f>Tournament!H41</f>
        <v>Honduras</v>
      </c>
      <c r="H40" s="180"/>
      <c r="I40" s="9"/>
      <c r="J40" s="191" t="s">
        <v>3088</v>
      </c>
      <c r="K40" s="9"/>
      <c r="L40" s="180"/>
      <c r="M40" s="180" t="str">
        <f>Tournament!N41</f>
        <v>Ecuador</v>
      </c>
      <c r="N40" s="183"/>
      <c r="P40" s="192" t="str">
        <f t="shared" si="0"/>
        <v>Honduras</v>
      </c>
      <c r="Q40" s="193"/>
      <c r="R40" s="194" t="str">
        <f>IF(Tournament!J41&lt;&gt;"",Tournament!J41,"")</f>
        <v/>
      </c>
      <c r="S40" s="194" t="s">
        <v>3088</v>
      </c>
      <c r="T40" s="194" t="str">
        <f>IF(Tournament!L41&lt;&gt;"",Tournament!L41,"")</f>
        <v/>
      </c>
      <c r="U40" s="193"/>
      <c r="V40" s="193" t="str">
        <f t="shared" si="1"/>
        <v>Ecuador</v>
      </c>
      <c r="W40" s="194"/>
      <c r="X40" s="194"/>
      <c r="Y40" s="194"/>
      <c r="Z40" s="194"/>
      <c r="AA40" s="194"/>
      <c r="AB40" s="194"/>
      <c r="AC40" s="194"/>
      <c r="AD40" s="195" t="str">
        <f>IF(AND(I40&lt;&gt;"",K40&lt;&gt;"",R40&lt;&gt;"",T40&lt;&gt;""),IF(AND(I40=R40,K40=T40),Setup!$D$10,IF((I40-K40)=(R40-T40),Setup!$D$11,IF(AND((I40&gt;K40),(R40&gt;T40)),Setup!$D$12,IF(AND((K40&gt;I40),(T40&gt;R40)),Setup!$D$12,0)))),"")</f>
        <v/>
      </c>
      <c r="AE40" s="183"/>
      <c r="CP40" s="168"/>
      <c r="CQ40" s="196"/>
      <c r="CR40" s="187"/>
      <c r="CS40" s="168"/>
    </row>
    <row r="41" spans="2:97" s="166" customFormat="1" ht="15" customHeight="1">
      <c r="B41" s="182"/>
      <c r="C41" s="181">
        <f>Tournament!D42</f>
        <v>27</v>
      </c>
      <c r="D41" s="181" t="str">
        <f>Tournament!E42</f>
        <v>F</v>
      </c>
      <c r="E41" s="188">
        <f>Tournament!F42</f>
        <v>41811.541666666664</v>
      </c>
      <c r="F41" s="189">
        <f>Tournament!G42</f>
        <v>41811.541666666664</v>
      </c>
      <c r="G41" s="190" t="str">
        <f>Tournament!H42</f>
        <v>Argentina</v>
      </c>
      <c r="H41" s="180"/>
      <c r="I41" s="9"/>
      <c r="J41" s="191" t="s">
        <v>3088</v>
      </c>
      <c r="K41" s="9"/>
      <c r="L41" s="180"/>
      <c r="M41" s="180" t="str">
        <f>Tournament!N42</f>
        <v>Iran</v>
      </c>
      <c r="N41" s="183"/>
      <c r="P41" s="192" t="str">
        <f t="shared" si="0"/>
        <v>Argentina</v>
      </c>
      <c r="Q41" s="193"/>
      <c r="R41" s="194" t="str">
        <f>IF(Tournament!J42&lt;&gt;"",Tournament!J42,"")</f>
        <v/>
      </c>
      <c r="S41" s="194" t="s">
        <v>3088</v>
      </c>
      <c r="T41" s="194" t="str">
        <f>IF(Tournament!L42&lt;&gt;"",Tournament!L42,"")</f>
        <v/>
      </c>
      <c r="U41" s="193"/>
      <c r="V41" s="193" t="str">
        <f t="shared" si="1"/>
        <v>Iran</v>
      </c>
      <c r="W41" s="194"/>
      <c r="X41" s="194"/>
      <c r="Y41" s="194"/>
      <c r="Z41" s="194"/>
      <c r="AA41" s="194"/>
      <c r="AB41" s="194"/>
      <c r="AC41" s="194"/>
      <c r="AD41" s="195" t="str">
        <f>IF(AND(I41&lt;&gt;"",K41&lt;&gt;"",R41&lt;&gt;"",T41&lt;&gt;""),IF(AND(I41=R41,K41=T41),Setup!$D$10,IF((I41-K41)=(R41-T41),Setup!$D$11,IF(AND((I41&gt;K41),(R41&gt;T41)),Setup!$D$12,IF(AND((K41&gt;I41),(T41&gt;R41)),Setup!$D$12,0)))),"")</f>
        <v/>
      </c>
      <c r="AE41" s="183"/>
      <c r="CP41" s="168"/>
      <c r="CQ41" s="196"/>
      <c r="CR41" s="187"/>
      <c r="CS41" s="168"/>
    </row>
    <row r="42" spans="2:97" s="166" customFormat="1" ht="15" customHeight="1">
      <c r="B42" s="182"/>
      <c r="C42" s="181">
        <f>Tournament!D43</f>
        <v>28</v>
      </c>
      <c r="D42" s="181" t="str">
        <f>Tournament!E43</f>
        <v>F</v>
      </c>
      <c r="E42" s="188">
        <f>Tournament!F43</f>
        <v>41811.791666666664</v>
      </c>
      <c r="F42" s="189">
        <f>Tournament!G43</f>
        <v>41811.791666666664</v>
      </c>
      <c r="G42" s="190" t="str">
        <f>Tournament!H43</f>
        <v>Nigeria</v>
      </c>
      <c r="H42" s="180"/>
      <c r="I42" s="9"/>
      <c r="J42" s="191" t="s">
        <v>3088</v>
      </c>
      <c r="K42" s="9"/>
      <c r="L42" s="180"/>
      <c r="M42" s="180" t="str">
        <f>Tournament!N43</f>
        <v>Bosnia-Herzegovina</v>
      </c>
      <c r="N42" s="183"/>
      <c r="P42" s="192" t="str">
        <f t="shared" si="0"/>
        <v>Nigeria</v>
      </c>
      <c r="Q42" s="193"/>
      <c r="R42" s="194" t="str">
        <f>IF(Tournament!J43&lt;&gt;"",Tournament!J43,"")</f>
        <v/>
      </c>
      <c r="S42" s="194" t="s">
        <v>3088</v>
      </c>
      <c r="T42" s="194" t="str">
        <f>IF(Tournament!L43&lt;&gt;"",Tournament!L43,"")</f>
        <v/>
      </c>
      <c r="U42" s="193"/>
      <c r="V42" s="193" t="str">
        <f t="shared" si="1"/>
        <v>Bosnia-Herzegovina</v>
      </c>
      <c r="W42" s="194"/>
      <c r="X42" s="194"/>
      <c r="Y42" s="194"/>
      <c r="Z42" s="194"/>
      <c r="AA42" s="194"/>
      <c r="AB42" s="194"/>
      <c r="AC42" s="194"/>
      <c r="AD42" s="195" t="str">
        <f>IF(AND(I42&lt;&gt;"",K42&lt;&gt;"",R42&lt;&gt;"",T42&lt;&gt;""),IF(AND(I42=R42,K42=T42),Setup!$D$10,IF((I42-K42)=(R42-T42),Setup!$D$11,IF(AND((I42&gt;K42),(R42&gt;T42)),Setup!$D$12,IF(AND((K42&gt;I42),(T42&gt;R42)),Setup!$D$12,0)))),"")</f>
        <v/>
      </c>
      <c r="AE42" s="183"/>
      <c r="CP42" s="168"/>
      <c r="CQ42" s="168"/>
      <c r="CR42" s="187"/>
      <c r="CS42" s="168"/>
    </row>
    <row r="43" spans="2:97" s="166" customFormat="1" ht="15" customHeight="1">
      <c r="B43" s="182"/>
      <c r="C43" s="181">
        <f>Tournament!D44</f>
        <v>29</v>
      </c>
      <c r="D43" s="181" t="str">
        <f>Tournament!E44</f>
        <v>G</v>
      </c>
      <c r="E43" s="188">
        <f>Tournament!F44</f>
        <v>41811.666666666664</v>
      </c>
      <c r="F43" s="189">
        <f>Tournament!G44</f>
        <v>41811.666666666664</v>
      </c>
      <c r="G43" s="190" t="str">
        <f>Tournament!H44</f>
        <v>Germany</v>
      </c>
      <c r="H43" s="180"/>
      <c r="I43" s="9"/>
      <c r="J43" s="191" t="s">
        <v>3088</v>
      </c>
      <c r="K43" s="9"/>
      <c r="L43" s="180"/>
      <c r="M43" s="180" t="str">
        <f>Tournament!N44</f>
        <v>Ghana</v>
      </c>
      <c r="N43" s="183"/>
      <c r="P43" s="192" t="str">
        <f t="shared" si="0"/>
        <v>Germany</v>
      </c>
      <c r="Q43" s="193"/>
      <c r="R43" s="194" t="str">
        <f>IF(Tournament!J44&lt;&gt;"",Tournament!J44,"")</f>
        <v/>
      </c>
      <c r="S43" s="194" t="s">
        <v>3088</v>
      </c>
      <c r="T43" s="194" t="str">
        <f>IF(Tournament!L44&lt;&gt;"",Tournament!L44,"")</f>
        <v/>
      </c>
      <c r="U43" s="193"/>
      <c r="V43" s="193" t="str">
        <f t="shared" si="1"/>
        <v>Ghana</v>
      </c>
      <c r="W43" s="194"/>
      <c r="X43" s="194"/>
      <c r="Y43" s="194"/>
      <c r="Z43" s="194"/>
      <c r="AA43" s="194"/>
      <c r="AB43" s="194"/>
      <c r="AC43" s="194"/>
      <c r="AD43" s="195" t="str">
        <f>IF(AND(I43&lt;&gt;"",K43&lt;&gt;"",R43&lt;&gt;"",T43&lt;&gt;""),IF(AND(I43=R43,K43=T43),Setup!$D$10,IF((I43-K43)=(R43-T43),Setup!$D$11,IF(AND((I43&gt;K43),(R43&gt;T43)),Setup!$D$12,IF(AND((K43&gt;I43),(T43&gt;R43)),Setup!$D$12,0)))),"")</f>
        <v/>
      </c>
      <c r="AE43" s="183"/>
      <c r="CP43" s="168"/>
      <c r="CQ43" s="168"/>
      <c r="CR43" s="187"/>
      <c r="CS43" s="168"/>
    </row>
    <row r="44" spans="2:97" s="166" customFormat="1" ht="15" customHeight="1">
      <c r="B44" s="182"/>
      <c r="C44" s="181">
        <f>Tournament!D45</f>
        <v>30</v>
      </c>
      <c r="D44" s="181" t="str">
        <f>Tournament!E45</f>
        <v>G</v>
      </c>
      <c r="E44" s="188">
        <f>Tournament!F45</f>
        <v>41812.791666666664</v>
      </c>
      <c r="F44" s="189">
        <f>Tournament!G45</f>
        <v>41812.791666666664</v>
      </c>
      <c r="G44" s="190" t="str">
        <f>Tournament!H45</f>
        <v>USA</v>
      </c>
      <c r="H44" s="180"/>
      <c r="I44" s="9"/>
      <c r="J44" s="191" t="s">
        <v>3088</v>
      </c>
      <c r="K44" s="9"/>
      <c r="L44" s="180"/>
      <c r="M44" s="180" t="str">
        <f>Tournament!N45</f>
        <v>Portugal</v>
      </c>
      <c r="N44" s="183"/>
      <c r="P44" s="192" t="str">
        <f t="shared" si="0"/>
        <v>USA</v>
      </c>
      <c r="Q44" s="193"/>
      <c r="R44" s="194" t="str">
        <f>IF(Tournament!J45&lt;&gt;"",Tournament!J45,"")</f>
        <v/>
      </c>
      <c r="S44" s="194" t="s">
        <v>3088</v>
      </c>
      <c r="T44" s="194" t="str">
        <f>IF(Tournament!L45&lt;&gt;"",Tournament!L45,"")</f>
        <v/>
      </c>
      <c r="U44" s="193"/>
      <c r="V44" s="193" t="str">
        <f t="shared" si="1"/>
        <v>Portugal</v>
      </c>
      <c r="W44" s="194"/>
      <c r="X44" s="194"/>
      <c r="Y44" s="194"/>
      <c r="Z44" s="194"/>
      <c r="AA44" s="194"/>
      <c r="AB44" s="194"/>
      <c r="AC44" s="194"/>
      <c r="AD44" s="195" t="str">
        <f>IF(AND(I44&lt;&gt;"",K44&lt;&gt;"",R44&lt;&gt;"",T44&lt;&gt;""),IF(AND(I44=R44,K44=T44),Setup!$D$10,IF((I44-K44)=(R44-T44),Setup!$D$11,IF(AND((I44&gt;K44),(R44&gt;T44)),Setup!$D$12,IF(AND((K44&gt;I44),(T44&gt;R44)),Setup!$D$12,0)))),"")</f>
        <v/>
      </c>
      <c r="AE44" s="183"/>
      <c r="CP44" s="168"/>
      <c r="CQ44" s="168"/>
      <c r="CR44" s="187"/>
      <c r="CS44" s="168"/>
    </row>
    <row r="45" spans="2:97" s="166" customFormat="1" ht="15" customHeight="1">
      <c r="B45" s="182"/>
      <c r="C45" s="181">
        <f>Tournament!D46</f>
        <v>31</v>
      </c>
      <c r="D45" s="181" t="str">
        <f>Tournament!E46</f>
        <v>H</v>
      </c>
      <c r="E45" s="188">
        <f>Tournament!F46</f>
        <v>41812.541666666664</v>
      </c>
      <c r="F45" s="189">
        <f>Tournament!G46</f>
        <v>41812.541666666664</v>
      </c>
      <c r="G45" s="190" t="str">
        <f>Tournament!H46</f>
        <v>Belgium</v>
      </c>
      <c r="H45" s="180"/>
      <c r="I45" s="9"/>
      <c r="J45" s="191" t="s">
        <v>3088</v>
      </c>
      <c r="K45" s="9"/>
      <c r="L45" s="180"/>
      <c r="M45" s="180" t="str">
        <f>Tournament!N46</f>
        <v>Russia</v>
      </c>
      <c r="N45" s="183"/>
      <c r="P45" s="192" t="str">
        <f t="shared" si="0"/>
        <v>Belgium</v>
      </c>
      <c r="Q45" s="193"/>
      <c r="R45" s="194" t="str">
        <f>IF(Tournament!J46&lt;&gt;"",Tournament!J46,"")</f>
        <v/>
      </c>
      <c r="S45" s="194" t="s">
        <v>3088</v>
      </c>
      <c r="T45" s="194" t="str">
        <f>IF(Tournament!L46&lt;&gt;"",Tournament!L46,"")</f>
        <v/>
      </c>
      <c r="U45" s="193"/>
      <c r="V45" s="193" t="str">
        <f t="shared" si="1"/>
        <v>Russia</v>
      </c>
      <c r="W45" s="194"/>
      <c r="X45" s="194"/>
      <c r="Y45" s="194"/>
      <c r="Z45" s="194"/>
      <c r="AA45" s="194"/>
      <c r="AB45" s="194"/>
      <c r="AC45" s="194"/>
      <c r="AD45" s="195" t="str">
        <f>IF(AND(I45&lt;&gt;"",K45&lt;&gt;"",R45&lt;&gt;"",T45&lt;&gt;""),IF(AND(I45=R45,K45=T45),Setup!$D$10,IF((I45-K45)=(R45-T45),Setup!$D$11,IF(AND((I45&gt;K45),(R45&gt;T45)),Setup!$D$12,IF(AND((K45&gt;I45),(T45&gt;R45)),Setup!$D$12,0)))),"")</f>
        <v/>
      </c>
      <c r="AE45" s="183"/>
      <c r="CP45" s="168"/>
      <c r="CQ45" s="168"/>
      <c r="CR45" s="187"/>
      <c r="CS45" s="168"/>
    </row>
    <row r="46" spans="2:97" s="166" customFormat="1" ht="15" customHeight="1">
      <c r="B46" s="182"/>
      <c r="C46" s="181">
        <f>Tournament!D47</f>
        <v>32</v>
      </c>
      <c r="D46" s="181" t="str">
        <f>Tournament!E47</f>
        <v>H</v>
      </c>
      <c r="E46" s="188">
        <f>Tournament!F47</f>
        <v>41812.666666666664</v>
      </c>
      <c r="F46" s="189">
        <f>Tournament!G47</f>
        <v>41812.666666666664</v>
      </c>
      <c r="G46" s="190" t="str">
        <f>Tournament!H47</f>
        <v>South Korea</v>
      </c>
      <c r="H46" s="180"/>
      <c r="I46" s="9"/>
      <c r="J46" s="191" t="s">
        <v>3088</v>
      </c>
      <c r="K46" s="9"/>
      <c r="L46" s="180"/>
      <c r="M46" s="180" t="str">
        <f>Tournament!N47</f>
        <v>Algeria</v>
      </c>
      <c r="N46" s="183"/>
      <c r="P46" s="192" t="str">
        <f t="shared" si="0"/>
        <v>South Korea</v>
      </c>
      <c r="Q46" s="193"/>
      <c r="R46" s="194" t="str">
        <f>IF(Tournament!J47&lt;&gt;"",Tournament!J47,"")</f>
        <v/>
      </c>
      <c r="S46" s="194" t="s">
        <v>3088</v>
      </c>
      <c r="T46" s="194" t="str">
        <f>IF(Tournament!L47&lt;&gt;"",Tournament!L47,"")</f>
        <v/>
      </c>
      <c r="U46" s="193"/>
      <c r="V46" s="193" t="str">
        <f t="shared" si="1"/>
        <v>Algeria</v>
      </c>
      <c r="W46" s="194"/>
      <c r="X46" s="194"/>
      <c r="Y46" s="194"/>
      <c r="Z46" s="194"/>
      <c r="AA46" s="194"/>
      <c r="AB46" s="194"/>
      <c r="AC46" s="194"/>
      <c r="AD46" s="195" t="str">
        <f>IF(AND(I46&lt;&gt;"",K46&lt;&gt;"",R46&lt;&gt;"",T46&lt;&gt;""),IF(AND(I46=R46,K46=T46),Setup!$D$10,IF((I46-K46)=(R46-T46),Setup!$D$11,IF(AND((I46&gt;K46),(R46&gt;T46)),Setup!$D$12,IF(AND((K46&gt;I46),(T46&gt;R46)),Setup!$D$12,0)))),"")</f>
        <v/>
      </c>
      <c r="AE46" s="183"/>
      <c r="CP46" s="168"/>
      <c r="CQ46" s="168"/>
      <c r="CR46" s="187"/>
      <c r="CS46" s="168"/>
    </row>
    <row r="47" spans="2:97" s="166" customFormat="1" ht="15" customHeight="1">
      <c r="B47" s="182"/>
      <c r="C47" s="181">
        <f>Tournament!D48</f>
        <v>33</v>
      </c>
      <c r="D47" s="181" t="str">
        <f>Tournament!E48</f>
        <v>A</v>
      </c>
      <c r="E47" s="188">
        <f>Tournament!F48</f>
        <v>41813.708333333336</v>
      </c>
      <c r="F47" s="189">
        <f>Tournament!G48</f>
        <v>41813.708333333336</v>
      </c>
      <c r="G47" s="190" t="str">
        <f>Tournament!H48</f>
        <v>Cameroon</v>
      </c>
      <c r="H47" s="180"/>
      <c r="I47" s="9"/>
      <c r="J47" s="191" t="s">
        <v>3088</v>
      </c>
      <c r="K47" s="9"/>
      <c r="L47" s="180"/>
      <c r="M47" s="180" t="str">
        <f>Tournament!N48</f>
        <v>Brazil</v>
      </c>
      <c r="N47" s="183"/>
      <c r="P47" s="192" t="str">
        <f t="shared" si="0"/>
        <v>Cameroon</v>
      </c>
      <c r="Q47" s="193"/>
      <c r="R47" s="194" t="str">
        <f>IF(Tournament!J48&lt;&gt;"",Tournament!J48,"")</f>
        <v/>
      </c>
      <c r="S47" s="194" t="s">
        <v>3088</v>
      </c>
      <c r="T47" s="194" t="str">
        <f>IF(Tournament!L48&lt;&gt;"",Tournament!L48,"")</f>
        <v/>
      </c>
      <c r="U47" s="193"/>
      <c r="V47" s="193" t="str">
        <f t="shared" si="1"/>
        <v>Brazil</v>
      </c>
      <c r="W47" s="194"/>
      <c r="X47" s="194"/>
      <c r="Y47" s="194"/>
      <c r="Z47" s="194"/>
      <c r="AA47" s="194"/>
      <c r="AB47" s="194"/>
      <c r="AC47" s="194"/>
      <c r="AD47" s="195" t="str">
        <f>IF(AND(I47&lt;&gt;"",K47&lt;&gt;"",R47&lt;&gt;"",T47&lt;&gt;""),IF(AND(I47=R47,K47=T47),Setup!$D$10,IF((I47-K47)=(R47-T47),Setup!$D$11,IF(AND((I47&gt;K47),(R47&gt;T47)),Setup!$D$12,IF(AND((K47&gt;I47),(T47&gt;R47)),Setup!$D$12,0)))),"")</f>
        <v/>
      </c>
      <c r="AE47" s="183"/>
      <c r="CP47" s="168"/>
      <c r="CQ47" s="168"/>
      <c r="CR47" s="187"/>
      <c r="CS47" s="168"/>
    </row>
    <row r="48" spans="2:97" s="166" customFormat="1" ht="15" customHeight="1">
      <c r="B48" s="182"/>
      <c r="C48" s="181">
        <f>Tournament!D49</f>
        <v>34</v>
      </c>
      <c r="D48" s="181" t="str">
        <f>Tournament!E49</f>
        <v>A</v>
      </c>
      <c r="E48" s="188">
        <f>Tournament!F49</f>
        <v>41813.708333333336</v>
      </c>
      <c r="F48" s="189">
        <f>Tournament!G49</f>
        <v>41813.708333333336</v>
      </c>
      <c r="G48" s="190" t="str">
        <f>Tournament!H49</f>
        <v>Croatia</v>
      </c>
      <c r="H48" s="180"/>
      <c r="I48" s="9"/>
      <c r="J48" s="191" t="s">
        <v>3088</v>
      </c>
      <c r="K48" s="9"/>
      <c r="L48" s="180"/>
      <c r="M48" s="180" t="str">
        <f>Tournament!N49</f>
        <v>Mexico</v>
      </c>
      <c r="N48" s="183"/>
      <c r="P48" s="192" t="str">
        <f t="shared" si="0"/>
        <v>Croatia</v>
      </c>
      <c r="Q48" s="193"/>
      <c r="R48" s="194" t="str">
        <f>IF(Tournament!J49&lt;&gt;"",Tournament!J49,"")</f>
        <v/>
      </c>
      <c r="S48" s="194" t="s">
        <v>3088</v>
      </c>
      <c r="T48" s="194" t="str">
        <f>IF(Tournament!L49&lt;&gt;"",Tournament!L49,"")</f>
        <v/>
      </c>
      <c r="U48" s="193"/>
      <c r="V48" s="193" t="str">
        <f t="shared" si="1"/>
        <v>Mexico</v>
      </c>
      <c r="W48" s="194"/>
      <c r="X48" s="194"/>
      <c r="Y48" s="194"/>
      <c r="Z48" s="194"/>
      <c r="AA48" s="194"/>
      <c r="AB48" s="194"/>
      <c r="AC48" s="194"/>
      <c r="AD48" s="195" t="str">
        <f>IF(AND(I48&lt;&gt;"",K48&lt;&gt;"",R48&lt;&gt;"",T48&lt;&gt;""),IF(AND(I48=R48,K48=T48),Setup!$D$10,IF((I48-K48)=(R48-T48),Setup!$D$11,IF(AND((I48&gt;K48),(R48&gt;T48)),Setup!$D$12,IF(AND((K48&gt;I48),(T48&gt;R48)),Setup!$D$12,0)))),"")</f>
        <v/>
      </c>
      <c r="AE48" s="183"/>
      <c r="CP48" s="168"/>
      <c r="CQ48" s="168"/>
      <c r="CR48" s="187"/>
      <c r="CS48" s="168"/>
    </row>
    <row r="49" spans="2:97" s="166" customFormat="1" ht="15" customHeight="1">
      <c r="B49" s="182"/>
      <c r="C49" s="181">
        <f>Tournament!D50</f>
        <v>35</v>
      </c>
      <c r="D49" s="181" t="str">
        <f>Tournament!E50</f>
        <v>B</v>
      </c>
      <c r="E49" s="188">
        <f>Tournament!F50</f>
        <v>41813.541666666664</v>
      </c>
      <c r="F49" s="189">
        <f>Tournament!G50</f>
        <v>41813.541666666664</v>
      </c>
      <c r="G49" s="190" t="str">
        <f>Tournament!H50</f>
        <v>Australia</v>
      </c>
      <c r="H49" s="180"/>
      <c r="I49" s="9"/>
      <c r="J49" s="191" t="s">
        <v>3088</v>
      </c>
      <c r="K49" s="9"/>
      <c r="L49" s="180"/>
      <c r="M49" s="180" t="str">
        <f>Tournament!N50</f>
        <v>Spain</v>
      </c>
      <c r="N49" s="183"/>
      <c r="P49" s="192" t="str">
        <f t="shared" si="0"/>
        <v>Australia</v>
      </c>
      <c r="Q49" s="193"/>
      <c r="R49" s="194" t="str">
        <f>IF(Tournament!J50&lt;&gt;"",Tournament!J50,"")</f>
        <v/>
      </c>
      <c r="S49" s="194" t="s">
        <v>3088</v>
      </c>
      <c r="T49" s="194" t="str">
        <f>IF(Tournament!L50&lt;&gt;"",Tournament!L50,"")</f>
        <v/>
      </c>
      <c r="U49" s="193"/>
      <c r="V49" s="193" t="str">
        <f t="shared" si="1"/>
        <v>Spain</v>
      </c>
      <c r="W49" s="194"/>
      <c r="X49" s="194"/>
      <c r="Y49" s="194"/>
      <c r="Z49" s="194"/>
      <c r="AA49" s="194"/>
      <c r="AB49" s="194"/>
      <c r="AC49" s="194"/>
      <c r="AD49" s="195" t="str">
        <f>IF(AND(I49&lt;&gt;"",K49&lt;&gt;"",R49&lt;&gt;"",T49&lt;&gt;""),IF(AND(I49=R49,K49=T49),Setup!$D$10,IF((I49-K49)=(R49-T49),Setup!$D$11,IF(AND((I49&gt;K49),(R49&gt;T49)),Setup!$D$12,IF(AND((K49&gt;I49),(T49&gt;R49)),Setup!$D$12,0)))),"")</f>
        <v/>
      </c>
      <c r="AE49" s="183"/>
      <c r="CP49" s="168"/>
      <c r="CQ49" s="168"/>
      <c r="CR49" s="187"/>
      <c r="CS49" s="168"/>
    </row>
    <row r="50" spans="2:97" s="166" customFormat="1" ht="15" customHeight="1">
      <c r="B50" s="182"/>
      <c r="C50" s="181">
        <f>Tournament!D51</f>
        <v>36</v>
      </c>
      <c r="D50" s="181" t="str">
        <f>Tournament!E51</f>
        <v>B</v>
      </c>
      <c r="E50" s="188">
        <f>Tournament!F51</f>
        <v>41813.541666666664</v>
      </c>
      <c r="F50" s="189">
        <f>Tournament!G51</f>
        <v>41813.541666666664</v>
      </c>
      <c r="G50" s="190" t="str">
        <f>Tournament!H51</f>
        <v>Netherlands</v>
      </c>
      <c r="H50" s="180"/>
      <c r="I50" s="9"/>
      <c r="J50" s="191" t="s">
        <v>3088</v>
      </c>
      <c r="K50" s="9"/>
      <c r="L50" s="180"/>
      <c r="M50" s="180" t="str">
        <f>Tournament!N51</f>
        <v>Chile</v>
      </c>
      <c r="N50" s="183"/>
      <c r="P50" s="192" t="str">
        <f t="shared" si="0"/>
        <v>Netherlands</v>
      </c>
      <c r="Q50" s="193"/>
      <c r="R50" s="194" t="str">
        <f>IF(Tournament!J51&lt;&gt;"",Tournament!J51,"")</f>
        <v/>
      </c>
      <c r="S50" s="194" t="s">
        <v>3088</v>
      </c>
      <c r="T50" s="194" t="str">
        <f>IF(Tournament!L51&lt;&gt;"",Tournament!L51,"")</f>
        <v/>
      </c>
      <c r="U50" s="193"/>
      <c r="V50" s="193" t="str">
        <f t="shared" si="1"/>
        <v>Chile</v>
      </c>
      <c r="W50" s="194"/>
      <c r="X50" s="194"/>
      <c r="Y50" s="194"/>
      <c r="Z50" s="194"/>
      <c r="AA50" s="194"/>
      <c r="AB50" s="194"/>
      <c r="AC50" s="194"/>
      <c r="AD50" s="195" t="str">
        <f>IF(AND(I50&lt;&gt;"",K50&lt;&gt;"",R50&lt;&gt;"",T50&lt;&gt;""),IF(AND(I50=R50,K50=T50),Setup!$D$10,IF((I50-K50)=(R50-T50),Setup!$D$11,IF(AND((I50&gt;K50),(R50&gt;T50)),Setup!$D$12,IF(AND((K50&gt;I50),(T50&gt;R50)),Setup!$D$12,0)))),"")</f>
        <v/>
      </c>
      <c r="AE50" s="183"/>
      <c r="CP50" s="168"/>
      <c r="CQ50" s="168"/>
      <c r="CR50" s="187"/>
      <c r="CS50" s="168"/>
    </row>
    <row r="51" spans="2:97" s="166" customFormat="1" ht="15" customHeight="1">
      <c r="B51" s="182"/>
      <c r="C51" s="181">
        <f>Tournament!D52</f>
        <v>37</v>
      </c>
      <c r="D51" s="181" t="str">
        <f>Tournament!E52</f>
        <v>C</v>
      </c>
      <c r="E51" s="188">
        <f>Tournament!F52</f>
        <v>41814.708333333336</v>
      </c>
      <c r="F51" s="189">
        <f>Tournament!G52</f>
        <v>41814.708333333336</v>
      </c>
      <c r="G51" s="190" t="str">
        <f>Tournament!H52</f>
        <v>Japan</v>
      </c>
      <c r="H51" s="180"/>
      <c r="I51" s="9"/>
      <c r="J51" s="191" t="s">
        <v>3088</v>
      </c>
      <c r="K51" s="9"/>
      <c r="L51" s="180"/>
      <c r="M51" s="180" t="str">
        <f>Tournament!N52</f>
        <v>Colombia</v>
      </c>
      <c r="N51" s="183"/>
      <c r="P51" s="192" t="str">
        <f t="shared" si="0"/>
        <v>Japan</v>
      </c>
      <c r="Q51" s="193"/>
      <c r="R51" s="194" t="str">
        <f>IF(Tournament!J52&lt;&gt;"",Tournament!J52,"")</f>
        <v/>
      </c>
      <c r="S51" s="194" t="s">
        <v>3088</v>
      </c>
      <c r="T51" s="194" t="str">
        <f>IF(Tournament!L52&lt;&gt;"",Tournament!L52,"")</f>
        <v/>
      </c>
      <c r="U51" s="193"/>
      <c r="V51" s="193" t="str">
        <f t="shared" si="1"/>
        <v>Colombia</v>
      </c>
      <c r="W51" s="194"/>
      <c r="X51" s="194"/>
      <c r="Y51" s="194"/>
      <c r="Z51" s="194"/>
      <c r="AA51" s="194"/>
      <c r="AB51" s="194"/>
      <c r="AC51" s="194"/>
      <c r="AD51" s="195" t="str">
        <f>IF(AND(I51&lt;&gt;"",K51&lt;&gt;"",R51&lt;&gt;"",T51&lt;&gt;""),IF(AND(I51=R51,K51=T51),Setup!$D$10,IF((I51-K51)=(R51-T51),Setup!$D$11,IF(AND((I51&gt;K51),(R51&gt;T51)),Setup!$D$12,IF(AND((K51&gt;I51),(T51&gt;R51)),Setup!$D$12,0)))),"")</f>
        <v/>
      </c>
      <c r="AE51" s="183"/>
      <c r="CP51" s="168"/>
      <c r="CQ51" s="168"/>
      <c r="CR51" s="187"/>
      <c r="CS51" s="168"/>
    </row>
    <row r="52" spans="2:97" s="166" customFormat="1" ht="15" customHeight="1">
      <c r="B52" s="182"/>
      <c r="C52" s="181">
        <f>Tournament!D53</f>
        <v>38</v>
      </c>
      <c r="D52" s="181" t="str">
        <f>Tournament!E53</f>
        <v>C</v>
      </c>
      <c r="E52" s="188">
        <f>Tournament!F53</f>
        <v>41814.708333333336</v>
      </c>
      <c r="F52" s="189">
        <f>Tournament!G53</f>
        <v>41814.708333333336</v>
      </c>
      <c r="G52" s="190" t="str">
        <f>Tournament!H53</f>
        <v>Greece</v>
      </c>
      <c r="H52" s="180"/>
      <c r="I52" s="9"/>
      <c r="J52" s="191" t="s">
        <v>3088</v>
      </c>
      <c r="K52" s="9"/>
      <c r="L52" s="180"/>
      <c r="M52" s="180" t="str">
        <f>Tournament!N53</f>
        <v>Ivory Coast</v>
      </c>
      <c r="N52" s="183"/>
      <c r="P52" s="192" t="str">
        <f t="shared" si="0"/>
        <v>Greece</v>
      </c>
      <c r="Q52" s="193"/>
      <c r="R52" s="194" t="str">
        <f>IF(Tournament!J53&lt;&gt;"",Tournament!J53,"")</f>
        <v/>
      </c>
      <c r="S52" s="194" t="s">
        <v>3088</v>
      </c>
      <c r="T52" s="194" t="str">
        <f>IF(Tournament!L53&lt;&gt;"",Tournament!L53,"")</f>
        <v/>
      </c>
      <c r="U52" s="193"/>
      <c r="V52" s="193" t="str">
        <f t="shared" si="1"/>
        <v>Ivory Coast</v>
      </c>
      <c r="W52" s="194"/>
      <c r="X52" s="194"/>
      <c r="Y52" s="194"/>
      <c r="Z52" s="194"/>
      <c r="AA52" s="194"/>
      <c r="AB52" s="194"/>
      <c r="AC52" s="194"/>
      <c r="AD52" s="195" t="str">
        <f>IF(AND(I52&lt;&gt;"",K52&lt;&gt;"",R52&lt;&gt;"",T52&lt;&gt;""),IF(AND(I52=R52,K52=T52),Setup!$D$10,IF((I52-K52)=(R52-T52),Setup!$D$11,IF(AND((I52&gt;K52),(R52&gt;T52)),Setup!$D$12,IF(AND((K52&gt;I52),(T52&gt;R52)),Setup!$D$12,0)))),"")</f>
        <v/>
      </c>
      <c r="AE52" s="183"/>
      <c r="CP52" s="168"/>
      <c r="CQ52" s="168"/>
      <c r="CR52" s="187"/>
      <c r="CS52" s="168"/>
    </row>
    <row r="53" spans="2:97" s="166" customFormat="1" ht="15" customHeight="1">
      <c r="B53" s="182"/>
      <c r="C53" s="181">
        <f>Tournament!D54</f>
        <v>39</v>
      </c>
      <c r="D53" s="181" t="str">
        <f>Tournament!E54</f>
        <v>D</v>
      </c>
      <c r="E53" s="188">
        <f>Tournament!F54</f>
        <v>41814.541666666664</v>
      </c>
      <c r="F53" s="189">
        <f>Tournament!G54</f>
        <v>41814.541666666664</v>
      </c>
      <c r="G53" s="190" t="str">
        <f>Tournament!H54</f>
        <v>Italy</v>
      </c>
      <c r="H53" s="180"/>
      <c r="I53" s="9"/>
      <c r="J53" s="191" t="s">
        <v>3088</v>
      </c>
      <c r="K53" s="9"/>
      <c r="L53" s="180"/>
      <c r="M53" s="180" t="str">
        <f>Tournament!N54</f>
        <v>Uruguay</v>
      </c>
      <c r="N53" s="183"/>
      <c r="P53" s="192" t="str">
        <f t="shared" si="0"/>
        <v>Italy</v>
      </c>
      <c r="Q53" s="193"/>
      <c r="R53" s="194" t="str">
        <f>IF(Tournament!J54&lt;&gt;"",Tournament!J54,"")</f>
        <v/>
      </c>
      <c r="S53" s="194" t="s">
        <v>3088</v>
      </c>
      <c r="T53" s="194" t="str">
        <f>IF(Tournament!L54&lt;&gt;"",Tournament!L54,"")</f>
        <v/>
      </c>
      <c r="U53" s="193"/>
      <c r="V53" s="193" t="str">
        <f t="shared" si="1"/>
        <v>Uruguay</v>
      </c>
      <c r="W53" s="194"/>
      <c r="X53" s="194"/>
      <c r="Y53" s="194"/>
      <c r="Z53" s="194"/>
      <c r="AA53" s="194"/>
      <c r="AB53" s="194"/>
      <c r="AC53" s="194"/>
      <c r="AD53" s="195" t="str">
        <f>IF(AND(I53&lt;&gt;"",K53&lt;&gt;"",R53&lt;&gt;"",T53&lt;&gt;""),IF(AND(I53=R53,K53=T53),Setup!$D$10,IF((I53-K53)=(R53-T53),Setup!$D$11,IF(AND((I53&gt;K53),(R53&gt;T53)),Setup!$D$12,IF(AND((K53&gt;I53),(T53&gt;R53)),Setup!$D$12,0)))),"")</f>
        <v/>
      </c>
      <c r="AE53" s="183"/>
      <c r="CP53" s="168"/>
      <c r="CQ53" s="168"/>
      <c r="CR53" s="187"/>
      <c r="CS53" s="168"/>
    </row>
    <row r="54" spans="2:97" s="166" customFormat="1" ht="15" customHeight="1">
      <c r="B54" s="182"/>
      <c r="C54" s="181">
        <f>Tournament!D55</f>
        <v>40</v>
      </c>
      <c r="D54" s="181" t="str">
        <f>Tournament!E55</f>
        <v>D</v>
      </c>
      <c r="E54" s="188">
        <f>Tournament!F55</f>
        <v>41814.541666666664</v>
      </c>
      <c r="F54" s="189">
        <f>Tournament!G55</f>
        <v>41814.541666666664</v>
      </c>
      <c r="G54" s="190" t="str">
        <f>Tournament!H55</f>
        <v>Costa Rica</v>
      </c>
      <c r="H54" s="180"/>
      <c r="I54" s="9"/>
      <c r="J54" s="191" t="s">
        <v>3088</v>
      </c>
      <c r="K54" s="9"/>
      <c r="L54" s="180"/>
      <c r="M54" s="180" t="str">
        <f>Tournament!N55</f>
        <v>England</v>
      </c>
      <c r="N54" s="183"/>
      <c r="P54" s="192" t="str">
        <f t="shared" si="0"/>
        <v>Costa Rica</v>
      </c>
      <c r="Q54" s="193"/>
      <c r="R54" s="194" t="str">
        <f>IF(Tournament!J55&lt;&gt;"",Tournament!J55,"")</f>
        <v/>
      </c>
      <c r="S54" s="194" t="s">
        <v>3088</v>
      </c>
      <c r="T54" s="194" t="str">
        <f>IF(Tournament!L55&lt;&gt;"",Tournament!L55,"")</f>
        <v/>
      </c>
      <c r="U54" s="193"/>
      <c r="V54" s="193" t="str">
        <f t="shared" si="1"/>
        <v>England</v>
      </c>
      <c r="W54" s="194"/>
      <c r="X54" s="194"/>
      <c r="Y54" s="194"/>
      <c r="Z54" s="194"/>
      <c r="AA54" s="194"/>
      <c r="AB54" s="194"/>
      <c r="AC54" s="194"/>
      <c r="AD54" s="195" t="str">
        <f>IF(AND(I54&lt;&gt;"",K54&lt;&gt;"",R54&lt;&gt;"",T54&lt;&gt;""),IF(AND(I54=R54,K54=T54),Setup!$D$10,IF((I54-K54)=(R54-T54),Setup!$D$11,IF(AND((I54&gt;K54),(R54&gt;T54)),Setup!$D$12,IF(AND((K54&gt;I54),(T54&gt;R54)),Setup!$D$12,0)))),"")</f>
        <v/>
      </c>
      <c r="AE54" s="183"/>
      <c r="CP54" s="168"/>
      <c r="CQ54" s="168"/>
      <c r="CR54" s="187"/>
      <c r="CS54" s="168"/>
    </row>
    <row r="55" spans="2:97" s="166" customFormat="1" ht="15" customHeight="1">
      <c r="B55" s="182"/>
      <c r="C55" s="181">
        <f>Tournament!D56</f>
        <v>41</v>
      </c>
      <c r="D55" s="181" t="str">
        <f>Tournament!E56</f>
        <v>E</v>
      </c>
      <c r="E55" s="188">
        <f>Tournament!F56</f>
        <v>41815.708333333336</v>
      </c>
      <c r="F55" s="189">
        <f>Tournament!G56</f>
        <v>41815.708333333336</v>
      </c>
      <c r="G55" s="190" t="str">
        <f>Tournament!H56</f>
        <v>Honduras</v>
      </c>
      <c r="H55" s="180"/>
      <c r="I55" s="9"/>
      <c r="J55" s="191" t="s">
        <v>3088</v>
      </c>
      <c r="K55" s="9"/>
      <c r="L55" s="180"/>
      <c r="M55" s="180" t="str">
        <f>Tournament!N56</f>
        <v>Switzerland</v>
      </c>
      <c r="N55" s="183"/>
      <c r="P55" s="192" t="str">
        <f t="shared" si="0"/>
        <v>Honduras</v>
      </c>
      <c r="Q55" s="193"/>
      <c r="R55" s="194" t="str">
        <f>IF(Tournament!J56&lt;&gt;"",Tournament!J56,"")</f>
        <v/>
      </c>
      <c r="S55" s="194" t="s">
        <v>3088</v>
      </c>
      <c r="T55" s="194" t="str">
        <f>IF(Tournament!L56&lt;&gt;"",Tournament!L56,"")</f>
        <v/>
      </c>
      <c r="U55" s="193"/>
      <c r="V55" s="193" t="str">
        <f t="shared" si="1"/>
        <v>Switzerland</v>
      </c>
      <c r="W55" s="194"/>
      <c r="X55" s="194"/>
      <c r="Y55" s="194"/>
      <c r="Z55" s="194"/>
      <c r="AA55" s="194"/>
      <c r="AB55" s="194"/>
      <c r="AC55" s="194"/>
      <c r="AD55" s="195" t="str">
        <f>IF(AND(I55&lt;&gt;"",K55&lt;&gt;"",R55&lt;&gt;"",T55&lt;&gt;""),IF(AND(I55=R55,K55=T55),Setup!$D$10,IF((I55-K55)=(R55-T55),Setup!$D$11,IF(AND((I55&gt;K55),(R55&gt;T55)),Setup!$D$12,IF(AND((K55&gt;I55),(T55&gt;R55)),Setup!$D$12,0)))),"")</f>
        <v/>
      </c>
      <c r="AE55" s="183"/>
      <c r="CP55" s="168"/>
      <c r="CQ55" s="168"/>
      <c r="CR55" s="187"/>
      <c r="CS55" s="168"/>
    </row>
    <row r="56" spans="2:97" s="166" customFormat="1" ht="15" customHeight="1">
      <c r="B56" s="182"/>
      <c r="C56" s="181">
        <f>Tournament!D57</f>
        <v>42</v>
      </c>
      <c r="D56" s="181" t="str">
        <f>Tournament!E57</f>
        <v>E</v>
      </c>
      <c r="E56" s="188">
        <f>Tournament!F57</f>
        <v>41815.708333333336</v>
      </c>
      <c r="F56" s="189">
        <f>Tournament!G57</f>
        <v>41815.708333333336</v>
      </c>
      <c r="G56" s="190" t="str">
        <f>Tournament!H57</f>
        <v>Ecuador</v>
      </c>
      <c r="H56" s="180"/>
      <c r="I56" s="9"/>
      <c r="J56" s="191" t="s">
        <v>3088</v>
      </c>
      <c r="K56" s="9"/>
      <c r="L56" s="180"/>
      <c r="M56" s="180" t="str">
        <f>Tournament!N57</f>
        <v>France</v>
      </c>
      <c r="N56" s="183"/>
      <c r="P56" s="192" t="str">
        <f t="shared" si="0"/>
        <v>Ecuador</v>
      </c>
      <c r="Q56" s="193"/>
      <c r="R56" s="194" t="str">
        <f>IF(Tournament!J57&lt;&gt;"",Tournament!J57,"")</f>
        <v/>
      </c>
      <c r="S56" s="194" t="s">
        <v>3088</v>
      </c>
      <c r="T56" s="194" t="str">
        <f>IF(Tournament!L57&lt;&gt;"",Tournament!L57,"")</f>
        <v/>
      </c>
      <c r="U56" s="193"/>
      <c r="V56" s="193" t="str">
        <f t="shared" si="1"/>
        <v>France</v>
      </c>
      <c r="W56" s="194"/>
      <c r="X56" s="194"/>
      <c r="Y56" s="194"/>
      <c r="Z56" s="194"/>
      <c r="AA56" s="194"/>
      <c r="AB56" s="194"/>
      <c r="AC56" s="194"/>
      <c r="AD56" s="195" t="str">
        <f>IF(AND(I56&lt;&gt;"",K56&lt;&gt;"",R56&lt;&gt;"",T56&lt;&gt;""),IF(AND(I56=R56,K56=T56),Setup!$D$10,IF((I56-K56)=(R56-T56),Setup!$D$11,IF(AND((I56&gt;K56),(R56&gt;T56)),Setup!$D$12,IF(AND((K56&gt;I56),(T56&gt;R56)),Setup!$D$12,0)))),"")</f>
        <v/>
      </c>
      <c r="AE56" s="183"/>
      <c r="CP56" s="168"/>
      <c r="CQ56" s="168"/>
      <c r="CR56" s="187"/>
      <c r="CS56" s="168"/>
    </row>
    <row r="57" spans="2:97" s="166" customFormat="1" ht="15" customHeight="1">
      <c r="B57" s="182"/>
      <c r="C57" s="181">
        <f>Tournament!D58</f>
        <v>43</v>
      </c>
      <c r="D57" s="181" t="str">
        <f>Tournament!E58</f>
        <v>F</v>
      </c>
      <c r="E57" s="188">
        <f>Tournament!F58</f>
        <v>41815.541666666664</v>
      </c>
      <c r="F57" s="189">
        <f>Tournament!G58</f>
        <v>41815.541666666664</v>
      </c>
      <c r="G57" s="190" t="str">
        <f>Tournament!H58</f>
        <v>Nigeria</v>
      </c>
      <c r="H57" s="180"/>
      <c r="I57" s="9"/>
      <c r="J57" s="191" t="s">
        <v>3088</v>
      </c>
      <c r="K57" s="9"/>
      <c r="L57" s="180"/>
      <c r="M57" s="180" t="str">
        <f>Tournament!N58</f>
        <v>Argentina</v>
      </c>
      <c r="N57" s="183"/>
      <c r="P57" s="192" t="str">
        <f t="shared" si="0"/>
        <v>Nigeria</v>
      </c>
      <c r="Q57" s="193"/>
      <c r="R57" s="194" t="str">
        <f>IF(Tournament!J58&lt;&gt;"",Tournament!J58,"")</f>
        <v/>
      </c>
      <c r="S57" s="194" t="s">
        <v>3088</v>
      </c>
      <c r="T57" s="194" t="str">
        <f>IF(Tournament!L58&lt;&gt;"",Tournament!L58,"")</f>
        <v/>
      </c>
      <c r="U57" s="193"/>
      <c r="V57" s="193" t="str">
        <f t="shared" si="1"/>
        <v>Argentina</v>
      </c>
      <c r="W57" s="194"/>
      <c r="X57" s="194"/>
      <c r="Y57" s="194"/>
      <c r="Z57" s="194"/>
      <c r="AA57" s="194"/>
      <c r="AB57" s="194"/>
      <c r="AC57" s="194"/>
      <c r="AD57" s="195" t="str">
        <f>IF(AND(I57&lt;&gt;"",K57&lt;&gt;"",R57&lt;&gt;"",T57&lt;&gt;""),IF(AND(I57=R57,K57=T57),Setup!$D$10,IF((I57-K57)=(R57-T57),Setup!$D$11,IF(AND((I57&gt;K57),(R57&gt;T57)),Setup!$D$12,IF(AND((K57&gt;I57),(T57&gt;R57)),Setup!$D$12,0)))),"")</f>
        <v/>
      </c>
      <c r="AE57" s="183"/>
      <c r="CP57" s="168"/>
      <c r="CQ57" s="168"/>
      <c r="CR57" s="187"/>
      <c r="CS57" s="168"/>
    </row>
    <row r="58" spans="2:97" s="166" customFormat="1" ht="15" customHeight="1">
      <c r="B58" s="182"/>
      <c r="C58" s="181">
        <f>Tournament!D59</f>
        <v>44</v>
      </c>
      <c r="D58" s="181" t="str">
        <f>Tournament!E59</f>
        <v>F</v>
      </c>
      <c r="E58" s="188">
        <f>Tournament!F59</f>
        <v>41815.541666666664</v>
      </c>
      <c r="F58" s="189">
        <f>Tournament!G59</f>
        <v>41815.541666666664</v>
      </c>
      <c r="G58" s="190" t="str">
        <f>Tournament!H59</f>
        <v>Bosnia-Herzegovina</v>
      </c>
      <c r="H58" s="180"/>
      <c r="I58" s="9"/>
      <c r="J58" s="191" t="s">
        <v>3088</v>
      </c>
      <c r="K58" s="9"/>
      <c r="L58" s="180"/>
      <c r="M58" s="180" t="str">
        <f>Tournament!N59</f>
        <v>Iran</v>
      </c>
      <c r="N58" s="183"/>
      <c r="P58" s="192" t="str">
        <f t="shared" si="0"/>
        <v>Bosnia-Herzegovina</v>
      </c>
      <c r="Q58" s="193"/>
      <c r="R58" s="194" t="str">
        <f>IF(Tournament!J59&lt;&gt;"",Tournament!J59,"")</f>
        <v/>
      </c>
      <c r="S58" s="194" t="s">
        <v>3088</v>
      </c>
      <c r="T58" s="194" t="str">
        <f>IF(Tournament!L59&lt;&gt;"",Tournament!L59,"")</f>
        <v/>
      </c>
      <c r="U58" s="193"/>
      <c r="V58" s="193" t="str">
        <f t="shared" si="1"/>
        <v>Iran</v>
      </c>
      <c r="W58" s="194"/>
      <c r="X58" s="194"/>
      <c r="Y58" s="194"/>
      <c r="Z58" s="194"/>
      <c r="AA58" s="194"/>
      <c r="AB58" s="194"/>
      <c r="AC58" s="194"/>
      <c r="AD58" s="195" t="str">
        <f>IF(AND(I58&lt;&gt;"",K58&lt;&gt;"",R58&lt;&gt;"",T58&lt;&gt;""),IF(AND(I58=R58,K58=T58),Setup!$D$10,IF((I58-K58)=(R58-T58),Setup!$D$11,IF(AND((I58&gt;K58),(R58&gt;T58)),Setup!$D$12,IF(AND((K58&gt;I58),(T58&gt;R58)),Setup!$D$12,0)))),"")</f>
        <v/>
      </c>
      <c r="AE58" s="183"/>
      <c r="CP58" s="168"/>
      <c r="CQ58" s="168"/>
      <c r="CR58" s="187"/>
      <c r="CS58" s="168"/>
    </row>
    <row r="59" spans="2:97" s="166" customFormat="1" ht="15" customHeight="1">
      <c r="B59" s="182"/>
      <c r="C59" s="181">
        <f>Tournament!D60</f>
        <v>45</v>
      </c>
      <c r="D59" s="181" t="str">
        <f>Tournament!E60</f>
        <v>G</v>
      </c>
      <c r="E59" s="188">
        <f>Tournament!F60</f>
        <v>41816.541666666664</v>
      </c>
      <c r="F59" s="189">
        <f>Tournament!G60</f>
        <v>41816.541666666664</v>
      </c>
      <c r="G59" s="190" t="str">
        <f>Tournament!H60</f>
        <v>USA</v>
      </c>
      <c r="H59" s="180"/>
      <c r="I59" s="9"/>
      <c r="J59" s="191" t="s">
        <v>3088</v>
      </c>
      <c r="K59" s="9"/>
      <c r="L59" s="180"/>
      <c r="M59" s="180" t="str">
        <f>Tournament!N60</f>
        <v>Germany</v>
      </c>
      <c r="N59" s="183"/>
      <c r="P59" s="192" t="str">
        <f t="shared" si="0"/>
        <v>USA</v>
      </c>
      <c r="Q59" s="193"/>
      <c r="R59" s="194" t="str">
        <f>IF(Tournament!J60&lt;&gt;"",Tournament!J60,"")</f>
        <v/>
      </c>
      <c r="S59" s="194" t="s">
        <v>3088</v>
      </c>
      <c r="T59" s="194" t="str">
        <f>IF(Tournament!L60&lt;&gt;"",Tournament!L60,"")</f>
        <v/>
      </c>
      <c r="U59" s="193"/>
      <c r="V59" s="193" t="str">
        <f t="shared" si="1"/>
        <v>Germany</v>
      </c>
      <c r="W59" s="194"/>
      <c r="X59" s="194"/>
      <c r="Y59" s="194"/>
      <c r="Z59" s="194"/>
      <c r="AA59" s="194"/>
      <c r="AB59" s="194"/>
      <c r="AC59" s="194"/>
      <c r="AD59" s="195" t="str">
        <f>IF(AND(I59&lt;&gt;"",K59&lt;&gt;"",R59&lt;&gt;"",T59&lt;&gt;""),IF(AND(I59=R59,K59=T59),Setup!$D$10,IF((I59-K59)=(R59-T59),Setup!$D$11,IF(AND((I59&gt;K59),(R59&gt;T59)),Setup!$D$12,IF(AND((K59&gt;I59),(T59&gt;R59)),Setup!$D$12,0)))),"")</f>
        <v/>
      </c>
      <c r="AE59" s="183"/>
      <c r="CP59" s="168"/>
      <c r="CQ59" s="168"/>
      <c r="CR59" s="187"/>
      <c r="CS59" s="168"/>
    </row>
    <row r="60" spans="2:97" s="166" customFormat="1" ht="15" customHeight="1">
      <c r="B60" s="182"/>
      <c r="C60" s="181">
        <f>Tournament!D61</f>
        <v>46</v>
      </c>
      <c r="D60" s="181" t="str">
        <f>Tournament!E61</f>
        <v>G</v>
      </c>
      <c r="E60" s="188">
        <f>Tournament!F61</f>
        <v>41816.541666666664</v>
      </c>
      <c r="F60" s="189">
        <f>Tournament!G61</f>
        <v>41816.541666666664</v>
      </c>
      <c r="G60" s="190" t="str">
        <f>Tournament!H61</f>
        <v>Portugal</v>
      </c>
      <c r="H60" s="180"/>
      <c r="I60" s="9"/>
      <c r="J60" s="191" t="s">
        <v>3088</v>
      </c>
      <c r="K60" s="9"/>
      <c r="L60" s="180"/>
      <c r="M60" s="180" t="str">
        <f>Tournament!N61</f>
        <v>Ghana</v>
      </c>
      <c r="N60" s="183"/>
      <c r="P60" s="192" t="str">
        <f t="shared" si="0"/>
        <v>Portugal</v>
      </c>
      <c r="Q60" s="193"/>
      <c r="R60" s="194" t="str">
        <f>IF(Tournament!J61&lt;&gt;"",Tournament!J61,"")</f>
        <v/>
      </c>
      <c r="S60" s="194" t="s">
        <v>3088</v>
      </c>
      <c r="T60" s="194" t="str">
        <f>IF(Tournament!L61&lt;&gt;"",Tournament!L61,"")</f>
        <v/>
      </c>
      <c r="U60" s="193"/>
      <c r="V60" s="193" t="str">
        <f t="shared" si="1"/>
        <v>Ghana</v>
      </c>
      <c r="W60" s="194"/>
      <c r="X60" s="194"/>
      <c r="Y60" s="194"/>
      <c r="Z60" s="194"/>
      <c r="AA60" s="194"/>
      <c r="AB60" s="194"/>
      <c r="AC60" s="194"/>
      <c r="AD60" s="195" t="str">
        <f>IF(AND(I60&lt;&gt;"",K60&lt;&gt;"",R60&lt;&gt;"",T60&lt;&gt;""),IF(AND(I60=R60,K60=T60),Setup!$D$10,IF((I60-K60)=(R60-T60),Setup!$D$11,IF(AND((I60&gt;K60),(R60&gt;T60)),Setup!$D$12,IF(AND((K60&gt;I60),(T60&gt;R60)),Setup!$D$12,0)))),"")</f>
        <v/>
      </c>
      <c r="AE60" s="183"/>
      <c r="CN60" s="168"/>
      <c r="CO60" s="168"/>
      <c r="CP60" s="187"/>
      <c r="CQ60" s="168"/>
    </row>
    <row r="61" spans="2:97" s="166" customFormat="1" ht="15" customHeight="1">
      <c r="B61" s="182"/>
      <c r="C61" s="181">
        <f>Tournament!D62</f>
        <v>47</v>
      </c>
      <c r="D61" s="181" t="str">
        <f>Tournament!E62</f>
        <v>H</v>
      </c>
      <c r="E61" s="188">
        <f>Tournament!F62</f>
        <v>41816.708333333336</v>
      </c>
      <c r="F61" s="189">
        <f>Tournament!G62</f>
        <v>41816.708333333336</v>
      </c>
      <c r="G61" s="190" t="str">
        <f>Tournament!H62</f>
        <v>South Korea</v>
      </c>
      <c r="H61" s="180"/>
      <c r="I61" s="9"/>
      <c r="J61" s="191" t="s">
        <v>3088</v>
      </c>
      <c r="K61" s="9"/>
      <c r="L61" s="180"/>
      <c r="M61" s="180" t="str">
        <f>Tournament!N62</f>
        <v>Belgium</v>
      </c>
      <c r="N61" s="183"/>
      <c r="P61" s="192" t="str">
        <f t="shared" si="0"/>
        <v>South Korea</v>
      </c>
      <c r="Q61" s="193"/>
      <c r="R61" s="194" t="str">
        <f>IF(Tournament!J62&lt;&gt;"",Tournament!J62,"")</f>
        <v/>
      </c>
      <c r="S61" s="194" t="s">
        <v>3088</v>
      </c>
      <c r="T61" s="194" t="str">
        <f>IF(Tournament!L62&lt;&gt;"",Tournament!L62,"")</f>
        <v/>
      </c>
      <c r="U61" s="193"/>
      <c r="V61" s="193" t="str">
        <f t="shared" si="1"/>
        <v>Belgium</v>
      </c>
      <c r="W61" s="194"/>
      <c r="X61" s="194"/>
      <c r="Y61" s="194"/>
      <c r="Z61" s="194"/>
      <c r="AA61" s="194"/>
      <c r="AB61" s="194"/>
      <c r="AC61" s="194"/>
      <c r="AD61" s="195" t="str">
        <f>IF(AND(I61&lt;&gt;"",K61&lt;&gt;"",R61&lt;&gt;"",T61&lt;&gt;""),IF(AND(I61=R61,K61=T61),Setup!$D$10,IF((I61-K61)=(R61-T61),Setup!$D$11,IF(AND((I61&gt;K61),(R61&gt;T61)),Setup!$D$12,IF(AND((K61&gt;I61),(T61&gt;R61)),Setup!$D$12,0)))),"")</f>
        <v/>
      </c>
      <c r="AE61" s="183"/>
      <c r="CM61" s="168"/>
      <c r="CN61" s="168"/>
      <c r="CO61" s="187"/>
      <c r="CP61" s="168"/>
    </row>
    <row r="62" spans="2:97" s="166" customFormat="1" ht="15" customHeight="1">
      <c r="B62" s="182"/>
      <c r="C62" s="181">
        <f>Tournament!D63</f>
        <v>48</v>
      </c>
      <c r="D62" s="181" t="str">
        <f>Tournament!E63</f>
        <v>H</v>
      </c>
      <c r="E62" s="188">
        <f>Tournament!F63</f>
        <v>41816.708333333336</v>
      </c>
      <c r="F62" s="189">
        <f>Tournament!G63</f>
        <v>41816.708333333336</v>
      </c>
      <c r="G62" s="190" t="str">
        <f>Tournament!H63</f>
        <v>Algeria</v>
      </c>
      <c r="H62" s="180"/>
      <c r="I62" s="9"/>
      <c r="J62" s="191" t="s">
        <v>3088</v>
      </c>
      <c r="K62" s="9"/>
      <c r="L62" s="180"/>
      <c r="M62" s="180" t="str">
        <f>Tournament!N63</f>
        <v>Russia</v>
      </c>
      <c r="N62" s="183"/>
      <c r="P62" s="192" t="str">
        <f t="shared" si="0"/>
        <v>Algeria</v>
      </c>
      <c r="Q62" s="193"/>
      <c r="R62" s="194" t="str">
        <f>IF(Tournament!J63&lt;&gt;"",Tournament!J63,"")</f>
        <v/>
      </c>
      <c r="S62" s="194" t="s">
        <v>3088</v>
      </c>
      <c r="T62" s="194" t="str">
        <f>IF(Tournament!L63&lt;&gt;"",Tournament!L63,"")</f>
        <v/>
      </c>
      <c r="U62" s="193"/>
      <c r="V62" s="193" t="str">
        <f t="shared" si="1"/>
        <v>Russia</v>
      </c>
      <c r="AD62" s="195" t="str">
        <f>IF(AND(I62&lt;&gt;"",K62&lt;&gt;"",R62&lt;&gt;"",T62&lt;&gt;""),IF(AND(I62=R62,K62=T62),Setup!$D$10,IF((I62-K62)=(R62-T62),Setup!$D$11,IF(AND((I62&gt;K62),(R62&gt;T62)),Setup!$D$12,IF(AND((K62&gt;I62),(T62&gt;R62)),Setup!$D$12,0)))),"")</f>
        <v/>
      </c>
      <c r="AE62" s="183"/>
      <c r="CM62" s="168"/>
      <c r="CN62" s="168"/>
      <c r="CO62" s="187"/>
      <c r="CP62" s="168"/>
    </row>
    <row r="63" spans="2:97" s="166" customFormat="1" ht="15" customHeight="1">
      <c r="B63" s="182"/>
      <c r="C63" s="181"/>
      <c r="D63" s="181"/>
      <c r="E63" s="188"/>
      <c r="F63" s="189"/>
      <c r="G63" s="190"/>
      <c r="H63" s="180"/>
      <c r="I63" s="191"/>
      <c r="J63" s="191"/>
      <c r="K63" s="191"/>
      <c r="L63" s="180"/>
      <c r="M63" s="180"/>
      <c r="N63" s="183"/>
      <c r="P63" s="192"/>
      <c r="Q63" s="193"/>
      <c r="R63" s="194"/>
      <c r="S63" s="194"/>
      <c r="T63" s="194"/>
      <c r="U63" s="193"/>
      <c r="V63" s="193"/>
      <c r="AD63" s="181"/>
      <c r="AE63" s="183"/>
      <c r="CM63" s="168"/>
      <c r="CN63" s="168"/>
      <c r="CO63" s="187"/>
      <c r="CP63" s="168"/>
    </row>
    <row r="64" spans="2:97" s="166" customFormat="1" ht="15" customHeight="1">
      <c r="B64" s="300" t="s">
        <v>3544</v>
      </c>
      <c r="C64" s="301"/>
      <c r="D64" s="301"/>
      <c r="E64" s="301"/>
      <c r="F64" s="301"/>
      <c r="G64" s="301"/>
      <c r="H64" s="301"/>
      <c r="I64" s="301"/>
      <c r="J64" s="301"/>
      <c r="K64" s="301"/>
      <c r="L64" s="301"/>
      <c r="M64" s="301"/>
      <c r="N64" s="302"/>
      <c r="P64" s="303" t="str">
        <f>B64</f>
        <v>Knock Out Stages</v>
      </c>
      <c r="Q64" s="304"/>
      <c r="R64" s="304"/>
      <c r="S64" s="304"/>
      <c r="T64" s="304"/>
      <c r="U64" s="304"/>
      <c r="V64" s="304"/>
      <c r="W64" s="304"/>
      <c r="X64" s="304"/>
      <c r="Y64" s="304"/>
      <c r="Z64" s="304"/>
      <c r="AA64" s="304"/>
      <c r="AB64" s="304"/>
      <c r="AC64" s="304"/>
      <c r="AD64" s="304"/>
      <c r="AE64" s="305"/>
      <c r="CM64" s="168"/>
      <c r="CN64" s="168"/>
      <c r="CO64" s="187"/>
      <c r="CP64" s="168"/>
    </row>
    <row r="65" spans="2:94" s="166" customFormat="1" ht="15" customHeight="1">
      <c r="B65" s="182"/>
      <c r="C65" s="181"/>
      <c r="D65" s="181"/>
      <c r="E65" s="188"/>
      <c r="F65" s="189"/>
      <c r="G65" s="190"/>
      <c r="H65" s="180"/>
      <c r="I65" s="191"/>
      <c r="J65" s="191"/>
      <c r="K65" s="191"/>
      <c r="L65" s="180"/>
      <c r="M65" s="180"/>
      <c r="N65" s="183"/>
      <c r="P65" s="192"/>
      <c r="Q65" s="193"/>
      <c r="R65" s="299" t="s">
        <v>3554</v>
      </c>
      <c r="S65" s="299"/>
      <c r="T65" s="299"/>
      <c r="U65" s="193"/>
      <c r="V65" s="193"/>
      <c r="W65" s="299" t="s">
        <v>3546</v>
      </c>
      <c r="X65" s="299"/>
      <c r="Y65" s="299"/>
      <c r="Z65" s="197"/>
      <c r="AA65" s="299" t="s">
        <v>3547</v>
      </c>
      <c r="AB65" s="299"/>
      <c r="AC65" s="299"/>
      <c r="AD65" s="181"/>
      <c r="AE65" s="183"/>
      <c r="CM65" s="168"/>
      <c r="CN65" s="168"/>
      <c r="CO65" s="187"/>
      <c r="CP65" s="168"/>
    </row>
    <row r="66" spans="2:94" s="166" customFormat="1" ht="15" customHeight="1">
      <c r="B66" s="182"/>
      <c r="C66" s="181">
        <v>49</v>
      </c>
      <c r="D66" s="181" t="s">
        <v>3548</v>
      </c>
      <c r="E66" s="188">
        <f>Tournament!F69</f>
        <v>41818.541666666664</v>
      </c>
      <c r="F66" s="189">
        <f>Tournament!G69</f>
        <v>41818.541666666664</v>
      </c>
      <c r="G66" s="190" t="str">
        <f>Tournament!H69</f>
        <v>Group A Winner</v>
      </c>
      <c r="H66" s="180"/>
      <c r="I66" s="9"/>
      <c r="J66" s="191" t="s">
        <v>3088</v>
      </c>
      <c r="K66" s="9"/>
      <c r="L66" s="180"/>
      <c r="M66" s="198" t="str">
        <f>Tournament!N69</f>
        <v>Group B Runner Up</v>
      </c>
      <c r="N66" s="183"/>
      <c r="P66" s="192" t="str">
        <f t="shared" ref="P66:P81" si="2">G66</f>
        <v>Group A Winner</v>
      </c>
      <c r="Q66" s="193"/>
      <c r="R66" s="194" t="str">
        <f>IF($Z$67=0,IF($Z$66=0,IF(Tournament!J70&lt;&gt;"",Tournament!J70,""),IF(Tournament!J70&lt;&gt;"",Tournament!J70+Tournament!J71,"")),IF(Tournament!J69&lt;&gt;"",Tournament!J69,""))</f>
        <v/>
      </c>
      <c r="S66" s="194" t="s">
        <v>3088</v>
      </c>
      <c r="T66" s="194" t="str">
        <f>IF($Z$67=0,IF($Z$66=0,IF(Tournament!L70&lt;&gt;"",Tournament!L70,""),IF(Tournament!L70&lt;&gt;"",Tournament!L70+Tournament!L71,"")),IF(Tournament!L69&lt;&gt;"",Tournament!L69,""))</f>
        <v/>
      </c>
      <c r="U66" s="193"/>
      <c r="V66" s="193" t="str">
        <f t="shared" ref="V66:V81" si="3">M66</f>
        <v>Group B Runner Up</v>
      </c>
      <c r="W66" s="191" t="str">
        <f>IF(Tournament!J71&lt;&gt;"",Tournament!J71,"")</f>
        <v/>
      </c>
      <c r="X66" s="199" t="s">
        <v>3088</v>
      </c>
      <c r="Y66" s="191" t="str">
        <f>IF(Tournament!L71&lt;&gt;"",Tournament!L71,"")</f>
        <v/>
      </c>
      <c r="Z66" s="199">
        <f>Setup!E16</f>
        <v>1</v>
      </c>
      <c r="AA66" s="191" t="str">
        <f>IF(Tournament!J72&lt;&gt;"",Tournament!J72,"")</f>
        <v/>
      </c>
      <c r="AB66" s="194" t="s">
        <v>3088</v>
      </c>
      <c r="AC66" s="191" t="str">
        <f>IF(Tournament!L72&lt;&gt;"",Tournament!L72,"")</f>
        <v/>
      </c>
      <c r="AD66" s="195" t="str">
        <f>IF(AND(I66&lt;&gt;"",K66&lt;&gt;"",R66&lt;&gt;"",T66&lt;&gt;""),IF(AND(I66=R66,K66=T66),Setup!$D$20,IF((I66-K66)=(R66-T66),Setup!$D$21,IF(AND((I66&gt;K66),(R66&gt;T66)),Setup!$D$22,IF(AND((K66&gt;I66),(T66&gt;R66)),Setup!$D$22,0)))),"")</f>
        <v/>
      </c>
      <c r="AE66" s="183"/>
      <c r="CM66" s="168"/>
      <c r="CN66" s="168"/>
      <c r="CO66" s="187"/>
      <c r="CP66" s="168"/>
    </row>
    <row r="67" spans="2:94" s="166" customFormat="1" ht="15" customHeight="1">
      <c r="B67" s="182"/>
      <c r="C67" s="181">
        <v>50</v>
      </c>
      <c r="D67" s="181" t="str">
        <f>D66</f>
        <v>R16</v>
      </c>
      <c r="E67" s="188">
        <f>Tournament!F75</f>
        <v>41818.708333333336</v>
      </c>
      <c r="F67" s="189">
        <f>Tournament!G75</f>
        <v>41818.708333333336</v>
      </c>
      <c r="G67" s="190" t="str">
        <f>Tournament!H75</f>
        <v>Group C Winner</v>
      </c>
      <c r="H67" s="180"/>
      <c r="I67" s="9"/>
      <c r="J67" s="191" t="s">
        <v>3088</v>
      </c>
      <c r="K67" s="9"/>
      <c r="L67" s="180"/>
      <c r="M67" s="198" t="str">
        <f>Tournament!N75</f>
        <v>Group D Runner Up</v>
      </c>
      <c r="N67" s="183"/>
      <c r="P67" s="192" t="str">
        <f t="shared" si="2"/>
        <v>Group C Winner</v>
      </c>
      <c r="Q67" s="193"/>
      <c r="R67" s="194" t="str">
        <f>IF($Z$67=0,IF($Z$66=0,IF(Tournament!J76&lt;&gt;"",Tournament!J76,""),IF(Tournament!J76&lt;&gt;"",Tournament!J76+Tournament!J77,"")),IF(Tournament!J75&lt;&gt;"",Tournament!J75,""))</f>
        <v/>
      </c>
      <c r="S67" s="194" t="s">
        <v>3088</v>
      </c>
      <c r="T67" s="194" t="str">
        <f>IF($Z$67=0,IF($Z$66=0,IF(Tournament!L76&lt;&gt;"",Tournament!L76,""),IF(Tournament!L76&lt;&gt;"",Tournament!L76+Tournament!L77,"")),IF(Tournament!L75&lt;&gt;"",Tournament!L75,""))</f>
        <v/>
      </c>
      <c r="U67" s="193"/>
      <c r="V67" s="193" t="str">
        <f t="shared" si="3"/>
        <v>Group D Runner Up</v>
      </c>
      <c r="W67" s="191" t="str">
        <f>IF(Tournament!J77&lt;&gt;"",Tournament!J77,"")</f>
        <v/>
      </c>
      <c r="X67" s="199" t="s">
        <v>3088</v>
      </c>
      <c r="Y67" s="191" t="str">
        <f>IF(Tournament!L77&lt;&gt;"",Tournament!L77,"")</f>
        <v/>
      </c>
      <c r="Z67" s="199">
        <f>Setup!E17</f>
        <v>0</v>
      </c>
      <c r="AA67" s="191" t="str">
        <f>IF(Tournament!J78&lt;&gt;"",Tournament!J78,"")</f>
        <v/>
      </c>
      <c r="AB67" s="194" t="s">
        <v>3088</v>
      </c>
      <c r="AC67" s="191" t="str">
        <f>IF(Tournament!L78&lt;&gt;"",Tournament!L78,"")</f>
        <v/>
      </c>
      <c r="AD67" s="195" t="str">
        <f>IF(AND(I67&lt;&gt;"",K67&lt;&gt;"",R67&lt;&gt;"",T67&lt;&gt;""),IF(AND(I67=R67,K67=T67),Setup!$D$20,IF((I67-K67)=(R67-T67),Setup!$D$21,IF(AND((I67&gt;K67),(R67&gt;T67)),Setup!$D$22,IF(AND((K67&gt;I67),(T67&gt;R67)),Setup!$D$22,0)))),"")</f>
        <v/>
      </c>
      <c r="AE67" s="183"/>
      <c r="CM67" s="168"/>
      <c r="CN67" s="168"/>
      <c r="CO67" s="187"/>
      <c r="CP67" s="168"/>
    </row>
    <row r="68" spans="2:94" s="166" customFormat="1" ht="15" customHeight="1">
      <c r="B68" s="182"/>
      <c r="C68" s="181">
        <v>52</v>
      </c>
      <c r="D68" s="181" t="str">
        <f t="shared" ref="D68:D73" si="4">D67</f>
        <v>R16</v>
      </c>
      <c r="E68" s="188">
        <f>Tournament!F81</f>
        <v>41819.708333333336</v>
      </c>
      <c r="F68" s="189">
        <f>Tournament!G81</f>
        <v>41819.708333333336</v>
      </c>
      <c r="G68" s="190" t="str">
        <f>Tournament!H81</f>
        <v>Group D Winner</v>
      </c>
      <c r="H68" s="180"/>
      <c r="I68" s="9"/>
      <c r="J68" s="191" t="s">
        <v>3088</v>
      </c>
      <c r="K68" s="9"/>
      <c r="L68" s="180"/>
      <c r="M68" s="198" t="str">
        <f>Tournament!N81</f>
        <v>Group C Runner Up</v>
      </c>
      <c r="N68" s="183"/>
      <c r="P68" s="192" t="str">
        <f t="shared" si="2"/>
        <v>Group D Winner</v>
      </c>
      <c r="Q68" s="193"/>
      <c r="R68" s="194" t="str">
        <f>IF($Z$67=0,IF($Z$66=0,IF(Tournament!J82&lt;&gt;"",Tournament!J82,""),IF(Tournament!J82&lt;&gt;"",Tournament!J82+Tournament!J83,"")),IF(Tournament!J81&lt;&gt;"",Tournament!J81,""))</f>
        <v/>
      </c>
      <c r="S68" s="194" t="s">
        <v>3088</v>
      </c>
      <c r="T68" s="194" t="str">
        <f>IF($Z$67=0,IF($Z$66=0,IF(Tournament!L82&lt;&gt;"",Tournament!L82,""),IF(Tournament!L82&lt;&gt;"",Tournament!L82+Tournament!L83,"")),IF(Tournament!L81&lt;&gt;"",Tournament!L81,""))</f>
        <v/>
      </c>
      <c r="U68" s="193"/>
      <c r="V68" s="193" t="str">
        <f t="shared" si="3"/>
        <v>Group C Runner Up</v>
      </c>
      <c r="W68" s="191" t="str">
        <f>IF(Tournament!J83&lt;&gt;"",Tournament!J83,"")</f>
        <v/>
      </c>
      <c r="X68" s="199" t="s">
        <v>3088</v>
      </c>
      <c r="Y68" s="191" t="str">
        <f>IF(Tournament!L83&lt;&gt;"",Tournament!L83,"")</f>
        <v/>
      </c>
      <c r="Z68" s="191"/>
      <c r="AA68" s="191" t="str">
        <f>IF(Tournament!J84&lt;&gt;"",Tournament!J84,"")</f>
        <v/>
      </c>
      <c r="AB68" s="194" t="s">
        <v>3088</v>
      </c>
      <c r="AC68" s="191" t="str">
        <f>IF(Tournament!L84&lt;&gt;"",Tournament!L84,"")</f>
        <v/>
      </c>
      <c r="AD68" s="195" t="str">
        <f>IF(AND(I68&lt;&gt;"",K68&lt;&gt;"",R68&lt;&gt;"",T68&lt;&gt;""),IF(AND(I68=R68,K68=T68),Setup!$D$20,IF((I68-K68)=(R68-T68),Setup!$D$21,IF(AND((I68&gt;K68),(R68&gt;T68)),Setup!$D$22,IF(AND((K68&gt;I68),(T68&gt;R68)),Setup!$D$22,0)))),"")</f>
        <v/>
      </c>
      <c r="AE68" s="183"/>
      <c r="CM68" s="168"/>
      <c r="CN68" s="168"/>
      <c r="CO68" s="187"/>
      <c r="CP68" s="168"/>
    </row>
    <row r="69" spans="2:94" s="166" customFormat="1" ht="15" customHeight="1">
      <c r="B69" s="182"/>
      <c r="C69" s="181">
        <v>51</v>
      </c>
      <c r="D69" s="181" t="str">
        <f t="shared" si="4"/>
        <v>R16</v>
      </c>
      <c r="E69" s="188">
        <f>Tournament!F87</f>
        <v>41819.541666666664</v>
      </c>
      <c r="F69" s="189">
        <f>Tournament!G93</f>
        <v>41820.541666666664</v>
      </c>
      <c r="G69" s="190" t="str">
        <f>Tournament!H87</f>
        <v>Group B Winner</v>
      </c>
      <c r="H69" s="180"/>
      <c r="I69" s="9"/>
      <c r="J69" s="191" t="s">
        <v>3088</v>
      </c>
      <c r="K69" s="9"/>
      <c r="L69" s="180"/>
      <c r="M69" s="198" t="str">
        <f>Tournament!N87</f>
        <v>Group A Runner Up</v>
      </c>
      <c r="N69" s="183"/>
      <c r="P69" s="192" t="str">
        <f t="shared" si="2"/>
        <v>Group B Winner</v>
      </c>
      <c r="Q69" s="193"/>
      <c r="R69" s="194" t="str">
        <f>IF($Z$67=0,IF($Z$66=0,IF(Tournament!J88&lt;&gt;"",Tournament!J88,""),IF(Tournament!J88&lt;&gt;"",Tournament!J88+Tournament!J89,"")),IF(Tournament!J87&lt;&gt;"",Tournament!J87,""))</f>
        <v/>
      </c>
      <c r="S69" s="194" t="s">
        <v>3088</v>
      </c>
      <c r="T69" s="194" t="str">
        <f>IF($Z$67=0,IF($Z$66=0,IF(Tournament!L88&lt;&gt;"",Tournament!L88,""),IF(Tournament!L88&lt;&gt;"",Tournament!L88+Tournament!L89,"")),IF(Tournament!L87&lt;&gt;"",Tournament!L87,""))</f>
        <v/>
      </c>
      <c r="U69" s="193"/>
      <c r="V69" s="193" t="str">
        <f t="shared" si="3"/>
        <v>Group A Runner Up</v>
      </c>
      <c r="W69" s="191" t="str">
        <f>IF(Tournament!J89&lt;&gt;"",Tournament!J89,"")</f>
        <v/>
      </c>
      <c r="X69" s="199" t="s">
        <v>3088</v>
      </c>
      <c r="Y69" s="191" t="str">
        <f>IF(Tournament!L89&lt;&gt;"",Tournament!L89,"")</f>
        <v/>
      </c>
      <c r="Z69" s="191"/>
      <c r="AA69" s="191" t="str">
        <f>IF(Tournament!J90&lt;&gt;"",Tournament!J90,"")</f>
        <v/>
      </c>
      <c r="AB69" s="194" t="s">
        <v>3088</v>
      </c>
      <c r="AC69" s="191" t="str">
        <f>IF(Tournament!L90&lt;&gt;"",Tournament!L90,"")</f>
        <v/>
      </c>
      <c r="AD69" s="195" t="str">
        <f>IF(AND(I69&lt;&gt;"",K69&lt;&gt;"",R69&lt;&gt;"",T69&lt;&gt;""),IF(AND(I69=R69,K69=T69),Setup!$D$20,IF((I69-K69)=(R69-T69),Setup!$D$21,IF(AND((I69&gt;K69),(R69&gt;T69)),Setup!$D$22,IF(AND((K69&gt;I69),(T69&gt;R69)),Setup!$D$22,0)))),"")</f>
        <v/>
      </c>
      <c r="AE69" s="183"/>
      <c r="CM69" s="168"/>
      <c r="CN69" s="168"/>
      <c r="CO69" s="187"/>
      <c r="CP69" s="168"/>
    </row>
    <row r="70" spans="2:94" s="166" customFormat="1" ht="15" customHeight="1">
      <c r="B70" s="182"/>
      <c r="C70" s="181">
        <v>53</v>
      </c>
      <c r="D70" s="181" t="str">
        <f t="shared" si="4"/>
        <v>R16</v>
      </c>
      <c r="E70" s="188">
        <f>Tournament!F93</f>
        <v>41820.541666666664</v>
      </c>
      <c r="F70" s="189">
        <f>Tournament!G93</f>
        <v>41820.541666666664</v>
      </c>
      <c r="G70" s="190" t="str">
        <f>Tournament!H93</f>
        <v>Group E Winner</v>
      </c>
      <c r="H70" s="180"/>
      <c r="I70" s="9"/>
      <c r="J70" s="191" t="s">
        <v>3088</v>
      </c>
      <c r="K70" s="9"/>
      <c r="L70" s="180"/>
      <c r="M70" s="198" t="str">
        <f>Tournament!N93</f>
        <v>Group F Runner Up</v>
      </c>
      <c r="N70" s="183"/>
      <c r="P70" s="192" t="str">
        <f t="shared" si="2"/>
        <v>Group E Winner</v>
      </c>
      <c r="Q70" s="193"/>
      <c r="R70" s="194" t="str">
        <f>IF($Z$67=0,IF($Z$66=0,IF(Tournament!J94&lt;&gt;"",Tournament!J94,""),IF(Tournament!J94&lt;&gt;"",Tournament!J94+Tournament!J95,"")),IF(Tournament!J93&lt;&gt;"",Tournament!J93,""))</f>
        <v/>
      </c>
      <c r="S70" s="194" t="s">
        <v>3088</v>
      </c>
      <c r="T70" s="194" t="str">
        <f>IF($Z$67=0,IF($Z$66=0,IF(Tournament!L94&lt;&gt;"",Tournament!L94,""),IF(Tournament!L94&lt;&gt;"",Tournament!L94+Tournament!L95,"")),IF(Tournament!L93&lt;&gt;"",Tournament!L93,""))</f>
        <v/>
      </c>
      <c r="U70" s="193"/>
      <c r="V70" s="193" t="str">
        <f t="shared" si="3"/>
        <v>Group F Runner Up</v>
      </c>
      <c r="W70" s="191" t="str">
        <f>IF(Tournament!J95&lt;&gt;"",Tournament!J95,"")</f>
        <v/>
      </c>
      <c r="X70" s="199" t="s">
        <v>3088</v>
      </c>
      <c r="Y70" s="191" t="str">
        <f>IF(Tournament!L95&lt;&gt;"",Tournament!L95,"")</f>
        <v/>
      </c>
      <c r="Z70" s="191"/>
      <c r="AA70" s="191" t="str">
        <f>IF(Tournament!J96&lt;&gt;"",Tournament!J96,"")</f>
        <v/>
      </c>
      <c r="AB70" s="194" t="s">
        <v>3088</v>
      </c>
      <c r="AC70" s="191" t="str">
        <f>IF(Tournament!L96&lt;&gt;"",Tournament!L96,"")</f>
        <v/>
      </c>
      <c r="AD70" s="195" t="str">
        <f>IF(AND(I70&lt;&gt;"",K70&lt;&gt;"",R70&lt;&gt;"",T70&lt;&gt;""),IF(AND(I70=R70,K70=T70),Setup!$D$20,IF((I70-K70)=(R70-T70),Setup!$D$21,IF(AND((I70&gt;K70),(R70&gt;T70)),Setup!$D$22,IF(AND((K70&gt;I70),(T70&gt;R70)),Setup!$D$22,0)))),"")</f>
        <v/>
      </c>
      <c r="AE70" s="183"/>
      <c r="CM70" s="168"/>
      <c r="CN70" s="168"/>
      <c r="CO70" s="187"/>
      <c r="CP70" s="168"/>
    </row>
    <row r="71" spans="2:94" s="166" customFormat="1" ht="15" customHeight="1">
      <c r="B71" s="182"/>
      <c r="C71" s="181">
        <v>54</v>
      </c>
      <c r="D71" s="181" t="str">
        <f t="shared" si="4"/>
        <v>R16</v>
      </c>
      <c r="E71" s="188">
        <f>Tournament!F99</f>
        <v>41820.708333333336</v>
      </c>
      <c r="F71" s="189">
        <f>Tournament!G99</f>
        <v>41820.708333333336</v>
      </c>
      <c r="G71" s="190" t="str">
        <f>Tournament!H99</f>
        <v>Group G Winner</v>
      </c>
      <c r="H71" s="180"/>
      <c r="I71" s="9"/>
      <c r="J71" s="191" t="s">
        <v>3088</v>
      </c>
      <c r="K71" s="9"/>
      <c r="L71" s="180"/>
      <c r="M71" s="198" t="str">
        <f>Tournament!N99</f>
        <v>Group H Runner Up</v>
      </c>
      <c r="N71" s="183"/>
      <c r="P71" s="192" t="str">
        <f t="shared" si="2"/>
        <v>Group G Winner</v>
      </c>
      <c r="Q71" s="193"/>
      <c r="R71" s="194" t="str">
        <f>IF($Z$67=0,IF($Z$66=0,IF(Tournament!J100&lt;&gt;"",Tournament!J100,""),IF(Tournament!J100&lt;&gt;"",Tournament!J100+Tournament!J101,"")),IF(Tournament!J99&lt;&gt;"",Tournament!J99,""))</f>
        <v/>
      </c>
      <c r="S71" s="194" t="s">
        <v>3088</v>
      </c>
      <c r="T71" s="194" t="str">
        <f>IF($Z$67=0,IF($Z$66=0,IF(Tournament!L100&lt;&gt;"",Tournament!L100,""),IF(Tournament!L100&lt;&gt;"",Tournament!L100+Tournament!L101,"")),IF(Tournament!L99&lt;&gt;"",Tournament!L99,""))</f>
        <v/>
      </c>
      <c r="U71" s="193"/>
      <c r="V71" s="193" t="str">
        <f t="shared" si="3"/>
        <v>Group H Runner Up</v>
      </c>
      <c r="W71" s="191" t="str">
        <f>IF(Tournament!J101&lt;&gt;"",Tournament!J101,"")</f>
        <v/>
      </c>
      <c r="X71" s="199" t="s">
        <v>3088</v>
      </c>
      <c r="Y71" s="191" t="str">
        <f>IF(Tournament!L101&lt;&gt;"",Tournament!L101,"")</f>
        <v/>
      </c>
      <c r="Z71" s="191"/>
      <c r="AA71" s="191" t="str">
        <f>IF(Tournament!J102&lt;&gt;"",Tournament!J102,"")</f>
        <v/>
      </c>
      <c r="AB71" s="194" t="s">
        <v>3088</v>
      </c>
      <c r="AC71" s="191" t="str">
        <f>IF(Tournament!L102&lt;&gt;"",Tournament!L102,"")</f>
        <v/>
      </c>
      <c r="AD71" s="195" t="str">
        <f>IF(AND(I71&lt;&gt;"",K71&lt;&gt;"",R71&lt;&gt;"",T71&lt;&gt;""),IF(AND(I71=R71,K71=T71),Setup!$D$20,IF((I71-K71)=(R71-T71),Setup!$D$21,IF(AND((I71&gt;K71),(R71&gt;T71)),Setup!$D$22,IF(AND((K71&gt;I71),(T71&gt;R71)),Setup!$D$22,0)))),"")</f>
        <v/>
      </c>
      <c r="AE71" s="183"/>
      <c r="CM71" s="168"/>
      <c r="CN71" s="168"/>
      <c r="CO71" s="187"/>
      <c r="CP71" s="168"/>
    </row>
    <row r="72" spans="2:94" s="166" customFormat="1" ht="15" customHeight="1">
      <c r="B72" s="182"/>
      <c r="C72" s="181">
        <v>55</v>
      </c>
      <c r="D72" s="181" t="str">
        <f t="shared" si="4"/>
        <v>R16</v>
      </c>
      <c r="E72" s="188">
        <f>Tournament!F105</f>
        <v>41821.541666666664</v>
      </c>
      <c r="F72" s="189">
        <f>Tournament!G105</f>
        <v>41821.541666666664</v>
      </c>
      <c r="G72" s="190" t="str">
        <f>Tournament!H105</f>
        <v>Group F Winner</v>
      </c>
      <c r="H72" s="180"/>
      <c r="I72" s="9"/>
      <c r="J72" s="191" t="s">
        <v>3088</v>
      </c>
      <c r="K72" s="9"/>
      <c r="L72" s="180"/>
      <c r="M72" s="198" t="str">
        <f>Tournament!N105</f>
        <v>Group E Runner Up</v>
      </c>
      <c r="N72" s="183"/>
      <c r="P72" s="192" t="str">
        <f t="shared" si="2"/>
        <v>Group F Winner</v>
      </c>
      <c r="Q72" s="193"/>
      <c r="R72" s="194" t="str">
        <f>IF($Z$67=0,IF($Z$66=0,IF(Tournament!J106&lt;&gt;"",Tournament!J106,""),IF(Tournament!J106&lt;&gt;"",Tournament!J106+Tournament!J107,"")),IF(Tournament!J105&lt;&gt;"",Tournament!J105,""))</f>
        <v/>
      </c>
      <c r="S72" s="194" t="s">
        <v>3088</v>
      </c>
      <c r="T72" s="194" t="str">
        <f>IF($Z$67=0,IF($Z$66=0,IF(Tournament!L106&lt;&gt;"",Tournament!L106,""),IF(Tournament!L106&lt;&gt;"",Tournament!L106+Tournament!L107,"")),IF(Tournament!L105&lt;&gt;"",Tournament!L105,""))</f>
        <v/>
      </c>
      <c r="U72" s="193"/>
      <c r="V72" s="193" t="str">
        <f t="shared" si="3"/>
        <v>Group E Runner Up</v>
      </c>
      <c r="W72" s="191" t="str">
        <f>IF(Tournament!J107&lt;&gt;"",Tournament!J107,"")</f>
        <v/>
      </c>
      <c r="X72" s="199" t="s">
        <v>3088</v>
      </c>
      <c r="Y72" s="191" t="str">
        <f>IF(Tournament!L107&lt;&gt;"",Tournament!L107,"")</f>
        <v/>
      </c>
      <c r="Z72" s="191"/>
      <c r="AA72" s="191" t="str">
        <f>IF(Tournament!J108&lt;&gt;"",Tournament!J108,"")</f>
        <v/>
      </c>
      <c r="AB72" s="194" t="s">
        <v>3088</v>
      </c>
      <c r="AC72" s="191" t="str">
        <f>IF(Tournament!L108&lt;&gt;"",Tournament!L108,"")</f>
        <v/>
      </c>
      <c r="AD72" s="195" t="str">
        <f>IF(AND(I72&lt;&gt;"",K72&lt;&gt;"",R72&lt;&gt;"",T72&lt;&gt;""),IF(AND(I72=R72,K72=T72),Setup!$D$20,IF((I72-K72)=(R72-T72),Setup!$D$21,IF(AND((I72&gt;K72),(R72&gt;T72)),Setup!$D$22,IF(AND((K72&gt;I72),(T72&gt;R72)),Setup!$D$22,0)))),"")</f>
        <v/>
      </c>
      <c r="AE72" s="183"/>
      <c r="CM72" s="168"/>
      <c r="CN72" s="168"/>
      <c r="CO72" s="187"/>
      <c r="CP72" s="168"/>
    </row>
    <row r="73" spans="2:94" s="166" customFormat="1" ht="15" customHeight="1">
      <c r="B73" s="182"/>
      <c r="C73" s="181">
        <v>56</v>
      </c>
      <c r="D73" s="181" t="str">
        <f t="shared" si="4"/>
        <v>R16</v>
      </c>
      <c r="E73" s="188">
        <f>Tournament!F111</f>
        <v>41821.708333333336</v>
      </c>
      <c r="F73" s="189">
        <f>Tournament!G111</f>
        <v>41821.708333333336</v>
      </c>
      <c r="G73" s="190" t="str">
        <f>Tournament!H111</f>
        <v>Group H Winner</v>
      </c>
      <c r="H73" s="180"/>
      <c r="I73" s="9"/>
      <c r="J73" s="191" t="s">
        <v>3088</v>
      </c>
      <c r="K73" s="9"/>
      <c r="L73" s="180"/>
      <c r="M73" s="198" t="str">
        <f>Tournament!N111</f>
        <v>Group G Runner Up</v>
      </c>
      <c r="N73" s="183"/>
      <c r="P73" s="192" t="str">
        <f t="shared" si="2"/>
        <v>Group H Winner</v>
      </c>
      <c r="Q73" s="193"/>
      <c r="R73" s="194" t="str">
        <f>IF($Z$67=0,IF($Z$66=0,IF(Tournament!J112&lt;&gt;"",Tournament!J112,""),IF(Tournament!J112&lt;&gt;"",Tournament!J112+Tournament!J113,"")),IF(Tournament!J111&lt;&gt;"",Tournament!J111,""))</f>
        <v/>
      </c>
      <c r="S73" s="194" t="s">
        <v>3088</v>
      </c>
      <c r="T73" s="194" t="str">
        <f>IF($Z$67=0,IF($Z$66=0,IF(Tournament!L112&lt;&gt;"",Tournament!L112,""),IF(Tournament!L112&lt;&gt;"",Tournament!L112+Tournament!L113,"")),IF(Tournament!L111&lt;&gt;"",Tournament!L111,""))</f>
        <v/>
      </c>
      <c r="U73" s="193"/>
      <c r="V73" s="193" t="str">
        <f t="shared" si="3"/>
        <v>Group G Runner Up</v>
      </c>
      <c r="W73" s="191" t="str">
        <f>IF(Tournament!J113&lt;&gt;"",Tournament!J113,"")</f>
        <v/>
      </c>
      <c r="X73" s="199" t="s">
        <v>3088</v>
      </c>
      <c r="Y73" s="191" t="str">
        <f>IF(Tournament!L113&lt;&gt;"",Tournament!L113,"")</f>
        <v/>
      </c>
      <c r="Z73" s="191"/>
      <c r="AA73" s="191" t="str">
        <f>IF(Tournament!J114&lt;&gt;"",Tournament!J114,"")</f>
        <v/>
      </c>
      <c r="AB73" s="194" t="s">
        <v>3088</v>
      </c>
      <c r="AC73" s="191" t="str">
        <f>IF(Tournament!L114&lt;&gt;"",Tournament!L114,"")</f>
        <v/>
      </c>
      <c r="AD73" s="195" t="str">
        <f>IF(AND(I73&lt;&gt;"",K73&lt;&gt;"",R73&lt;&gt;"",T73&lt;&gt;""),IF(AND(I73=R73,K73=T73),Setup!$D$20,IF((I73-K73)=(R73-T73),Setup!$D$21,IF(AND((I73&gt;K73),(R73&gt;T73)),Setup!$D$22,IF(AND((K73&gt;I73),(T73&gt;R73)),Setup!$D$22,0)))),"")</f>
        <v/>
      </c>
      <c r="AE73" s="183"/>
      <c r="CM73" s="168"/>
      <c r="CN73" s="168"/>
      <c r="CO73" s="187"/>
      <c r="CP73" s="168"/>
    </row>
    <row r="74" spans="2:94" s="166" customFormat="1" ht="15" customHeight="1">
      <c r="B74" s="182"/>
      <c r="C74" s="181">
        <v>58</v>
      </c>
      <c r="D74" s="181" t="s">
        <v>3549</v>
      </c>
      <c r="E74" s="188">
        <f>Tournament!T69</f>
        <v>41824.541666666664</v>
      </c>
      <c r="F74" s="189">
        <f>Tournament!U69</f>
        <v>41824.541666666664</v>
      </c>
      <c r="G74" s="190" t="str">
        <f>Tournament!Y69</f>
        <v>Match 53 Winner</v>
      </c>
      <c r="H74" s="180"/>
      <c r="I74" s="9"/>
      <c r="J74" s="191" t="s">
        <v>3088</v>
      </c>
      <c r="K74" s="9"/>
      <c r="L74" s="180"/>
      <c r="M74" s="198" t="str">
        <f>Tournament!AE69</f>
        <v>Match 54 Winner</v>
      </c>
      <c r="N74" s="183"/>
      <c r="P74" s="192" t="str">
        <f t="shared" si="2"/>
        <v>Match 53 Winner</v>
      </c>
      <c r="Q74" s="193"/>
      <c r="R74" s="194" t="str">
        <f>IF($Z$67=0,IF($Z$66=0,IF(Tournament!AA70&lt;&gt;"",Tournament!AA70,""),IF(Tournament!AA70&lt;&gt;"",Tournament!AA70+Tournament!AA71,"")),IF(Tournament!AA69&lt;&gt;"",Tournament!AA69,""))</f>
        <v/>
      </c>
      <c r="S74" s="194" t="s">
        <v>3088</v>
      </c>
      <c r="T74" s="194" t="str">
        <f>IF($Z$67=0,IF($Z$66=0,IF(Tournament!AC70&lt;&gt;"",Tournament!AC70,""),IF(Tournament!AC70&lt;&gt;"",Tournament!AC70+Tournament!AC71,"")),IF(Tournament!AC69&lt;&gt;"",Tournament!AC69,""))</f>
        <v/>
      </c>
      <c r="U74" s="193"/>
      <c r="V74" s="193" t="str">
        <f t="shared" si="3"/>
        <v>Match 54 Winner</v>
      </c>
      <c r="W74" s="191" t="str">
        <f>IF(Tournament!AA71&lt;&gt;"",Tournament!AA71,"")</f>
        <v/>
      </c>
      <c r="X74" s="199" t="s">
        <v>3088</v>
      </c>
      <c r="Y74" s="191" t="str">
        <f>IF(Tournament!AC71&lt;&gt;"",Tournament!AC71,"")</f>
        <v/>
      </c>
      <c r="Z74" s="191"/>
      <c r="AA74" s="191" t="str">
        <f>IF(Tournament!AA72&lt;&gt;"",Tournament!AA72,"")</f>
        <v/>
      </c>
      <c r="AB74" s="194" t="s">
        <v>3088</v>
      </c>
      <c r="AC74" s="191" t="str">
        <f>IF(Tournament!AC72&lt;&gt;"",Tournament!AC72,"")</f>
        <v/>
      </c>
      <c r="AD74" s="195" t="str">
        <f>IF(AND(I74&lt;&gt;"",K74&lt;&gt;"",R74&lt;&gt;"",T74&lt;&gt;""),IF(AND(I74=R74,K74=T74),Setup!$E$20,IF((I74-K74)=(R74-T74),Setup!$E$21,IF(AND((I74&gt;K74),(R74&gt;T74)),Setup!$E$22,IF(AND((K74&gt;I74),(T74&gt;R74)),Setup!$E$22,0)))),"")</f>
        <v/>
      </c>
      <c r="AE74" s="183"/>
      <c r="CM74" s="168"/>
      <c r="CN74" s="168"/>
      <c r="CO74" s="187"/>
      <c r="CP74" s="168"/>
    </row>
    <row r="75" spans="2:94" s="166" customFormat="1" ht="15" customHeight="1">
      <c r="B75" s="182"/>
      <c r="C75" s="181">
        <v>57</v>
      </c>
      <c r="D75" s="181" t="str">
        <f>D74</f>
        <v>QF</v>
      </c>
      <c r="E75" s="188">
        <f>Tournament!T74</f>
        <v>41824.708333333336</v>
      </c>
      <c r="F75" s="189">
        <f>Tournament!U74</f>
        <v>41824.708333333336</v>
      </c>
      <c r="G75" s="190" t="str">
        <f>Tournament!Y74</f>
        <v>Match 49 Winner</v>
      </c>
      <c r="H75" s="180"/>
      <c r="I75" s="9"/>
      <c r="J75" s="191" t="s">
        <v>3088</v>
      </c>
      <c r="K75" s="9"/>
      <c r="L75" s="180"/>
      <c r="M75" s="198" t="str">
        <f>Tournament!AE74</f>
        <v>Match 50 Winner</v>
      </c>
      <c r="N75" s="183"/>
      <c r="P75" s="192" t="str">
        <f t="shared" si="2"/>
        <v>Match 49 Winner</v>
      </c>
      <c r="Q75" s="193"/>
      <c r="R75" s="194" t="str">
        <f>IF($Z$67=0,IF($Z$66=0,IF(Tournament!AA75&lt;&gt;"",Tournament!AA75,""),IF(Tournament!AA75&lt;&gt;"",Tournament!AA75+Tournament!AA76,"")),IF(Tournament!AA74&lt;&gt;"",Tournament!AA74,""))</f>
        <v/>
      </c>
      <c r="S75" s="194" t="s">
        <v>3088</v>
      </c>
      <c r="T75" s="194" t="str">
        <f>IF($Z$67=0,IF($Z$66=0,IF(Tournament!AC75&lt;&gt;"",Tournament!AC75,""),IF(Tournament!AC75&lt;&gt;"",Tournament!AC75+Tournament!AC76,"")),IF(Tournament!AC74&lt;&gt;"",Tournament!AC74,""))</f>
        <v/>
      </c>
      <c r="U75" s="193"/>
      <c r="V75" s="193" t="str">
        <f t="shared" si="3"/>
        <v>Match 50 Winner</v>
      </c>
      <c r="W75" s="191" t="str">
        <f>IF(Tournament!AA76&lt;&gt;"",Tournament!AA76,"")</f>
        <v/>
      </c>
      <c r="X75" s="199" t="s">
        <v>3088</v>
      </c>
      <c r="Y75" s="191" t="str">
        <f>IF(Tournament!AC76&lt;&gt;"",Tournament!AC76,"")</f>
        <v/>
      </c>
      <c r="Z75" s="191"/>
      <c r="AA75" s="191" t="str">
        <f>IF(Tournament!AA77&lt;&gt;"",Tournament!AA77,"")</f>
        <v/>
      </c>
      <c r="AB75" s="194" t="s">
        <v>3088</v>
      </c>
      <c r="AC75" s="191" t="str">
        <f>IF(Tournament!AC77&lt;&gt;"",Tournament!AC77,"")</f>
        <v/>
      </c>
      <c r="AD75" s="195" t="str">
        <f>IF(AND(I75&lt;&gt;"",K75&lt;&gt;"",R75&lt;&gt;"",T75&lt;&gt;""),IF(AND(I75=R75,K75=T75),Setup!$E$20,IF((I75-K75)=(R75-T75),Setup!$E$21,IF(AND((I75&gt;K75),(R75&gt;T75)),Setup!$E$22,IF(AND((K75&gt;I75),(T75&gt;R75)),Setup!$E$22,0)))),"")</f>
        <v/>
      </c>
      <c r="AE75" s="183"/>
      <c r="CM75" s="168"/>
      <c r="CN75" s="168"/>
      <c r="CO75" s="187"/>
      <c r="CP75" s="168"/>
    </row>
    <row r="76" spans="2:94" s="166" customFormat="1" ht="15" customHeight="1">
      <c r="B76" s="182"/>
      <c r="C76" s="181">
        <v>59</v>
      </c>
      <c r="D76" s="181" t="str">
        <f>D75</f>
        <v>QF</v>
      </c>
      <c r="E76" s="188">
        <f>Tournament!T79</f>
        <v>41825.708333333336</v>
      </c>
      <c r="F76" s="189">
        <f>Tournament!U79</f>
        <v>41825.708333333336</v>
      </c>
      <c r="G76" s="190" t="str">
        <f>Tournament!Y79</f>
        <v>Match 51 Winner</v>
      </c>
      <c r="H76" s="180"/>
      <c r="I76" s="9"/>
      <c r="J76" s="191" t="s">
        <v>3088</v>
      </c>
      <c r="K76" s="9"/>
      <c r="L76" s="180"/>
      <c r="M76" s="198" t="str">
        <f>Tournament!AE79</f>
        <v>Match 52 Winner</v>
      </c>
      <c r="N76" s="183"/>
      <c r="P76" s="192" t="str">
        <f t="shared" si="2"/>
        <v>Match 51 Winner</v>
      </c>
      <c r="Q76" s="193"/>
      <c r="R76" s="194" t="str">
        <f>IF($Z$67=0,IF($Z$66=0,IF(Tournament!AA80&lt;&gt;"",Tournament!AA80,""),IF(Tournament!AA80&lt;&gt;"",Tournament!AA80+Tournament!AA81,"")),IF(Tournament!AA79&lt;&gt;"",Tournament!AA79,""))</f>
        <v/>
      </c>
      <c r="S76" s="194" t="s">
        <v>3088</v>
      </c>
      <c r="T76" s="194" t="str">
        <f>IF($Z$67=0,IF($Z$66=0,IF(Tournament!AC80&lt;&gt;"",Tournament!AC80,""),IF(Tournament!AC80&lt;&gt;"",Tournament!AC80+Tournament!AC81,"")),IF(Tournament!AC79&lt;&gt;"",Tournament!AC79,""))</f>
        <v/>
      </c>
      <c r="U76" s="193"/>
      <c r="V76" s="193" t="str">
        <f t="shared" si="3"/>
        <v>Match 52 Winner</v>
      </c>
      <c r="W76" s="191" t="str">
        <f>IF(Tournament!AA81&lt;&gt;"",Tournament!AA81,"")</f>
        <v/>
      </c>
      <c r="X76" s="199" t="s">
        <v>3088</v>
      </c>
      <c r="Y76" s="191" t="str">
        <f>IF(Tournament!AC81&lt;&gt;"",Tournament!AC81,"")</f>
        <v/>
      </c>
      <c r="Z76" s="191"/>
      <c r="AA76" s="191" t="str">
        <f>IF(Tournament!AA82&lt;&gt;"",Tournament!AA82,"")</f>
        <v/>
      </c>
      <c r="AB76" s="194" t="s">
        <v>3088</v>
      </c>
      <c r="AC76" s="191" t="str">
        <f>IF(Tournament!AC82&lt;&gt;"",Tournament!AC82,"")</f>
        <v/>
      </c>
      <c r="AD76" s="195" t="str">
        <f>IF(AND(I76&lt;&gt;"",K76&lt;&gt;"",R76&lt;&gt;"",T76&lt;&gt;""),IF(AND(I76=R76,K76=T76),Setup!$E$20,IF((I76-K76)=(R76-T76),Setup!$E$21,IF(AND((I76&gt;K76),(R76&gt;T76)),Setup!$E$22,IF(AND((K76&gt;I76),(T76&gt;R76)),Setup!$E$22,0)))),"")</f>
        <v/>
      </c>
      <c r="AE76" s="183"/>
      <c r="CM76" s="168"/>
      <c r="CN76" s="168"/>
      <c r="CO76" s="187"/>
      <c r="CP76" s="168"/>
    </row>
    <row r="77" spans="2:94" s="166" customFormat="1" ht="15" customHeight="1">
      <c r="B77" s="182"/>
      <c r="C77" s="181">
        <v>60</v>
      </c>
      <c r="D77" s="181" t="str">
        <f>D76</f>
        <v>QF</v>
      </c>
      <c r="E77" s="188">
        <f>Tournament!T84</f>
        <v>41825.541666666664</v>
      </c>
      <c r="F77" s="189">
        <f>Tournament!U84</f>
        <v>41825.541666666664</v>
      </c>
      <c r="G77" s="190" t="str">
        <f>Tournament!Y84</f>
        <v>Match 55 Winner</v>
      </c>
      <c r="H77" s="180"/>
      <c r="I77" s="9"/>
      <c r="J77" s="191" t="s">
        <v>3088</v>
      </c>
      <c r="K77" s="9"/>
      <c r="L77" s="180"/>
      <c r="M77" s="198" t="str">
        <f>Tournament!AE84</f>
        <v>Match 56 Winner</v>
      </c>
      <c r="N77" s="183"/>
      <c r="P77" s="192" t="str">
        <f t="shared" si="2"/>
        <v>Match 55 Winner</v>
      </c>
      <c r="Q77" s="193"/>
      <c r="R77" s="194" t="str">
        <f>IF($Z$67=0,IF($Z$66=0,IF(Tournament!AA85&lt;&gt;"",Tournament!AA85,""),IF(Tournament!AA85&lt;&gt;"",Tournament!AA85+Tournament!AA86,"")),IF(Tournament!AA84&lt;&gt;"",Tournament!AA84,""))</f>
        <v/>
      </c>
      <c r="S77" s="194" t="s">
        <v>3088</v>
      </c>
      <c r="T77" s="194" t="str">
        <f>IF($Z$67=0,IF($Z$66=0,IF(Tournament!AC85&lt;&gt;"",Tournament!AC85,""),IF(Tournament!AC85&lt;&gt;"",Tournament!AC85+Tournament!AC86,"")),IF(Tournament!AC84&lt;&gt;"",Tournament!AC84,""))</f>
        <v/>
      </c>
      <c r="U77" s="193"/>
      <c r="V77" s="193" t="str">
        <f t="shared" si="3"/>
        <v>Match 56 Winner</v>
      </c>
      <c r="W77" s="191" t="str">
        <f>IF(Tournament!AA86&lt;&gt;"",Tournament!AA86,"")</f>
        <v/>
      </c>
      <c r="X77" s="199" t="s">
        <v>3088</v>
      </c>
      <c r="Y77" s="191" t="str">
        <f>IF(Tournament!AC86&lt;&gt;"",Tournament!AC86,"")</f>
        <v/>
      </c>
      <c r="Z77" s="191"/>
      <c r="AA77" s="191" t="str">
        <f>IF(Tournament!AA87&lt;&gt;"",Tournament!AA87,"")</f>
        <v/>
      </c>
      <c r="AB77" s="194" t="s">
        <v>3088</v>
      </c>
      <c r="AC77" s="191" t="str">
        <f>IF(Tournament!AC87&lt;&gt;"",Tournament!AC87,"")</f>
        <v/>
      </c>
      <c r="AD77" s="195" t="str">
        <f>IF(AND(I77&lt;&gt;"",K77&lt;&gt;"",R77&lt;&gt;"",T77&lt;&gt;""),IF(AND(I77=R77,K77=T77),Setup!$E$20,IF((I77-K77)=(R77-T77),Setup!$E$21,IF(AND((I77&gt;K77),(R77&gt;T77)),Setup!$E$22,IF(AND((K77&gt;I77),(T77&gt;R77)),Setup!$E$22,0)))),"")</f>
        <v/>
      </c>
      <c r="AE77" s="183"/>
      <c r="CM77" s="168"/>
      <c r="CN77" s="168"/>
      <c r="CO77" s="187"/>
      <c r="CP77" s="168"/>
    </row>
    <row r="78" spans="2:94" s="166" customFormat="1" ht="15" customHeight="1">
      <c r="B78" s="182"/>
      <c r="C78" s="181">
        <v>61</v>
      </c>
      <c r="D78" s="181" t="s">
        <v>3550</v>
      </c>
      <c r="E78" s="188">
        <f>Tournament!T92</f>
        <v>41828.708333333336</v>
      </c>
      <c r="F78" s="189">
        <f>Tournament!U92</f>
        <v>41828.708333333336</v>
      </c>
      <c r="G78" s="190" t="str">
        <f>Tournament!Y92</f>
        <v>Match 57 Winner</v>
      </c>
      <c r="H78" s="180"/>
      <c r="I78" s="9"/>
      <c r="J78" s="191" t="s">
        <v>3088</v>
      </c>
      <c r="K78" s="9"/>
      <c r="L78" s="180"/>
      <c r="M78" s="198" t="str">
        <f>Tournament!AE92</f>
        <v>Match 58 Winner</v>
      </c>
      <c r="N78" s="183"/>
      <c r="P78" s="192" t="str">
        <f t="shared" si="2"/>
        <v>Match 57 Winner</v>
      </c>
      <c r="Q78" s="193"/>
      <c r="R78" s="194" t="str">
        <f>IF($Z$67=0,IF($Z$66=0,IF(Tournament!AA93&lt;&gt;"",Tournament!AA93,""),IF(Tournament!AA93&lt;&gt;"",Tournament!AA93+Tournament!AA94,"")),IF(Tournament!AA92&lt;&gt;"",Tournament!AA92,""))</f>
        <v/>
      </c>
      <c r="S78" s="194" t="s">
        <v>3088</v>
      </c>
      <c r="T78" s="194" t="str">
        <f>IF($Z$67=0,IF($Z$66=0,IF(Tournament!AC93&lt;&gt;"",Tournament!AC93,""),IF(Tournament!AC93&lt;&gt;"",Tournament!AC93+Tournament!AC94,"")),IF(Tournament!AC92&lt;&gt;"",Tournament!AC92,""))</f>
        <v/>
      </c>
      <c r="U78" s="193"/>
      <c r="V78" s="193" t="str">
        <f t="shared" si="3"/>
        <v>Match 58 Winner</v>
      </c>
      <c r="W78" s="191" t="str">
        <f>IF(Tournament!AA94&lt;&gt;"",Tournament!AA94,"")</f>
        <v/>
      </c>
      <c r="X78" s="199" t="s">
        <v>3088</v>
      </c>
      <c r="Y78" s="191" t="str">
        <f>IF(Tournament!AC94&lt;&gt;"",Tournament!AC94,"")</f>
        <v/>
      </c>
      <c r="Z78" s="191"/>
      <c r="AA78" s="191" t="str">
        <f>IF(Tournament!AA95&lt;&gt;"",Tournament!AA95,"")</f>
        <v/>
      </c>
      <c r="AB78" s="194" t="s">
        <v>3088</v>
      </c>
      <c r="AC78" s="191" t="str">
        <f>IF(Tournament!AC95&lt;&gt;"",Tournament!AC95,"")</f>
        <v/>
      </c>
      <c r="AD78" s="195" t="str">
        <f>IF(AND(I78&lt;&gt;"",K78&lt;&gt;"",R78&lt;&gt;"",T78&lt;&gt;""),IF(AND(I78=R78,K78=T78),Setup!$F$20,IF((I78-K78)=(R78-T78),Setup!$F$21,IF(AND((I78&gt;K78),(R78&gt;T78)),Setup!$F$22,IF(AND((K78&gt;I78),(T78&gt;R78)),Setup!$F$22,0)))),"")</f>
        <v/>
      </c>
      <c r="AE78" s="183"/>
      <c r="CM78" s="168"/>
      <c r="CN78" s="168"/>
      <c r="CO78" s="187"/>
      <c r="CP78" s="168"/>
    </row>
    <row r="79" spans="2:94" s="166" customFormat="1" ht="15" customHeight="1">
      <c r="B79" s="182"/>
      <c r="C79" s="181">
        <v>62</v>
      </c>
      <c r="D79" s="181" t="str">
        <f>D78</f>
        <v>SF</v>
      </c>
      <c r="E79" s="188">
        <f>Tournament!T97</f>
        <v>41829.708333333336</v>
      </c>
      <c r="F79" s="189">
        <f>Tournament!U97</f>
        <v>41829.708333333336</v>
      </c>
      <c r="G79" s="190" t="str">
        <f>Tournament!Y97</f>
        <v>Match 59 Winner</v>
      </c>
      <c r="H79" s="180"/>
      <c r="I79" s="9"/>
      <c r="J79" s="191" t="s">
        <v>3088</v>
      </c>
      <c r="K79" s="9"/>
      <c r="L79" s="180"/>
      <c r="M79" s="198" t="str">
        <f>Tournament!AE97</f>
        <v>Match 60 Winner</v>
      </c>
      <c r="N79" s="183"/>
      <c r="P79" s="192" t="str">
        <f t="shared" si="2"/>
        <v>Match 59 Winner</v>
      </c>
      <c r="Q79" s="193"/>
      <c r="R79" s="194" t="str">
        <f>IF($Z$67=0,IF($Z$66=0,IF(Tournament!AA98&lt;&gt;"",Tournament!AA98,""),IF(Tournament!AA98&lt;&gt;"",Tournament!AA98+Tournament!AA99,"")),IF(Tournament!AA97&lt;&gt;"",Tournament!AA97,""))</f>
        <v/>
      </c>
      <c r="S79" s="194" t="s">
        <v>3088</v>
      </c>
      <c r="T79" s="194" t="str">
        <f>IF($Z$67=0,IF($Z$66=0,IF(Tournament!AC98&lt;&gt;"",Tournament!AC98,""),IF(Tournament!AC98&lt;&gt;"",Tournament!AC98+Tournament!AC99,"")),IF(Tournament!AC97&lt;&gt;"",Tournament!AC97,""))</f>
        <v/>
      </c>
      <c r="U79" s="193"/>
      <c r="V79" s="193" t="str">
        <f t="shared" si="3"/>
        <v>Match 60 Winner</v>
      </c>
      <c r="W79" s="191" t="str">
        <f>IF(Tournament!AA99&lt;&gt;"",Tournament!AA99,"")</f>
        <v/>
      </c>
      <c r="X79" s="199" t="s">
        <v>3088</v>
      </c>
      <c r="Y79" s="191" t="str">
        <f>IF(Tournament!AC99&lt;&gt;"",Tournament!AC99,"")</f>
        <v/>
      </c>
      <c r="Z79" s="191"/>
      <c r="AA79" s="191" t="str">
        <f>IF(Tournament!AA100&lt;&gt;"",Tournament!AA100,"")</f>
        <v/>
      </c>
      <c r="AB79" s="194" t="s">
        <v>3088</v>
      </c>
      <c r="AC79" s="191" t="str">
        <f>IF(Tournament!AC100&lt;&gt;"",Tournament!AC100,"")</f>
        <v/>
      </c>
      <c r="AD79" s="195" t="str">
        <f>IF(AND(I79&lt;&gt;"",K79&lt;&gt;"",R79&lt;&gt;"",T79&lt;&gt;""),IF(AND(I79=R79,K79=T79),Setup!$F$20,IF((I79-K79)=(R79-T79),Setup!$F$21,IF(AND((I79&gt;K79),(R79&gt;T79)),Setup!$F$22,IF(AND((K79&gt;I79),(T79&gt;R79)),Setup!$F$22,0)))),"")</f>
        <v/>
      </c>
      <c r="AE79" s="183"/>
      <c r="CM79" s="168"/>
      <c r="CN79" s="168"/>
      <c r="CO79" s="187"/>
      <c r="CP79" s="168"/>
    </row>
    <row r="80" spans="2:94" s="166" customFormat="1" ht="15" customHeight="1">
      <c r="B80" s="182"/>
      <c r="C80" s="181">
        <v>63</v>
      </c>
      <c r="D80" s="181" t="s">
        <v>3551</v>
      </c>
      <c r="E80" s="188">
        <f>Tournament!T105</f>
        <v>41832.708333333336</v>
      </c>
      <c r="F80" s="189">
        <f>Tournament!U105</f>
        <v>41832.708333333336</v>
      </c>
      <c r="G80" s="190" t="str">
        <f>Tournament!Y105</f>
        <v>Match 61 Loser</v>
      </c>
      <c r="H80" s="180"/>
      <c r="I80" s="9"/>
      <c r="J80" s="191" t="s">
        <v>3088</v>
      </c>
      <c r="K80" s="9"/>
      <c r="L80" s="180"/>
      <c r="M80" s="198" t="str">
        <f>Tournament!AE105</f>
        <v>Match 62 Loser</v>
      </c>
      <c r="N80" s="183"/>
      <c r="P80" s="192" t="str">
        <f t="shared" si="2"/>
        <v>Match 61 Loser</v>
      </c>
      <c r="Q80" s="193"/>
      <c r="R80" s="194" t="str">
        <f>IF($Z$67=0,IF($Z$66=0,IF(Tournament!AA106&lt;&gt;"",Tournament!AA106,""),IF(Tournament!AA106&lt;&gt;"",Tournament!AA106+Tournament!AA107,"")),IF(Tournament!AA105&lt;&gt;"",Tournament!AA105,""))</f>
        <v/>
      </c>
      <c r="S80" s="194" t="s">
        <v>3088</v>
      </c>
      <c r="T80" s="194" t="str">
        <f>IF($Z$67=0,IF($Z$66=0,IF(Tournament!AC106&lt;&gt;"",Tournament!AC106,""),IF(Tournament!AC106&lt;&gt;"",Tournament!AC106+Tournament!AC107,"")),IF(Tournament!AC105&lt;&gt;"",Tournament!AC105,""))</f>
        <v/>
      </c>
      <c r="U80" s="193"/>
      <c r="V80" s="193" t="str">
        <f t="shared" si="3"/>
        <v>Match 62 Loser</v>
      </c>
      <c r="W80" s="191" t="str">
        <f>IF(Tournament!AA107&lt;&gt;"",Tournament!AA107,"")</f>
        <v/>
      </c>
      <c r="X80" s="199" t="s">
        <v>3088</v>
      </c>
      <c r="Y80" s="191" t="str">
        <f>IF(Tournament!AC107&lt;&gt;"",Tournament!AC107,"")</f>
        <v/>
      </c>
      <c r="Z80" s="191"/>
      <c r="AA80" s="191" t="str">
        <f>IF(Tournament!AA108&lt;&gt;"",Tournament!AA108,"")</f>
        <v/>
      </c>
      <c r="AB80" s="194" t="s">
        <v>3088</v>
      </c>
      <c r="AC80" s="191" t="str">
        <f>IF(Tournament!AC108&lt;&gt;"",Tournament!AC108,"")</f>
        <v/>
      </c>
      <c r="AD80" s="195" t="str">
        <f>IF(AND(I80&lt;&gt;"",K80&lt;&gt;"",R80&lt;&gt;"",T80&lt;&gt;""),IF(AND(I80=R80,K80=T80),Setup!$G$20,IF((I80-K80)=(R80-T80),Setup!$G$21,IF(AND((I80&gt;K80),(R80&gt;T80)),Setup!$G$22,IF(AND((K80&gt;I80),(T80&gt;R80)),Setup!$G$22,0)))),"")</f>
        <v/>
      </c>
      <c r="AE80" s="183"/>
      <c r="CM80" s="168"/>
      <c r="CN80" s="168"/>
      <c r="CO80" s="187"/>
      <c r="CP80" s="168"/>
    </row>
    <row r="81" spans="2:94" s="166" customFormat="1" ht="15" customHeight="1">
      <c r="B81" s="182"/>
      <c r="C81" s="181">
        <v>64</v>
      </c>
      <c r="D81" s="181" t="s">
        <v>3105</v>
      </c>
      <c r="E81" s="188">
        <f>Tournament!T113</f>
        <v>41833.666666666664</v>
      </c>
      <c r="F81" s="189">
        <f>Tournament!U113</f>
        <v>41833.666666666664</v>
      </c>
      <c r="G81" s="190" t="str">
        <f>Tournament!Y113</f>
        <v>Match 61 Winner</v>
      </c>
      <c r="H81" s="180"/>
      <c r="I81" s="9"/>
      <c r="J81" s="191" t="s">
        <v>3088</v>
      </c>
      <c r="K81" s="9"/>
      <c r="L81" s="180"/>
      <c r="M81" s="198" t="str">
        <f>Tournament!AE113</f>
        <v>Match 62 Winner</v>
      </c>
      <c r="N81" s="183"/>
      <c r="P81" s="192" t="str">
        <f t="shared" si="2"/>
        <v>Match 61 Winner</v>
      </c>
      <c r="Q81" s="193"/>
      <c r="R81" s="194" t="str">
        <f>IF($Z$67=0,IF($Z$66=0,IF(Tournament!AA114&lt;&gt;"",Tournament!AA114,""),IF(Tournament!AA114&lt;&gt;"",Tournament!AA114+Tournament!AA115,"")),IF(Tournament!AA113&lt;&gt;"",Tournament!AA113,""))</f>
        <v/>
      </c>
      <c r="S81" s="194" t="s">
        <v>3088</v>
      </c>
      <c r="T81" s="194" t="str">
        <f>IF($Z$67=0,IF($Z$66=0,IF(Tournament!AC114&lt;&gt;"",Tournament!AC114,""),IF(Tournament!AC114&lt;&gt;"",Tournament!AC114+Tournament!AC115,"")),IF(Tournament!AC113&lt;&gt;"",Tournament!AC113,""))</f>
        <v/>
      </c>
      <c r="U81" s="193"/>
      <c r="V81" s="193" t="str">
        <f t="shared" si="3"/>
        <v>Match 62 Winner</v>
      </c>
      <c r="W81" s="191" t="str">
        <f>IF(Tournament!AA115&lt;&gt;"",Tournament!AA115,"")</f>
        <v/>
      </c>
      <c r="X81" s="199" t="s">
        <v>3088</v>
      </c>
      <c r="Y81" s="191" t="str">
        <f>IF(Tournament!AC115&lt;&gt;"",Tournament!AC115,"")</f>
        <v/>
      </c>
      <c r="Z81" s="191"/>
      <c r="AA81" s="191" t="str">
        <f>IF(Tournament!AA116&lt;&gt;"",Tournament!AA116,"")</f>
        <v/>
      </c>
      <c r="AB81" s="194" t="s">
        <v>3088</v>
      </c>
      <c r="AC81" s="191" t="str">
        <f>IF(Tournament!AC116&lt;&gt;"",Tournament!AC116,"")</f>
        <v/>
      </c>
      <c r="AD81" s="195" t="str">
        <f>IF(AND(I81&lt;&gt;"",K81&lt;&gt;"",R81&lt;&gt;"",T81&lt;&gt;""),IF(AND(I81=R81,K81=T81),Setup!$H$20,IF((I81-K81)=(R81-T81),Setup!$H$21,IF(AND((I81&gt;K81),(R81&gt;T81)),Setup!$H$22,IF(AND((K81&gt;I81),(T81&gt;R81)),Setup!$H$22,0)))),"")</f>
        <v/>
      </c>
      <c r="AE81" s="183"/>
      <c r="CM81" s="168"/>
      <c r="CN81" s="168"/>
      <c r="CO81" s="187"/>
      <c r="CP81" s="168"/>
    </row>
    <row r="82" spans="2:94" s="166" customFormat="1" ht="15" customHeight="1">
      <c r="B82" s="200"/>
      <c r="C82" s="201"/>
      <c r="D82" s="201"/>
      <c r="E82" s="201"/>
      <c r="F82" s="201"/>
      <c r="G82" s="201"/>
      <c r="H82" s="201"/>
      <c r="I82" s="201"/>
      <c r="J82" s="202"/>
      <c r="K82" s="201"/>
      <c r="L82" s="201"/>
      <c r="M82" s="201"/>
      <c r="N82" s="203"/>
      <c r="P82" s="200"/>
      <c r="Q82" s="201"/>
      <c r="R82" s="201"/>
      <c r="S82" s="202"/>
      <c r="T82" s="201"/>
      <c r="U82" s="201"/>
      <c r="V82" s="201"/>
      <c r="W82" s="201"/>
      <c r="X82" s="202"/>
      <c r="Y82" s="201"/>
      <c r="Z82" s="201"/>
      <c r="AA82" s="201"/>
      <c r="AB82" s="202"/>
      <c r="AC82" s="201"/>
      <c r="AD82" s="202"/>
      <c r="AE82" s="203"/>
      <c r="CM82" s="168"/>
      <c r="CN82" s="168"/>
      <c r="CO82" s="187"/>
      <c r="CP82" s="168"/>
    </row>
    <row r="83" spans="2:94" s="166" customFormat="1" ht="15" customHeight="1">
      <c r="B83" s="166" t="s">
        <v>3905</v>
      </c>
      <c r="N83" s="180"/>
      <c r="AD83" s="167"/>
      <c r="CM83" s="168"/>
      <c r="CN83" s="168"/>
      <c r="CO83" s="187"/>
      <c r="CP83" s="168"/>
    </row>
    <row r="84" spans="2:94" s="166" customFormat="1" ht="15" hidden="1" customHeight="1">
      <c r="N84" s="180"/>
      <c r="AD84" s="167"/>
      <c r="CM84" s="168"/>
      <c r="CN84" s="168"/>
      <c r="CO84" s="187"/>
      <c r="CP84" s="168"/>
    </row>
    <row r="85" spans="2:94" s="166" customFormat="1" ht="15" hidden="1" customHeight="1">
      <c r="N85" s="180"/>
      <c r="AD85" s="167"/>
      <c r="CM85" s="168"/>
      <c r="CN85" s="168"/>
      <c r="CO85" s="187"/>
      <c r="CP85" s="168"/>
    </row>
    <row r="86" spans="2:94" s="166" customFormat="1" ht="15" hidden="1" customHeight="1">
      <c r="N86" s="180"/>
      <c r="AD86" s="167"/>
      <c r="CM86" s="168"/>
      <c r="CN86" s="168"/>
      <c r="CO86" s="187"/>
      <c r="CP86" s="168"/>
    </row>
    <row r="87" spans="2:94" s="166" customFormat="1" ht="15" hidden="1" customHeight="1">
      <c r="N87" s="180"/>
      <c r="AD87" s="167"/>
      <c r="CM87" s="168"/>
      <c r="CN87" s="168"/>
      <c r="CO87" s="187"/>
      <c r="CP87" s="168"/>
    </row>
    <row r="88" spans="2:94" s="166" customFormat="1" ht="15" hidden="1" customHeight="1">
      <c r="N88" s="180"/>
      <c r="AD88" s="167"/>
      <c r="CM88" s="168"/>
      <c r="CN88" s="168"/>
      <c r="CO88" s="187"/>
      <c r="CP88" s="168"/>
    </row>
    <row r="89" spans="2:94" s="166" customFormat="1" ht="15" hidden="1" customHeight="1">
      <c r="N89" s="180"/>
      <c r="AD89" s="167"/>
      <c r="CM89" s="168"/>
      <c r="CN89" s="168"/>
      <c r="CO89" s="187"/>
      <c r="CP89" s="168"/>
    </row>
    <row r="90" spans="2:94" s="166" customFormat="1" ht="15" hidden="1" customHeight="1">
      <c r="N90" s="180"/>
      <c r="AD90" s="167"/>
      <c r="CM90" s="168"/>
      <c r="CN90" s="168"/>
      <c r="CO90" s="187"/>
      <c r="CP90" s="168"/>
    </row>
    <row r="91" spans="2:94" s="166" customFormat="1" ht="15" hidden="1" customHeight="1">
      <c r="N91" s="180"/>
      <c r="AD91" s="167"/>
      <c r="CM91" s="168"/>
      <c r="CN91" s="168"/>
      <c r="CO91" s="187"/>
      <c r="CP91" s="168"/>
    </row>
    <row r="92" spans="2:94" s="166" customFormat="1" ht="15" hidden="1" customHeight="1">
      <c r="N92" s="180"/>
      <c r="AD92" s="167"/>
      <c r="CM92" s="168"/>
      <c r="CN92" s="168"/>
      <c r="CO92" s="187"/>
      <c r="CP92" s="168"/>
    </row>
    <row r="93" spans="2:94" s="166" customFormat="1" ht="15" hidden="1" customHeight="1">
      <c r="N93" s="180"/>
      <c r="AD93" s="167"/>
      <c r="CM93" s="168"/>
      <c r="CN93" s="168"/>
      <c r="CO93" s="187"/>
      <c r="CP93" s="168"/>
    </row>
    <row r="94" spans="2:94" s="166" customFormat="1" ht="15" hidden="1" customHeight="1">
      <c r="N94" s="180"/>
      <c r="AD94" s="167"/>
      <c r="CM94" s="168"/>
      <c r="CN94" s="168"/>
      <c r="CO94" s="187"/>
      <c r="CP94" s="168"/>
    </row>
    <row r="95" spans="2:94" s="166" customFormat="1" ht="15" hidden="1" customHeight="1">
      <c r="N95" s="180"/>
      <c r="AD95" s="167"/>
      <c r="CM95" s="168"/>
      <c r="CN95" s="168"/>
      <c r="CO95" s="187"/>
      <c r="CP95" s="168"/>
    </row>
    <row r="96" spans="2:94" s="166" customFormat="1" ht="15" hidden="1" customHeight="1">
      <c r="N96" s="180"/>
      <c r="AD96" s="167"/>
      <c r="CM96" s="168"/>
      <c r="CN96" s="168"/>
      <c r="CO96" s="187"/>
      <c r="CP96" s="168"/>
    </row>
    <row r="97" spans="14:94" s="166" customFormat="1" ht="15" hidden="1" customHeight="1">
      <c r="N97" s="180"/>
      <c r="AD97" s="167"/>
      <c r="CM97" s="168"/>
      <c r="CN97" s="168"/>
      <c r="CO97" s="187"/>
      <c r="CP97" s="168"/>
    </row>
    <row r="98" spans="14:94" s="166" customFormat="1" ht="15" hidden="1" customHeight="1">
      <c r="N98" s="180"/>
      <c r="AD98" s="167"/>
      <c r="CM98" s="168"/>
      <c r="CN98" s="168"/>
      <c r="CO98" s="187"/>
      <c r="CP98" s="168"/>
    </row>
    <row r="99" spans="14:94" s="166" customFormat="1" ht="15" hidden="1" customHeight="1">
      <c r="N99" s="180"/>
      <c r="AD99" s="167"/>
      <c r="CM99" s="168"/>
      <c r="CN99" s="168"/>
      <c r="CO99" s="187"/>
      <c r="CP99" s="168"/>
    </row>
    <row r="100" spans="14:94" s="166" customFormat="1" ht="15" hidden="1" customHeight="1">
      <c r="N100" s="180"/>
      <c r="AD100" s="167"/>
      <c r="CM100" s="168"/>
      <c r="CN100" s="168"/>
      <c r="CO100" s="187"/>
      <c r="CP100" s="168"/>
    </row>
    <row r="101" spans="14:94" s="166" customFormat="1" ht="15" hidden="1" customHeight="1">
      <c r="N101" s="180"/>
      <c r="AD101" s="167"/>
      <c r="CM101" s="168"/>
      <c r="CN101" s="168"/>
      <c r="CO101" s="187"/>
      <c r="CP101" s="168"/>
    </row>
    <row r="102" spans="14:94" s="166" customFormat="1" ht="15" hidden="1" customHeight="1">
      <c r="N102" s="180"/>
      <c r="AD102" s="167"/>
      <c r="CM102" s="168"/>
      <c r="CN102" s="168"/>
      <c r="CO102" s="187"/>
      <c r="CP102" s="168"/>
    </row>
    <row r="103" spans="14:94" s="166" customFormat="1" ht="15" hidden="1" customHeight="1">
      <c r="N103" s="180"/>
      <c r="AD103" s="167"/>
      <c r="CM103" s="168"/>
      <c r="CN103" s="168"/>
      <c r="CO103" s="187"/>
      <c r="CP103" s="168"/>
    </row>
    <row r="104" spans="14:94" s="166" customFormat="1" ht="15" hidden="1" customHeight="1">
      <c r="N104" s="180"/>
      <c r="AD104" s="167"/>
      <c r="CM104" s="168"/>
      <c r="CN104" s="168"/>
      <c r="CO104" s="187"/>
      <c r="CP104" s="168"/>
    </row>
    <row r="105" spans="14:94" s="166" customFormat="1" ht="15" hidden="1" customHeight="1">
      <c r="N105" s="180"/>
      <c r="AD105" s="167"/>
      <c r="CM105" s="168"/>
      <c r="CN105" s="168"/>
      <c r="CO105" s="187"/>
      <c r="CP105" s="168"/>
    </row>
    <row r="106" spans="14:94" s="166" customFormat="1" ht="15" hidden="1" customHeight="1">
      <c r="N106" s="180"/>
      <c r="AD106" s="167"/>
      <c r="CM106" s="168"/>
      <c r="CN106" s="168"/>
      <c r="CO106" s="187"/>
      <c r="CP106" s="168"/>
    </row>
    <row r="107" spans="14:94" s="166" customFormat="1" ht="15" hidden="1" customHeight="1">
      <c r="N107" s="180"/>
      <c r="AD107" s="167"/>
      <c r="CM107" s="168"/>
      <c r="CN107" s="168"/>
      <c r="CO107" s="187"/>
      <c r="CP107" s="168"/>
    </row>
    <row r="108" spans="14:94" s="166" customFormat="1" ht="15" hidden="1" customHeight="1">
      <c r="N108" s="180"/>
      <c r="AD108" s="167"/>
      <c r="CM108" s="168"/>
      <c r="CN108" s="168"/>
      <c r="CO108" s="187"/>
      <c r="CP108" s="168"/>
    </row>
    <row r="109" spans="14:94" s="166" customFormat="1" ht="15" hidden="1" customHeight="1">
      <c r="N109" s="180"/>
      <c r="AD109" s="167"/>
      <c r="CM109" s="168"/>
      <c r="CN109" s="168"/>
      <c r="CO109" s="187"/>
      <c r="CP109" s="168"/>
    </row>
    <row r="110" spans="14:94" s="166" customFormat="1" ht="15" hidden="1" customHeight="1">
      <c r="N110" s="180"/>
      <c r="AD110" s="167"/>
      <c r="CM110" s="168"/>
      <c r="CN110" s="168"/>
      <c r="CO110" s="187"/>
      <c r="CP110" s="168"/>
    </row>
    <row r="111" spans="14:94" s="166" customFormat="1" ht="15" hidden="1" customHeight="1">
      <c r="N111" s="180"/>
      <c r="AD111" s="167"/>
      <c r="CM111" s="168"/>
      <c r="CN111" s="168"/>
      <c r="CO111" s="187"/>
      <c r="CP111" s="168"/>
    </row>
    <row r="112" spans="14:94" s="166" customFormat="1" ht="15" hidden="1" customHeight="1">
      <c r="N112" s="180"/>
      <c r="AD112" s="167"/>
      <c r="CM112" s="168"/>
      <c r="CN112" s="168"/>
      <c r="CO112" s="187"/>
      <c r="CP112" s="168"/>
    </row>
    <row r="113" spans="2:94" s="166" customFormat="1" ht="15" hidden="1" customHeight="1">
      <c r="N113" s="180"/>
      <c r="AD113" s="167"/>
      <c r="CM113" s="168"/>
      <c r="CN113" s="168"/>
      <c r="CO113" s="187"/>
      <c r="CP113" s="168"/>
    </row>
    <row r="114" spans="2:94" s="166" customFormat="1" ht="15" hidden="1" customHeight="1">
      <c r="N114" s="180"/>
      <c r="AD114" s="167"/>
      <c r="CM114" s="168"/>
      <c r="CN114" s="168"/>
      <c r="CO114" s="187"/>
      <c r="CP114" s="168"/>
    </row>
    <row r="115" spans="2:94" s="166" customFormat="1" ht="15" hidden="1" customHeight="1">
      <c r="N115" s="180"/>
      <c r="AD115" s="167"/>
      <c r="CM115" s="168"/>
      <c r="CN115" s="168"/>
      <c r="CO115" s="187"/>
      <c r="CP115" s="168"/>
    </row>
    <row r="116" spans="2:94" s="166" customFormat="1" ht="15" hidden="1" customHeight="1">
      <c r="N116" s="180"/>
      <c r="AD116" s="167"/>
      <c r="CM116" s="168"/>
      <c r="CN116" s="168"/>
      <c r="CO116" s="187"/>
      <c r="CP116" s="168"/>
    </row>
    <row r="117" spans="2:94" s="166" customFormat="1" ht="15" hidden="1" customHeight="1">
      <c r="N117" s="180"/>
      <c r="AD117" s="167"/>
      <c r="CM117" s="168"/>
      <c r="CN117" s="168"/>
      <c r="CO117" s="187"/>
      <c r="CP117" s="168"/>
    </row>
    <row r="118" spans="2:94" s="166" customFormat="1" ht="15" hidden="1" customHeight="1">
      <c r="N118" s="180"/>
      <c r="AD118" s="167"/>
      <c r="CM118" s="168"/>
      <c r="CN118" s="168"/>
      <c r="CO118" s="187"/>
      <c r="CP118" s="168"/>
    </row>
    <row r="119" spans="2:94" s="166" customFormat="1" ht="15" hidden="1" customHeight="1">
      <c r="N119" s="180"/>
      <c r="AD119" s="167"/>
      <c r="CM119" s="168"/>
      <c r="CN119" s="168"/>
      <c r="CO119" s="187"/>
      <c r="CP119" s="168"/>
    </row>
    <row r="120" spans="2:94" s="166" customFormat="1" ht="15" hidden="1" customHeight="1">
      <c r="N120" s="180"/>
      <c r="AD120" s="167"/>
      <c r="CM120" s="168"/>
      <c r="CN120" s="168"/>
      <c r="CO120" s="187" t="s">
        <v>1404</v>
      </c>
      <c r="CP120" s="168"/>
    </row>
    <row r="121" spans="2:94" s="166" customFormat="1" ht="15" hidden="1" customHeight="1">
      <c r="N121" s="180"/>
      <c r="AD121" s="167"/>
      <c r="CM121" s="168"/>
      <c r="CN121" s="168"/>
      <c r="CO121" s="187" t="s">
        <v>1405</v>
      </c>
      <c r="CP121" s="168"/>
    </row>
    <row r="122" spans="2:94" s="166" customFormat="1" ht="15" hidden="1" customHeight="1">
      <c r="N122" s="180"/>
      <c r="AD122" s="167"/>
      <c r="CM122" s="168"/>
      <c r="CN122" s="168"/>
      <c r="CO122" s="187" t="s">
        <v>1406</v>
      </c>
      <c r="CP122" s="168"/>
    </row>
    <row r="123" spans="2:94" s="166" customFormat="1" ht="15" hidden="1" customHeight="1">
      <c r="N123" s="180"/>
      <c r="AD123" s="167"/>
      <c r="CM123" s="168"/>
      <c r="CN123" s="168"/>
      <c r="CO123" s="187" t="s">
        <v>1407</v>
      </c>
      <c r="CP123" s="168"/>
    </row>
    <row r="124" spans="2:94" s="166" customFormat="1" ht="15" hidden="1" customHeight="1">
      <c r="N124" s="180"/>
      <c r="AD124" s="167"/>
      <c r="CM124" s="168"/>
      <c r="CN124" s="168"/>
      <c r="CO124" s="187" t="s">
        <v>1408</v>
      </c>
      <c r="CP124" s="168"/>
    </row>
    <row r="125" spans="2:94" s="166" customFormat="1" ht="15" hidden="1" customHeight="1">
      <c r="B125" s="180"/>
      <c r="C125" s="180"/>
      <c r="D125" s="180"/>
      <c r="E125" s="180"/>
      <c r="F125" s="180"/>
      <c r="G125" s="180"/>
      <c r="H125" s="180"/>
      <c r="I125" s="180"/>
      <c r="J125" s="181"/>
      <c r="K125" s="180"/>
      <c r="L125" s="180"/>
      <c r="M125" s="180"/>
      <c r="N125" s="180"/>
      <c r="P125" s="180"/>
      <c r="Q125" s="180"/>
      <c r="R125" s="180"/>
      <c r="S125" s="181"/>
      <c r="T125" s="180"/>
      <c r="U125" s="180"/>
      <c r="V125" s="180"/>
      <c r="W125" s="180"/>
      <c r="X125" s="181"/>
      <c r="Y125" s="180"/>
      <c r="Z125" s="180"/>
      <c r="AA125" s="180"/>
      <c r="AB125" s="181"/>
      <c r="AC125" s="180"/>
      <c r="AD125" s="167"/>
      <c r="CM125" s="168"/>
      <c r="CN125" s="168"/>
      <c r="CO125" s="187" t="s">
        <v>1409</v>
      </c>
      <c r="CP125" s="168"/>
    </row>
    <row r="126" spans="2:94" s="166" customFormat="1" ht="15" hidden="1" customHeight="1">
      <c r="B126" s="180"/>
      <c r="C126" s="180"/>
      <c r="D126" s="180"/>
      <c r="E126" s="180"/>
      <c r="F126" s="180"/>
      <c r="G126" s="180"/>
      <c r="H126" s="180"/>
      <c r="I126" s="180"/>
      <c r="J126" s="181"/>
      <c r="K126" s="180"/>
      <c r="L126" s="180"/>
      <c r="M126" s="180"/>
      <c r="N126" s="180"/>
      <c r="P126" s="180"/>
      <c r="Q126" s="180"/>
      <c r="R126" s="180"/>
      <c r="S126" s="181"/>
      <c r="T126" s="180"/>
      <c r="U126" s="180"/>
      <c r="V126" s="180"/>
      <c r="W126" s="180"/>
      <c r="X126" s="181"/>
      <c r="Y126" s="180"/>
      <c r="Z126" s="180"/>
      <c r="AA126" s="180"/>
      <c r="AB126" s="181"/>
      <c r="AC126" s="180"/>
      <c r="AD126" s="167"/>
      <c r="CM126" s="168"/>
      <c r="CN126" s="168"/>
      <c r="CO126" s="187" t="s">
        <v>1410</v>
      </c>
      <c r="CP126" s="168"/>
    </row>
  </sheetData>
  <sheetProtection password="CEE2" sheet="1" objects="1" scenarios="1" formatCells="0" formatColumns="0" formatRows="0" insertColumns="0" insertRows="0" insertHyperlinks="0" sort="0" autoFilter="0" pivotTables="0"/>
  <mergeCells count="23">
    <mergeCell ref="B4:C4"/>
    <mergeCell ref="D4:M4"/>
    <mergeCell ref="H5:L5"/>
    <mergeCell ref="AC5:AE5"/>
    <mergeCell ref="B6:C7"/>
    <mergeCell ref="D6:F6"/>
    <mergeCell ref="H6:L6"/>
    <mergeCell ref="D7:F7"/>
    <mergeCell ref="H7:L7"/>
    <mergeCell ref="AC7:AE7"/>
    <mergeCell ref="B9:N9"/>
    <mergeCell ref="P9:AE9"/>
    <mergeCell ref="B11:N11"/>
    <mergeCell ref="P11:AE11"/>
    <mergeCell ref="I13:K13"/>
    <mergeCell ref="R13:T13"/>
    <mergeCell ref="W13:Y13"/>
    <mergeCell ref="AA13:AC13"/>
    <mergeCell ref="B64:N64"/>
    <mergeCell ref="P64:AE64"/>
    <mergeCell ref="R65:T65"/>
    <mergeCell ref="W65:Y65"/>
    <mergeCell ref="AA65:AC65"/>
  </mergeCells>
  <conditionalFormatting sqref="G15:G62 G66:G81">
    <cfRule type="expression" dxfId="35" priority="21" stopIfTrue="1">
      <formula>I15&gt;K15</formula>
    </cfRule>
    <cfRule type="expression" dxfId="34" priority="22" stopIfTrue="1">
      <formula>I15&lt;K15</formula>
    </cfRule>
  </conditionalFormatting>
  <conditionalFormatting sqref="M15:M62">
    <cfRule type="expression" dxfId="33" priority="23" stopIfTrue="1">
      <formula>K15&gt;I15</formula>
    </cfRule>
    <cfRule type="expression" dxfId="32" priority="24" stopIfTrue="1">
      <formula>K15&lt;I15</formula>
    </cfRule>
  </conditionalFormatting>
  <conditionalFormatting sqref="S15:S62 S66:S81">
    <cfRule type="expression" dxfId="31" priority="25" stopIfTrue="1">
      <formula>AND($R15&lt;&gt;"",$T15&lt;&gt;"")</formula>
    </cfRule>
  </conditionalFormatting>
  <conditionalFormatting sqref="P15:R62 P66:R81 T66:T81">
    <cfRule type="expression" dxfId="30" priority="26" stopIfTrue="1">
      <formula>AND($R15&gt;$T15,$R15&lt;&gt;"",$T15&lt;&gt;"")</formula>
    </cfRule>
    <cfRule type="expression" dxfId="29" priority="27" stopIfTrue="1">
      <formula>AND($R15&lt;$T15,$R15&lt;&gt;"",$T15&lt;&gt;"")</formula>
    </cfRule>
    <cfRule type="expression" dxfId="28" priority="28" stopIfTrue="1">
      <formula>AND($R15&lt;&gt;"",$T15&lt;&gt;"")</formula>
    </cfRule>
  </conditionalFormatting>
  <conditionalFormatting sqref="U66:V81 T15:V62">
    <cfRule type="expression" dxfId="27" priority="29" stopIfTrue="1">
      <formula>AND($T15&gt;$R15,$R15&lt;&gt;"",$T15&lt;&gt;"")</formula>
    </cfRule>
    <cfRule type="expression" dxfId="26" priority="30" stopIfTrue="1">
      <formula>AND($T15&lt;$R15,$R15&lt;&gt;"",$T15&lt;&gt;"")</formula>
    </cfRule>
    <cfRule type="expression" dxfId="25" priority="31" stopIfTrue="1">
      <formula>AND($R15&lt;&gt;"",$T15&lt;&gt;"")</formula>
    </cfRule>
  </conditionalFormatting>
  <conditionalFormatting sqref="O15">
    <cfRule type="expression" dxfId="24" priority="32" stopIfTrue="1">
      <formula>#REF!&gt;#REF!</formula>
    </cfRule>
    <cfRule type="expression" dxfId="23" priority="33" stopIfTrue="1">
      <formula>#REF!&lt;#REF!</formula>
    </cfRule>
  </conditionalFormatting>
  <conditionalFormatting sqref="I15:I62 K15:K62 K66:K81 I66:I81">
    <cfRule type="expression" dxfId="22" priority="34" stopIfTrue="1">
      <formula>ISBLANK(I15)</formula>
    </cfRule>
  </conditionalFormatting>
  <conditionalFormatting sqref="X15:X61">
    <cfRule type="expression" dxfId="21" priority="14" stopIfTrue="1">
      <formula>AND($R15&lt;&gt;"",$T15&lt;&gt;"")</formula>
    </cfRule>
  </conditionalFormatting>
  <conditionalFormatting sqref="W15:W61">
    <cfRule type="expression" dxfId="20" priority="15" stopIfTrue="1">
      <formula>AND($R15&gt;$T15,$R15&lt;&gt;"",$T15&lt;&gt;"")</formula>
    </cfRule>
    <cfRule type="expression" dxfId="19" priority="16" stopIfTrue="1">
      <formula>AND($R15&lt;$T15,$R15&lt;&gt;"",$T15&lt;&gt;"")</formula>
    </cfRule>
    <cfRule type="expression" dxfId="18" priority="17" stopIfTrue="1">
      <formula>AND($R15&lt;&gt;"",$T15&lt;&gt;"")</formula>
    </cfRule>
  </conditionalFormatting>
  <conditionalFormatting sqref="Y15:Z61">
    <cfRule type="expression" dxfId="17" priority="18" stopIfTrue="1">
      <formula>AND($T15&gt;$R15,$R15&lt;&gt;"",$T15&lt;&gt;"")</formula>
    </cfRule>
    <cfRule type="expression" dxfId="16" priority="19" stopIfTrue="1">
      <formula>AND($T15&lt;$R15,$R15&lt;&gt;"",$T15&lt;&gt;"")</formula>
    </cfRule>
    <cfRule type="expression" dxfId="15" priority="20" stopIfTrue="1">
      <formula>AND($R15&lt;&gt;"",$T15&lt;&gt;"")</formula>
    </cfRule>
  </conditionalFormatting>
  <conditionalFormatting sqref="AB15:AB61">
    <cfRule type="expression" dxfId="14" priority="7" stopIfTrue="1">
      <formula>AND($R15&lt;&gt;"",$T15&lt;&gt;"")</formula>
    </cfRule>
  </conditionalFormatting>
  <conditionalFormatting sqref="AA15:AA61">
    <cfRule type="expression" dxfId="13" priority="8" stopIfTrue="1">
      <formula>AND($R15&gt;$T15,$R15&lt;&gt;"",$T15&lt;&gt;"")</formula>
    </cfRule>
    <cfRule type="expression" dxfId="12" priority="9" stopIfTrue="1">
      <formula>AND($R15&lt;$T15,$R15&lt;&gt;"",$T15&lt;&gt;"")</formula>
    </cfRule>
    <cfRule type="expression" dxfId="11" priority="10" stopIfTrue="1">
      <formula>AND($R15&lt;&gt;"",$T15&lt;&gt;"")</formula>
    </cfRule>
  </conditionalFormatting>
  <conditionalFormatting sqref="AC15:AC61">
    <cfRule type="expression" dxfId="10" priority="11" stopIfTrue="1">
      <formula>AND($T15&gt;$R15,$R15&lt;&gt;"",$T15&lt;&gt;"")</formula>
    </cfRule>
    <cfRule type="expression" dxfId="9" priority="12" stopIfTrue="1">
      <formula>AND($T15&lt;$R15,$R15&lt;&gt;"",$T15&lt;&gt;"")</formula>
    </cfRule>
    <cfRule type="expression" dxfId="8" priority="13" stopIfTrue="1">
      <formula>AND($R15&lt;&gt;"",$T15&lt;&gt;"")</formula>
    </cfRule>
  </conditionalFormatting>
  <conditionalFormatting sqref="M66:M81">
    <cfRule type="expression" dxfId="7" priority="35">
      <formula>K66&gt;I66</formula>
    </cfRule>
    <cfRule type="expression" dxfId="6" priority="36">
      <formula>$K66&lt;$I66</formula>
    </cfRule>
  </conditionalFormatting>
  <conditionalFormatting sqref="X66:X81">
    <cfRule type="expression" dxfId="5" priority="6">
      <formula>AND($W66&lt;&gt;"",$Y66&lt;&gt;"")</formula>
    </cfRule>
  </conditionalFormatting>
  <conditionalFormatting sqref="AB66:AB81">
    <cfRule type="expression" dxfId="4" priority="5">
      <formula>AND($AA66&lt;&gt;"",$AC66&lt;&gt;"")</formula>
    </cfRule>
  </conditionalFormatting>
  <conditionalFormatting sqref="AA65:AC65">
    <cfRule type="expression" dxfId="3" priority="4">
      <formula>$Z$67=1</formula>
    </cfRule>
  </conditionalFormatting>
  <conditionalFormatting sqref="W65:Y65">
    <cfRule type="expression" dxfId="2" priority="3">
      <formula>OR($Z$66=1,$Z$67=1)</formula>
    </cfRule>
  </conditionalFormatting>
  <conditionalFormatting sqref="W66:Y81">
    <cfRule type="expression" dxfId="1" priority="2">
      <formula>OR($Z$66=1,$Z$67=1)</formula>
    </cfRule>
  </conditionalFormatting>
  <conditionalFormatting sqref="AA66:AC81">
    <cfRule type="expression" dxfId="0" priority="1">
      <formula>$Z$67=1</formula>
    </cfRule>
  </conditionalFormatting>
  <printOptions horizontalCentered="1" verticalCentered="1"/>
  <pageMargins left="0.39" right="0.32" top="0.28999999999999998" bottom="0.39" header="0.21" footer="0.26"/>
  <pageSetup scale="59" orientation="portrait" horizontalDpi="300" verticalDpi="300" r:id="rId1"/>
  <headerFooter alignWithMargins="0">
    <oddFooter xml:space="preserve">&amp;C
</oddFooter>
  </headerFooter>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145"/>
  <sheetViews>
    <sheetView showGridLines="0" workbookViewId="0">
      <selection activeCell="P7" sqref="P7"/>
    </sheetView>
  </sheetViews>
  <sheetFormatPr defaultColWidth="9.109375" defaultRowHeight="15" customHeight="1"/>
  <cols>
    <col min="1" max="1" width="9.88671875" style="225" customWidth="1"/>
    <col min="2" max="2" width="5.88671875" style="225" customWidth="1"/>
    <col min="3" max="3" width="23" style="225" customWidth="1"/>
    <col min="4" max="4" width="30.88671875" style="225" bestFit="1" customWidth="1"/>
    <col min="5" max="5" width="13.6640625" style="225" bestFit="1" customWidth="1"/>
    <col min="6" max="6" width="4.44140625" style="225" bestFit="1" customWidth="1"/>
    <col min="7" max="8" width="9.109375" style="225"/>
    <col min="9" max="9" width="9.21875" style="245" bestFit="1" customWidth="1"/>
    <col min="10" max="10" width="9.109375" style="245"/>
    <col min="11" max="16" width="9.21875" style="245" bestFit="1" customWidth="1"/>
    <col min="17" max="18" width="11.33203125" style="245" bestFit="1" customWidth="1"/>
    <col min="19" max="19" width="9.109375" style="225"/>
    <col min="20" max="20" width="2.44140625" style="229" customWidth="1"/>
    <col min="21" max="21" width="4.33203125" style="229" customWidth="1"/>
    <col min="22" max="22" width="19.33203125" style="229" customWidth="1"/>
    <col min="23" max="28" width="9.109375" style="229"/>
    <col min="29" max="29" width="2.44140625" style="229" customWidth="1"/>
    <col min="30" max="16384" width="9.109375" style="225"/>
  </cols>
  <sheetData>
    <row r="1" spans="1:33" ht="15" customHeight="1">
      <c r="I1" s="226"/>
      <c r="J1" s="226"/>
      <c r="K1" s="227"/>
      <c r="L1" s="226"/>
      <c r="M1" s="226"/>
      <c r="N1" s="226"/>
      <c r="O1" s="226"/>
      <c r="P1" s="226"/>
      <c r="Q1" s="228"/>
      <c r="R1" s="226"/>
    </row>
    <row r="2" spans="1:33" ht="15" customHeight="1">
      <c r="I2" s="226">
        <v>1</v>
      </c>
      <c r="J2" s="230" t="s">
        <v>1374</v>
      </c>
      <c r="K2" s="230">
        <v>6</v>
      </c>
      <c r="L2" s="231">
        <v>0.25</v>
      </c>
      <c r="M2" s="232">
        <f>VLOOKUP(Tournament!G6,'Countries and Timezone'!J2:K145,2,FALSE)</f>
        <v>0</v>
      </c>
      <c r="N2" s="233">
        <f>VLOOKUP(Tournament!G6,'Countries and Timezone'!J2:L145,3,FALSE)</f>
        <v>0</v>
      </c>
      <c r="O2" s="234">
        <v>1</v>
      </c>
      <c r="P2" s="235">
        <f t="shared" ref="P2:P65" si="0">Q2</f>
        <v>41802.708333333336</v>
      </c>
      <c r="Q2" s="236">
        <v>41802.708333333336</v>
      </c>
      <c r="R2" s="237">
        <f t="shared" ref="R2:R65" si="1">IF(M$2&gt;0,Q2+N$2,Q2-N$2)</f>
        <v>41802.708333333336</v>
      </c>
    </row>
    <row r="3" spans="1:33" ht="15" customHeight="1">
      <c r="I3" s="226">
        <v>2</v>
      </c>
      <c r="J3" s="230" t="s">
        <v>1375</v>
      </c>
      <c r="K3" s="230">
        <v>12.5</v>
      </c>
      <c r="L3" s="231">
        <v>0.52083333333333337</v>
      </c>
      <c r="M3" s="232"/>
      <c r="N3" s="226"/>
      <c r="O3" s="234">
        <v>2</v>
      </c>
      <c r="P3" s="235">
        <f t="shared" si="0"/>
        <v>41803.541666666664</v>
      </c>
      <c r="Q3" s="236">
        <v>41803.541666666664</v>
      </c>
      <c r="R3" s="237">
        <f t="shared" si="1"/>
        <v>41803.541666666664</v>
      </c>
    </row>
    <row r="4" spans="1:33" ht="15" customHeight="1">
      <c r="I4" s="226">
        <v>3</v>
      </c>
      <c r="J4" s="230" t="s">
        <v>1376</v>
      </c>
      <c r="K4" s="230">
        <v>6</v>
      </c>
      <c r="L4" s="231">
        <v>0.25</v>
      </c>
      <c r="M4" s="226"/>
      <c r="N4" s="226"/>
      <c r="O4" s="234">
        <v>3</v>
      </c>
      <c r="P4" s="235">
        <f t="shared" si="0"/>
        <v>41803.666666666664</v>
      </c>
      <c r="Q4" s="236">
        <v>41803.666666666664</v>
      </c>
      <c r="R4" s="237">
        <f t="shared" si="1"/>
        <v>41803.666666666664</v>
      </c>
    </row>
    <row r="5" spans="1:33" ht="15" customHeight="1">
      <c r="I5" s="226">
        <v>4</v>
      </c>
      <c r="J5" s="230" t="s">
        <v>1377</v>
      </c>
      <c r="K5" s="230">
        <v>4</v>
      </c>
      <c r="L5" s="231">
        <v>0.16666666666666666</v>
      </c>
      <c r="M5" s="226"/>
      <c r="N5" s="226"/>
      <c r="O5" s="234">
        <v>4</v>
      </c>
      <c r="P5" s="235">
        <f t="shared" si="0"/>
        <v>41803.791666666664</v>
      </c>
      <c r="Q5" s="236">
        <v>41803.791666666664</v>
      </c>
      <c r="R5" s="237">
        <f t="shared" si="1"/>
        <v>41803.791666666664</v>
      </c>
    </row>
    <row r="6" spans="1:33" ht="15" customHeight="1">
      <c r="A6" s="238"/>
      <c r="B6" s="238"/>
      <c r="C6" s="238"/>
      <c r="D6" s="238"/>
      <c r="E6" s="238"/>
      <c r="I6" s="226">
        <v>5</v>
      </c>
      <c r="J6" s="230" t="s">
        <v>1378</v>
      </c>
      <c r="K6" s="230">
        <v>9</v>
      </c>
      <c r="L6" s="231">
        <v>0.375</v>
      </c>
      <c r="M6" s="226"/>
      <c r="N6" s="226"/>
      <c r="O6" s="234">
        <v>5</v>
      </c>
      <c r="P6" s="235">
        <f t="shared" si="0"/>
        <v>41804.541666666664</v>
      </c>
      <c r="Q6" s="236">
        <v>41804.541666666664</v>
      </c>
      <c r="R6" s="237">
        <f t="shared" si="1"/>
        <v>41804.541666666664</v>
      </c>
    </row>
    <row r="7" spans="1:33" ht="15" customHeight="1">
      <c r="A7" s="321"/>
      <c r="B7" s="239"/>
      <c r="C7" s="240" t="str">
        <f>'Dummy Table'!B4</f>
        <v>Brazil</v>
      </c>
      <c r="D7" s="241"/>
      <c r="E7" s="240"/>
      <c r="I7" s="226">
        <v>6</v>
      </c>
      <c r="J7" s="230" t="s">
        <v>1379</v>
      </c>
      <c r="K7" s="230">
        <v>6</v>
      </c>
      <c r="L7" s="231">
        <v>0.25</v>
      </c>
      <c r="M7" s="226"/>
      <c r="N7" s="226"/>
      <c r="O7" s="234">
        <v>6</v>
      </c>
      <c r="P7" s="235">
        <f t="shared" si="0"/>
        <v>41804.916666666664</v>
      </c>
      <c r="Q7" s="236">
        <v>41804.916666666664</v>
      </c>
      <c r="R7" s="237">
        <f t="shared" si="1"/>
        <v>41804.916666666664</v>
      </c>
      <c r="AG7" s="225" t="s">
        <v>836</v>
      </c>
    </row>
    <row r="8" spans="1:33" ht="15" customHeight="1">
      <c r="A8" s="321"/>
      <c r="B8" s="239"/>
      <c r="C8" s="240" t="str">
        <f>'Dummy Table'!B5</f>
        <v>Croatia</v>
      </c>
      <c r="D8" s="241"/>
      <c r="E8" s="240"/>
      <c r="I8" s="226">
        <v>7</v>
      </c>
      <c r="J8" s="230" t="s">
        <v>1380</v>
      </c>
      <c r="K8" s="230">
        <v>5</v>
      </c>
      <c r="L8" s="231">
        <v>0.20833333333333334</v>
      </c>
      <c r="M8" s="226"/>
      <c r="N8" s="226"/>
      <c r="O8" s="234">
        <v>7</v>
      </c>
      <c r="P8" s="235">
        <f t="shared" si="0"/>
        <v>41804.666666666664</v>
      </c>
      <c r="Q8" s="236">
        <v>41804.666666666664</v>
      </c>
      <c r="R8" s="237">
        <f t="shared" si="1"/>
        <v>41804.666666666664</v>
      </c>
      <c r="AG8" s="225" t="s">
        <v>3557</v>
      </c>
    </row>
    <row r="9" spans="1:33" ht="15" customHeight="1">
      <c r="A9" s="321"/>
      <c r="B9" s="239"/>
      <c r="C9" s="240" t="str">
        <f>'Dummy Table'!B6</f>
        <v>Mexico</v>
      </c>
      <c r="D9" s="241"/>
      <c r="E9" s="240"/>
      <c r="I9" s="226">
        <v>8</v>
      </c>
      <c r="J9" s="230" t="s">
        <v>1381</v>
      </c>
      <c r="K9" s="230">
        <v>16</v>
      </c>
      <c r="L9" s="231">
        <v>0.66666666666666663</v>
      </c>
      <c r="M9" s="226"/>
      <c r="N9" s="226"/>
      <c r="O9" s="234">
        <v>8</v>
      </c>
      <c r="P9" s="235">
        <f t="shared" si="0"/>
        <v>41804.791666666664</v>
      </c>
      <c r="Q9" s="236">
        <v>41804.791666666664</v>
      </c>
      <c r="R9" s="237">
        <f t="shared" si="1"/>
        <v>41804.791666666664</v>
      </c>
      <c r="AG9" s="225" t="s">
        <v>824</v>
      </c>
    </row>
    <row r="10" spans="1:33" ht="15" customHeight="1">
      <c r="A10" s="321"/>
      <c r="B10" s="239"/>
      <c r="C10" s="240" t="str">
        <f>'Dummy Table'!B7</f>
        <v>Cameroon</v>
      </c>
      <c r="D10" s="240"/>
      <c r="E10" s="240"/>
      <c r="I10" s="226">
        <v>9</v>
      </c>
      <c r="J10" s="230" t="s">
        <v>1382</v>
      </c>
      <c r="K10" s="242">
        <v>-5</v>
      </c>
      <c r="L10" s="231">
        <v>0.20833333333333334</v>
      </c>
      <c r="M10" s="226"/>
      <c r="N10" s="226"/>
      <c r="O10" s="234">
        <v>9</v>
      </c>
      <c r="P10" s="235">
        <f t="shared" si="0"/>
        <v>41805.541666666664</v>
      </c>
      <c r="Q10" s="236">
        <v>41805.541666666664</v>
      </c>
      <c r="R10" s="237">
        <f t="shared" si="1"/>
        <v>41805.541666666664</v>
      </c>
      <c r="AG10" s="225" t="s">
        <v>835</v>
      </c>
    </row>
    <row r="11" spans="1:33" ht="15" customHeight="1">
      <c r="A11" s="321"/>
      <c r="B11" s="239"/>
      <c r="C11" s="240" t="str">
        <f>'Dummy Table'!B11</f>
        <v>Spain</v>
      </c>
      <c r="D11" s="240"/>
      <c r="E11" s="240"/>
      <c r="I11" s="226">
        <v>10</v>
      </c>
      <c r="J11" s="230" t="s">
        <v>1383</v>
      </c>
      <c r="K11" s="230">
        <v>6</v>
      </c>
      <c r="L11" s="231">
        <v>0.25</v>
      </c>
      <c r="M11" s="226"/>
      <c r="N11" s="226"/>
      <c r="O11" s="234">
        <v>10</v>
      </c>
      <c r="P11" s="235">
        <f t="shared" si="0"/>
        <v>41805.666666666664</v>
      </c>
      <c r="Q11" s="236">
        <v>41805.666666666664</v>
      </c>
      <c r="R11" s="237">
        <f t="shared" si="1"/>
        <v>41805.666666666664</v>
      </c>
      <c r="AG11" s="225" t="s">
        <v>3093</v>
      </c>
    </row>
    <row r="12" spans="1:33" ht="15" customHeight="1">
      <c r="A12" s="321"/>
      <c r="B12" s="239"/>
      <c r="C12" s="240" t="str">
        <f>'Dummy Table'!B12</f>
        <v>Netherlands</v>
      </c>
      <c r="D12" s="240"/>
      <c r="E12" s="240"/>
      <c r="I12" s="226">
        <v>11</v>
      </c>
      <c r="J12" s="230" t="s">
        <v>1384</v>
      </c>
      <c r="K12" s="230">
        <v>6</v>
      </c>
      <c r="L12" s="231">
        <v>0.25</v>
      </c>
      <c r="M12" s="226"/>
      <c r="N12" s="226"/>
      <c r="O12" s="234">
        <v>11</v>
      </c>
      <c r="P12" s="235">
        <f t="shared" si="0"/>
        <v>41805.791666666664</v>
      </c>
      <c r="Q12" s="236">
        <v>41805.791666666664</v>
      </c>
      <c r="R12" s="237">
        <f t="shared" si="1"/>
        <v>41805.791666666664</v>
      </c>
      <c r="AG12" s="225" t="s">
        <v>3092</v>
      </c>
    </row>
    <row r="13" spans="1:33" ht="15" customHeight="1">
      <c r="A13" s="321"/>
      <c r="B13" s="239"/>
      <c r="C13" s="240" t="str">
        <f>'Dummy Table'!B13</f>
        <v>Chile</v>
      </c>
      <c r="D13" s="240"/>
      <c r="E13" s="240"/>
      <c r="I13" s="226">
        <v>12</v>
      </c>
      <c r="J13" s="230" t="s">
        <v>1385</v>
      </c>
      <c r="K13" s="230">
        <v>-1</v>
      </c>
      <c r="L13" s="231">
        <v>4.1666666666666664E-2</v>
      </c>
      <c r="M13" s="226"/>
      <c r="N13" s="226"/>
      <c r="O13" s="234">
        <v>12</v>
      </c>
      <c r="P13" s="235">
        <f t="shared" si="0"/>
        <v>41806.666666666664</v>
      </c>
      <c r="Q13" s="236">
        <v>41806.666666666664</v>
      </c>
      <c r="R13" s="237">
        <f t="shared" si="1"/>
        <v>41806.666666666664</v>
      </c>
      <c r="AG13" s="225" t="s">
        <v>838</v>
      </c>
    </row>
    <row r="14" spans="1:33" ht="15" customHeight="1">
      <c r="A14" s="321"/>
      <c r="B14" s="239"/>
      <c r="C14" s="240" t="str">
        <f>'Dummy Table'!B14</f>
        <v>Australia</v>
      </c>
      <c r="D14" s="241"/>
      <c r="E14" s="240"/>
      <c r="I14" s="226">
        <v>13</v>
      </c>
      <c r="J14" s="230" t="s">
        <v>1386</v>
      </c>
      <c r="K14" s="230">
        <v>6</v>
      </c>
      <c r="L14" s="231">
        <v>0.25</v>
      </c>
      <c r="M14" s="226"/>
      <c r="N14" s="226"/>
      <c r="O14" s="234">
        <v>13</v>
      </c>
      <c r="P14" s="235">
        <f t="shared" si="0"/>
        <v>41806.541666666664</v>
      </c>
      <c r="Q14" s="236">
        <v>41806.541666666664</v>
      </c>
      <c r="R14" s="237">
        <f t="shared" si="1"/>
        <v>41806.541666666664</v>
      </c>
      <c r="AG14" s="225" t="s">
        <v>832</v>
      </c>
    </row>
    <row r="15" spans="1:33" ht="15" customHeight="1">
      <c r="A15" s="321"/>
      <c r="B15" s="239"/>
      <c r="C15" s="240" t="str">
        <f>'Dummy Table'!B18</f>
        <v>Colombia</v>
      </c>
      <c r="D15" s="241"/>
      <c r="E15" s="240"/>
      <c r="I15" s="226">
        <v>14</v>
      </c>
      <c r="J15" s="230" t="s">
        <v>1387</v>
      </c>
      <c r="K15" s="230">
        <v>-1</v>
      </c>
      <c r="L15" s="231">
        <v>4.1666666666666664E-2</v>
      </c>
      <c r="M15" s="226"/>
      <c r="N15" s="226"/>
      <c r="O15" s="234">
        <v>14</v>
      </c>
      <c r="P15" s="235">
        <f t="shared" si="0"/>
        <v>41806.791666666664</v>
      </c>
      <c r="Q15" s="236">
        <v>41806.791666666664</v>
      </c>
      <c r="R15" s="237">
        <f t="shared" si="1"/>
        <v>41806.791666666664</v>
      </c>
      <c r="AG15" s="225" t="s">
        <v>3558</v>
      </c>
    </row>
    <row r="16" spans="1:33" ht="15" customHeight="1">
      <c r="A16" s="321"/>
      <c r="B16" s="239"/>
      <c r="C16" s="240" t="str">
        <f>'Dummy Table'!B19</f>
        <v>Greece</v>
      </c>
      <c r="D16" s="241"/>
      <c r="E16" s="240"/>
      <c r="I16" s="226">
        <v>15</v>
      </c>
      <c r="J16" s="230" t="s">
        <v>1388</v>
      </c>
      <c r="K16" s="230">
        <v>15</v>
      </c>
      <c r="L16" s="231">
        <v>0.625</v>
      </c>
      <c r="M16" s="226"/>
      <c r="N16" s="226"/>
      <c r="O16" s="234">
        <v>15</v>
      </c>
      <c r="P16" s="235">
        <f t="shared" si="0"/>
        <v>41807.541666666664</v>
      </c>
      <c r="Q16" s="236">
        <v>41807.541666666664</v>
      </c>
      <c r="R16" s="237">
        <f t="shared" si="1"/>
        <v>41807.541666666664</v>
      </c>
      <c r="AG16" s="225" t="s">
        <v>3094</v>
      </c>
    </row>
    <row r="17" spans="1:33" ht="15" customHeight="1">
      <c r="A17" s="321"/>
      <c r="B17" s="239"/>
      <c r="C17" s="240" t="str">
        <f>'Dummy Table'!B20</f>
        <v>Ivory Coast</v>
      </c>
      <c r="D17" s="241"/>
      <c r="E17" s="240"/>
      <c r="I17" s="226">
        <v>16</v>
      </c>
      <c r="J17" s="230" t="s">
        <v>1389</v>
      </c>
      <c r="K17" s="230">
        <v>6</v>
      </c>
      <c r="L17" s="231">
        <v>0.25</v>
      </c>
      <c r="M17" s="226"/>
      <c r="N17" s="226"/>
      <c r="O17" s="234">
        <v>16</v>
      </c>
      <c r="P17" s="235">
        <f t="shared" si="0"/>
        <v>41807.791666666664</v>
      </c>
      <c r="Q17" s="236">
        <v>41807.791666666664</v>
      </c>
      <c r="R17" s="237">
        <f t="shared" si="1"/>
        <v>41807.791666666664</v>
      </c>
      <c r="AG17" s="225" t="s">
        <v>3380</v>
      </c>
    </row>
    <row r="18" spans="1:33" ht="15" customHeight="1">
      <c r="A18" s="321"/>
      <c r="B18" s="239"/>
      <c r="C18" s="240" t="str">
        <f>'Dummy Table'!B21</f>
        <v>Japan</v>
      </c>
      <c r="D18" s="240"/>
      <c r="E18" s="240"/>
      <c r="I18" s="226">
        <v>17</v>
      </c>
      <c r="J18" s="230" t="s">
        <v>1390</v>
      </c>
      <c r="K18" s="230">
        <v>10</v>
      </c>
      <c r="L18" s="231">
        <v>0.41666666666666669</v>
      </c>
      <c r="M18" s="226"/>
      <c r="N18" s="226"/>
      <c r="O18" s="234">
        <v>17</v>
      </c>
      <c r="P18" s="235">
        <f t="shared" si="0"/>
        <v>41807.666666666664</v>
      </c>
      <c r="Q18" s="236">
        <v>41807.666666666664</v>
      </c>
      <c r="R18" s="237">
        <f t="shared" si="1"/>
        <v>41807.666666666664</v>
      </c>
      <c r="AG18" s="225" t="s">
        <v>834</v>
      </c>
    </row>
    <row r="19" spans="1:33" ht="15" customHeight="1">
      <c r="A19" s="321"/>
      <c r="B19" s="239"/>
      <c r="C19" s="240" t="str">
        <f>'Dummy Table'!B25</f>
        <v>Uruguay</v>
      </c>
      <c r="D19" s="240"/>
      <c r="E19" s="240"/>
      <c r="I19" s="226">
        <v>18</v>
      </c>
      <c r="J19" s="230" t="s">
        <v>1391</v>
      </c>
      <c r="K19" s="230">
        <v>5</v>
      </c>
      <c r="L19" s="231">
        <v>0.20833333333333334</v>
      </c>
      <c r="M19" s="226"/>
      <c r="N19" s="226"/>
      <c r="O19" s="234">
        <v>18</v>
      </c>
      <c r="P19" s="235">
        <f t="shared" si="0"/>
        <v>41808.791666666664</v>
      </c>
      <c r="Q19" s="236">
        <v>41808.791666666664</v>
      </c>
      <c r="R19" s="237">
        <f t="shared" si="1"/>
        <v>41808.791666666664</v>
      </c>
      <c r="AG19" s="225" t="s">
        <v>825</v>
      </c>
    </row>
    <row r="20" spans="1:33" ht="15" customHeight="1">
      <c r="A20" s="321"/>
      <c r="B20" s="239"/>
      <c r="C20" s="240" t="str">
        <f>'Dummy Table'!B26</f>
        <v>Costa Rica</v>
      </c>
      <c r="D20" s="240"/>
      <c r="E20" s="240"/>
      <c r="I20" s="226">
        <v>19</v>
      </c>
      <c r="J20" s="230" t="s">
        <v>1392</v>
      </c>
      <c r="K20" s="230">
        <v>11</v>
      </c>
      <c r="L20" s="231">
        <v>0.45833333333333331</v>
      </c>
      <c r="M20" s="226"/>
      <c r="N20" s="226"/>
      <c r="O20" s="234">
        <v>19</v>
      </c>
      <c r="P20" s="235">
        <f t="shared" si="0"/>
        <v>41808.666666666664</v>
      </c>
      <c r="Q20" s="236">
        <v>41808.666666666664</v>
      </c>
      <c r="R20" s="237">
        <f t="shared" si="1"/>
        <v>41808.666666666664</v>
      </c>
      <c r="AG20" s="225" t="s">
        <v>3559</v>
      </c>
    </row>
    <row r="21" spans="1:33" ht="15" customHeight="1">
      <c r="A21" s="321"/>
      <c r="B21" s="239"/>
      <c r="C21" s="240" t="str">
        <f>'Dummy Table'!B27</f>
        <v>England</v>
      </c>
      <c r="D21" s="241"/>
      <c r="E21" s="240"/>
      <c r="I21" s="226">
        <v>20</v>
      </c>
      <c r="J21" s="230" t="s">
        <v>1393</v>
      </c>
      <c r="K21" s="230">
        <v>6</v>
      </c>
      <c r="L21" s="231">
        <v>0.25</v>
      </c>
      <c r="M21" s="226"/>
      <c r="N21" s="226"/>
      <c r="O21" s="234">
        <v>20</v>
      </c>
      <c r="P21" s="235">
        <f t="shared" si="0"/>
        <v>41808.541666666664</v>
      </c>
      <c r="Q21" s="236">
        <v>41808.541666666664</v>
      </c>
      <c r="R21" s="237">
        <f t="shared" si="1"/>
        <v>41808.541666666664</v>
      </c>
      <c r="AG21" s="225" t="s">
        <v>829</v>
      </c>
    </row>
    <row r="22" spans="1:33" ht="15" customHeight="1">
      <c r="A22" s="321"/>
      <c r="B22" s="239"/>
      <c r="C22" s="240" t="str">
        <f>'Dummy Table'!B28</f>
        <v>Italy</v>
      </c>
      <c r="D22" s="240"/>
      <c r="E22" s="240"/>
      <c r="I22" s="226">
        <v>21</v>
      </c>
      <c r="J22" s="230" t="s">
        <v>1394</v>
      </c>
      <c r="K22" s="230">
        <v>5</v>
      </c>
      <c r="L22" s="231">
        <v>0.20833333333333334</v>
      </c>
      <c r="M22" s="226"/>
      <c r="N22" s="226"/>
      <c r="O22" s="234">
        <v>21</v>
      </c>
      <c r="P22" s="235">
        <f t="shared" si="0"/>
        <v>41809.541666666664</v>
      </c>
      <c r="Q22" s="236">
        <v>41809.541666666664</v>
      </c>
      <c r="R22" s="237">
        <f t="shared" si="1"/>
        <v>41809.541666666664</v>
      </c>
      <c r="AG22" s="225" t="s">
        <v>3095</v>
      </c>
    </row>
    <row r="23" spans="1:33" ht="15" customHeight="1">
      <c r="A23" s="321"/>
      <c r="B23" s="239"/>
      <c r="C23" s="240" t="str">
        <f>'Dummy Table'!B32</f>
        <v>Switzerland</v>
      </c>
      <c r="D23" s="240"/>
      <c r="E23" s="240"/>
      <c r="I23" s="226">
        <v>22</v>
      </c>
      <c r="J23" s="230" t="s">
        <v>1395</v>
      </c>
      <c r="K23" s="230">
        <v>5</v>
      </c>
      <c r="L23" s="231">
        <v>0.20833333333333334</v>
      </c>
      <c r="M23" s="226"/>
      <c r="N23" s="226"/>
      <c r="O23" s="234">
        <v>22</v>
      </c>
      <c r="P23" s="235">
        <f t="shared" si="0"/>
        <v>41809.791666666664</v>
      </c>
      <c r="Q23" s="236">
        <v>41809.791666666664</v>
      </c>
      <c r="R23" s="237">
        <f t="shared" si="1"/>
        <v>41809.791666666664</v>
      </c>
      <c r="AG23" s="225" t="s">
        <v>3089</v>
      </c>
    </row>
    <row r="24" spans="1:33" ht="15" customHeight="1">
      <c r="A24" s="321"/>
      <c r="B24" s="239"/>
      <c r="C24" s="240" t="str">
        <f>'Dummy Table'!B33</f>
        <v>Ecuador</v>
      </c>
      <c r="D24" s="241"/>
      <c r="E24" s="240"/>
      <c r="I24" s="226">
        <v>23</v>
      </c>
      <c r="J24" s="230" t="s">
        <v>1396</v>
      </c>
      <c r="K24" s="230">
        <v>-2</v>
      </c>
      <c r="L24" s="231">
        <v>8.3333333333333329E-2</v>
      </c>
      <c r="M24" s="226"/>
      <c r="N24" s="226"/>
      <c r="O24" s="234">
        <v>23</v>
      </c>
      <c r="P24" s="235">
        <f t="shared" si="0"/>
        <v>41809.666666666664</v>
      </c>
      <c r="Q24" s="236">
        <v>41809.666666666664</v>
      </c>
      <c r="R24" s="237">
        <f t="shared" si="1"/>
        <v>41809.666666666664</v>
      </c>
      <c r="AG24" s="225" t="s">
        <v>3560</v>
      </c>
    </row>
    <row r="25" spans="1:33" ht="15" customHeight="1">
      <c r="A25" s="321"/>
      <c r="B25" s="239"/>
      <c r="C25" s="240" t="str">
        <f>'Dummy Table'!B34</f>
        <v>France</v>
      </c>
      <c r="D25" s="241"/>
      <c r="E25" s="240"/>
      <c r="I25" s="226">
        <v>24</v>
      </c>
      <c r="J25" s="230" t="s">
        <v>1397</v>
      </c>
      <c r="K25" s="230">
        <v>-1</v>
      </c>
      <c r="L25" s="231">
        <v>4.1666666666666664E-2</v>
      </c>
      <c r="M25" s="226"/>
      <c r="N25" s="226"/>
      <c r="O25" s="234">
        <v>24</v>
      </c>
      <c r="P25" s="235">
        <f t="shared" si="0"/>
        <v>41810.541666666664</v>
      </c>
      <c r="Q25" s="236">
        <v>41810.541666666664</v>
      </c>
      <c r="R25" s="237">
        <f t="shared" si="1"/>
        <v>41810.541666666664</v>
      </c>
      <c r="AG25" s="225" t="s">
        <v>3096</v>
      </c>
    </row>
    <row r="26" spans="1:33" ht="15" customHeight="1">
      <c r="A26" s="321"/>
      <c r="B26" s="239"/>
      <c r="C26" s="240" t="str">
        <f>'Dummy Table'!B35</f>
        <v>Honduras</v>
      </c>
      <c r="D26" s="240"/>
      <c r="E26" s="240"/>
      <c r="I26" s="226">
        <v>25</v>
      </c>
      <c r="J26" s="230" t="s">
        <v>1398</v>
      </c>
      <c r="K26" s="230">
        <v>0</v>
      </c>
      <c r="L26" s="231">
        <v>0</v>
      </c>
      <c r="M26" s="226"/>
      <c r="N26" s="226"/>
      <c r="O26" s="234">
        <v>25</v>
      </c>
      <c r="P26" s="235">
        <f t="shared" si="0"/>
        <v>41810.666666666664</v>
      </c>
      <c r="Q26" s="236">
        <v>41810.666666666664</v>
      </c>
      <c r="R26" s="237">
        <f t="shared" si="1"/>
        <v>41810.666666666664</v>
      </c>
      <c r="AG26" s="225" t="s">
        <v>837</v>
      </c>
    </row>
    <row r="27" spans="1:33" ht="15" customHeight="1">
      <c r="A27" s="321"/>
      <c r="B27" s="239"/>
      <c r="C27" s="240" t="str">
        <f>'Dummy Table'!B39</f>
        <v>Argentina</v>
      </c>
      <c r="D27" s="241"/>
      <c r="E27" s="240"/>
      <c r="I27" s="226">
        <v>26</v>
      </c>
      <c r="J27" s="230" t="s">
        <v>1399</v>
      </c>
      <c r="K27" s="230">
        <v>13</v>
      </c>
      <c r="L27" s="231">
        <v>0.54166666666666663</v>
      </c>
      <c r="M27" s="226"/>
      <c r="N27" s="226"/>
      <c r="O27" s="234">
        <v>26</v>
      </c>
      <c r="P27" s="235">
        <f t="shared" si="0"/>
        <v>41810.791666666664</v>
      </c>
      <c r="Q27" s="236">
        <v>41810.791666666664</v>
      </c>
      <c r="R27" s="237">
        <f t="shared" si="1"/>
        <v>41810.791666666664</v>
      </c>
      <c r="AG27" s="225" t="s">
        <v>826</v>
      </c>
    </row>
    <row r="28" spans="1:33" ht="15" customHeight="1">
      <c r="A28" s="321"/>
      <c r="B28" s="239"/>
      <c r="C28" s="240" t="str">
        <f>'Dummy Table'!B40</f>
        <v>Bosnia-Herzegovina</v>
      </c>
      <c r="D28" s="241"/>
      <c r="E28" s="240"/>
      <c r="I28" s="226">
        <v>27</v>
      </c>
      <c r="J28" s="230" t="s">
        <v>1400</v>
      </c>
      <c r="K28" s="230">
        <v>5</v>
      </c>
      <c r="L28" s="231">
        <v>0.20833333333333334</v>
      </c>
      <c r="M28" s="226"/>
      <c r="N28" s="226"/>
      <c r="O28" s="234">
        <v>27</v>
      </c>
      <c r="P28" s="235">
        <f t="shared" si="0"/>
        <v>41811.541666666664</v>
      </c>
      <c r="Q28" s="236">
        <v>41811.541666666664</v>
      </c>
      <c r="R28" s="237">
        <f t="shared" si="1"/>
        <v>41811.541666666664</v>
      </c>
      <c r="AG28" s="225" t="s">
        <v>3561</v>
      </c>
    </row>
    <row r="29" spans="1:33" ht="15" customHeight="1">
      <c r="A29" s="321"/>
      <c r="B29" s="239"/>
      <c r="C29" s="240" t="str">
        <f>'Dummy Table'!B41</f>
        <v>Iran</v>
      </c>
      <c r="D29" s="240"/>
      <c r="E29" s="240"/>
      <c r="I29" s="226">
        <v>28</v>
      </c>
      <c r="J29" s="230" t="s">
        <v>1401</v>
      </c>
      <c r="K29" s="230">
        <v>6</v>
      </c>
      <c r="L29" s="231">
        <v>0.25</v>
      </c>
      <c r="M29" s="226"/>
      <c r="N29" s="226"/>
      <c r="O29" s="234">
        <v>28</v>
      </c>
      <c r="P29" s="235">
        <f t="shared" si="0"/>
        <v>41811.791666666664</v>
      </c>
      <c r="Q29" s="236">
        <v>41811.791666666664</v>
      </c>
      <c r="R29" s="237">
        <f t="shared" si="1"/>
        <v>41811.791666666664</v>
      </c>
      <c r="AG29" s="225" t="s">
        <v>3562</v>
      </c>
    </row>
    <row r="30" spans="1:33" ht="15" customHeight="1">
      <c r="A30" s="321"/>
      <c r="B30" s="239"/>
      <c r="C30" s="240" t="str">
        <f>'Dummy Table'!B42</f>
        <v>Nigeria</v>
      </c>
      <c r="D30" s="240"/>
      <c r="E30" s="240"/>
      <c r="I30" s="226">
        <v>29</v>
      </c>
      <c r="J30" s="230" t="s">
        <v>1402</v>
      </c>
      <c r="K30" s="230">
        <v>5</v>
      </c>
      <c r="L30" s="231">
        <v>0.20833333333333334</v>
      </c>
      <c r="M30" s="226"/>
      <c r="N30" s="226"/>
      <c r="O30" s="234">
        <v>29</v>
      </c>
      <c r="P30" s="235">
        <f t="shared" si="0"/>
        <v>41811.666666666664</v>
      </c>
      <c r="Q30" s="236">
        <v>41811.666666666664</v>
      </c>
      <c r="R30" s="237">
        <f t="shared" si="1"/>
        <v>41811.666666666664</v>
      </c>
      <c r="AG30" s="225" t="s">
        <v>827</v>
      </c>
    </row>
    <row r="31" spans="1:33" ht="15" customHeight="1">
      <c r="A31" s="321"/>
      <c r="B31" s="239"/>
      <c r="C31" s="240" t="str">
        <f>'Dummy Table'!B48</f>
        <v>Ghana</v>
      </c>
      <c r="D31" s="241"/>
      <c r="E31" s="240"/>
      <c r="I31" s="226">
        <v>30</v>
      </c>
      <c r="J31" s="230" t="s">
        <v>1403</v>
      </c>
      <c r="K31" s="230">
        <v>0</v>
      </c>
      <c r="L31" s="231">
        <v>0</v>
      </c>
      <c r="M31" s="226"/>
      <c r="N31" s="226"/>
      <c r="O31" s="234">
        <v>30</v>
      </c>
      <c r="P31" s="235">
        <f t="shared" si="0"/>
        <v>41812.791666666664</v>
      </c>
      <c r="Q31" s="236">
        <v>41812.791666666664</v>
      </c>
      <c r="R31" s="237">
        <f t="shared" si="1"/>
        <v>41812.791666666664</v>
      </c>
      <c r="AG31" s="225" t="s">
        <v>3091</v>
      </c>
    </row>
    <row r="32" spans="1:33" ht="15" customHeight="1">
      <c r="A32" s="321"/>
      <c r="B32" s="239"/>
      <c r="C32" s="240" t="str">
        <f>'Dummy Table'!B49</f>
        <v>USA</v>
      </c>
      <c r="D32" s="240"/>
      <c r="E32" s="240"/>
      <c r="I32" s="226">
        <v>31</v>
      </c>
      <c r="J32" s="230" t="s">
        <v>1404</v>
      </c>
      <c r="K32" s="230">
        <v>5</v>
      </c>
      <c r="L32" s="231">
        <v>0.20833333333333334</v>
      </c>
      <c r="M32" s="226"/>
      <c r="N32" s="226"/>
      <c r="O32" s="234">
        <v>31</v>
      </c>
      <c r="P32" s="235">
        <f t="shared" si="0"/>
        <v>41812.541666666664</v>
      </c>
      <c r="Q32" s="236">
        <v>41812.541666666664</v>
      </c>
      <c r="R32" s="237">
        <f t="shared" si="1"/>
        <v>41812.541666666664</v>
      </c>
      <c r="AG32" s="225" t="s">
        <v>3090</v>
      </c>
    </row>
    <row r="33" spans="1:33" ht="15" customHeight="1">
      <c r="A33" s="321"/>
      <c r="B33" s="239"/>
      <c r="C33" s="240" t="str">
        <f>'Dummy Table'!B46</f>
        <v>Germany</v>
      </c>
      <c r="D33" s="241"/>
      <c r="E33" s="240"/>
      <c r="I33" s="226">
        <v>32</v>
      </c>
      <c r="J33" s="230" t="s">
        <v>1405</v>
      </c>
      <c r="K33" s="230">
        <v>13</v>
      </c>
      <c r="L33" s="231">
        <v>0.54166666666666663</v>
      </c>
      <c r="M33" s="226"/>
      <c r="N33" s="226"/>
      <c r="O33" s="234">
        <v>32</v>
      </c>
      <c r="P33" s="235">
        <f t="shared" si="0"/>
        <v>41812.666666666664</v>
      </c>
      <c r="Q33" s="243">
        <v>41812.666666666664</v>
      </c>
      <c r="R33" s="237">
        <f t="shared" si="1"/>
        <v>41812.666666666664</v>
      </c>
      <c r="AG33" s="225" t="s">
        <v>833</v>
      </c>
    </row>
    <row r="34" spans="1:33" ht="15" customHeight="1">
      <c r="A34" s="321"/>
      <c r="B34" s="239"/>
      <c r="C34" s="240" t="str">
        <f>'Dummy Table'!B47</f>
        <v>Portugal</v>
      </c>
      <c r="D34" s="240"/>
      <c r="E34" s="240"/>
      <c r="I34" s="226">
        <v>33</v>
      </c>
      <c r="J34" s="230" t="s">
        <v>1406</v>
      </c>
      <c r="K34" s="230">
        <v>5</v>
      </c>
      <c r="L34" s="231">
        <v>0.20833333333333334</v>
      </c>
      <c r="M34" s="226"/>
      <c r="N34" s="226"/>
      <c r="O34" s="234">
        <v>33</v>
      </c>
      <c r="P34" s="235">
        <f t="shared" si="0"/>
        <v>41813.708333333336</v>
      </c>
      <c r="Q34" s="243">
        <v>41813.708333333336</v>
      </c>
      <c r="R34" s="237">
        <f t="shared" si="1"/>
        <v>41813.708333333336</v>
      </c>
      <c r="AG34" s="225" t="s">
        <v>830</v>
      </c>
    </row>
    <row r="35" spans="1:33" ht="15" customHeight="1">
      <c r="A35" s="321"/>
      <c r="B35" s="239"/>
      <c r="C35" s="240" t="str">
        <f>'Dummy Table'!B55</f>
        <v>Russia</v>
      </c>
      <c r="D35" s="240"/>
      <c r="E35" s="240"/>
      <c r="I35" s="226">
        <v>34</v>
      </c>
      <c r="J35" s="230" t="s">
        <v>1407</v>
      </c>
      <c r="K35" s="230">
        <v>-1.5</v>
      </c>
      <c r="L35" s="231">
        <v>6.25E-2</v>
      </c>
      <c r="M35" s="226"/>
      <c r="N35" s="226"/>
      <c r="O35" s="234">
        <v>34</v>
      </c>
      <c r="P35" s="235">
        <f t="shared" si="0"/>
        <v>41813.708333333336</v>
      </c>
      <c r="Q35" s="243">
        <v>41813.708333333336</v>
      </c>
      <c r="R35" s="237">
        <f t="shared" si="1"/>
        <v>41813.708333333336</v>
      </c>
      <c r="AG35" s="225" t="s">
        <v>3564</v>
      </c>
    </row>
    <row r="36" spans="1:33" ht="15" customHeight="1">
      <c r="A36" s="321"/>
      <c r="B36" s="239"/>
      <c r="C36" s="240" t="str">
        <f>'Dummy Table'!B56</f>
        <v>South Korea</v>
      </c>
      <c r="D36" s="241"/>
      <c r="E36" s="240"/>
      <c r="I36" s="226">
        <v>35</v>
      </c>
      <c r="J36" s="230" t="s">
        <v>1408</v>
      </c>
      <c r="K36" s="230">
        <v>3</v>
      </c>
      <c r="L36" s="231">
        <v>0.125</v>
      </c>
      <c r="M36" s="226"/>
      <c r="N36" s="226"/>
      <c r="O36" s="234">
        <v>35</v>
      </c>
      <c r="P36" s="235">
        <f t="shared" si="0"/>
        <v>41813.541666666664</v>
      </c>
      <c r="Q36" s="243">
        <v>41813.541666666664</v>
      </c>
      <c r="R36" s="237">
        <f t="shared" si="1"/>
        <v>41813.541666666664</v>
      </c>
      <c r="AG36" s="225" t="s">
        <v>831</v>
      </c>
    </row>
    <row r="37" spans="1:33" ht="15" customHeight="1">
      <c r="A37" s="321"/>
      <c r="B37" s="239"/>
      <c r="C37" s="240" t="str">
        <f>'Dummy Table'!B53</f>
        <v>Belgium</v>
      </c>
      <c r="D37" s="240"/>
      <c r="E37" s="240"/>
      <c r="I37" s="226">
        <v>36</v>
      </c>
      <c r="J37" s="230" t="s">
        <v>1409</v>
      </c>
      <c r="K37" s="230">
        <v>-2</v>
      </c>
      <c r="L37" s="231">
        <v>8.3333333333333329E-2</v>
      </c>
      <c r="M37" s="226"/>
      <c r="N37" s="226"/>
      <c r="O37" s="234">
        <v>36</v>
      </c>
      <c r="P37" s="235">
        <f t="shared" si="0"/>
        <v>41813.541666666664</v>
      </c>
      <c r="Q37" s="243">
        <v>41813.541666666664</v>
      </c>
      <c r="R37" s="237">
        <f t="shared" si="1"/>
        <v>41813.541666666664</v>
      </c>
      <c r="AG37" s="225" t="s">
        <v>3563</v>
      </c>
    </row>
    <row r="38" spans="1:33" ht="15" customHeight="1">
      <c r="A38" s="321"/>
      <c r="B38" s="239"/>
      <c r="C38" s="240" t="str">
        <f>'Dummy Table'!B54</f>
        <v>Algeria</v>
      </c>
      <c r="D38" s="240"/>
      <c r="E38" s="240"/>
      <c r="I38" s="226">
        <v>37</v>
      </c>
      <c r="J38" s="230" t="s">
        <v>1410</v>
      </c>
      <c r="K38" s="230">
        <v>5</v>
      </c>
      <c r="L38" s="231">
        <v>0.20833333333333334</v>
      </c>
      <c r="M38" s="226"/>
      <c r="N38" s="226"/>
      <c r="O38" s="234">
        <v>37</v>
      </c>
      <c r="P38" s="235">
        <f t="shared" si="0"/>
        <v>41814.708333333336</v>
      </c>
      <c r="Q38" s="243">
        <v>41814.708333333336</v>
      </c>
      <c r="R38" s="237">
        <f t="shared" si="1"/>
        <v>41814.708333333336</v>
      </c>
      <c r="AG38" s="225" t="s">
        <v>828</v>
      </c>
    </row>
    <row r="39" spans="1:33" ht="15" customHeight="1">
      <c r="I39" s="226">
        <v>38</v>
      </c>
      <c r="J39" s="230" t="s">
        <v>1411</v>
      </c>
      <c r="K39" s="230">
        <v>12.5</v>
      </c>
      <c r="L39" s="231">
        <v>0.52083333333333337</v>
      </c>
      <c r="M39" s="226"/>
      <c r="N39" s="226"/>
      <c r="O39" s="234">
        <v>38</v>
      </c>
      <c r="P39" s="235">
        <f t="shared" si="0"/>
        <v>41814.708333333336</v>
      </c>
      <c r="Q39" s="243">
        <v>41814.708333333336</v>
      </c>
      <c r="R39" s="237">
        <f t="shared" si="1"/>
        <v>41814.708333333336</v>
      </c>
    </row>
    <row r="40" spans="1:33" ht="15" customHeight="1">
      <c r="I40" s="226">
        <v>39</v>
      </c>
      <c r="J40" s="230" t="s">
        <v>1412</v>
      </c>
      <c r="K40" s="230">
        <v>-3</v>
      </c>
      <c r="L40" s="231">
        <v>0.125</v>
      </c>
      <c r="M40" s="226"/>
      <c r="N40" s="226"/>
      <c r="O40" s="234">
        <v>39</v>
      </c>
      <c r="P40" s="235">
        <f t="shared" si="0"/>
        <v>41814.541666666664</v>
      </c>
      <c r="Q40" s="243">
        <v>41814.541666666664</v>
      </c>
      <c r="R40" s="237">
        <f t="shared" si="1"/>
        <v>41814.541666666664</v>
      </c>
    </row>
    <row r="41" spans="1:33" ht="15" customHeight="1">
      <c r="I41" s="226">
        <v>40</v>
      </c>
      <c r="J41" s="230" t="s">
        <v>1413</v>
      </c>
      <c r="K41" s="230">
        <v>-1</v>
      </c>
      <c r="L41" s="231">
        <v>4.1666666666666664E-2</v>
      </c>
      <c r="M41" s="226"/>
      <c r="N41" s="226"/>
      <c r="O41" s="234">
        <v>40</v>
      </c>
      <c r="P41" s="235">
        <f t="shared" si="0"/>
        <v>41814.541666666664</v>
      </c>
      <c r="Q41" s="243">
        <v>41814.541666666664</v>
      </c>
      <c r="R41" s="237">
        <f t="shared" si="1"/>
        <v>41814.541666666664</v>
      </c>
    </row>
    <row r="42" spans="1:33" ht="15" customHeight="1">
      <c r="I42" s="226">
        <v>41</v>
      </c>
      <c r="J42" s="230" t="s">
        <v>1414</v>
      </c>
      <c r="K42" s="230">
        <v>9</v>
      </c>
      <c r="L42" s="231">
        <v>0.375</v>
      </c>
      <c r="M42" s="226"/>
      <c r="N42" s="226"/>
      <c r="O42" s="234">
        <v>41</v>
      </c>
      <c r="P42" s="235">
        <f t="shared" si="0"/>
        <v>41815.708333333336</v>
      </c>
      <c r="Q42" s="243">
        <v>41815.708333333336</v>
      </c>
      <c r="R42" s="237">
        <f t="shared" si="1"/>
        <v>41815.708333333336</v>
      </c>
    </row>
    <row r="43" spans="1:33" ht="15" customHeight="1">
      <c r="I43" s="226">
        <v>42</v>
      </c>
      <c r="J43" s="230" t="s">
        <v>1415</v>
      </c>
      <c r="K43" s="230">
        <v>7</v>
      </c>
      <c r="L43" s="231">
        <v>0.29166666666666669</v>
      </c>
      <c r="M43" s="226"/>
      <c r="N43" s="226"/>
      <c r="O43" s="234">
        <v>42</v>
      </c>
      <c r="P43" s="235">
        <f t="shared" si="0"/>
        <v>41815.708333333336</v>
      </c>
      <c r="Q43" s="243">
        <v>41815.708333333336</v>
      </c>
      <c r="R43" s="237">
        <f t="shared" si="1"/>
        <v>41815.708333333336</v>
      </c>
    </row>
    <row r="44" spans="1:33" ht="15" customHeight="1">
      <c r="I44" s="226">
        <v>43</v>
      </c>
      <c r="J44" s="230" t="s">
        <v>1416</v>
      </c>
      <c r="K44" s="230">
        <v>4</v>
      </c>
      <c r="L44" s="231">
        <v>0.16666666666666666</v>
      </c>
      <c r="M44" s="226"/>
      <c r="N44" s="226"/>
      <c r="O44" s="234">
        <v>43</v>
      </c>
      <c r="P44" s="235">
        <f t="shared" si="0"/>
        <v>41815.541666666664</v>
      </c>
      <c r="Q44" s="243">
        <v>41815.541666666664</v>
      </c>
      <c r="R44" s="237">
        <f t="shared" si="1"/>
        <v>41815.541666666664</v>
      </c>
    </row>
    <row r="45" spans="1:33" ht="15" customHeight="1">
      <c r="I45" s="226">
        <v>44</v>
      </c>
      <c r="J45" s="230" t="s">
        <v>1417</v>
      </c>
      <c r="K45" s="230">
        <v>-3</v>
      </c>
      <c r="L45" s="231">
        <v>0.125</v>
      </c>
      <c r="M45" s="226"/>
      <c r="N45" s="226"/>
      <c r="O45" s="234">
        <v>44</v>
      </c>
      <c r="P45" s="235">
        <f t="shared" si="0"/>
        <v>41815.541666666664</v>
      </c>
      <c r="Q45" s="243">
        <v>41815.541666666664</v>
      </c>
      <c r="R45" s="237">
        <f t="shared" si="1"/>
        <v>41815.541666666664</v>
      </c>
    </row>
    <row r="46" spans="1:33" ht="15" customHeight="1">
      <c r="I46" s="226">
        <v>45</v>
      </c>
      <c r="J46" s="230" t="s">
        <v>1418</v>
      </c>
      <c r="K46" s="230">
        <v>5</v>
      </c>
      <c r="L46" s="231">
        <v>0.20833333333333334</v>
      </c>
      <c r="M46" s="226"/>
      <c r="N46" s="226"/>
      <c r="O46" s="234">
        <v>45</v>
      </c>
      <c r="P46" s="235">
        <f t="shared" si="0"/>
        <v>41816.541666666664</v>
      </c>
      <c r="Q46" s="243">
        <v>41816.541666666664</v>
      </c>
      <c r="R46" s="237">
        <f t="shared" si="1"/>
        <v>41816.541666666664</v>
      </c>
    </row>
    <row r="47" spans="1:33" ht="15" customHeight="1">
      <c r="I47" s="226">
        <v>46</v>
      </c>
      <c r="J47" s="230" t="s">
        <v>1419</v>
      </c>
      <c r="K47" s="230">
        <v>5</v>
      </c>
      <c r="L47" s="231">
        <v>0.20833333333333334</v>
      </c>
      <c r="M47" s="226"/>
      <c r="N47" s="226"/>
      <c r="O47" s="234">
        <v>46</v>
      </c>
      <c r="P47" s="235">
        <f t="shared" si="0"/>
        <v>41816.541666666664</v>
      </c>
      <c r="Q47" s="243">
        <v>41816.541666666664</v>
      </c>
      <c r="R47" s="237">
        <f t="shared" si="1"/>
        <v>41816.541666666664</v>
      </c>
    </row>
    <row r="48" spans="1:33" ht="15" customHeight="1">
      <c r="I48" s="226">
        <v>47</v>
      </c>
      <c r="J48" s="230" t="s">
        <v>1420</v>
      </c>
      <c r="K48" s="230">
        <v>-3</v>
      </c>
      <c r="L48" s="231">
        <v>0.125</v>
      </c>
      <c r="M48" s="226"/>
      <c r="N48" s="226"/>
      <c r="O48" s="234">
        <v>47</v>
      </c>
      <c r="P48" s="235">
        <f t="shared" si="0"/>
        <v>41816.708333333336</v>
      </c>
      <c r="Q48" s="243">
        <v>41816.708333333336</v>
      </c>
      <c r="R48" s="237">
        <f t="shared" si="1"/>
        <v>41816.708333333336</v>
      </c>
    </row>
    <row r="49" spans="9:29" ht="15" customHeight="1">
      <c r="I49" s="226">
        <v>48</v>
      </c>
      <c r="J49" s="230" t="s">
        <v>1421</v>
      </c>
      <c r="K49" s="230">
        <v>0</v>
      </c>
      <c r="L49" s="231">
        <v>0</v>
      </c>
      <c r="M49" s="226"/>
      <c r="N49" s="226"/>
      <c r="O49" s="234">
        <v>48</v>
      </c>
      <c r="P49" s="235">
        <f t="shared" si="0"/>
        <v>41816.708333333336</v>
      </c>
      <c r="Q49" s="243">
        <v>41816.708333333336</v>
      </c>
      <c r="R49" s="237">
        <f t="shared" si="1"/>
        <v>41816.708333333336</v>
      </c>
    </row>
    <row r="50" spans="9:29" ht="15" customHeight="1">
      <c r="I50" s="226">
        <v>49</v>
      </c>
      <c r="J50" s="230" t="s">
        <v>1422</v>
      </c>
      <c r="K50" s="230">
        <v>10</v>
      </c>
      <c r="L50" s="231">
        <v>0.41666666666666669</v>
      </c>
      <c r="M50" s="226"/>
      <c r="N50" s="226"/>
      <c r="O50" s="234">
        <v>49</v>
      </c>
      <c r="P50" s="235">
        <f t="shared" si="0"/>
        <v>41818.541666666664</v>
      </c>
      <c r="Q50" s="243">
        <v>41818.541666666664</v>
      </c>
      <c r="R50" s="237">
        <f t="shared" si="1"/>
        <v>41818.541666666664</v>
      </c>
    </row>
    <row r="51" spans="9:29" ht="15" customHeight="1">
      <c r="I51" s="226">
        <v>50</v>
      </c>
      <c r="J51" s="230" t="s">
        <v>1423</v>
      </c>
      <c r="K51" s="230">
        <v>5</v>
      </c>
      <c r="L51" s="231">
        <v>0.20833333333333334</v>
      </c>
      <c r="M51" s="226"/>
      <c r="N51" s="226"/>
      <c r="O51" s="234">
        <v>50</v>
      </c>
      <c r="P51" s="235">
        <f t="shared" si="0"/>
        <v>41818.708333333336</v>
      </c>
      <c r="Q51" s="243">
        <v>41818.708333333336</v>
      </c>
      <c r="R51" s="237">
        <f t="shared" si="1"/>
        <v>41818.708333333336</v>
      </c>
    </row>
    <row r="52" spans="9:29" ht="15" customHeight="1">
      <c r="I52" s="226">
        <v>51</v>
      </c>
      <c r="J52" s="230" t="s">
        <v>1424</v>
      </c>
      <c r="K52" s="230">
        <v>-1</v>
      </c>
      <c r="L52" s="231">
        <v>4.1666666666666664E-2</v>
      </c>
      <c r="M52" s="226"/>
      <c r="N52" s="226"/>
      <c r="O52" s="234">
        <v>51</v>
      </c>
      <c r="P52" s="235">
        <f t="shared" si="0"/>
        <v>41819.541666666664</v>
      </c>
      <c r="Q52" s="243">
        <v>41819.541666666664</v>
      </c>
      <c r="R52" s="237">
        <f t="shared" si="1"/>
        <v>41819.541666666664</v>
      </c>
    </row>
    <row r="53" spans="9:29" ht="15" customHeight="1">
      <c r="I53" s="226">
        <v>52</v>
      </c>
      <c r="J53" s="230" t="s">
        <v>1425</v>
      </c>
      <c r="K53" s="230">
        <v>6</v>
      </c>
      <c r="L53" s="231">
        <v>0.25</v>
      </c>
      <c r="M53" s="226"/>
      <c r="N53" s="226"/>
      <c r="O53" s="234">
        <v>52</v>
      </c>
      <c r="P53" s="235">
        <f t="shared" si="0"/>
        <v>41819.708333333336</v>
      </c>
      <c r="Q53" s="243">
        <v>41819.708333333336</v>
      </c>
      <c r="R53" s="237">
        <f t="shared" si="1"/>
        <v>41819.708333333336</v>
      </c>
      <c r="T53" s="244"/>
      <c r="U53" s="244"/>
      <c r="V53" s="244"/>
      <c r="W53" s="244"/>
      <c r="X53" s="244"/>
      <c r="Y53" s="244"/>
      <c r="Z53" s="244"/>
      <c r="AA53" s="244"/>
      <c r="AB53" s="244"/>
      <c r="AC53" s="244"/>
    </row>
    <row r="54" spans="9:29" ht="15" customHeight="1">
      <c r="I54" s="226">
        <v>53</v>
      </c>
      <c r="J54" s="230" t="s">
        <v>1426</v>
      </c>
      <c r="K54" s="230">
        <v>11</v>
      </c>
      <c r="L54" s="231">
        <v>0.45833333333333331</v>
      </c>
      <c r="M54" s="226"/>
      <c r="N54" s="226"/>
      <c r="O54" s="234">
        <v>53</v>
      </c>
      <c r="P54" s="235">
        <f t="shared" si="0"/>
        <v>41820.541666666664</v>
      </c>
      <c r="Q54" s="243">
        <v>41820.541666666664</v>
      </c>
      <c r="R54" s="237">
        <f t="shared" si="1"/>
        <v>41820.541666666664</v>
      </c>
    </row>
    <row r="55" spans="9:29" ht="15" customHeight="1">
      <c r="I55" s="226">
        <v>54</v>
      </c>
      <c r="J55" s="230" t="s">
        <v>1427</v>
      </c>
      <c r="K55" s="230">
        <v>-7</v>
      </c>
      <c r="L55" s="231">
        <v>0.29166666666666669</v>
      </c>
      <c r="M55" s="226"/>
      <c r="N55" s="226"/>
      <c r="O55" s="234">
        <v>54</v>
      </c>
      <c r="P55" s="235">
        <f t="shared" si="0"/>
        <v>41820.708333333336</v>
      </c>
      <c r="Q55" s="243">
        <v>41820.708333333336</v>
      </c>
      <c r="R55" s="237">
        <f t="shared" si="1"/>
        <v>41820.708333333336</v>
      </c>
    </row>
    <row r="56" spans="9:29" ht="15" customHeight="1">
      <c r="I56" s="226">
        <v>55</v>
      </c>
      <c r="J56" s="230" t="s">
        <v>1428</v>
      </c>
      <c r="K56" s="230">
        <v>-2</v>
      </c>
      <c r="L56" s="231">
        <v>8.3333333333333329E-2</v>
      </c>
      <c r="M56" s="226"/>
      <c r="N56" s="226"/>
      <c r="O56" s="234">
        <v>55</v>
      </c>
      <c r="P56" s="235">
        <f t="shared" si="0"/>
        <v>41821.541666666664</v>
      </c>
      <c r="Q56" s="243">
        <v>41821.541666666664</v>
      </c>
      <c r="R56" s="237">
        <f t="shared" si="1"/>
        <v>41821.541666666664</v>
      </c>
    </row>
    <row r="57" spans="9:29" ht="15" customHeight="1">
      <c r="I57" s="226">
        <v>56</v>
      </c>
      <c r="J57" s="230" t="s">
        <v>1429</v>
      </c>
      <c r="K57" s="230">
        <v>-1</v>
      </c>
      <c r="L57" s="231">
        <v>4.1666666666666664E-2</v>
      </c>
      <c r="M57" s="226"/>
      <c r="N57" s="226"/>
      <c r="O57" s="234">
        <v>56</v>
      </c>
      <c r="P57" s="235">
        <f t="shared" si="0"/>
        <v>41821.708333333336</v>
      </c>
      <c r="Q57" s="243">
        <v>41821.708333333336</v>
      </c>
      <c r="R57" s="237">
        <f t="shared" si="1"/>
        <v>41821.708333333336</v>
      </c>
    </row>
    <row r="58" spans="9:29" ht="15" customHeight="1">
      <c r="I58" s="226">
        <v>57</v>
      </c>
      <c r="J58" s="230" t="s">
        <v>1430</v>
      </c>
      <c r="K58" s="230">
        <v>8</v>
      </c>
      <c r="L58" s="231">
        <v>0.33333333333333331</v>
      </c>
      <c r="M58" s="226"/>
      <c r="N58" s="226"/>
      <c r="O58" s="234">
        <v>57</v>
      </c>
      <c r="P58" s="235">
        <f t="shared" si="0"/>
        <v>41824.708333333336</v>
      </c>
      <c r="Q58" s="243">
        <v>41824.708333333336</v>
      </c>
      <c r="R58" s="237">
        <f t="shared" si="1"/>
        <v>41824.708333333336</v>
      </c>
    </row>
    <row r="59" spans="9:29" ht="15" customHeight="1">
      <c r="I59" s="226">
        <v>58</v>
      </c>
      <c r="J59" s="230" t="s">
        <v>1431</v>
      </c>
      <c r="K59" s="230">
        <v>6</v>
      </c>
      <c r="L59" s="231">
        <v>0.25</v>
      </c>
      <c r="M59" s="226"/>
      <c r="N59" s="226"/>
      <c r="O59" s="234">
        <v>58</v>
      </c>
      <c r="P59" s="235">
        <f t="shared" si="0"/>
        <v>41824.541666666664</v>
      </c>
      <c r="Q59" s="243">
        <v>41824.541666666664</v>
      </c>
      <c r="R59" s="237">
        <f t="shared" si="1"/>
        <v>41824.541666666664</v>
      </c>
    </row>
    <row r="60" spans="9:29" ht="15" customHeight="1">
      <c r="I60" s="226">
        <v>59</v>
      </c>
      <c r="J60" s="230" t="s">
        <v>1432</v>
      </c>
      <c r="K60" s="230">
        <v>10</v>
      </c>
      <c r="L60" s="231">
        <v>0.41666666666666669</v>
      </c>
      <c r="M60" s="226"/>
      <c r="N60" s="226"/>
      <c r="O60" s="234">
        <v>59</v>
      </c>
      <c r="P60" s="235">
        <f t="shared" si="0"/>
        <v>41825.708333333336</v>
      </c>
      <c r="Q60" s="243">
        <v>41825.708333333336</v>
      </c>
      <c r="R60" s="237">
        <f t="shared" si="1"/>
        <v>41825.708333333336</v>
      </c>
    </row>
    <row r="61" spans="9:29" ht="15" customHeight="1">
      <c r="I61" s="226">
        <v>60</v>
      </c>
      <c r="J61" s="230" t="s">
        <v>1433</v>
      </c>
      <c r="K61" s="230">
        <v>6</v>
      </c>
      <c r="L61" s="231">
        <v>0.25</v>
      </c>
      <c r="M61" s="226"/>
      <c r="N61" s="226"/>
      <c r="O61" s="234">
        <v>60</v>
      </c>
      <c r="P61" s="235">
        <f t="shared" si="0"/>
        <v>41825.541666666664</v>
      </c>
      <c r="Q61" s="243">
        <v>41825.541666666664</v>
      </c>
      <c r="R61" s="237">
        <f t="shared" si="1"/>
        <v>41825.541666666664</v>
      </c>
    </row>
    <row r="62" spans="9:29" ht="15" customHeight="1">
      <c r="I62" s="226">
        <v>61</v>
      </c>
      <c r="J62" s="230" t="s">
        <v>1434</v>
      </c>
      <c r="K62" s="230">
        <v>5</v>
      </c>
      <c r="L62" s="231">
        <v>0.20833333333333334</v>
      </c>
      <c r="M62" s="226"/>
      <c r="N62" s="226"/>
      <c r="O62" s="234">
        <v>61</v>
      </c>
      <c r="P62" s="235">
        <f t="shared" si="0"/>
        <v>41828.708333333336</v>
      </c>
      <c r="Q62" s="243">
        <v>41828.708333333336</v>
      </c>
      <c r="R62" s="237">
        <f t="shared" si="1"/>
        <v>41828.708333333336</v>
      </c>
    </row>
    <row r="63" spans="9:29" ht="15" customHeight="1">
      <c r="I63" s="226">
        <v>62</v>
      </c>
      <c r="J63" s="230" t="s">
        <v>1435</v>
      </c>
      <c r="K63" s="230">
        <v>7.5</v>
      </c>
      <c r="L63" s="231">
        <v>0.3125</v>
      </c>
      <c r="M63" s="226"/>
      <c r="N63" s="226"/>
      <c r="O63" s="234">
        <v>62</v>
      </c>
      <c r="P63" s="235">
        <f t="shared" si="0"/>
        <v>41829.708333333336</v>
      </c>
      <c r="Q63" s="243">
        <v>41829.708333333336</v>
      </c>
      <c r="R63" s="237">
        <f t="shared" si="1"/>
        <v>41829.708333333336</v>
      </c>
    </row>
    <row r="64" spans="9:29" ht="15" customHeight="1">
      <c r="I64" s="226">
        <v>63</v>
      </c>
      <c r="J64" s="230" t="s">
        <v>1436</v>
      </c>
      <c r="K64" s="230">
        <v>16</v>
      </c>
      <c r="L64" s="231">
        <v>0.66666666666666663</v>
      </c>
      <c r="M64" s="226"/>
      <c r="N64" s="226"/>
      <c r="O64" s="234">
        <v>63</v>
      </c>
      <c r="P64" s="235">
        <f t="shared" si="0"/>
        <v>41832.708333333336</v>
      </c>
      <c r="Q64" s="243">
        <v>41832.708333333336</v>
      </c>
      <c r="R64" s="237">
        <f t="shared" si="1"/>
        <v>41832.708333333336</v>
      </c>
    </row>
    <row r="65" spans="9:18" ht="15" customHeight="1">
      <c r="I65" s="226">
        <v>64</v>
      </c>
      <c r="J65" s="230" t="s">
        <v>1437</v>
      </c>
      <c r="K65" s="230">
        <v>8</v>
      </c>
      <c r="L65" s="231">
        <v>0.33333333333333331</v>
      </c>
      <c r="M65" s="226"/>
      <c r="N65" s="226"/>
      <c r="O65" s="234">
        <v>64</v>
      </c>
      <c r="P65" s="235">
        <f t="shared" si="0"/>
        <v>41833.666666666664</v>
      </c>
      <c r="Q65" s="243">
        <v>41833.666666666664</v>
      </c>
      <c r="R65" s="237">
        <f t="shared" si="1"/>
        <v>41833.666666666664</v>
      </c>
    </row>
    <row r="66" spans="9:18" ht="15" customHeight="1">
      <c r="I66" s="226">
        <v>65</v>
      </c>
      <c r="J66" s="230" t="s">
        <v>1438</v>
      </c>
      <c r="K66" s="230">
        <v>6</v>
      </c>
      <c r="L66" s="231">
        <v>0.25</v>
      </c>
      <c r="M66" s="226"/>
      <c r="N66" s="226"/>
      <c r="O66" s="226"/>
      <c r="P66" s="226"/>
      <c r="Q66" s="228"/>
      <c r="R66" s="226"/>
    </row>
    <row r="67" spans="9:18" ht="15" customHeight="1">
      <c r="I67" s="226">
        <v>66</v>
      </c>
      <c r="J67" s="230" t="s">
        <v>1439</v>
      </c>
      <c r="K67" s="230">
        <v>-2</v>
      </c>
      <c r="L67" s="231">
        <v>8.3333333333333329E-2</v>
      </c>
      <c r="M67" s="226"/>
      <c r="N67" s="226"/>
      <c r="O67" s="226"/>
      <c r="P67" s="226"/>
      <c r="Q67" s="228"/>
      <c r="R67" s="226"/>
    </row>
    <row r="68" spans="9:18" ht="15" customHeight="1">
      <c r="I68" s="226">
        <v>67</v>
      </c>
      <c r="J68" s="230" t="s">
        <v>1440</v>
      </c>
      <c r="K68" s="242">
        <v>17</v>
      </c>
      <c r="L68" s="231">
        <v>0.70833333333333337</v>
      </c>
      <c r="M68" s="226"/>
      <c r="N68" s="226"/>
      <c r="O68" s="226"/>
      <c r="P68" s="226"/>
      <c r="Q68" s="228"/>
      <c r="R68" s="226"/>
    </row>
    <row r="69" spans="9:18" ht="15" customHeight="1">
      <c r="I69" s="226">
        <v>68</v>
      </c>
      <c r="J69" s="230" t="s">
        <v>1441</v>
      </c>
      <c r="K69" s="230">
        <v>8.5</v>
      </c>
      <c r="L69" s="231">
        <v>0.36805555555555558</v>
      </c>
      <c r="M69" s="226"/>
      <c r="N69" s="226"/>
      <c r="O69" s="226"/>
      <c r="P69" s="226"/>
      <c r="Q69" s="228"/>
      <c r="R69" s="226"/>
    </row>
    <row r="70" spans="9:18" ht="15" customHeight="1">
      <c r="I70" s="226">
        <v>69</v>
      </c>
      <c r="J70" s="230" t="s">
        <v>1442</v>
      </c>
      <c r="K70" s="230">
        <v>11</v>
      </c>
      <c r="L70" s="231">
        <v>0.45833333333333331</v>
      </c>
      <c r="M70" s="226"/>
      <c r="N70" s="226"/>
      <c r="O70" s="226"/>
      <c r="P70" s="226"/>
      <c r="Q70" s="228"/>
      <c r="R70" s="226"/>
    </row>
    <row r="71" spans="9:18" ht="15" customHeight="1">
      <c r="I71" s="226">
        <v>70</v>
      </c>
      <c r="J71" s="230" t="s">
        <v>1443</v>
      </c>
      <c r="K71" s="230">
        <v>6</v>
      </c>
      <c r="L71" s="231">
        <v>0.25</v>
      </c>
      <c r="M71" s="226"/>
      <c r="N71" s="226"/>
      <c r="O71" s="226"/>
      <c r="P71" s="226"/>
      <c r="Q71" s="228"/>
      <c r="R71" s="226"/>
    </row>
    <row r="72" spans="9:18" ht="15" customHeight="1">
      <c r="I72" s="226">
        <v>71</v>
      </c>
      <c r="J72" s="230" t="s">
        <v>1444</v>
      </c>
      <c r="K72" s="230">
        <v>6</v>
      </c>
      <c r="L72" s="231">
        <v>0.25</v>
      </c>
      <c r="M72" s="226"/>
      <c r="N72" s="226"/>
      <c r="O72" s="226"/>
      <c r="P72" s="226"/>
      <c r="Q72" s="228"/>
      <c r="R72" s="226"/>
    </row>
    <row r="73" spans="9:18" ht="15" customHeight="1">
      <c r="I73" s="226">
        <v>72</v>
      </c>
      <c r="J73" s="230" t="s">
        <v>1445</v>
      </c>
      <c r="K73" s="230">
        <v>-1</v>
      </c>
      <c r="L73" s="231">
        <v>4.1666666666666664E-2</v>
      </c>
      <c r="M73" s="226"/>
      <c r="N73" s="226"/>
      <c r="O73" s="226"/>
      <c r="P73" s="226"/>
      <c r="Q73" s="228"/>
      <c r="R73" s="226"/>
    </row>
    <row r="74" spans="9:18" ht="15" customHeight="1">
      <c r="I74" s="226">
        <v>73</v>
      </c>
      <c r="J74" s="230" t="s">
        <v>1446</v>
      </c>
      <c r="K74" s="230">
        <v>4</v>
      </c>
      <c r="L74" s="231">
        <v>0.16666666666666666</v>
      </c>
      <c r="M74" s="226"/>
      <c r="N74" s="226"/>
      <c r="O74" s="226"/>
      <c r="P74" s="226"/>
      <c r="Q74" s="228"/>
      <c r="R74" s="226"/>
    </row>
    <row r="75" spans="9:18" ht="15" customHeight="1">
      <c r="I75" s="226">
        <v>74</v>
      </c>
      <c r="J75" s="230" t="s">
        <v>1447</v>
      </c>
      <c r="K75" s="230">
        <v>8</v>
      </c>
      <c r="L75" s="231">
        <v>0.33333333333333331</v>
      </c>
      <c r="M75" s="226"/>
      <c r="N75" s="226"/>
      <c r="O75" s="226"/>
      <c r="P75" s="226"/>
      <c r="Q75" s="228"/>
      <c r="R75" s="226"/>
    </row>
    <row r="76" spans="9:18" ht="15" customHeight="1">
      <c r="I76" s="226">
        <v>75</v>
      </c>
      <c r="J76" s="230" t="s">
        <v>1448</v>
      </c>
      <c r="K76" s="230">
        <v>-2</v>
      </c>
      <c r="L76" s="231">
        <v>8.3333333333333329E-2</v>
      </c>
      <c r="M76" s="226"/>
      <c r="N76" s="226"/>
      <c r="O76" s="226"/>
      <c r="P76" s="226"/>
      <c r="Q76" s="228"/>
      <c r="R76" s="226"/>
    </row>
    <row r="77" spans="9:18" ht="15" customHeight="1">
      <c r="I77" s="226">
        <v>76</v>
      </c>
      <c r="J77" s="230" t="s">
        <v>1449</v>
      </c>
      <c r="K77" s="230">
        <v>4</v>
      </c>
      <c r="L77" s="231">
        <v>0.16666666666666666</v>
      </c>
      <c r="M77" s="226"/>
      <c r="N77" s="226"/>
      <c r="O77" s="226"/>
      <c r="P77" s="226"/>
      <c r="Q77" s="228"/>
      <c r="R77" s="226"/>
    </row>
    <row r="78" spans="9:18" ht="15" customHeight="1">
      <c r="I78" s="226">
        <v>77</v>
      </c>
      <c r="J78" s="230" t="s">
        <v>1450</v>
      </c>
      <c r="K78" s="230">
        <v>4</v>
      </c>
      <c r="L78" s="231">
        <v>0.16666666666666666</v>
      </c>
      <c r="M78" s="226"/>
      <c r="N78" s="226"/>
      <c r="O78" s="226"/>
      <c r="P78" s="226"/>
      <c r="Q78" s="228"/>
      <c r="R78" s="226"/>
    </row>
    <row r="79" spans="9:18" ht="15" customHeight="1">
      <c r="I79" s="226">
        <v>78</v>
      </c>
      <c r="J79" s="230" t="s">
        <v>1451</v>
      </c>
      <c r="K79" s="230">
        <v>-4</v>
      </c>
      <c r="L79" s="231">
        <v>0.16666666666666666</v>
      </c>
      <c r="M79" s="226"/>
      <c r="N79" s="226"/>
      <c r="O79" s="226"/>
      <c r="P79" s="226"/>
      <c r="Q79" s="243"/>
      <c r="R79" s="226"/>
    </row>
    <row r="80" spans="9:18" ht="15" customHeight="1">
      <c r="I80" s="226">
        <v>79</v>
      </c>
      <c r="J80" s="230" t="s">
        <v>1452</v>
      </c>
      <c r="K80" s="230">
        <v>5</v>
      </c>
      <c r="L80" s="231">
        <v>0.20833333333333334</v>
      </c>
      <c r="M80" s="226"/>
      <c r="N80" s="226"/>
      <c r="O80" s="226"/>
      <c r="P80" s="226"/>
      <c r="Q80" s="228"/>
      <c r="R80" s="226"/>
    </row>
    <row r="81" spans="9:18" ht="15" customHeight="1">
      <c r="I81" s="226">
        <v>80</v>
      </c>
      <c r="J81" s="230" t="s">
        <v>1453</v>
      </c>
      <c r="K81" s="230">
        <v>-3</v>
      </c>
      <c r="L81" s="231">
        <v>0.125</v>
      </c>
      <c r="M81" s="226"/>
      <c r="N81" s="226"/>
      <c r="O81" s="226"/>
      <c r="P81" s="226"/>
      <c r="Q81" s="228"/>
      <c r="R81" s="226"/>
    </row>
    <row r="82" spans="9:18" ht="15" customHeight="1">
      <c r="I82" s="226">
        <v>81</v>
      </c>
      <c r="J82" s="230" t="s">
        <v>1454</v>
      </c>
      <c r="K82" s="230">
        <v>11</v>
      </c>
      <c r="L82" s="231">
        <v>0.45833333333333331</v>
      </c>
      <c r="M82" s="226"/>
      <c r="N82" s="226"/>
      <c r="O82" s="226"/>
      <c r="P82" s="226"/>
      <c r="Q82" s="228"/>
      <c r="R82" s="226"/>
    </row>
    <row r="83" spans="9:18" ht="15" customHeight="1">
      <c r="I83" s="226">
        <v>82</v>
      </c>
      <c r="J83" s="230" t="s">
        <v>1455</v>
      </c>
      <c r="K83" s="230">
        <v>13</v>
      </c>
      <c r="L83" s="231">
        <v>0.54166666666666663</v>
      </c>
      <c r="M83" s="226"/>
      <c r="N83" s="226"/>
      <c r="O83" s="226"/>
      <c r="P83" s="226"/>
      <c r="Q83" s="228"/>
      <c r="R83" s="226"/>
    </row>
    <row r="84" spans="9:18" ht="15" customHeight="1">
      <c r="I84" s="226">
        <v>83</v>
      </c>
      <c r="J84" s="230" t="s">
        <v>1456</v>
      </c>
      <c r="K84" s="230">
        <v>-2</v>
      </c>
      <c r="L84" s="231">
        <v>8.3333333333333329E-2</v>
      </c>
      <c r="M84" s="226"/>
      <c r="N84" s="226"/>
      <c r="O84" s="226"/>
      <c r="P84" s="226"/>
      <c r="Q84" s="228"/>
      <c r="R84" s="226"/>
    </row>
    <row r="85" spans="9:18" ht="15" customHeight="1">
      <c r="I85" s="226">
        <v>84</v>
      </c>
      <c r="J85" s="230" t="s">
        <v>1457</v>
      </c>
      <c r="K85" s="230">
        <v>-1</v>
      </c>
      <c r="L85" s="231">
        <v>4.1666666666666664E-2</v>
      </c>
      <c r="M85" s="226"/>
      <c r="N85" s="226"/>
      <c r="O85" s="226"/>
      <c r="P85" s="226"/>
      <c r="Q85" s="243"/>
      <c r="R85" s="226"/>
    </row>
    <row r="86" spans="9:18" ht="15" customHeight="1">
      <c r="I86" s="226">
        <v>85</v>
      </c>
      <c r="J86" s="230" t="s">
        <v>2642</v>
      </c>
      <c r="K86" s="230">
        <v>-2</v>
      </c>
      <c r="L86" s="231">
        <v>8.3333333333333329E-2</v>
      </c>
      <c r="M86" s="226"/>
      <c r="N86" s="226"/>
      <c r="O86" s="226"/>
      <c r="P86" s="226"/>
      <c r="Q86" s="228"/>
      <c r="R86" s="226"/>
    </row>
    <row r="87" spans="9:18" ht="15" customHeight="1">
      <c r="I87" s="226">
        <v>86</v>
      </c>
      <c r="J87" s="230" t="s">
        <v>769</v>
      </c>
      <c r="K87" s="230">
        <v>6</v>
      </c>
      <c r="L87" s="231">
        <v>0.25</v>
      </c>
      <c r="M87" s="226"/>
      <c r="N87" s="226"/>
      <c r="O87" s="226"/>
      <c r="P87" s="226"/>
      <c r="Q87" s="228"/>
      <c r="R87" s="226"/>
    </row>
    <row r="88" spans="9:18" ht="15" customHeight="1">
      <c r="I88" s="226">
        <v>87</v>
      </c>
      <c r="J88" s="230" t="s">
        <v>770</v>
      </c>
      <c r="K88" s="230">
        <v>0</v>
      </c>
      <c r="L88" s="231">
        <v>0</v>
      </c>
      <c r="M88" s="226"/>
      <c r="N88" s="226"/>
      <c r="O88" s="226"/>
      <c r="P88" s="226"/>
      <c r="Q88" s="228"/>
      <c r="R88" s="226"/>
    </row>
    <row r="89" spans="9:18" ht="15" customHeight="1">
      <c r="I89" s="226">
        <v>88</v>
      </c>
      <c r="J89" s="230" t="s">
        <v>771</v>
      </c>
      <c r="K89" s="230">
        <v>-2</v>
      </c>
      <c r="L89" s="231">
        <v>8.3333333333333329E-2</v>
      </c>
      <c r="M89" s="226"/>
      <c r="N89" s="226"/>
      <c r="O89" s="226"/>
      <c r="P89" s="226"/>
      <c r="Q89" s="228"/>
      <c r="R89" s="226"/>
    </row>
    <row r="90" spans="9:18" ht="15" customHeight="1">
      <c r="I90" s="226">
        <v>89</v>
      </c>
      <c r="J90" s="230" t="s">
        <v>772</v>
      </c>
      <c r="K90" s="230">
        <v>-1</v>
      </c>
      <c r="L90" s="231">
        <v>4.1666666666666664E-2</v>
      </c>
      <c r="M90" s="226"/>
      <c r="N90" s="226"/>
      <c r="O90" s="226"/>
      <c r="P90" s="226"/>
      <c r="Q90" s="228"/>
      <c r="R90" s="226"/>
    </row>
    <row r="91" spans="9:18" ht="15" customHeight="1">
      <c r="I91" s="226">
        <v>90</v>
      </c>
      <c r="J91" s="230" t="s">
        <v>773</v>
      </c>
      <c r="K91" s="230">
        <v>7</v>
      </c>
      <c r="L91" s="231">
        <v>0.29166666666666669</v>
      </c>
      <c r="M91" s="226"/>
      <c r="N91" s="226"/>
      <c r="O91" s="226"/>
      <c r="P91" s="226"/>
      <c r="Q91" s="243"/>
      <c r="R91" s="226"/>
    </row>
    <row r="92" spans="9:18" ht="15" customHeight="1">
      <c r="I92" s="226">
        <v>91</v>
      </c>
      <c r="J92" s="230" t="s">
        <v>774</v>
      </c>
      <c r="K92" s="230">
        <v>8.5</v>
      </c>
      <c r="L92" s="231">
        <v>0.36805555555555558</v>
      </c>
      <c r="M92" s="226"/>
      <c r="N92" s="226"/>
      <c r="O92" s="226"/>
      <c r="P92" s="226"/>
      <c r="Q92" s="228"/>
      <c r="R92" s="226"/>
    </row>
    <row r="93" spans="9:18" ht="15" customHeight="1">
      <c r="I93" s="226">
        <v>92</v>
      </c>
      <c r="J93" s="230" t="s">
        <v>775</v>
      </c>
      <c r="K93" s="230">
        <v>6</v>
      </c>
      <c r="L93" s="231">
        <v>0.25</v>
      </c>
      <c r="M93" s="226"/>
      <c r="N93" s="226"/>
      <c r="O93" s="226"/>
      <c r="P93" s="226"/>
      <c r="Q93" s="228"/>
      <c r="R93" s="226"/>
    </row>
    <row r="94" spans="9:18" ht="15" customHeight="1">
      <c r="I94" s="226">
        <v>93</v>
      </c>
      <c r="J94" s="230" t="s">
        <v>776</v>
      </c>
      <c r="K94" s="230">
        <v>-1</v>
      </c>
      <c r="L94" s="231">
        <v>4.1666666666666664E-2</v>
      </c>
      <c r="M94" s="226"/>
      <c r="N94" s="226"/>
      <c r="O94" s="226"/>
      <c r="P94" s="226"/>
      <c r="Q94" s="228"/>
      <c r="R94" s="226"/>
    </row>
    <row r="95" spans="9:18" ht="15" customHeight="1">
      <c r="I95" s="226">
        <v>94</v>
      </c>
      <c r="J95" s="230" t="s">
        <v>777</v>
      </c>
      <c r="K95" s="230">
        <v>8.5</v>
      </c>
      <c r="L95" s="231">
        <v>0.36805555555555558</v>
      </c>
      <c r="M95" s="226"/>
      <c r="N95" s="226"/>
      <c r="O95" s="226"/>
      <c r="P95" s="226"/>
      <c r="Q95" s="228"/>
      <c r="R95" s="226"/>
    </row>
    <row r="96" spans="9:18" ht="15" customHeight="1">
      <c r="I96" s="226">
        <v>95</v>
      </c>
      <c r="J96" s="230" t="s">
        <v>778</v>
      </c>
      <c r="K96" s="230">
        <v>-2</v>
      </c>
      <c r="L96" s="231">
        <v>8.3333333333333329E-2</v>
      </c>
      <c r="M96" s="226"/>
      <c r="N96" s="226"/>
      <c r="O96" s="226"/>
      <c r="P96" s="226"/>
      <c r="Q96" s="228"/>
      <c r="R96" s="226"/>
    </row>
    <row r="97" spans="9:18" ht="15" customHeight="1">
      <c r="I97" s="226">
        <v>96</v>
      </c>
      <c r="J97" s="230" t="s">
        <v>779</v>
      </c>
      <c r="K97" s="230">
        <v>-1</v>
      </c>
      <c r="L97" s="231">
        <v>4.1666666666666664E-2</v>
      </c>
      <c r="M97" s="226"/>
      <c r="N97" s="226"/>
      <c r="O97" s="226"/>
      <c r="P97" s="226"/>
      <c r="Q97" s="243"/>
      <c r="R97" s="226"/>
    </row>
    <row r="98" spans="9:18" ht="15" customHeight="1">
      <c r="I98" s="226">
        <v>97</v>
      </c>
      <c r="J98" s="230" t="s">
        <v>780</v>
      </c>
      <c r="K98" s="230">
        <v>5</v>
      </c>
      <c r="L98" s="231">
        <v>0.20833333333333334</v>
      </c>
      <c r="M98" s="226"/>
      <c r="N98" s="226"/>
      <c r="O98" s="226"/>
      <c r="P98" s="226"/>
      <c r="Q98" s="243"/>
      <c r="R98" s="226"/>
    </row>
    <row r="99" spans="9:18" ht="15" customHeight="1">
      <c r="I99" s="226">
        <v>98</v>
      </c>
      <c r="J99" s="230" t="s">
        <v>781</v>
      </c>
      <c r="K99" s="230">
        <v>-1</v>
      </c>
      <c r="L99" s="231">
        <v>4.1666666666666664E-2</v>
      </c>
      <c r="M99" s="226"/>
      <c r="N99" s="226"/>
      <c r="O99" s="226"/>
      <c r="P99" s="226"/>
      <c r="Q99" s="243"/>
      <c r="R99" s="226"/>
    </row>
    <row r="100" spans="9:18" ht="15" customHeight="1">
      <c r="I100" s="226">
        <v>99</v>
      </c>
      <c r="J100" s="230" t="s">
        <v>782</v>
      </c>
      <c r="K100" s="230">
        <v>5</v>
      </c>
      <c r="L100" s="231">
        <v>0.20833333333333334</v>
      </c>
      <c r="M100" s="226"/>
      <c r="N100" s="226"/>
      <c r="O100" s="226"/>
      <c r="P100" s="226"/>
      <c r="Q100" s="243"/>
      <c r="R100" s="226"/>
    </row>
    <row r="101" spans="9:18" ht="15" customHeight="1">
      <c r="I101" s="226">
        <v>100</v>
      </c>
      <c r="J101" s="230" t="s">
        <v>783</v>
      </c>
      <c r="K101" s="230">
        <v>11</v>
      </c>
      <c r="L101" s="231">
        <v>0.45833333333333331</v>
      </c>
      <c r="M101" s="226"/>
      <c r="N101" s="226"/>
      <c r="O101" s="226"/>
      <c r="P101" s="226"/>
      <c r="Q101" s="243"/>
      <c r="R101" s="226"/>
    </row>
    <row r="102" spans="9:18" ht="15" customHeight="1">
      <c r="I102" s="226">
        <v>101</v>
      </c>
      <c r="J102" s="230" t="s">
        <v>784</v>
      </c>
      <c r="K102" s="230">
        <v>-1</v>
      </c>
      <c r="L102" s="231">
        <v>4.1666666666666664E-2</v>
      </c>
      <c r="M102" s="226"/>
      <c r="N102" s="226"/>
      <c r="O102" s="226"/>
      <c r="P102" s="226"/>
      <c r="Q102" s="243"/>
      <c r="R102" s="226"/>
    </row>
    <row r="103" spans="9:18" ht="15" customHeight="1">
      <c r="I103" s="226">
        <v>102</v>
      </c>
      <c r="J103" s="230" t="s">
        <v>785</v>
      </c>
      <c r="K103" s="230">
        <v>-4</v>
      </c>
      <c r="L103" s="231">
        <v>0.16666666666666666</v>
      </c>
      <c r="M103" s="226"/>
      <c r="N103" s="226"/>
      <c r="O103" s="226"/>
      <c r="P103" s="226"/>
      <c r="Q103" s="243"/>
      <c r="R103" s="226"/>
    </row>
    <row r="104" spans="9:18" ht="15" customHeight="1">
      <c r="I104" s="226">
        <v>103</v>
      </c>
      <c r="J104" s="230" t="s">
        <v>786</v>
      </c>
      <c r="K104" s="230">
        <v>5</v>
      </c>
      <c r="L104" s="231">
        <v>0.20833333333333334</v>
      </c>
      <c r="M104" s="226"/>
      <c r="N104" s="226"/>
      <c r="O104" s="226"/>
      <c r="P104" s="226"/>
      <c r="Q104" s="243"/>
      <c r="R104" s="226"/>
    </row>
    <row r="105" spans="9:18" ht="15" customHeight="1">
      <c r="I105" s="226">
        <v>104</v>
      </c>
      <c r="J105" s="230" t="s">
        <v>787</v>
      </c>
      <c r="K105" s="230">
        <v>3</v>
      </c>
      <c r="L105" s="231">
        <v>0.125</v>
      </c>
      <c r="M105" s="226"/>
      <c r="N105" s="226"/>
      <c r="O105" s="226"/>
      <c r="P105" s="226"/>
      <c r="Q105" s="243"/>
      <c r="R105" s="226"/>
    </row>
    <row r="106" spans="9:18" ht="15" customHeight="1">
      <c r="I106" s="226">
        <v>105</v>
      </c>
      <c r="J106" s="230" t="s">
        <v>788</v>
      </c>
      <c r="K106" s="230">
        <v>0</v>
      </c>
      <c r="L106" s="231">
        <v>0</v>
      </c>
      <c r="M106" s="226"/>
      <c r="N106" s="226"/>
      <c r="O106" s="226"/>
      <c r="P106" s="226"/>
      <c r="Q106" s="243"/>
      <c r="R106" s="226"/>
    </row>
    <row r="107" spans="9:18" ht="15" customHeight="1">
      <c r="I107" s="226">
        <v>106</v>
      </c>
      <c r="J107" s="230" t="s">
        <v>789</v>
      </c>
      <c r="K107" s="230">
        <v>6</v>
      </c>
      <c r="L107" s="231">
        <v>0.25</v>
      </c>
      <c r="M107" s="226"/>
      <c r="N107" s="226"/>
      <c r="O107" s="226"/>
      <c r="P107" s="226"/>
      <c r="Q107" s="243"/>
      <c r="R107" s="226"/>
    </row>
    <row r="108" spans="9:18" ht="15" customHeight="1">
      <c r="I108" s="226">
        <v>107</v>
      </c>
      <c r="J108" s="230" t="s">
        <v>790</v>
      </c>
      <c r="K108" s="230">
        <v>5</v>
      </c>
      <c r="L108" s="231">
        <v>0.20833333333333334</v>
      </c>
      <c r="M108" s="226"/>
      <c r="N108" s="226"/>
      <c r="O108" s="226"/>
      <c r="P108" s="226"/>
      <c r="Q108" s="243"/>
      <c r="R108" s="226"/>
    </row>
    <row r="109" spans="9:18" ht="15" customHeight="1">
      <c r="I109" s="226">
        <v>108</v>
      </c>
      <c r="J109" s="230" t="s">
        <v>791</v>
      </c>
      <c r="K109" s="230">
        <v>-4</v>
      </c>
      <c r="L109" s="231">
        <v>0.16666666666666666</v>
      </c>
      <c r="M109" s="226"/>
      <c r="N109" s="226"/>
      <c r="O109" s="226"/>
      <c r="P109" s="226"/>
      <c r="Q109" s="243"/>
      <c r="R109" s="226"/>
    </row>
    <row r="110" spans="9:18" ht="15" customHeight="1">
      <c r="I110" s="226">
        <v>109</v>
      </c>
      <c r="J110" s="230" t="s">
        <v>792</v>
      </c>
      <c r="K110" s="230">
        <v>-1</v>
      </c>
      <c r="L110" s="231">
        <v>4.1666666666666664E-2</v>
      </c>
      <c r="M110" s="226"/>
      <c r="N110" s="226"/>
      <c r="O110" s="226"/>
      <c r="P110" s="226"/>
      <c r="Q110" s="243"/>
      <c r="R110" s="226"/>
    </row>
    <row r="111" spans="9:18" ht="15" customHeight="1">
      <c r="I111" s="226">
        <v>110</v>
      </c>
      <c r="J111" s="230" t="s">
        <v>793</v>
      </c>
      <c r="K111" s="230">
        <v>-3</v>
      </c>
      <c r="L111" s="231">
        <v>0.125</v>
      </c>
      <c r="M111" s="226"/>
      <c r="N111" s="226"/>
      <c r="O111" s="226"/>
      <c r="P111" s="226"/>
      <c r="Q111" s="243"/>
      <c r="R111" s="226"/>
    </row>
    <row r="112" spans="9:18" ht="15" customHeight="1">
      <c r="I112" s="226">
        <v>111</v>
      </c>
      <c r="J112" s="230" t="s">
        <v>794</v>
      </c>
      <c r="K112" s="230">
        <v>-1</v>
      </c>
      <c r="L112" s="231">
        <v>4.1666666666666664E-2</v>
      </c>
      <c r="M112" s="226"/>
      <c r="N112" s="226"/>
      <c r="O112" s="226"/>
      <c r="P112" s="226"/>
      <c r="Q112" s="243"/>
      <c r="R112" s="226"/>
    </row>
    <row r="113" spans="9:18" ht="15" customHeight="1">
      <c r="I113" s="226">
        <v>112</v>
      </c>
      <c r="J113" s="230" t="s">
        <v>795</v>
      </c>
      <c r="K113" s="230">
        <v>-1</v>
      </c>
      <c r="L113" s="231">
        <v>4.1666666666666664E-2</v>
      </c>
      <c r="M113" s="226"/>
      <c r="N113" s="226"/>
      <c r="O113" s="226"/>
      <c r="P113" s="226"/>
      <c r="Q113" s="243"/>
      <c r="R113" s="226"/>
    </row>
    <row r="114" spans="9:18" ht="15" customHeight="1">
      <c r="I114" s="226">
        <v>113</v>
      </c>
      <c r="J114" s="230" t="s">
        <v>796</v>
      </c>
      <c r="K114" s="230">
        <v>0</v>
      </c>
      <c r="L114" s="231">
        <v>0</v>
      </c>
      <c r="M114" s="226"/>
      <c r="N114" s="226"/>
      <c r="O114" s="226"/>
      <c r="P114" s="226"/>
      <c r="Q114" s="243"/>
      <c r="R114" s="226"/>
    </row>
    <row r="115" spans="9:18" ht="15" customHeight="1">
      <c r="I115" s="226">
        <v>114</v>
      </c>
      <c r="J115" s="230" t="s">
        <v>797</v>
      </c>
      <c r="K115" s="230">
        <v>-4</v>
      </c>
      <c r="L115" s="231">
        <v>0.16666666666666666</v>
      </c>
      <c r="M115" s="226"/>
      <c r="N115" s="226"/>
      <c r="O115" s="226"/>
      <c r="P115" s="226"/>
      <c r="Q115" s="243"/>
      <c r="R115" s="226"/>
    </row>
    <row r="116" spans="9:18" ht="15" customHeight="1">
      <c r="I116" s="226">
        <v>115</v>
      </c>
      <c r="J116" s="230" t="s">
        <v>798</v>
      </c>
      <c r="K116" s="230">
        <v>12</v>
      </c>
      <c r="L116" s="231">
        <v>0.5</v>
      </c>
      <c r="M116" s="226"/>
      <c r="N116" s="226"/>
      <c r="O116" s="226"/>
      <c r="P116" s="226"/>
      <c r="Q116" s="243"/>
      <c r="R116" s="226"/>
    </row>
    <row r="117" spans="9:18" ht="15" customHeight="1">
      <c r="I117" s="226">
        <v>116</v>
      </c>
      <c r="J117" s="230" t="s">
        <v>799</v>
      </c>
      <c r="K117" s="230">
        <v>11</v>
      </c>
      <c r="L117" s="231">
        <v>0.45833333333333331</v>
      </c>
      <c r="M117" s="226"/>
      <c r="N117" s="226"/>
      <c r="O117" s="226"/>
      <c r="P117" s="226"/>
      <c r="Q117" s="243"/>
      <c r="R117" s="226"/>
    </row>
    <row r="118" spans="9:18" ht="15" customHeight="1">
      <c r="I118" s="226">
        <v>117</v>
      </c>
      <c r="J118" s="230" t="s">
        <v>800</v>
      </c>
      <c r="K118" s="230">
        <v>11</v>
      </c>
      <c r="L118" s="231">
        <v>0.45833333333333331</v>
      </c>
      <c r="M118" s="226"/>
      <c r="N118" s="226"/>
      <c r="O118" s="226"/>
      <c r="P118" s="226"/>
      <c r="Q118" s="243"/>
      <c r="R118" s="226"/>
    </row>
    <row r="119" spans="9:18" ht="15" customHeight="1">
      <c r="I119" s="226">
        <v>118</v>
      </c>
      <c r="J119" s="230" t="s">
        <v>801</v>
      </c>
      <c r="K119" s="230">
        <v>6</v>
      </c>
      <c r="L119" s="231">
        <v>0.25</v>
      </c>
      <c r="M119" s="226"/>
      <c r="N119" s="226"/>
      <c r="O119" s="226"/>
      <c r="P119" s="226"/>
      <c r="Q119" s="243"/>
      <c r="R119" s="226"/>
    </row>
    <row r="120" spans="9:18" ht="15" customHeight="1">
      <c r="I120" s="226">
        <v>119</v>
      </c>
      <c r="J120" s="230" t="s">
        <v>802</v>
      </c>
      <c r="K120" s="230">
        <v>1</v>
      </c>
      <c r="L120" s="231">
        <v>4.1666666666666664E-2</v>
      </c>
      <c r="M120" s="226"/>
      <c r="N120" s="226"/>
      <c r="O120" s="226"/>
      <c r="P120" s="226"/>
      <c r="Q120" s="243"/>
      <c r="R120" s="226"/>
    </row>
    <row r="121" spans="9:18" ht="15" customHeight="1">
      <c r="I121" s="226">
        <v>120</v>
      </c>
      <c r="J121" s="230" t="s">
        <v>803</v>
      </c>
      <c r="K121" s="230">
        <v>-2</v>
      </c>
      <c r="L121" s="231">
        <v>8.3333333333333329E-2</v>
      </c>
      <c r="M121" s="226"/>
      <c r="N121" s="226"/>
      <c r="O121" s="226"/>
      <c r="P121" s="226"/>
      <c r="Q121" s="243"/>
      <c r="R121" s="226"/>
    </row>
    <row r="122" spans="9:18" ht="15" customHeight="1">
      <c r="I122" s="226">
        <v>121</v>
      </c>
      <c r="J122" s="230" t="s">
        <v>804</v>
      </c>
      <c r="K122" s="230">
        <v>5</v>
      </c>
      <c r="L122" s="231">
        <v>0.20833333333333334</v>
      </c>
      <c r="M122" s="226"/>
      <c r="N122" s="226"/>
      <c r="O122" s="226"/>
      <c r="P122" s="226"/>
      <c r="Q122" s="243"/>
      <c r="R122" s="226"/>
    </row>
    <row r="123" spans="9:18" ht="15" customHeight="1">
      <c r="I123" s="226">
        <v>122</v>
      </c>
      <c r="J123" s="230" t="s">
        <v>805</v>
      </c>
      <c r="K123" s="230">
        <v>15</v>
      </c>
      <c r="L123" s="231">
        <v>0.625</v>
      </c>
      <c r="M123" s="226"/>
      <c r="N123" s="226"/>
      <c r="O123" s="226"/>
      <c r="P123" s="226"/>
      <c r="Q123" s="228"/>
      <c r="R123" s="226"/>
    </row>
    <row r="124" spans="9:18" ht="15" customHeight="1">
      <c r="I124" s="226">
        <v>123</v>
      </c>
      <c r="J124" s="230" t="s">
        <v>806</v>
      </c>
      <c r="K124" s="230">
        <v>13</v>
      </c>
      <c r="L124" s="231">
        <v>0.54166666666666663</v>
      </c>
      <c r="M124" s="226"/>
      <c r="N124" s="226"/>
      <c r="O124" s="226"/>
      <c r="P124" s="226"/>
      <c r="Q124" s="228"/>
      <c r="R124" s="226"/>
    </row>
    <row r="125" spans="9:18" ht="15" customHeight="1">
      <c r="I125" s="226">
        <v>124</v>
      </c>
      <c r="J125" s="230" t="s">
        <v>807</v>
      </c>
      <c r="K125" s="230">
        <v>11</v>
      </c>
      <c r="L125" s="231">
        <v>0.45833333333333331</v>
      </c>
      <c r="M125" s="226"/>
      <c r="N125" s="226"/>
      <c r="O125" s="226"/>
      <c r="P125" s="226"/>
      <c r="Q125" s="228"/>
      <c r="R125" s="226"/>
    </row>
    <row r="126" spans="9:18" ht="15" customHeight="1">
      <c r="I126" s="226">
        <v>125</v>
      </c>
      <c r="J126" s="230" t="s">
        <v>808</v>
      </c>
      <c r="K126" s="230">
        <v>6</v>
      </c>
      <c r="L126" s="231">
        <v>0.25</v>
      </c>
      <c r="M126" s="226"/>
      <c r="N126" s="226"/>
      <c r="O126" s="226"/>
      <c r="P126" s="226"/>
      <c r="Q126" s="228"/>
      <c r="R126" s="226"/>
    </row>
    <row r="127" spans="9:18" ht="15" customHeight="1">
      <c r="I127" s="226">
        <v>126</v>
      </c>
      <c r="J127" s="230" t="s">
        <v>809</v>
      </c>
      <c r="K127" s="230">
        <v>8</v>
      </c>
      <c r="L127" s="231">
        <v>0.33333333333333331</v>
      </c>
      <c r="M127" s="226"/>
      <c r="N127" s="226"/>
      <c r="O127" s="226"/>
      <c r="P127" s="226"/>
      <c r="Q127" s="228"/>
      <c r="R127" s="226"/>
    </row>
    <row r="128" spans="9:18" ht="15" customHeight="1">
      <c r="I128" s="226">
        <v>127</v>
      </c>
      <c r="J128" s="230" t="s">
        <v>810</v>
      </c>
      <c r="K128" s="230">
        <v>-3</v>
      </c>
      <c r="L128" s="231">
        <v>0.125</v>
      </c>
      <c r="M128" s="226"/>
      <c r="N128" s="226"/>
      <c r="O128" s="226"/>
      <c r="P128" s="226"/>
      <c r="Q128" s="228"/>
      <c r="R128" s="226"/>
    </row>
    <row r="129" spans="8:18" ht="15" customHeight="1">
      <c r="I129" s="226">
        <v>128</v>
      </c>
      <c r="J129" s="230" t="s">
        <v>811</v>
      </c>
      <c r="K129" s="230">
        <v>7.5</v>
      </c>
      <c r="L129" s="231">
        <v>0.3125</v>
      </c>
      <c r="M129" s="226"/>
      <c r="N129" s="226"/>
      <c r="O129" s="226"/>
      <c r="P129" s="226"/>
      <c r="Q129" s="228"/>
      <c r="R129" s="226"/>
    </row>
    <row r="130" spans="8:18" ht="15" customHeight="1">
      <c r="I130" s="226">
        <v>129</v>
      </c>
      <c r="J130" s="230" t="s">
        <v>812</v>
      </c>
      <c r="K130" s="230">
        <v>12</v>
      </c>
      <c r="L130" s="231">
        <v>0.5</v>
      </c>
      <c r="M130" s="226"/>
      <c r="N130" s="226"/>
      <c r="O130" s="226"/>
      <c r="P130" s="226"/>
      <c r="Q130" s="228"/>
      <c r="R130" s="226"/>
    </row>
    <row r="131" spans="8:18" ht="15" customHeight="1">
      <c r="I131" s="226">
        <v>130</v>
      </c>
      <c r="J131" s="230" t="s">
        <v>813</v>
      </c>
      <c r="K131" s="230">
        <v>-1</v>
      </c>
      <c r="L131" s="231">
        <v>4.1666666666666664E-2</v>
      </c>
      <c r="M131" s="226"/>
      <c r="N131" s="226"/>
      <c r="O131" s="226"/>
      <c r="P131" s="226"/>
      <c r="Q131" s="228"/>
      <c r="R131" s="226"/>
    </row>
    <row r="132" spans="8:18" ht="15" customHeight="1">
      <c r="I132" s="226">
        <v>131</v>
      </c>
      <c r="J132" s="230" t="s">
        <v>814</v>
      </c>
      <c r="K132" s="230">
        <v>-4</v>
      </c>
      <c r="L132" s="231">
        <v>0.16666666666666666</v>
      </c>
      <c r="M132" s="226"/>
      <c r="N132" s="226"/>
      <c r="O132" s="226"/>
      <c r="P132" s="226"/>
      <c r="Q132" s="228"/>
      <c r="R132" s="226"/>
    </row>
    <row r="133" spans="8:18" ht="15" customHeight="1">
      <c r="I133" s="226">
        <v>132</v>
      </c>
      <c r="J133" s="230" t="s">
        <v>815</v>
      </c>
      <c r="K133" s="230">
        <v>5</v>
      </c>
      <c r="L133" s="231">
        <v>0.20833333333333334</v>
      </c>
      <c r="M133" s="226"/>
      <c r="N133" s="226"/>
      <c r="O133" s="226"/>
      <c r="P133" s="226"/>
      <c r="Q133" s="228"/>
      <c r="R133" s="226"/>
    </row>
    <row r="134" spans="8:18" ht="15" customHeight="1">
      <c r="I134" s="226">
        <v>133</v>
      </c>
      <c r="J134" s="230" t="s">
        <v>816</v>
      </c>
      <c r="K134" s="230">
        <v>14</v>
      </c>
      <c r="L134" s="231">
        <v>0.58333333333333337</v>
      </c>
      <c r="M134" s="226"/>
      <c r="N134" s="226"/>
      <c r="O134" s="226"/>
      <c r="P134" s="226"/>
      <c r="Q134" s="228"/>
      <c r="R134" s="226"/>
    </row>
    <row r="135" spans="8:18" ht="15" customHeight="1">
      <c r="I135" s="226">
        <v>134</v>
      </c>
      <c r="J135" s="230" t="s">
        <v>817</v>
      </c>
      <c r="K135" s="230">
        <v>5</v>
      </c>
      <c r="L135" s="231">
        <v>0.20833333333333334</v>
      </c>
      <c r="M135" s="226"/>
      <c r="N135" s="226"/>
      <c r="O135" s="226"/>
      <c r="P135" s="226"/>
      <c r="Q135" s="228"/>
      <c r="R135" s="226"/>
    </row>
    <row r="136" spans="8:18" ht="15" customHeight="1">
      <c r="I136" s="226">
        <v>135</v>
      </c>
      <c r="J136" s="230" t="s">
        <v>818</v>
      </c>
      <c r="K136" s="230">
        <v>-1</v>
      </c>
      <c r="L136" s="231">
        <v>4.1666666666666664E-2</v>
      </c>
      <c r="M136" s="226"/>
      <c r="N136" s="226"/>
      <c r="O136" s="226"/>
      <c r="P136" s="226"/>
      <c r="Q136" s="228"/>
      <c r="R136" s="226"/>
    </row>
    <row r="137" spans="8:18" ht="15" customHeight="1">
      <c r="I137" s="226">
        <v>136</v>
      </c>
      <c r="J137" s="230" t="s">
        <v>819</v>
      </c>
      <c r="K137" s="230">
        <v>-2</v>
      </c>
      <c r="L137" s="231">
        <v>8.3333333333333329E-2</v>
      </c>
      <c r="M137" s="226"/>
      <c r="N137" s="226"/>
      <c r="O137" s="226"/>
      <c r="P137" s="226"/>
      <c r="Q137" s="228"/>
      <c r="R137" s="226"/>
    </row>
    <row r="138" spans="8:18" ht="15" customHeight="1">
      <c r="I138" s="226">
        <v>137</v>
      </c>
      <c r="J138" s="230" t="s">
        <v>820</v>
      </c>
      <c r="K138" s="230">
        <v>9.5</v>
      </c>
      <c r="L138" s="231">
        <v>0.39583333333333331</v>
      </c>
      <c r="M138" s="226"/>
      <c r="N138" s="226"/>
      <c r="O138" s="226"/>
      <c r="P138" s="226"/>
      <c r="Q138" s="228"/>
      <c r="R138" s="226"/>
    </row>
    <row r="139" spans="8:18" ht="15" customHeight="1">
      <c r="I139" s="226">
        <v>138</v>
      </c>
      <c r="J139" s="230" t="s">
        <v>821</v>
      </c>
      <c r="K139" s="230">
        <v>5</v>
      </c>
      <c r="L139" s="231">
        <v>0.20833333333333334</v>
      </c>
      <c r="M139" s="226"/>
      <c r="N139" s="226"/>
      <c r="O139" s="226"/>
      <c r="P139" s="226"/>
      <c r="Q139" s="228"/>
      <c r="R139" s="226"/>
    </row>
    <row r="140" spans="8:18" ht="15" customHeight="1">
      <c r="H140" s="225" t="s">
        <v>2894</v>
      </c>
      <c r="I140" s="226">
        <v>139</v>
      </c>
      <c r="J140" s="230" t="s">
        <v>822</v>
      </c>
      <c r="K140" s="230">
        <v>5</v>
      </c>
      <c r="L140" s="231">
        <v>0.20833333333333334</v>
      </c>
      <c r="M140" s="226"/>
      <c r="N140" s="226"/>
      <c r="O140" s="226"/>
      <c r="P140" s="226"/>
      <c r="Q140" s="228"/>
      <c r="R140" s="226"/>
    </row>
    <row r="141" spans="8:18" ht="15" customHeight="1">
      <c r="I141" s="226"/>
      <c r="J141" s="226"/>
      <c r="K141" s="227"/>
      <c r="L141" s="226"/>
      <c r="M141" s="226"/>
      <c r="N141" s="226"/>
      <c r="O141" s="226"/>
      <c r="P141" s="226"/>
      <c r="Q141" s="228"/>
      <c r="R141" s="226"/>
    </row>
    <row r="142" spans="8:18" ht="15" customHeight="1">
      <c r="I142" s="226"/>
      <c r="J142" s="226"/>
      <c r="K142" s="227"/>
      <c r="L142" s="226"/>
      <c r="M142" s="226"/>
      <c r="N142" s="226"/>
      <c r="O142" s="226"/>
      <c r="P142" s="226"/>
      <c r="Q142" s="228"/>
      <c r="R142" s="226"/>
    </row>
    <row r="143" spans="8:18" ht="15" customHeight="1">
      <c r="I143" s="226"/>
      <c r="J143" s="226"/>
      <c r="K143" s="227"/>
      <c r="L143" s="226"/>
      <c r="M143" s="226"/>
      <c r="N143" s="226"/>
      <c r="O143" s="226"/>
      <c r="P143" s="226"/>
      <c r="Q143" s="228"/>
      <c r="R143" s="226"/>
    </row>
    <row r="144" spans="8:18" ht="15" customHeight="1">
      <c r="I144" s="226"/>
      <c r="J144" s="226"/>
      <c r="K144" s="227"/>
      <c r="L144" s="226"/>
      <c r="M144" s="226"/>
      <c r="N144" s="226"/>
      <c r="O144" s="226"/>
      <c r="P144" s="226"/>
      <c r="Q144" s="228"/>
      <c r="R144" s="226"/>
    </row>
    <row r="145" spans="9:18" ht="15" customHeight="1">
      <c r="I145" s="226"/>
      <c r="J145" s="226"/>
      <c r="K145" s="227"/>
      <c r="L145" s="226"/>
      <c r="M145" s="226"/>
      <c r="N145" s="226"/>
      <c r="O145" s="226"/>
      <c r="P145" s="226"/>
      <c r="Q145" s="228"/>
      <c r="R145" s="226"/>
    </row>
  </sheetData>
  <sheetProtection password="CEE2" sheet="1" objects="1" scenarios="1" selectLockedCells="1" selectUnlockedCells="1"/>
  <mergeCells count="8">
    <mergeCell ref="A35:A38"/>
    <mergeCell ref="A7:A10"/>
    <mergeCell ref="A11:A14"/>
    <mergeCell ref="A15:A18"/>
    <mergeCell ref="A19:A22"/>
    <mergeCell ref="A23:A26"/>
    <mergeCell ref="A27:A30"/>
    <mergeCell ref="A31:A34"/>
  </mergeCells>
  <phoneticPr fontId="2" type="noConversion"/>
  <pageMargins left="0.75" right="0.75" top="1" bottom="1" header="0.5" footer="0.5"/>
  <pageSetup orientation="portrait" horizontalDpi="300" verticalDpi="300"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I56"/>
  <sheetViews>
    <sheetView showGridLines="0" showRowColHeaders="0" workbookViewId="0">
      <selection activeCell="Q10" sqref="Q10"/>
    </sheetView>
  </sheetViews>
  <sheetFormatPr defaultColWidth="9.109375" defaultRowHeight="12.6"/>
  <cols>
    <col min="1" max="1" width="5.33203125" style="229" customWidth="1"/>
    <col min="2" max="2" width="9.44140625" style="229" bestFit="1" customWidth="1"/>
    <col min="3" max="3" width="3.33203125" style="229" bestFit="1" customWidth="1"/>
    <col min="4" max="4" width="2.6640625" style="229" bestFit="1" customWidth="1"/>
    <col min="5" max="5" width="2.44140625" style="229" bestFit="1" customWidth="1"/>
    <col min="6" max="7" width="3.33203125" style="229" bestFit="1" customWidth="1"/>
    <col min="8" max="8" width="4.6640625" style="229" bestFit="1" customWidth="1"/>
    <col min="9" max="9" width="3.44140625" style="229" bestFit="1" customWidth="1"/>
    <col min="10" max="10" width="3.33203125" style="229" bestFit="1" customWidth="1"/>
    <col min="11" max="11" width="2.109375" style="229" bestFit="1" customWidth="1"/>
    <col min="12" max="12" width="2.6640625" style="229" customWidth="1"/>
    <col min="13" max="14" width="2.109375" style="229" bestFit="1" customWidth="1"/>
    <col min="15" max="15" width="5.88671875" style="229" bestFit="1" customWidth="1"/>
    <col min="16" max="16" width="9.88671875" style="229" bestFit="1" customWidth="1"/>
    <col min="17" max="17" width="3.33203125" style="229" bestFit="1" customWidth="1"/>
    <col min="18" max="18" width="4.6640625" style="229" bestFit="1" customWidth="1"/>
    <col min="19" max="20" width="2.5546875" style="229" bestFit="1" customWidth="1"/>
    <col min="21" max="21" width="2.6640625" style="229" bestFit="1" customWidth="1"/>
    <col min="22" max="22" width="4.6640625" style="229" bestFit="1" customWidth="1"/>
    <col min="23" max="23" width="9.109375" style="229"/>
    <col min="24" max="24" width="6.5546875" style="229" customWidth="1"/>
    <col min="25" max="25" width="9.109375" style="229"/>
    <col min="26" max="26" width="3.33203125" style="229" bestFit="1" customWidth="1"/>
    <col min="27" max="27" width="2.6640625" style="229" bestFit="1" customWidth="1"/>
    <col min="28" max="28" width="2.44140625" style="229" bestFit="1" customWidth="1"/>
    <col min="29" max="29" width="2.5546875" style="229" bestFit="1" customWidth="1"/>
    <col min="30" max="30" width="2.6640625" style="229" bestFit="1" customWidth="1"/>
    <col min="31" max="31" width="4.6640625" style="229" bestFit="1" customWidth="1"/>
    <col min="32" max="32" width="3.44140625" style="229" bestFit="1" customWidth="1"/>
    <col min="33" max="35" width="2.109375" style="229" bestFit="1" customWidth="1"/>
    <col min="36" max="37" width="5.88671875" style="229" bestFit="1" customWidth="1"/>
    <col min="38" max="39" width="2.109375" style="229" bestFit="1" customWidth="1"/>
    <col min="40" max="40" width="11.88671875" style="229" bestFit="1" customWidth="1"/>
    <col min="41" max="41" width="9.109375" style="229"/>
    <col min="42" max="42" width="8.88671875" style="229" bestFit="1" customWidth="1"/>
    <col min="43" max="43" width="10.109375" style="229" bestFit="1" customWidth="1"/>
    <col min="44" max="44" width="9.6640625" style="229" bestFit="1" customWidth="1"/>
    <col min="45" max="45" width="9.6640625" style="229" customWidth="1"/>
    <col min="46" max="46" width="9.88671875" style="229" bestFit="1" customWidth="1"/>
    <col min="47" max="47" width="11.109375" style="229" bestFit="1" customWidth="1"/>
    <col min="48" max="48" width="10.6640625" style="229" bestFit="1" customWidth="1"/>
    <col min="49" max="49" width="10.6640625" style="229" customWidth="1"/>
    <col min="50" max="16384" width="9.109375" style="229"/>
  </cols>
  <sheetData>
    <row r="1" spans="1:61">
      <c r="A1" s="258"/>
      <c r="B1" s="258"/>
      <c r="C1" s="258"/>
      <c r="D1" s="258"/>
      <c r="E1" s="258"/>
      <c r="F1" s="258"/>
      <c r="G1" s="258"/>
      <c r="H1" s="258"/>
      <c r="P1" s="258"/>
      <c r="Q1" s="258"/>
      <c r="R1" s="258"/>
      <c r="S1" s="258"/>
      <c r="T1" s="258"/>
      <c r="U1" s="258"/>
      <c r="V1" s="258"/>
      <c r="W1" s="258"/>
      <c r="X1" s="258"/>
      <c r="Y1" s="258"/>
      <c r="Z1" s="258"/>
      <c r="AA1" s="258"/>
      <c r="AB1" s="258"/>
      <c r="AC1" s="258"/>
      <c r="AD1" s="258"/>
      <c r="AE1" s="258"/>
      <c r="AF1" s="258"/>
      <c r="AG1" s="258"/>
      <c r="AH1" s="258"/>
      <c r="AI1" s="258"/>
      <c r="AJ1" s="258"/>
      <c r="AK1" s="258"/>
      <c r="AL1" s="258"/>
      <c r="AM1" s="258"/>
      <c r="AO1" s="258"/>
      <c r="AY1" s="258"/>
      <c r="BE1" s="258"/>
    </row>
    <row r="2" spans="1:61">
      <c r="A2" s="258"/>
      <c r="B2" s="258"/>
      <c r="C2" s="258"/>
      <c r="D2" s="258"/>
      <c r="E2" s="258"/>
      <c r="F2" s="258"/>
      <c r="G2" s="258"/>
      <c r="H2" s="258"/>
      <c r="I2" s="258"/>
      <c r="J2" s="258"/>
      <c r="K2" s="258"/>
      <c r="L2" s="258"/>
      <c r="M2" s="258"/>
      <c r="N2" s="258"/>
      <c r="O2" s="258"/>
      <c r="P2" s="258"/>
      <c r="Q2" s="258"/>
      <c r="R2" s="258"/>
      <c r="S2" s="258"/>
      <c r="T2" s="258"/>
      <c r="U2" s="258"/>
      <c r="V2" s="258"/>
      <c r="W2" s="258"/>
      <c r="X2" s="258"/>
      <c r="Y2" s="258"/>
      <c r="Z2" s="258"/>
      <c r="AA2" s="258"/>
      <c r="AB2" s="258"/>
      <c r="AC2" s="258"/>
      <c r="AD2" s="258"/>
      <c r="AE2" s="258"/>
      <c r="AF2" s="258"/>
      <c r="AG2" s="258"/>
      <c r="AH2" s="258"/>
      <c r="AI2" s="258"/>
      <c r="AJ2" s="258"/>
      <c r="AK2" s="258"/>
      <c r="AL2" s="258"/>
      <c r="AM2" s="258"/>
      <c r="AN2" s="258"/>
      <c r="AO2" s="258"/>
      <c r="AP2" s="258"/>
      <c r="AQ2" s="258"/>
      <c r="AR2" s="258"/>
      <c r="AS2" s="258"/>
      <c r="AT2" s="258"/>
      <c r="AU2" s="258"/>
      <c r="AV2" s="258"/>
      <c r="AW2" s="258"/>
      <c r="AX2" s="258"/>
      <c r="AY2" s="258"/>
      <c r="AZ2" s="258"/>
      <c r="BA2" s="258"/>
      <c r="BB2" s="258"/>
      <c r="BC2" s="258"/>
      <c r="BD2" s="258"/>
      <c r="BE2" s="258"/>
    </row>
    <row r="3" spans="1:61">
      <c r="I3" s="258"/>
      <c r="K3" s="258"/>
      <c r="L3" s="258"/>
      <c r="M3" s="258"/>
      <c r="N3" s="258"/>
      <c r="AO3" s="258"/>
      <c r="BE3" s="229">
        <v>1</v>
      </c>
      <c r="BF3" s="229" t="str">
        <f>Tournament!H16</f>
        <v>Brazil</v>
      </c>
      <c r="BG3" s="229">
        <f>IF(AND(Tournament!J16&lt;&gt;"",Tournament!L16&lt;&gt;""),Tournament!J16,"")</f>
        <v>3</v>
      </c>
      <c r="BH3" s="229">
        <f>IF(AND(Tournament!L16&lt;&gt;"",Tournament!J16&lt;&gt;""),Tournament!L16,"")</f>
        <v>1</v>
      </c>
      <c r="BI3" s="229" t="str">
        <f>Tournament!N16</f>
        <v>Croatia</v>
      </c>
    </row>
    <row r="4" spans="1:61">
      <c r="A4" s="229">
        <f>K4+L4+M4+N4</f>
        <v>1</v>
      </c>
      <c r="B4" s="229" t="str">
        <f>Tournament!H16</f>
        <v>Brazil</v>
      </c>
      <c r="C4" s="229">
        <f>SUMIF(AP$4:AP$60,B4,AX$4:AX$60)+SUMIF(AT$4:AT$60,B4,AX$4:AX$60)</f>
        <v>1</v>
      </c>
      <c r="D4" s="229">
        <f>SUMIF(AQ$4:AQ$60,B4,AX$4:AX$60)+SUMIF(AU$4:AU$60,B4,AX$4:AX$60)</f>
        <v>0</v>
      </c>
      <c r="E4" s="229">
        <f>SUMIF(AR$4:AR$60,B4,AX$4:AX$60)+SUMIF(AV$4:AV$60,B4,AX$4:AX$60)</f>
        <v>0</v>
      </c>
      <c r="F4" s="229">
        <f>SUMIF($BF$3:$BF$60,B4,$BG$3:$BG$60)+SUMIF($BI$3:$BI$60,B4,$BH$3:$BH$60)</f>
        <v>3</v>
      </c>
      <c r="G4" s="229">
        <f>SUMIF($BI$3:$BI$60,B4,$BG$3:$BG$60)+SUMIF($BF$3:$BF$60,B4,$BH$3:$BH$60)</f>
        <v>1</v>
      </c>
      <c r="H4" s="229">
        <f>F4-G4+100</f>
        <v>102</v>
      </c>
      <c r="I4" s="258">
        <f>C4*3+D4</f>
        <v>3</v>
      </c>
      <c r="J4" s="229">
        <v>11</v>
      </c>
      <c r="K4" s="229">
        <f>RANK(I4,I$4:I$7)</f>
        <v>1</v>
      </c>
      <c r="L4" s="229">
        <f>SUMPRODUCT((I$4:I$7=I4)*(H$4:H$7&gt;H4))</f>
        <v>0</v>
      </c>
      <c r="M4" s="229">
        <f>SUMPRODUCT((I$4:I$7=I4)*(H$4:H$7=H4)*(F$4:F$7&gt;F4))</f>
        <v>0</v>
      </c>
      <c r="N4" s="229">
        <f>SUMPRODUCT((I$4:I$7=I4)*(H$4:H$7=H4)*(F$4:F$7=F4)*(J$4:J$7&lt;J4))</f>
        <v>0</v>
      </c>
      <c r="O4" s="229">
        <f>IF(SUM(AG4:AI7)=0,IF(COUNTIF(AJ4:AJ7,0)&gt;1,1,AJ4+1),X4)</f>
        <v>1</v>
      </c>
      <c r="P4" s="229" t="str">
        <f>VLOOKUP(1,A$4:B$7,2,FALSE)</f>
        <v>Brazil</v>
      </c>
      <c r="Q4" s="229">
        <f>SUMIF(B$4:B$60,P4,F$4:F$60)</f>
        <v>3</v>
      </c>
      <c r="R4" s="229">
        <f>SUMIF(B$4:B$60,P4,H$4:H$60)</f>
        <v>102</v>
      </c>
      <c r="S4" s="258">
        <f>SUMIF($B$4:$B$60,$P4,I$4:I$60)</f>
        <v>3</v>
      </c>
      <c r="T4" s="229">
        <f>SUMIF($B$4:$B$60,$P4,A$4:A$60)</f>
        <v>1</v>
      </c>
      <c r="U4" s="229">
        <f t="shared" ref="U4:V7" si="0">SUMIF($B$4:$B$60,$P4,L$4:L$60)</f>
        <v>0</v>
      </c>
      <c r="V4" s="229">
        <f t="shared" si="0"/>
        <v>0</v>
      </c>
      <c r="W4" s="229">
        <f>SUMIF($B$4:$B$60,$P4,J$4:J$60)</f>
        <v>11</v>
      </c>
      <c r="X4" s="229">
        <f>IF(Y4=0,T4,T4+AG4+AH4+AI4+AJ4)</f>
        <v>1</v>
      </c>
      <c r="Y4" s="229">
        <f>IF(AND(S4=S5,R4=R5,Q4=Q5),P4,0)</f>
        <v>0</v>
      </c>
      <c r="Z4" s="229">
        <f>SUMIF($AY$4:$AY$60,$Y4,$AX$4:$AX$60)+SUMIF($BB$4:$BB$60,$Y4,$AX$4:$AX$60)</f>
        <v>0</v>
      </c>
      <c r="AA4" s="229">
        <f>SUMIF($AZ$4:$AZ$60,$Y4,$AX$4:$AX$60)+SUMIF($BC$4:$BC$60,$Y4,$AX$4:$AX$60)</f>
        <v>0</v>
      </c>
      <c r="AB4" s="229">
        <f>SUMIF($BA$4:$BA$60,$Y4,$AX$4:$AX$60)+SUMIF($BD$4:$BD$60,$Y4,$AX$4:$AX$60)</f>
        <v>0</v>
      </c>
      <c r="AC4" s="229">
        <f>SUMIF(AY$4:AY$60,Y4,AS$4:AS$60)+SUMIF(BB$4:BB$60,Y4,AW$4:AW$60)+SUMIF(AZ$4:AZ$60,Y4,AS$4:AS$60)+SUMIF(BC$4:BC$60,Y4,AW$4:AW$60)</f>
        <v>0</v>
      </c>
      <c r="AD4" s="229">
        <f>SUMIF(BA$4:BA$60,Y4,AS$4:AS$60)+SUMIF(BD$4:BD$60,Y4,AW$4:AW$60)+SUMIF(AZ$4:AZ$60,Y4,AS$4:AS$60)+SUMIF(BC$4:BC$60,Y4,AW$4:AW$60)</f>
        <v>0</v>
      </c>
      <c r="AE4" s="229">
        <f>AC4-AD4+100</f>
        <v>100</v>
      </c>
      <c r="AF4" s="258" t="str">
        <f>IF(Y4&lt;&gt;0,Z4*3+AA4,"")</f>
        <v/>
      </c>
      <c r="AG4" s="229">
        <f>IF(Y4&lt;&gt;0,RANK(AF4,AF$4:AF$7)-1,5)</f>
        <v>5</v>
      </c>
      <c r="AH4" s="229">
        <f>IF(Y4&lt;&gt;0,SUMPRODUCT((AF$4:AF$7=AF4)*(AE$4:AE$7&gt;AE4)),5)</f>
        <v>5</v>
      </c>
      <c r="AI4" s="229">
        <f>IF(Y4&lt;&gt;0,SUMPRODUCT(($AF$4:$AF$7=AF4)*($AE$4:$AE$7=AE4)*($AC$4:$AC$7&gt;AC4)),5)</f>
        <v>5</v>
      </c>
      <c r="AJ4" s="229">
        <f>IF(Y4&lt;&gt;0,SUMPRODUCT(($AF4:$AF7=AF4)*($AE4:$AE7=AE4)*($AC4:$AC7=AC4)*($AK4:$AK7&lt;AK4)),5)</f>
        <v>5</v>
      </c>
      <c r="AK4" s="229">
        <f>IF(AL4=0,0,VLOOKUP(Y4,Tournament!AJ$15:AK$18,2,FALSE))</f>
        <v>0</v>
      </c>
      <c r="AL4" s="229">
        <f>IF(Y4&lt;&gt;0,IF(SUM(AG4:AI4)=SUM(AG5:AI5),1,0),0)</f>
        <v>0</v>
      </c>
      <c r="AM4" s="229">
        <f>IF(AN4&lt;&gt;0,1,0)</f>
        <v>0</v>
      </c>
      <c r="AN4" s="229">
        <f>IF(AL4=1,Y4,0)</f>
        <v>0</v>
      </c>
      <c r="AO4" s="229">
        <v>1</v>
      </c>
      <c r="AP4" s="229" t="str">
        <f>IF(AND(Tournament!J16&lt;&gt;"",Tournament!L16&lt;&gt;""),IF(Tournament!J16&gt;Tournament!L16,Tournament!H16,""),"")</f>
        <v>Brazil</v>
      </c>
      <c r="AQ4" s="229" t="str">
        <f>IF(AND(Tournament!J16&lt;&gt;"",Tournament!L16&lt;&gt;""),IF(Tournament!J16=Tournament!L16,Tournament!H16,""),"")</f>
        <v/>
      </c>
      <c r="AR4" s="229" t="str">
        <f>IF(AND(Tournament!J16&lt;&gt;"",Tournament!L16&lt;&gt;""),IF(Tournament!J16&gt;Tournament!L16,Tournament!N16,""),"")</f>
        <v>Croatia</v>
      </c>
      <c r="AS4" s="229">
        <f>IF(AND(Tournament!J16&lt;&gt;"",Tournament!L16&lt;&gt;""),Tournament!J16,0)</f>
        <v>3</v>
      </c>
      <c r="AT4" s="229" t="str">
        <f>IF(AND(Tournament!J16&lt;&gt;"",Tournament!L16&lt;&gt;""),IF(Tournament!J16&lt;Tournament!L16,Tournament!N16,""),"")</f>
        <v/>
      </c>
      <c r="AU4" s="229" t="str">
        <f>IF(AND(Tournament!J16&lt;&gt;"",Tournament!L16&lt;&gt;""),IF(Tournament!J16=Tournament!L16,Tournament!N16,""),"")</f>
        <v/>
      </c>
      <c r="AV4" s="229" t="str">
        <f>IF(AND(Tournament!J16&lt;&gt;"",Tournament!L16&lt;&gt;""),IF(Tournament!J16&lt;Tournament!L16,Tournament!H16,""),"")</f>
        <v/>
      </c>
      <c r="AW4" s="229">
        <f>IF(AND(Tournament!J16&lt;&gt;"",Tournament!L16&lt;&gt;""),Tournament!L16,0)</f>
        <v>1</v>
      </c>
      <c r="AX4" s="229">
        <v>1</v>
      </c>
      <c r="AY4" s="229" t="str">
        <f>IF(AND(COUNTIF($Y$4:$Y$60,AP4)=1,COUNTIF($Y$4:$Y$60,AR4)=1),AP4,"")</f>
        <v/>
      </c>
      <c r="AZ4" s="229" t="str">
        <f>IF(AND(COUNTIF($Y$4:$Y$60,AQ4)=1,COUNTIF($Y$4:$Y$60,AU4)=1),AQ4,"")</f>
        <v/>
      </c>
      <c r="BA4" s="229" t="str">
        <f>IF(AND(COUNTIF($Y$4:$Y$60,AR4)=1,COUNTIF($Y$4:$Y$60,AP4)=1),AR4,"")</f>
        <v/>
      </c>
      <c r="BB4" s="229" t="str">
        <f>IF(AND(COUNTIF($Y$4:$Y$60,AT4)=1,COUNTIF($Y$4:$Y$60,AV4)=1),AT4,"")</f>
        <v/>
      </c>
      <c r="BC4" s="229" t="str">
        <f>IF(AND(COUNTIF($Y$4:$Y$60,AU4)=1,COUNTIF($Y$4:$Y$60,AQ4)=1),AU4,"")</f>
        <v/>
      </c>
      <c r="BD4" s="229" t="str">
        <f>IF(AND(COUNTIF($Y$4:$Y$60,AV4)=1,COUNTIF($Y$4:$Y$60,AT4)=1),AV4,"")</f>
        <v/>
      </c>
      <c r="BE4" s="229">
        <v>2</v>
      </c>
      <c r="BF4" s="229" t="str">
        <f>Tournament!H17</f>
        <v>Mexico</v>
      </c>
      <c r="BG4" s="229">
        <f>IF(AND(Tournament!J17&lt;&gt;"",Tournament!L17&lt;&gt;""),Tournament!J17,"")</f>
        <v>1</v>
      </c>
      <c r="BH4" s="229">
        <f>IF(AND(Tournament!L17&lt;&gt;"",Tournament!J17&lt;&gt;""),Tournament!L17,"")</f>
        <v>0</v>
      </c>
      <c r="BI4" s="229" t="str">
        <f>Tournament!N17</f>
        <v>Cameroon</v>
      </c>
    </row>
    <row r="5" spans="1:61">
      <c r="A5" s="229">
        <f>K5+L5+M5+N5</f>
        <v>4</v>
      </c>
      <c r="B5" s="229" t="str">
        <f>Tournament!N16</f>
        <v>Croatia</v>
      </c>
      <c r="C5" s="229">
        <f>SUMIF(AP$4:AP$60,B5,AX$4:AX$60)+SUMIF(AT$4:AT$60,B5,AX$4:AX$60)</f>
        <v>0</v>
      </c>
      <c r="D5" s="229">
        <f>SUMIF(AQ$4:AQ$60,B5,AX$4:AX$60)+SUMIF(AU$4:AU$60,B5,AX$4:AX$60)</f>
        <v>0</v>
      </c>
      <c r="E5" s="229">
        <f>SUMIF(AR$4:AR$60,B5,AX$4:AX$60)+SUMIF(AV$4:AV$60,B5,AX$4:AX$60)</f>
        <v>1</v>
      </c>
      <c r="F5" s="229">
        <f>SUMIF($BF$3:$BF$60,B5,$BG$3:$BG$60)+SUMIF($BI$3:$BI$60,B5,$BH$3:$BH$60)</f>
        <v>1</v>
      </c>
      <c r="G5" s="229">
        <f>SUMIF($BI$3:$BI$60,B5,$BG$3:$BG$60)+SUMIF($BF$3:$BF$60,B5,$BH$3:$BH$60)</f>
        <v>3</v>
      </c>
      <c r="H5" s="229">
        <f>F5-G5+100</f>
        <v>98</v>
      </c>
      <c r="I5" s="258">
        <f>C5*3+D5</f>
        <v>0</v>
      </c>
      <c r="J5" s="229">
        <v>18</v>
      </c>
      <c r="K5" s="229">
        <f>RANK(I5,I$4:I$7)</f>
        <v>3</v>
      </c>
      <c r="L5" s="229">
        <f>SUMPRODUCT((I$4:I$7=I5)*(H$4:H$7&gt;H5))</f>
        <v>1</v>
      </c>
      <c r="M5" s="229">
        <f>SUMPRODUCT((I$4:I$7=I5)*(H$4:H$7=H5)*(F$4:F$7&gt;F5))</f>
        <v>0</v>
      </c>
      <c r="N5" s="229">
        <f>SUMPRODUCT((I$4:I$7=I5)*(H$4:H$7=H5)*(F$4:F$7=F5)*(J$4:J$7&lt;J5))</f>
        <v>0</v>
      </c>
      <c r="O5" s="229">
        <f>IF(SUM(AG4:AI7)=0,IF(COUNTIF(AJ4:AJ7,0)&gt;1,2,AJ5+1),IF(AND(X4=1,X5=3,Y4&lt;&gt;0,Y5&lt;&gt;0,Y6=0,Y7=0),2,IF(AND(X4=2,X5=2,Y4&lt;&gt;0,Y5&lt;&gt;0,Y6=0,Y7=0),1,IF(AND(X5=4,AI5=2),3,X5))))</f>
        <v>2</v>
      </c>
      <c r="P5" s="229" t="str">
        <f>VLOOKUP(2,A$4:B$7,2,FALSE)</f>
        <v>Mexico</v>
      </c>
      <c r="Q5" s="229">
        <f>SUMIF(B$4:B$60,P5,F$4:F$60)</f>
        <v>1</v>
      </c>
      <c r="R5" s="229">
        <f>SUMIF(B$4:B$60,P5,H$4:H$60)</f>
        <v>101</v>
      </c>
      <c r="S5" s="258">
        <f>SUMIF($B$4:$B$60,$P5,I$4:I$60)</f>
        <v>3</v>
      </c>
      <c r="T5" s="229">
        <f>SUMIF($B$4:$B$60,$P5,A$4:A$60)</f>
        <v>2</v>
      </c>
      <c r="U5" s="229">
        <f t="shared" si="0"/>
        <v>1</v>
      </c>
      <c r="V5" s="229">
        <f t="shared" si="0"/>
        <v>0</v>
      </c>
      <c r="W5" s="229">
        <f>SUMIF($B$4:$B$60,$P5,J$4:J$60)</f>
        <v>23</v>
      </c>
      <c r="X5" s="229">
        <f>IF(Y5=0,T5,T5+AG5+AH5+AI5+AJ5)</f>
        <v>2</v>
      </c>
      <c r="Y5" s="229">
        <f>IF(OR(AND(S4=S5,R4=R5,Q4=Q5),AND(S6=S5,R6=R5,Q6=Q5)),P5,0)</f>
        <v>0</v>
      </c>
      <c r="Z5" s="229">
        <f>SUMIF($AY$4:$AY$60,$Y5,$AX$4:$AX$60)+SUMIF($BB$4:$BB$60,$Y5,$AX$4:$AX$60)</f>
        <v>0</v>
      </c>
      <c r="AA5" s="229">
        <f>SUMIF($AZ$4:$AZ$60,$Y5,$AX$4:$AX$60)+SUMIF($BC$4:$BC$60,$Y5,$AX$4:$AX$60)</f>
        <v>0</v>
      </c>
      <c r="AB5" s="229">
        <f>SUMIF($BA$4:$BA$60,$Y5,$AX$4:$AX$60)+SUMIF($BD$4:$BD$60,$Y5,$AX$4:$AX$60)</f>
        <v>0</v>
      </c>
      <c r="AC5" s="229">
        <f>SUMIF(AY$4:AY$60,Y5,AS$4:AS$60)+SUMIF(BB$4:BB$60,Y5,AW$4:AW$60)+SUMIF(AZ$4:AZ$60,Y5,AS$4:AS$60)+SUMIF(BC$4:BC$60,Y5,AW$4:AW$60)</f>
        <v>0</v>
      </c>
      <c r="AD5" s="229">
        <f>SUMIF(BA$4:BA$60,Y5,AS$4:AS$60)+SUMIF(BD$4:BD$60,Y5,AW$4:AW$60)+SUMIF(AZ$4:AZ$60,Y5,AS$4:AS$60)+SUMIF(BC$4:BC$60,Y5,AW$4:AW$60)</f>
        <v>0</v>
      </c>
      <c r="AE5" s="229">
        <f>AC5-AD5+100</f>
        <v>100</v>
      </c>
      <c r="AF5" s="258" t="str">
        <f>IF(Y5&lt;&gt;0,Z5*3+AA5,"")</f>
        <v/>
      </c>
      <c r="AG5" s="229">
        <f>IF(Y5&lt;&gt;0,RANK(AF5,AF$4:AF$7)-1,5)</f>
        <v>5</v>
      </c>
      <c r="AH5" s="229">
        <f>IF(Y5&lt;&gt;0,SUMPRODUCT((AF$4:AF$7=AF5)*(AE$4:AE$7&gt;AE5)),5)</f>
        <v>5</v>
      </c>
      <c r="AI5" s="229">
        <f>IF(Y5&lt;&gt;0,SUMPRODUCT(($AF$4:$AF$7=AF5)*($AE$4:$AE$7=AE5)*($AC$4:$AC$7&gt;AC5)),5)</f>
        <v>5</v>
      </c>
      <c r="AJ5" s="229">
        <f>IF(Y5&lt;&gt;0,SUMPRODUCT(($AF4:$AF7=AF5)*($AE4:$AE7=AE5)*($AC4:$AC7=AC5)*($AK4:$AK7&lt;AK5)),5)</f>
        <v>5</v>
      </c>
      <c r="AK5" s="229">
        <f>IF(AL5=0,0,VLOOKUP(Y5,Tournament!AJ$15:AK$18,2,FALSE))</f>
        <v>0</v>
      </c>
      <c r="AL5" s="229">
        <f>IF(Y5&lt;&gt;0,IF(OR(SUM(AG5:AI5)=SUM(AG4:AI4),SUM(AG5:AI5)=SUM(AG6:AI6)),1,0),0)</f>
        <v>0</v>
      </c>
      <c r="AM5" s="229">
        <f>IF(AN5&lt;&gt;0,AM4+1,AM4)</f>
        <v>0</v>
      </c>
      <c r="AN5" s="229">
        <f>IF(AL5=1,Y5,0)</f>
        <v>0</v>
      </c>
      <c r="AO5" s="229">
        <v>2</v>
      </c>
      <c r="AP5" s="229" t="str">
        <f>IF(AND(Tournament!J17&lt;&gt;"",Tournament!L17&lt;&gt;""),IF(Tournament!J17&gt;Tournament!L17,Tournament!H17,""),"")</f>
        <v>Mexico</v>
      </c>
      <c r="AQ5" s="229" t="str">
        <f>IF(AND(Tournament!J17&lt;&gt;"",Tournament!L17&lt;&gt;""),IF(Tournament!J17=Tournament!L17,Tournament!H17,""),"")</f>
        <v/>
      </c>
      <c r="AR5" s="229" t="str">
        <f>IF(AND(Tournament!J17&lt;&gt;"",Tournament!L17&lt;&gt;""),IF(Tournament!J17&gt;Tournament!L17,Tournament!N17,""),"")</f>
        <v>Cameroon</v>
      </c>
      <c r="AS5" s="229">
        <f>IF(AND(Tournament!J17&lt;&gt;"",Tournament!L17&lt;&gt;""),Tournament!J17,0)</f>
        <v>1</v>
      </c>
      <c r="AT5" s="229" t="str">
        <f>IF(AND(Tournament!J17&lt;&gt;"",Tournament!L17&lt;&gt;""),IF(Tournament!J17&lt;Tournament!L17,Tournament!N17,""),"")</f>
        <v/>
      </c>
      <c r="AU5" s="229" t="str">
        <f>IF(AND(Tournament!J17&lt;&gt;"",Tournament!L17&lt;&gt;""),IF(Tournament!J17=Tournament!L17,Tournament!N17,""),"")</f>
        <v/>
      </c>
      <c r="AV5" s="229" t="str">
        <f>IF(AND(Tournament!J17&lt;&gt;"",Tournament!L17&lt;&gt;""),IF(Tournament!J17&lt;Tournament!L17,Tournament!H17,""),"")</f>
        <v/>
      </c>
      <c r="AW5" s="229">
        <f>IF(AND(Tournament!J17&lt;&gt;"",Tournament!L17&lt;&gt;""),Tournament!L17,0)</f>
        <v>0</v>
      </c>
      <c r="AX5" s="229">
        <v>1</v>
      </c>
      <c r="AY5" s="229" t="str">
        <f t="shared" ref="AY5:AY51" si="1">IF(AND(COUNTIF($Y$4:$Y$60,AP5)=1,COUNTIF($Y$4:$Y$60,AR5)=1),AP5,"")</f>
        <v/>
      </c>
      <c r="AZ5" s="229" t="str">
        <f t="shared" ref="AZ5:AZ51" si="2">IF(AND(COUNTIF($Y$4:$Y$60,AQ5)=1,COUNTIF($Y$4:$Y$60,AU5)=1),AQ5,"")</f>
        <v/>
      </c>
      <c r="BA5" s="229" t="str">
        <f t="shared" ref="BA5:BA51" si="3">IF(AND(COUNTIF($Y$4:$Y$60,AR5)=1,COUNTIF($Y$4:$Y$60,AP5)=1),AR5,"")</f>
        <v/>
      </c>
      <c r="BB5" s="229" t="str">
        <f t="shared" ref="BB5:BB51" si="4">IF(AND(COUNTIF($Y$4:$Y$60,AT5)=1,COUNTIF($Y$4:$Y$60,AV5)=1),AT5,"")</f>
        <v/>
      </c>
      <c r="BC5" s="229" t="str">
        <f t="shared" ref="BC5:BC51" si="5">IF(AND(COUNTIF($Y$4:$Y$60,AU5)=1,COUNTIF($Y$4:$Y$60,AQ5)=1),AU5,"")</f>
        <v/>
      </c>
      <c r="BD5" s="229" t="str">
        <f t="shared" ref="BD5:BD51" si="6">IF(AND(COUNTIF($Y$4:$Y$60,AV5)=1,COUNTIF($Y$4:$Y$60,AT5)=1),AV5,"")</f>
        <v/>
      </c>
      <c r="BE5" s="229">
        <v>3</v>
      </c>
      <c r="BF5" s="229" t="str">
        <f>Tournament!H18</f>
        <v>Spain</v>
      </c>
      <c r="BG5" s="229">
        <f>IF(AND(Tournament!J18&lt;&gt;"",Tournament!L18&lt;&gt;""),Tournament!J18,"")</f>
        <v>1</v>
      </c>
      <c r="BH5" s="229">
        <f>IF(AND(Tournament!L18&lt;&gt;"",Tournament!J18&lt;&gt;""),Tournament!L18,"")</f>
        <v>5</v>
      </c>
      <c r="BI5" s="229" t="str">
        <f>Tournament!N18</f>
        <v>Netherlands</v>
      </c>
    </row>
    <row r="6" spans="1:61">
      <c r="A6" s="229">
        <f>K6+L6+M6+N6</f>
        <v>2</v>
      </c>
      <c r="B6" s="229" t="str">
        <f>Tournament!H17</f>
        <v>Mexico</v>
      </c>
      <c r="C6" s="229">
        <f>SUMIF(AP$4:AP$60,B6,AX$4:AX$60)+SUMIF(AT$4:AT$60,B6,AX$4:AX$60)</f>
        <v>1</v>
      </c>
      <c r="D6" s="229">
        <f>SUMIF(AQ$4:AQ$60,B6,AX$4:AX$60)+SUMIF(AU$4:AU$60,B6,AX$4:AX$60)</f>
        <v>0</v>
      </c>
      <c r="E6" s="229">
        <f>SUMIF(AR$4:AR$60,B6,AX$4:AX$60)+SUMIF(AV$4:AV$60,B6,AX$4:AX$60)</f>
        <v>0</v>
      </c>
      <c r="F6" s="229">
        <f>SUMIF($BF$3:$BF$60,B6,$BG$3:$BG$60)+SUMIF($BI$3:$BI$60,B6,$BH$3:$BH$60)</f>
        <v>1</v>
      </c>
      <c r="G6" s="229">
        <f>SUMIF($BI$3:$BI$60,B6,$BG$3:$BG$60)+SUMIF($BF$3:$BF$60,B6,$BH$3:$BH$60)</f>
        <v>0</v>
      </c>
      <c r="H6" s="229">
        <f>F6-G6+100</f>
        <v>101</v>
      </c>
      <c r="I6" s="258">
        <f>C6*3+D6</f>
        <v>3</v>
      </c>
      <c r="J6" s="229">
        <v>23</v>
      </c>
      <c r="K6" s="229">
        <f>RANK(I6,I$4:I$7)</f>
        <v>1</v>
      </c>
      <c r="L6" s="229">
        <f>SUMPRODUCT((I$4:I$7=I6)*(H$4:H$7&gt;H6))</f>
        <v>1</v>
      </c>
      <c r="M6" s="229">
        <f>SUMPRODUCT((I$4:I$7=I6)*(H$4:H$7=H6)*(F$4:F$7&gt;F6))</f>
        <v>0</v>
      </c>
      <c r="N6" s="229">
        <f>SUMPRODUCT((I$4:I$7=I6)*(H$4:H$7=H6)*(F$4:F$7=F6)*(J$4:J$7&lt;J6))</f>
        <v>0</v>
      </c>
      <c r="O6" s="229">
        <f>IF(SUM(AG4:AI7)=0,IF(COUNTIF(AJ4:AJ7,0)&gt;1,3,AJ6+1),IF(AND(X5=3,X6=3,Y4=0,Y5&lt;&gt;0,Y6&lt;&gt;0),2,IF(OR(X6=5,X6=4),3,IF(X6=6,4,IF(AND(X5=4,X4=1,Y6&lt;&gt;""),2,IF(AND(AI6=0,AI5=1,AI4=1,Y6&lt;&gt;""),1,X6))))))</f>
        <v>3</v>
      </c>
      <c r="P6" s="229" t="str">
        <f>VLOOKUP(3,A$4:B$7,2,FALSE)</f>
        <v>Cameroon</v>
      </c>
      <c r="Q6" s="229">
        <f>SUMIF(B$4:B$60,P6,F$4:F$60)</f>
        <v>0</v>
      </c>
      <c r="R6" s="229">
        <f>SUMIF(B$4:B$60,P6,H$4:H$60)</f>
        <v>99</v>
      </c>
      <c r="S6" s="258">
        <f>SUMIF($B$4:$B$60,$P6,I$4:I$60)</f>
        <v>0</v>
      </c>
      <c r="T6" s="229">
        <f>SUMIF($B$4:$B$60,$P6,A$4:A$60)</f>
        <v>3</v>
      </c>
      <c r="U6" s="229">
        <f t="shared" si="0"/>
        <v>0</v>
      </c>
      <c r="V6" s="229">
        <f t="shared" si="0"/>
        <v>0</v>
      </c>
      <c r="W6" s="229">
        <f>SUMIF($B$4:$B$60,$P6,J$4:J$60)</f>
        <v>32</v>
      </c>
      <c r="X6" s="229">
        <f>IF(Y6=0,T6,T6+AG6+AH6+AI6+AJ6)</f>
        <v>3</v>
      </c>
      <c r="Y6" s="229">
        <f>IF(OR(AND(S5=S6,R5=R6,Q5=Q6),AND(S7=S6,S6=S5,R7=R6,R6=R5,Q7=Q6,Q6=Q5)),P6,0)</f>
        <v>0</v>
      </c>
      <c r="Z6" s="229">
        <f>SUMIF($AY$4:$AY$60,$Y6,$AX$4:$AX$60)+SUMIF($BB$4:$BB$60,$Y6,$AX$4:$AX$60)</f>
        <v>0</v>
      </c>
      <c r="AA6" s="229">
        <f>SUMIF($AZ$4:$AZ$60,$Y6,$AX$4:$AX$60)+SUMIF($BC$4:$BC$60,$Y6,$AX$4:$AX$60)</f>
        <v>0</v>
      </c>
      <c r="AB6" s="229">
        <f>SUMIF($BA$4:$BA$60,$Y6,$AX$4:$AX$60)+SUMIF($BD$4:$BD$60,$Y6,$AX$4:$AX$60)</f>
        <v>0</v>
      </c>
      <c r="AC6" s="229">
        <f>SUMIF(AY$4:AY$60,Y6,AS$4:AS$60)+SUMIF(BB$4:BB$60,Y6,AW$4:AW$60)+SUMIF(AZ$4:AZ$60,Y6,AS$4:AS$60)+SUMIF(BC$4:BC$60,Y6,AW$4:AW$60)</f>
        <v>0</v>
      </c>
      <c r="AD6" s="229">
        <f>SUMIF(BA$4:BA$60,Y6,AS$4:AS$60)+SUMIF(BD$4:BD$60,Y6,AW$4:AW$60)+SUMIF(AZ$4:AZ$60,Y6,AS$4:AS$60)+SUMIF(BC$4:BC$60,Y6,AW$4:AW$60)</f>
        <v>0</v>
      </c>
      <c r="AE6" s="229">
        <f>AC6-AD6+100</f>
        <v>100</v>
      </c>
      <c r="AF6" s="258" t="str">
        <f>IF(Y6&lt;&gt;0,Z6*3+AA6,"")</f>
        <v/>
      </c>
      <c r="AG6" s="229">
        <f>IF(Y6&lt;&gt;0,RANK(AF6,AF$4:AF$7)-1,5)</f>
        <v>5</v>
      </c>
      <c r="AH6" s="229">
        <f>IF(Y6&lt;&gt;0,SUMPRODUCT((AF$4:AF$7=AF6)*(AE$4:AE$7&gt;AE6)),5)</f>
        <v>5</v>
      </c>
      <c r="AI6" s="229">
        <f>IF(Y6&lt;&gt;0,SUMPRODUCT(($AF$4:$AF$7=AF6)*($AE$4:$AE$7=AE6)*($AC$4:$AC$7&gt;AC6)),5)</f>
        <v>5</v>
      </c>
      <c r="AJ6" s="229">
        <f>IF(Y6&lt;&gt;0,SUMPRODUCT(($AF4:$AF7=AF6)*($AE4:$AE7=AE6)*($AC4:$AC7=AC6)*($AK4:$AK7&lt;AK6)),5)</f>
        <v>5</v>
      </c>
      <c r="AK6" s="229">
        <f>IF(AL6=0,0,VLOOKUP(Y6,Tournament!AJ$15:AK$18,2,FALSE))</f>
        <v>0</v>
      </c>
      <c r="AL6" s="229">
        <f>IF(Y6&lt;&gt;0,IF(OR(SUM(AG6:AI6)=SUM(AG5:AI5),SUM(AG6:AI6)=SUM(AG7:AI7)),1,0),0)</f>
        <v>0</v>
      </c>
      <c r="AM6" s="229">
        <f>IF(AN6&lt;&gt;0,AM5+1,AM5)</f>
        <v>0</v>
      </c>
      <c r="AN6" s="229">
        <f>IF(AL6=1,Y6,0)</f>
        <v>0</v>
      </c>
      <c r="AO6" s="229">
        <v>3</v>
      </c>
      <c r="AP6" s="229" t="str">
        <f>IF(AND(Tournament!J18&lt;&gt;"",Tournament!L18&lt;&gt;""),IF(Tournament!J18&gt;Tournament!L18,Tournament!H18,""),"")</f>
        <v/>
      </c>
      <c r="AQ6" s="229" t="str">
        <f>IF(AND(Tournament!J18&lt;&gt;"",Tournament!L18&lt;&gt;""),IF(Tournament!J18=Tournament!L18,Tournament!H18,""),"")</f>
        <v/>
      </c>
      <c r="AR6" s="229" t="str">
        <f>IF(AND(Tournament!J18&lt;&gt;"",Tournament!L18&lt;&gt;""),IF(Tournament!J18&gt;Tournament!L18,Tournament!N18,""),"")</f>
        <v/>
      </c>
      <c r="AS6" s="229">
        <f>IF(AND(Tournament!J18&lt;&gt;"",Tournament!L18&lt;&gt;""),Tournament!J18,0)</f>
        <v>1</v>
      </c>
      <c r="AT6" s="229" t="str">
        <f>IF(AND(Tournament!J18&lt;&gt;"",Tournament!L18&lt;&gt;""),IF(Tournament!J18&lt;Tournament!L18,Tournament!N18,""),"")</f>
        <v>Netherlands</v>
      </c>
      <c r="AU6" s="229" t="str">
        <f>IF(AND(Tournament!J18&lt;&gt;"",Tournament!L18&lt;&gt;""),IF(Tournament!J18=Tournament!L18,Tournament!N18,""),"")</f>
        <v/>
      </c>
      <c r="AV6" s="229" t="str">
        <f>IF(AND(Tournament!J18&lt;&gt;"",Tournament!L18&lt;&gt;""),IF(Tournament!J18&lt;Tournament!L18,Tournament!H18,""),"")</f>
        <v>Spain</v>
      </c>
      <c r="AW6" s="229">
        <f>IF(AND(Tournament!J18&lt;&gt;"",Tournament!L18&lt;&gt;""),Tournament!L18,0)</f>
        <v>5</v>
      </c>
      <c r="AX6" s="229">
        <v>1</v>
      </c>
      <c r="AY6" s="229" t="str">
        <f t="shared" si="1"/>
        <v/>
      </c>
      <c r="AZ6" s="229" t="str">
        <f t="shared" si="2"/>
        <v/>
      </c>
      <c r="BA6" s="229" t="str">
        <f t="shared" si="3"/>
        <v/>
      </c>
      <c r="BB6" s="229" t="str">
        <f t="shared" si="4"/>
        <v/>
      </c>
      <c r="BC6" s="229" t="str">
        <f t="shared" si="5"/>
        <v/>
      </c>
      <c r="BD6" s="229" t="str">
        <f t="shared" si="6"/>
        <v/>
      </c>
      <c r="BE6" s="229">
        <v>4</v>
      </c>
      <c r="BF6" s="229" t="str">
        <f>Tournament!H19</f>
        <v>Chile</v>
      </c>
      <c r="BG6" s="229">
        <f>IF(AND(Tournament!J19&lt;&gt;"",Tournament!L19&lt;&gt;""),Tournament!J19,"")</f>
        <v>3</v>
      </c>
      <c r="BH6" s="229">
        <f>IF(AND(Tournament!L19&lt;&gt;"",Tournament!J19&lt;&gt;""),Tournament!L19,"")</f>
        <v>1</v>
      </c>
      <c r="BI6" s="229" t="str">
        <f>Tournament!N19</f>
        <v>Australia</v>
      </c>
    </row>
    <row r="7" spans="1:61">
      <c r="A7" s="229">
        <f>K7+L7+M7+N7</f>
        <v>3</v>
      </c>
      <c r="B7" s="229" t="str">
        <f>Tournament!N17</f>
        <v>Cameroon</v>
      </c>
      <c r="C7" s="229">
        <f>SUMIF(AP$4:AP$60,B7,AX$4:AX$60)+SUMIF(AT$4:AT$60,B7,AX$4:AX$60)</f>
        <v>0</v>
      </c>
      <c r="D7" s="229">
        <f>SUMIF(AQ$4:AQ$60,B7,AX$4:AX$60)+SUMIF(AU$4:AU$60,B7,AX$4:AX$60)</f>
        <v>0</v>
      </c>
      <c r="E7" s="229">
        <f>SUMIF(AR$4:AR$60,B7,AX$4:AX$60)+SUMIF(AV$4:AV$60,B7,AX$4:AX$60)</f>
        <v>1</v>
      </c>
      <c r="F7" s="229">
        <f>SUMIF($BF$3:$BF$60,B7,$BG$3:$BG$60)+SUMIF($BI$3:$BI$60,B7,$BH$3:$BH$60)</f>
        <v>0</v>
      </c>
      <c r="G7" s="229">
        <f>SUMIF($BI$3:$BI$60,B7,$BG$3:$BG$60)+SUMIF($BF$3:$BF$60,B7,$BH$3:$BH$60)</f>
        <v>1</v>
      </c>
      <c r="H7" s="229">
        <f>F7-G7+100</f>
        <v>99</v>
      </c>
      <c r="I7" s="258">
        <f>C7*3+D7</f>
        <v>0</v>
      </c>
      <c r="J7" s="229">
        <v>32</v>
      </c>
      <c r="K7" s="229">
        <f>RANK(I7,I$4:I$7)</f>
        <v>3</v>
      </c>
      <c r="L7" s="229">
        <f>SUMPRODUCT((I$4:I$7=I7)*(H$4:H$7&gt;H7))</f>
        <v>0</v>
      </c>
      <c r="M7" s="229">
        <f>SUMPRODUCT((I$4:I$7=I7)*(H$4:H$7=H7)*(F$4:F$7&gt;F7))</f>
        <v>0</v>
      </c>
      <c r="N7" s="229">
        <f>SUMPRODUCT((I$4:I$7=I7)*(H$4:H$7=H7)*(F$4:F$7=F7)*(J$4:J$7&lt;J7))</f>
        <v>0</v>
      </c>
      <c r="O7" s="229">
        <f>IF(SUM(AG4:AI7)=0,IF(COUNTIF(AJ4:AJ7,0)&gt;1,4,AJ7+1),IF(X7=X6,IF(X7=3,4,X7),IF(X7=5,3,IF(X7=6,4,X7))))</f>
        <v>4</v>
      </c>
      <c r="P7" s="229" t="str">
        <f>VLOOKUP(4,A$4:B$7,2,FALSE)</f>
        <v>Croatia</v>
      </c>
      <c r="Q7" s="229">
        <f>SUMIF(B$4:B$60,P7,F$4:F$60)</f>
        <v>1</v>
      </c>
      <c r="R7" s="229">
        <f>SUMIF(B$4:B$60,P7,H$4:H$60)</f>
        <v>98</v>
      </c>
      <c r="S7" s="258">
        <f>SUMIF($B$4:$B$60,$P7,I$4:I$60)</f>
        <v>0</v>
      </c>
      <c r="T7" s="229">
        <f>SUMIF($B$4:$B$60,$P7,A$4:A$60)</f>
        <v>4</v>
      </c>
      <c r="U7" s="229">
        <f t="shared" si="0"/>
        <v>1</v>
      </c>
      <c r="V7" s="229">
        <f t="shared" si="0"/>
        <v>0</v>
      </c>
      <c r="W7" s="229">
        <f>SUMIF($B$4:$B$60,$P7,J$4:J$60)</f>
        <v>18</v>
      </c>
      <c r="X7" s="229">
        <f>IF(Y7=0,T7,T7+AG7+AH7+AI7+AJ7)</f>
        <v>4</v>
      </c>
      <c r="Y7" s="229">
        <f>IF(AND(S6=S7,S6=S5,R6=R7,R6=R5,Q6=Q7,Q6=Q5),P7,0)</f>
        <v>0</v>
      </c>
      <c r="Z7" s="229">
        <f>SUMIF($AY$4:$AY$60,$Y7,$AX$4:$AX$60)+SUMIF($BB$4:$BB$60,$Y7,$AX$4:$AX$60)</f>
        <v>0</v>
      </c>
      <c r="AA7" s="229">
        <f>SUMIF($AZ$4:$AZ$60,$Y7,$AX$4:$AX$60)+SUMIF($BC$4:$BC$60,$Y7,$AX$4:$AX$60)</f>
        <v>0</v>
      </c>
      <c r="AB7" s="229">
        <f>SUMIF($BA$4:$BA$60,$Y7,$AX$4:$AX$60)+SUMIF($BD$4:$BD$60,$Y7,$AX$4:$AX$60)</f>
        <v>0</v>
      </c>
      <c r="AC7" s="229">
        <f>SUMIF(AY$4:AY$60,Y7,AS$4:AS$60)+SUMIF(BB$4:BB$60,Y7,AW$4:AW$60)+SUMIF(AZ$4:AZ$60,Y7,AS$4:AS$60)+SUMIF(BC$4:BC$60,Y7,AW$4:AW$60)</f>
        <v>0</v>
      </c>
      <c r="AD7" s="229">
        <f>SUMIF(BA$4:BA$60,Y7,AS$4:AS$60)+SUMIF(BD$4:BD$60,Y7,AW$4:AW$60)+SUMIF(AZ$4:AZ$60,Y7,AS$4:AS$60)+SUMIF(BC$4:BC$60,Y7,AW$4:AW$60)</f>
        <v>0</v>
      </c>
      <c r="AE7" s="229">
        <f>AC7-AD7+100</f>
        <v>100</v>
      </c>
      <c r="AF7" s="258" t="str">
        <f>IF(Y7&lt;&gt;0,Z7*3+AA7,"")</f>
        <v/>
      </c>
      <c r="AG7" s="229">
        <f>IF(Y7&lt;&gt;0,RANK(AF7,AF$4:AF$7)-1,5)</f>
        <v>5</v>
      </c>
      <c r="AH7" s="229">
        <f>IF(Y7&lt;&gt;0,SUMPRODUCT((AF$4:AF$7=AF7)*(AE$4:AE$7&gt;AE7)),5)</f>
        <v>5</v>
      </c>
      <c r="AI7" s="229">
        <f>IF(Y7&lt;&gt;0,SUMPRODUCT(($AF$4:$AF$7=AF7)*($AE$4:$AE$7=AE7)*($AC$4:$AC$7&gt;AC7)),5)</f>
        <v>5</v>
      </c>
      <c r="AJ7" s="229">
        <f>IF(Y7&lt;&gt;0,SUMPRODUCT(($AF4:$AF7=AF7)*($AE4:$AE7=AE7)*($AC4:$AC7=AC7)*($AK4:$AK7&lt;AK7)),5)</f>
        <v>5</v>
      </c>
      <c r="AK7" s="229">
        <f>IF(AL7=0,0,VLOOKUP(Y7,Tournament!AJ$15:AK$18,2,FALSE))</f>
        <v>0</v>
      </c>
      <c r="AL7" s="229">
        <f>IF(Y7&lt;&gt;0,IF(SUM(AG7:AI7)=SUM(AG6:AI6),1,0),0)</f>
        <v>0</v>
      </c>
      <c r="AM7" s="229">
        <f>IF(AN7&lt;&gt;0,AM6+1,AM6)</f>
        <v>0</v>
      </c>
      <c r="AN7" s="229">
        <f>IF(AL7=1,Y7,0)</f>
        <v>0</v>
      </c>
      <c r="AO7" s="229">
        <v>4</v>
      </c>
      <c r="AP7" s="229" t="str">
        <f>IF(AND(Tournament!J19&lt;&gt;"",Tournament!L19&lt;&gt;""),IF(Tournament!J19&gt;Tournament!L19,Tournament!H19,""),"")</f>
        <v>Chile</v>
      </c>
      <c r="AQ7" s="229" t="str">
        <f>IF(AND(Tournament!J19&lt;&gt;"",Tournament!L19&lt;&gt;""),IF(Tournament!J19=Tournament!L19,Tournament!H19,""),"")</f>
        <v/>
      </c>
      <c r="AR7" s="229" t="str">
        <f>IF(AND(Tournament!J19&lt;&gt;"",Tournament!L19&lt;&gt;""),IF(Tournament!J19&gt;Tournament!L19,Tournament!N19,""),"")</f>
        <v>Australia</v>
      </c>
      <c r="AS7" s="229">
        <f>IF(AND(Tournament!J19&lt;&gt;"",Tournament!L19&lt;&gt;""),Tournament!J19,0)</f>
        <v>3</v>
      </c>
      <c r="AT7" s="229" t="str">
        <f>IF(AND(Tournament!J19&lt;&gt;"",Tournament!L19&lt;&gt;""),IF(Tournament!J19&lt;Tournament!L19,Tournament!N19,""),"")</f>
        <v/>
      </c>
      <c r="AU7" s="229" t="str">
        <f>IF(AND(Tournament!J19&lt;&gt;"",Tournament!L19&lt;&gt;""),IF(Tournament!J19=Tournament!L19,Tournament!N19,""),"")</f>
        <v/>
      </c>
      <c r="AV7" s="229" t="str">
        <f>IF(AND(Tournament!J19&lt;&gt;"",Tournament!L19&lt;&gt;""),IF(Tournament!J19&lt;Tournament!L19,Tournament!H19,""),"")</f>
        <v/>
      </c>
      <c r="AW7" s="229">
        <f>IF(AND(Tournament!J19&lt;&gt;"",Tournament!L19&lt;&gt;""),Tournament!L19,0)</f>
        <v>1</v>
      </c>
      <c r="AX7" s="229">
        <v>1</v>
      </c>
      <c r="AY7" s="229" t="str">
        <f t="shared" si="1"/>
        <v/>
      </c>
      <c r="AZ7" s="229" t="str">
        <f t="shared" si="2"/>
        <v/>
      </c>
      <c r="BA7" s="229" t="str">
        <f t="shared" si="3"/>
        <v/>
      </c>
      <c r="BB7" s="229" t="str">
        <f t="shared" si="4"/>
        <v/>
      </c>
      <c r="BC7" s="229" t="str">
        <f t="shared" si="5"/>
        <v/>
      </c>
      <c r="BD7" s="229" t="str">
        <f t="shared" si="6"/>
        <v/>
      </c>
      <c r="BE7" s="229">
        <v>5</v>
      </c>
      <c r="BF7" s="229" t="str">
        <f>Tournament!H20</f>
        <v>Colombia</v>
      </c>
      <c r="BG7" s="229" t="str">
        <f>IF(AND(Tournament!J20&lt;&gt;"",Tournament!L20&lt;&gt;""),Tournament!J20,"")</f>
        <v/>
      </c>
      <c r="BH7" s="229" t="str">
        <f>IF(AND(Tournament!L20&lt;&gt;"",Tournament!J20&lt;&gt;""),Tournament!L20,"")</f>
        <v/>
      </c>
      <c r="BI7" s="229" t="str">
        <f>Tournament!N20</f>
        <v>Greece</v>
      </c>
    </row>
    <row r="8" spans="1:61">
      <c r="I8" s="258"/>
      <c r="S8" s="258"/>
      <c r="AF8" s="258"/>
      <c r="AO8" s="229">
        <v>5</v>
      </c>
      <c r="AP8" s="229" t="str">
        <f>IF(AND(Tournament!J20&lt;&gt;"",Tournament!L20&lt;&gt;""),IF(Tournament!J20&gt;Tournament!L20,Tournament!H20,""),"")</f>
        <v/>
      </c>
      <c r="AQ8" s="229" t="str">
        <f>IF(AND(Tournament!J20&lt;&gt;"",Tournament!L20&lt;&gt;""),IF(Tournament!J20=Tournament!L20,Tournament!H20,""),"")</f>
        <v/>
      </c>
      <c r="AR8" s="229" t="str">
        <f>IF(AND(Tournament!J20&lt;&gt;"",Tournament!L20&lt;&gt;""),IF(Tournament!J20&gt;Tournament!L20,Tournament!N20,""),"")</f>
        <v/>
      </c>
      <c r="AS8" s="229">
        <f>IF(AND(Tournament!J20&lt;&gt;"",Tournament!L20&lt;&gt;""),Tournament!J20,0)</f>
        <v>0</v>
      </c>
      <c r="AT8" s="229" t="str">
        <f>IF(AND(Tournament!J20&lt;&gt;"",Tournament!L20&lt;&gt;""),IF(Tournament!J20&lt;Tournament!L20,Tournament!N20,""),"")</f>
        <v/>
      </c>
      <c r="AU8" s="229" t="str">
        <f>IF(AND(Tournament!J20&lt;&gt;"",Tournament!L20&lt;&gt;""),IF(Tournament!J20=Tournament!L20,Tournament!N20,""),"")</f>
        <v/>
      </c>
      <c r="AV8" s="229" t="str">
        <f>IF(AND(Tournament!J20&lt;&gt;"",Tournament!L20&lt;&gt;""),IF(Tournament!J20&lt;Tournament!L20,Tournament!H20,""),"")</f>
        <v/>
      </c>
      <c r="AW8" s="229">
        <f>IF(AND(Tournament!J20&lt;&gt;"",Tournament!L20&lt;&gt;""),Tournament!L20,0)</f>
        <v>0</v>
      </c>
      <c r="AX8" s="229">
        <v>1</v>
      </c>
      <c r="AY8" s="229" t="str">
        <f t="shared" si="1"/>
        <v/>
      </c>
      <c r="AZ8" s="229" t="str">
        <f t="shared" si="2"/>
        <v/>
      </c>
      <c r="BA8" s="229" t="str">
        <f t="shared" si="3"/>
        <v/>
      </c>
      <c r="BB8" s="229" t="str">
        <f t="shared" si="4"/>
        <v/>
      </c>
      <c r="BC8" s="229" t="str">
        <f t="shared" si="5"/>
        <v/>
      </c>
      <c r="BD8" s="229" t="str">
        <f t="shared" si="6"/>
        <v/>
      </c>
      <c r="BE8" s="229">
        <v>6</v>
      </c>
      <c r="BF8" s="229" t="str">
        <f>Tournament!H21</f>
        <v>Ivory Coast</v>
      </c>
      <c r="BG8" s="229" t="str">
        <f>IF(AND(Tournament!J21&lt;&gt;"",Tournament!L21&lt;&gt;""),Tournament!J21,"")</f>
        <v/>
      </c>
      <c r="BH8" s="229" t="str">
        <f>IF(AND(Tournament!L21&lt;&gt;"",Tournament!J21&lt;&gt;""),Tournament!L21,"")</f>
        <v/>
      </c>
      <c r="BI8" s="229" t="str">
        <f>Tournament!N21</f>
        <v>Japan</v>
      </c>
    </row>
    <row r="9" spans="1:61">
      <c r="I9" s="258"/>
      <c r="S9" s="258"/>
      <c r="AF9" s="258"/>
      <c r="AO9" s="229">
        <v>6</v>
      </c>
      <c r="AP9" s="229" t="str">
        <f>IF(AND(Tournament!J21&lt;&gt;"",Tournament!L21&lt;&gt;""),IF(Tournament!J21&gt;Tournament!L21,Tournament!H21,""),"")</f>
        <v/>
      </c>
      <c r="AQ9" s="229" t="str">
        <f>IF(AND(Tournament!J21&lt;&gt;"",Tournament!L21&lt;&gt;""),IF(Tournament!J21=Tournament!L21,Tournament!H21,""),"")</f>
        <v/>
      </c>
      <c r="AR9" s="229" t="str">
        <f>IF(AND(Tournament!J21&lt;&gt;"",Tournament!L21&lt;&gt;""),IF(Tournament!J21&gt;Tournament!L21,Tournament!N21,""),"")</f>
        <v/>
      </c>
      <c r="AS9" s="229">
        <f>IF(AND(Tournament!J21&lt;&gt;"",Tournament!L21&lt;&gt;""),Tournament!J21,0)</f>
        <v>0</v>
      </c>
      <c r="AT9" s="229" t="str">
        <f>IF(AND(Tournament!J21&lt;&gt;"",Tournament!L21&lt;&gt;""),IF(Tournament!J21&lt;Tournament!L21,Tournament!N21,""),"")</f>
        <v/>
      </c>
      <c r="AU9" s="229" t="str">
        <f>IF(AND(Tournament!J21&lt;&gt;"",Tournament!L21&lt;&gt;""),IF(Tournament!J21=Tournament!L21,Tournament!N21,""),"")</f>
        <v/>
      </c>
      <c r="AV9" s="229" t="str">
        <f>IF(AND(Tournament!J21&lt;&gt;"",Tournament!L21&lt;&gt;""),IF(Tournament!J21&lt;Tournament!L21,Tournament!H21,""),"")</f>
        <v/>
      </c>
      <c r="AW9" s="229">
        <f>IF(AND(Tournament!J21&lt;&gt;"",Tournament!L21&lt;&gt;""),Tournament!L21,0)</f>
        <v>0</v>
      </c>
      <c r="AX9" s="229">
        <v>1</v>
      </c>
      <c r="AY9" s="229" t="str">
        <f t="shared" si="1"/>
        <v/>
      </c>
      <c r="AZ9" s="229" t="str">
        <f t="shared" si="2"/>
        <v/>
      </c>
      <c r="BA9" s="229" t="str">
        <f t="shared" si="3"/>
        <v/>
      </c>
      <c r="BB9" s="229" t="str">
        <f t="shared" si="4"/>
        <v/>
      </c>
      <c r="BC9" s="229" t="str">
        <f t="shared" si="5"/>
        <v/>
      </c>
      <c r="BD9" s="229" t="str">
        <f t="shared" si="6"/>
        <v/>
      </c>
      <c r="BE9" s="229">
        <v>7</v>
      </c>
      <c r="BF9" s="229" t="str">
        <f>Tournament!H22</f>
        <v>Uruguay</v>
      </c>
      <c r="BG9" s="229" t="str">
        <f>IF(AND(Tournament!J22&lt;&gt;"",Tournament!L22&lt;&gt;""),Tournament!J22,"")</f>
        <v/>
      </c>
      <c r="BH9" s="229" t="str">
        <f>IF(AND(Tournament!L22&lt;&gt;"",Tournament!J22&lt;&gt;""),Tournament!L22,"")</f>
        <v/>
      </c>
      <c r="BI9" s="229" t="str">
        <f>Tournament!N22</f>
        <v>Costa Rica</v>
      </c>
    </row>
    <row r="10" spans="1:61">
      <c r="I10" s="258"/>
      <c r="S10" s="258"/>
      <c r="AF10" s="258"/>
      <c r="AO10" s="229">
        <v>7</v>
      </c>
      <c r="AP10" s="229" t="str">
        <f>IF(AND(Tournament!J22&lt;&gt;"",Tournament!L22&lt;&gt;""),IF(Tournament!J22&gt;Tournament!L22,Tournament!H22,""),"")</f>
        <v/>
      </c>
      <c r="AQ10" s="229" t="str">
        <f>IF(AND(Tournament!J22&lt;&gt;"",Tournament!L22&lt;&gt;""),IF(Tournament!J22=Tournament!L22,Tournament!H22,""),"")</f>
        <v/>
      </c>
      <c r="AR10" s="229" t="str">
        <f>IF(AND(Tournament!J22&lt;&gt;"",Tournament!L22&lt;&gt;""),IF(Tournament!J22&gt;Tournament!L22,Tournament!N22,""),"")</f>
        <v/>
      </c>
      <c r="AS10" s="229">
        <f>IF(AND(Tournament!J22&lt;&gt;"",Tournament!L22&lt;&gt;""),Tournament!J22,0)</f>
        <v>0</v>
      </c>
      <c r="AT10" s="229" t="str">
        <f>IF(AND(Tournament!J22&lt;&gt;"",Tournament!L22&lt;&gt;""),IF(Tournament!J22&lt;Tournament!L22,Tournament!N22,""),"")</f>
        <v/>
      </c>
      <c r="AU10" s="229" t="str">
        <f>IF(AND(Tournament!J22&lt;&gt;"",Tournament!L22&lt;&gt;""),IF(Tournament!J22=Tournament!L22,Tournament!N22,""),"")</f>
        <v/>
      </c>
      <c r="AV10" s="229" t="str">
        <f>IF(AND(Tournament!J22&lt;&gt;"",Tournament!L22&lt;&gt;""),IF(Tournament!J22&lt;Tournament!L22,Tournament!H22,""),"")</f>
        <v/>
      </c>
      <c r="AW10" s="229">
        <f>IF(AND(Tournament!J22&lt;&gt;"",Tournament!L22&lt;&gt;""),Tournament!L22,0)</f>
        <v>0</v>
      </c>
      <c r="AX10" s="229">
        <v>1</v>
      </c>
      <c r="AY10" s="229" t="str">
        <f t="shared" si="1"/>
        <v/>
      </c>
      <c r="AZ10" s="229" t="str">
        <f t="shared" si="2"/>
        <v/>
      </c>
      <c r="BA10" s="229" t="str">
        <f t="shared" si="3"/>
        <v/>
      </c>
      <c r="BB10" s="229" t="str">
        <f t="shared" si="4"/>
        <v/>
      </c>
      <c r="BC10" s="229" t="str">
        <f t="shared" si="5"/>
        <v/>
      </c>
      <c r="BD10" s="229" t="str">
        <f t="shared" si="6"/>
        <v/>
      </c>
      <c r="BE10" s="229">
        <v>8</v>
      </c>
      <c r="BF10" s="229" t="str">
        <f>Tournament!H23</f>
        <v>England</v>
      </c>
      <c r="BG10" s="229" t="str">
        <f>IF(AND(Tournament!J23&lt;&gt;"",Tournament!L23&lt;&gt;""),Tournament!J23,"")</f>
        <v/>
      </c>
      <c r="BH10" s="229" t="str">
        <f>IF(AND(Tournament!L23&lt;&gt;"",Tournament!J23&lt;&gt;""),Tournament!L23,"")</f>
        <v/>
      </c>
      <c r="BI10" s="229" t="str">
        <f>Tournament!N23</f>
        <v>Italy</v>
      </c>
    </row>
    <row r="11" spans="1:61">
      <c r="A11" s="229">
        <f>K11+L11+M11+N11</f>
        <v>4</v>
      </c>
      <c r="B11" s="229" t="str">
        <f>Tournament!H18</f>
        <v>Spain</v>
      </c>
      <c r="C11" s="229">
        <f>SUMIF(AP$4:AP$60,B11,AX$4:AX$60)+SUMIF(AT$4:AT$60,B11,AX$4:AX$60)</f>
        <v>0</v>
      </c>
      <c r="D11" s="229">
        <f>SUMIF(AQ$4:AQ$60,B11,AX$4:AX$60)+SUMIF(AU$4:AU$60,B11,AX$4:AX$60)</f>
        <v>0</v>
      </c>
      <c r="E11" s="229">
        <f>SUMIF(AR$4:AR$60,B11,AX$4:AX$60)+SUMIF(AV$4:AV$60,B11,AX$4:AX$60)</f>
        <v>1</v>
      </c>
      <c r="F11" s="229">
        <f>SUMIF($BF$3:$BF$60,B11,$BG$3:$BG$60)+SUMIF($BI$3:$BI$60,B11,$BH$3:$BH$60)</f>
        <v>1</v>
      </c>
      <c r="G11" s="229">
        <f>SUMIF($BI$3:$BI$60,B11,$BG$3:$BG$60)+SUMIF($BF$3:$BF$60,B11,$BH$3:$BH$60)</f>
        <v>5</v>
      </c>
      <c r="H11" s="229">
        <f>F11-G11+100</f>
        <v>96</v>
      </c>
      <c r="I11" s="258">
        <f>C11*3+D11</f>
        <v>0</v>
      </c>
      <c r="J11" s="229">
        <v>1</v>
      </c>
      <c r="K11" s="229">
        <f>RANK(I11,I$11:I$14)</f>
        <v>3</v>
      </c>
      <c r="L11" s="229">
        <f>SUMPRODUCT((I$11:I$14=I11)*(H$11:H$14&gt;H11))</f>
        <v>1</v>
      </c>
      <c r="M11" s="229">
        <f>SUMPRODUCT((I$11:I$14=I11)*(H$11:H$14=H11)*(F$11:F$14&gt;F11))</f>
        <v>0</v>
      </c>
      <c r="N11" s="229">
        <f>SUMPRODUCT((I$11:I$14=I11)*(H$11:H$14=H11)*(F$11:F$14=F11)*(J$11:J$14&lt;J11))</f>
        <v>0</v>
      </c>
      <c r="O11" s="229">
        <f>IF(SUM(AG11:AI14)=0,IF(COUNTIF(AJ11:AJ14,0)&gt;1,1,AJ11+1),X11)</f>
        <v>1</v>
      </c>
      <c r="P11" s="229" t="str">
        <f>VLOOKUP(1,A$11:B$14,2,FALSE)</f>
        <v>Netherlands</v>
      </c>
      <c r="Q11" s="229">
        <f>SUMIF(B$4:B$60,P11,F$4:F$60)</f>
        <v>5</v>
      </c>
      <c r="R11" s="229">
        <f>SUMIF(B$4:B$60,P11,H$4:H$60)</f>
        <v>104</v>
      </c>
      <c r="S11" s="258">
        <f>SUMIF($B$4:$B$60,$P11,I$4:I$60)</f>
        <v>3</v>
      </c>
      <c r="T11" s="229">
        <f>SUMIF($B$4:$B$60,$P11,A$4:A$60)</f>
        <v>1</v>
      </c>
      <c r="U11" s="229">
        <f t="shared" ref="U11:V14" si="7">SUMIF($B$4:$B$60,$P11,L$4:L$60)</f>
        <v>0</v>
      </c>
      <c r="V11" s="229">
        <f t="shared" si="7"/>
        <v>0</v>
      </c>
      <c r="W11" s="229">
        <f>SUMIF($B$4:$B$60,$P11,J$4:J$60)</f>
        <v>8</v>
      </c>
      <c r="X11" s="229">
        <f>IF(Y11=0,T11,T11+AG11+AH11+AI11)</f>
        <v>1</v>
      </c>
      <c r="Y11" s="229">
        <f>IF(AND(S11=S12,R11=R12,Q11=Q12),P11,0)</f>
        <v>0</v>
      </c>
      <c r="Z11" s="229">
        <f>SUMIF($AY$4:$AY$60,$Y11,$AX$4:$AX$60)+SUMIF($BB$4:$BB$60,$Y11,$AX$4:$AX$60)</f>
        <v>0</v>
      </c>
      <c r="AA11" s="229">
        <f>SUMIF($AZ$4:$AZ$60,$Y11,$AX$4:$AX$60)+SUMIF($BC$4:$BC$60,$Y11,$AX$4:$AX$60)</f>
        <v>0</v>
      </c>
      <c r="AB11" s="229">
        <f>SUMIF($BA$4:$BA$60,$Y11,$AX$4:$AX$60)+SUMIF($BD$4:$BD$60,$Y11,$AX$4:$AX$60)</f>
        <v>0</v>
      </c>
      <c r="AC11" s="229">
        <f>SUMIF(AY$4:AY$60,Y11,AS$4:AS$60)+SUMIF(BB$4:BB$60,Y11,AW$4:AW$60)+SUMIF(AZ$4:AZ$60,Y11,AS$4:AS$60)+SUMIF(BC$4:BC$60,Y11,AW$4:AW$60)</f>
        <v>0</v>
      </c>
      <c r="AD11" s="229">
        <f>SUMIF(BA$4:BA$60,Y11,AS$4:AS$60)+SUMIF(BD$4:BD$60,Y11,AW$4:AW$60)+SUMIF(AZ$4:AZ$60,Y11,AS$4:AS$60)+SUMIF(BC$4:BC$60,Y11,AW$4:AW$60)</f>
        <v>0</v>
      </c>
      <c r="AE11" s="229">
        <f>AC11-AD11+100</f>
        <v>100</v>
      </c>
      <c r="AF11" s="258" t="str">
        <f>IF(Y11&lt;&gt;0,Z11*3+AA11,"")</f>
        <v/>
      </c>
      <c r="AG11" s="229">
        <f>IF(Y11&lt;&gt;0,RANK(AF11,AF$11:AF$14)-1,5)</f>
        <v>5</v>
      </c>
      <c r="AH11" s="229">
        <f>IF(Y11&lt;&gt;0,SUMPRODUCT((AF$11:AF$14=AF11)*(AE$11:AE$14&gt;AE11)),5)</f>
        <v>5</v>
      </c>
      <c r="AI11" s="229">
        <f>IF(Y11&lt;&gt;0,SUMPRODUCT((AF$11:AF$14=AF11)*(AE$11:AE$14=AE11)*(AC$11:AC$14&gt;AC11)),5)</f>
        <v>5</v>
      </c>
      <c r="AJ11" s="229">
        <f>IF(Y11&lt;&gt;0,SUMPRODUCT(($AF11:$AF14=AF11)*($AE11:$AE14=AE11)*($AC11:$AC14=AC11)*($AK11:$AK14&lt;AK11)),5)</f>
        <v>5</v>
      </c>
      <c r="AK11" s="229">
        <f>IF(AL11=0,0,VLOOKUP(Y11,Tournament!AJ$20:AK$24,2,FALSE))</f>
        <v>0</v>
      </c>
      <c r="AL11" s="229">
        <f>IF(Y11&lt;&gt;0,IF(SUM(AG11:AI11)=SUM(AG12:AI12),1,0),0)</f>
        <v>0</v>
      </c>
      <c r="AM11" s="229">
        <f>IF(AN11&lt;&gt;0,1,0)</f>
        <v>0</v>
      </c>
      <c r="AN11" s="229">
        <f>IF(AL11=1,Y11,0)</f>
        <v>0</v>
      </c>
      <c r="AO11" s="229">
        <v>8</v>
      </c>
      <c r="AP11" s="229" t="str">
        <f>IF(AND(Tournament!J23&lt;&gt;"",Tournament!L23&lt;&gt;""),IF(Tournament!J23&gt;Tournament!L23,Tournament!H23,""),"")</f>
        <v/>
      </c>
      <c r="AQ11" s="229" t="str">
        <f>IF(AND(Tournament!J23&lt;&gt;"",Tournament!L23&lt;&gt;""),IF(Tournament!J23=Tournament!L23,Tournament!H23,""),"")</f>
        <v/>
      </c>
      <c r="AR11" s="229" t="str">
        <f>IF(AND(Tournament!J23&lt;&gt;"",Tournament!L23&lt;&gt;""),IF(Tournament!J23&gt;Tournament!L23,Tournament!N23,""),"")</f>
        <v/>
      </c>
      <c r="AS11" s="229">
        <f>IF(AND(Tournament!J23&lt;&gt;"",Tournament!L23&lt;&gt;""),Tournament!J23,0)</f>
        <v>0</v>
      </c>
      <c r="AT11" s="229" t="str">
        <f>IF(AND(Tournament!J23&lt;&gt;"",Tournament!L23&lt;&gt;""),IF(Tournament!J23&lt;Tournament!L23,Tournament!N23,""),"")</f>
        <v/>
      </c>
      <c r="AU11" s="229" t="str">
        <f>IF(AND(Tournament!J23&lt;&gt;"",Tournament!L23&lt;&gt;""),IF(Tournament!J23=Tournament!L23,Tournament!N23,""),"")</f>
        <v/>
      </c>
      <c r="AV11" s="229" t="str">
        <f>IF(AND(Tournament!J23&lt;&gt;"",Tournament!L23&lt;&gt;""),IF(Tournament!J23&lt;Tournament!L23,Tournament!H23,""),"")</f>
        <v/>
      </c>
      <c r="AW11" s="229">
        <f>IF(AND(Tournament!J23&lt;&gt;"",Tournament!L23&lt;&gt;""),Tournament!L23,0)</f>
        <v>0</v>
      </c>
      <c r="AX11" s="229">
        <v>1</v>
      </c>
      <c r="AY11" s="229" t="str">
        <f t="shared" si="1"/>
        <v/>
      </c>
      <c r="AZ11" s="229" t="str">
        <f t="shared" si="2"/>
        <v/>
      </c>
      <c r="BA11" s="229" t="str">
        <f t="shared" si="3"/>
        <v/>
      </c>
      <c r="BB11" s="229" t="str">
        <f t="shared" si="4"/>
        <v/>
      </c>
      <c r="BC11" s="229" t="str">
        <f t="shared" si="5"/>
        <v/>
      </c>
      <c r="BD11" s="229" t="str">
        <f t="shared" si="6"/>
        <v/>
      </c>
      <c r="BE11" s="229">
        <v>9</v>
      </c>
      <c r="BF11" s="229" t="str">
        <f>Tournament!H24</f>
        <v>Switzerland</v>
      </c>
      <c r="BG11" s="229" t="str">
        <f>IF(AND(Tournament!J24&lt;&gt;"",Tournament!L24&lt;&gt;""),Tournament!J24,"")</f>
        <v/>
      </c>
      <c r="BH11" s="229" t="str">
        <f>IF(AND(Tournament!L24&lt;&gt;"",Tournament!J24&lt;&gt;""),Tournament!L24,"")</f>
        <v/>
      </c>
      <c r="BI11" s="229" t="str">
        <f>Tournament!N24</f>
        <v>Ecuador</v>
      </c>
    </row>
    <row r="12" spans="1:61">
      <c r="A12" s="229">
        <f>K12+L12+M12+N12</f>
        <v>1</v>
      </c>
      <c r="B12" s="229" t="str">
        <f>Tournament!N18</f>
        <v>Netherlands</v>
      </c>
      <c r="C12" s="229">
        <f>SUMIF(AP$4:AP$60,B12,AX$4:AX$60)+SUMIF(AT$4:AT$60,B12,AX$4:AX$60)</f>
        <v>1</v>
      </c>
      <c r="D12" s="229">
        <f>SUMIF(AQ$4:AQ$60,B12,AX$4:AX$60)+SUMIF(AU$4:AU$60,B12,AX$4:AX$60)</f>
        <v>0</v>
      </c>
      <c r="E12" s="229">
        <f>SUMIF(AR$4:AR$60,B12,AX$4:AX$60)+SUMIF(AV$4:AV$60,B12,AX$4:AX$60)</f>
        <v>0</v>
      </c>
      <c r="F12" s="229">
        <f>SUMIF($BF$3:$BF$60,B12,$BG$3:$BG$60)+SUMIF($BI$3:$BI$60,B12,$BH$3:$BH$60)</f>
        <v>5</v>
      </c>
      <c r="G12" s="229">
        <f>SUMIF($BI$3:$BI$60,B12,$BG$3:$BG$60)+SUMIF($BF$3:$BF$60,B12,$BH$3:$BH$60)</f>
        <v>1</v>
      </c>
      <c r="H12" s="229">
        <f>F12-G12+100</f>
        <v>104</v>
      </c>
      <c r="I12" s="258">
        <f>C12*3+D12</f>
        <v>3</v>
      </c>
      <c r="J12" s="229">
        <v>8</v>
      </c>
      <c r="K12" s="229">
        <f>RANK(I12,I$11:I$14)</f>
        <v>1</v>
      </c>
      <c r="L12" s="229">
        <f>SUMPRODUCT((I$11:I$14=I12)*(H$11:H$14&gt;H12))</f>
        <v>0</v>
      </c>
      <c r="M12" s="229">
        <f>SUMPRODUCT((I$11:I$14=I12)*(H$11:H$14=H12)*(F$11:F$14&gt;F12))</f>
        <v>0</v>
      </c>
      <c r="N12" s="229">
        <f>SUMPRODUCT((I$11:I$14=I12)*(H$11:H$14=H12)*(F$11:F$14=F12)*(J$11:J$14&lt;J12))</f>
        <v>0</v>
      </c>
      <c r="O12" s="229">
        <f>IF(SUM(AG11:AI14)=0,IF(COUNTIF(AJ11:AJ14,0)&gt;1,2,AJ12+1),IF(AND(X11=1,X12=3,Y11&lt;&gt;0,Y12&lt;&gt;0,Y13=0,Y14=0),2,IF(AND(X11=2,X12=2,Y11&lt;&gt;0,Y12&lt;&gt;0,Y13=0,Y14=0),1,IF(AND(X12=4,AI12=2),3,X12))))</f>
        <v>2</v>
      </c>
      <c r="P12" s="229" t="str">
        <f>VLOOKUP(2,A$11:B$14,2,FALSE)</f>
        <v>Chile</v>
      </c>
      <c r="Q12" s="229">
        <f>SUMIF(B$4:B$60,P12,F$4:F$60)</f>
        <v>3</v>
      </c>
      <c r="R12" s="229">
        <f>SUMIF(B$4:B$60,P12,H$4:H$60)</f>
        <v>102</v>
      </c>
      <c r="S12" s="258">
        <f>SUMIF($B$4:$B$60,$P12,I$4:I$60)</f>
        <v>3</v>
      </c>
      <c r="T12" s="229">
        <f>SUMIF($B$4:$B$60,$P12,A$4:A$60)</f>
        <v>2</v>
      </c>
      <c r="U12" s="229">
        <f t="shared" si="7"/>
        <v>1</v>
      </c>
      <c r="V12" s="229">
        <f t="shared" si="7"/>
        <v>0</v>
      </c>
      <c r="W12" s="229">
        <f>SUMIF($B$4:$B$60,$P12,J$4:J$60)</f>
        <v>12</v>
      </c>
      <c r="X12" s="229">
        <f>IF(Y12=0,T12,T12+AG12+AH12+AI12)</f>
        <v>2</v>
      </c>
      <c r="Y12" s="229">
        <f>IF(OR(AND(S11=S12,R11=R12,Q11=Q12),AND(S13=S12,R13=R12,Q13=Q12)),P12,0)</f>
        <v>0</v>
      </c>
      <c r="Z12" s="229">
        <f>SUMIF($AY$4:$AY$60,$Y12,$AX$4:$AX$60)+SUMIF($BB$4:$BB$60,$Y12,$AX$4:$AX$60)</f>
        <v>0</v>
      </c>
      <c r="AA12" s="229">
        <f>SUMIF($AZ$4:$AZ$60,$Y12,$AX$4:$AX$60)+SUMIF($BC$4:$BC$60,$Y12,$AX$4:$AX$60)</f>
        <v>0</v>
      </c>
      <c r="AB12" s="229">
        <f>SUMIF($BA$4:$BA$60,$Y12,$AX$4:$AX$60)+SUMIF($BD$4:$BD$60,$Y12,$AX$4:$AX$60)</f>
        <v>0</v>
      </c>
      <c r="AC12" s="229">
        <f>SUMIF(AY$4:AY$60,Y12,AS$4:AS$60)+SUMIF(BB$4:BB$60,Y12,AW$4:AW$60)+SUMIF(AZ$4:AZ$60,Y12,AS$4:AS$60)+SUMIF(BC$4:BC$60,Y12,AW$4:AW$60)</f>
        <v>0</v>
      </c>
      <c r="AD12" s="229">
        <f>SUMIF(BA$4:BA$60,Y12,AS$4:AS$60)+SUMIF(BD$4:BD$60,Y12,AW$4:AW$60)+SUMIF(AZ$4:AZ$60,Y12,AS$4:AS$60)+SUMIF(BC$4:BC$60,Y12,AW$4:AW$60)</f>
        <v>0</v>
      </c>
      <c r="AE12" s="229">
        <f>AC12-AD12+100</f>
        <v>100</v>
      </c>
      <c r="AF12" s="258" t="str">
        <f>IF(Y12&lt;&gt;0,Z12*3+AA12,"")</f>
        <v/>
      </c>
      <c r="AG12" s="229">
        <f>IF(Y12&lt;&gt;0,RANK(AF12,AF$11:AF$14)-1,5)</f>
        <v>5</v>
      </c>
      <c r="AH12" s="229">
        <f>IF(Y12&lt;&gt;0,SUMPRODUCT((AF$11:AF$14=AF12)*(AE$11:AE$14&gt;AE12)),5)</f>
        <v>5</v>
      </c>
      <c r="AI12" s="229">
        <f>IF(Y12&lt;&gt;0,SUMPRODUCT((AF$11:AF$14=AF12)*(AE$11:AE$14=AE12)*(AC$11:AC$14&gt;AC12)),5)</f>
        <v>5</v>
      </c>
      <c r="AJ12" s="229">
        <f>IF(Y12&lt;&gt;0,SUMPRODUCT(($AF11:$AF14=AF12)*($AE11:$AE14=AE12)*($AC11:$AC14=AC12)*($AK11:$AK14&lt;AK12)),5)</f>
        <v>5</v>
      </c>
      <c r="AK12" s="229">
        <f>IF(AL12=0,0,VLOOKUP(Y12,Tournament!AJ$20:AK$24,2,FALSE))</f>
        <v>0</v>
      </c>
      <c r="AL12" s="229">
        <f>IF(Y12&lt;&gt;0,IF(OR(SUM(AG12:AI12)=SUM(AG11:AI11),SUM(AG12:AI12)=SUM(AG13:AI13)),1,0),0)</f>
        <v>0</v>
      </c>
      <c r="AM12" s="229">
        <f>IF(AN12&lt;&gt;0,AM11+1,AM11)</f>
        <v>0</v>
      </c>
      <c r="AN12" s="229">
        <f>IF(AL12=1,Y12,0)</f>
        <v>0</v>
      </c>
      <c r="AO12" s="229">
        <v>9</v>
      </c>
      <c r="AP12" s="229" t="str">
        <f>IF(AND(Tournament!J24&lt;&gt;"",Tournament!L24&lt;&gt;""),IF(Tournament!J24&gt;Tournament!L24,Tournament!H24,""),"")</f>
        <v/>
      </c>
      <c r="AQ12" s="229" t="str">
        <f>IF(AND(Tournament!J24&lt;&gt;"",Tournament!L24&lt;&gt;""),IF(Tournament!J24=Tournament!L24,Tournament!H24,""),"")</f>
        <v/>
      </c>
      <c r="AR12" s="229" t="str">
        <f>IF(AND(Tournament!J24&lt;&gt;"",Tournament!L24&lt;&gt;""),IF(Tournament!J24&gt;Tournament!L24,Tournament!N24,""),"")</f>
        <v/>
      </c>
      <c r="AS12" s="229">
        <f>IF(AND(Tournament!J24&lt;&gt;"",Tournament!L24&lt;&gt;""),Tournament!J24,0)</f>
        <v>0</v>
      </c>
      <c r="AT12" s="229" t="str">
        <f>IF(AND(Tournament!J24&lt;&gt;"",Tournament!L24&lt;&gt;""),IF(Tournament!J24&lt;Tournament!L24,Tournament!N24,""),"")</f>
        <v/>
      </c>
      <c r="AU12" s="229" t="str">
        <f>IF(AND(Tournament!J24&lt;&gt;"",Tournament!L24&lt;&gt;""),IF(Tournament!J24=Tournament!L24,Tournament!N24,""),"")</f>
        <v/>
      </c>
      <c r="AV12" s="229" t="str">
        <f>IF(AND(Tournament!J24&lt;&gt;"",Tournament!L24&lt;&gt;""),IF(Tournament!J24&lt;Tournament!L24,Tournament!H24,""),"")</f>
        <v/>
      </c>
      <c r="AW12" s="229">
        <f>IF(AND(Tournament!J24&lt;&gt;"",Tournament!L24&lt;&gt;""),Tournament!L24,0)</f>
        <v>0</v>
      </c>
      <c r="AX12" s="229">
        <v>1</v>
      </c>
      <c r="AY12" s="229" t="str">
        <f t="shared" si="1"/>
        <v/>
      </c>
      <c r="AZ12" s="229" t="str">
        <f t="shared" si="2"/>
        <v/>
      </c>
      <c r="BA12" s="229" t="str">
        <f t="shared" si="3"/>
        <v/>
      </c>
      <c r="BB12" s="229" t="str">
        <f t="shared" si="4"/>
        <v/>
      </c>
      <c r="BC12" s="229" t="str">
        <f t="shared" si="5"/>
        <v/>
      </c>
      <c r="BD12" s="229" t="str">
        <f t="shared" si="6"/>
        <v/>
      </c>
      <c r="BE12" s="229">
        <v>10</v>
      </c>
      <c r="BF12" s="229" t="str">
        <f>Tournament!H25</f>
        <v>France</v>
      </c>
      <c r="BG12" s="229" t="str">
        <f>IF(AND(Tournament!J25&lt;&gt;"",Tournament!L25&lt;&gt;""),Tournament!J25,"")</f>
        <v/>
      </c>
      <c r="BH12" s="229" t="str">
        <f>IF(AND(Tournament!L25&lt;&gt;"",Tournament!J25&lt;&gt;""),Tournament!L25,"")</f>
        <v/>
      </c>
      <c r="BI12" s="229" t="str">
        <f>Tournament!N25</f>
        <v>Honduras</v>
      </c>
    </row>
    <row r="13" spans="1:61">
      <c r="A13" s="229">
        <f>K13+L13+M13+N13</f>
        <v>2</v>
      </c>
      <c r="B13" s="229" t="str">
        <f>Tournament!H19</f>
        <v>Chile</v>
      </c>
      <c r="C13" s="229">
        <f>SUMIF(AP$4:AP$60,B13,AX$4:AX$60)+SUMIF(AT$4:AT$60,B13,AX$4:AX$60)</f>
        <v>1</v>
      </c>
      <c r="D13" s="229">
        <f>SUMIF(AQ$4:AQ$60,B13,AX$4:AX$60)+SUMIF(AU$4:AU$60,B13,AX$4:AX$60)</f>
        <v>0</v>
      </c>
      <c r="E13" s="229">
        <f>SUMIF(AR$4:AR$60,B13,AX$4:AX$60)+SUMIF(AV$4:AV$60,B13,AX$4:AX$60)</f>
        <v>0</v>
      </c>
      <c r="F13" s="229">
        <f>SUMIF($BF$3:$BF$60,B13,$BG$3:$BG$60)+SUMIF($BI$3:$BI$60,B13,$BH$3:$BH$60)</f>
        <v>3</v>
      </c>
      <c r="G13" s="229">
        <f>SUMIF($BI$3:$BI$60,B13,$BG$3:$BG$60)+SUMIF($BF$3:$BF$60,B13,$BH$3:$BH$60)</f>
        <v>1</v>
      </c>
      <c r="H13" s="229">
        <f>F13-G13+100</f>
        <v>102</v>
      </c>
      <c r="I13" s="258">
        <f>C13*3+D13</f>
        <v>3</v>
      </c>
      <c r="J13" s="229">
        <v>12</v>
      </c>
      <c r="K13" s="229">
        <f>RANK(I13,I$11:I$14)</f>
        <v>1</v>
      </c>
      <c r="L13" s="229">
        <f>SUMPRODUCT((I$11:I$14=I13)*(H$11:H$14&gt;H13))</f>
        <v>1</v>
      </c>
      <c r="M13" s="229">
        <f>SUMPRODUCT((I$11:I$14=I13)*(H$11:H$14=H13)*(F$11:F$14&gt;F13))</f>
        <v>0</v>
      </c>
      <c r="N13" s="229">
        <f>SUMPRODUCT((I$11:I$14=I13)*(H$11:H$14=H13)*(F$11:F$14=F13)*(J$11:J$14&lt;J13))</f>
        <v>0</v>
      </c>
      <c r="O13" s="229">
        <f>IF(SUM(AG11:AI14)=0,IF(COUNTIF(AJ11:AJ14,0)&gt;1,3,AJ13+1),IF(AND(X12=3,X13=3,Y11=0,Y12&lt;&gt;0,Y13&lt;&gt;0),2,IF(OR(X13=5,X13=4),3,IF(X13=6,4,IF(AND(X12=4,X11=1,Y13&lt;&gt;""),2,IF(AND(AI13=0,AI12=1,AI11=1,Y13&lt;&gt;""),1,X13))))))</f>
        <v>3</v>
      </c>
      <c r="P13" s="229" t="str">
        <f>VLOOKUP(3,A$11:B$14,2,FALSE)</f>
        <v>Australia</v>
      </c>
      <c r="Q13" s="229">
        <f>SUMIF(B$4:B$60,P13,F$4:F$60)</f>
        <v>1</v>
      </c>
      <c r="R13" s="229">
        <f>SUMIF(B$4:B$60,P13,H$4:H$60)</f>
        <v>98</v>
      </c>
      <c r="S13" s="258">
        <f>SUMIF($B$4:$B$60,$P13,I$4:I$60)</f>
        <v>0</v>
      </c>
      <c r="T13" s="229">
        <f>SUMIF($B$4:$B$60,$P13,A$4:A$60)</f>
        <v>3</v>
      </c>
      <c r="U13" s="229">
        <f t="shared" si="7"/>
        <v>0</v>
      </c>
      <c r="V13" s="229">
        <f t="shared" si="7"/>
        <v>0</v>
      </c>
      <c r="W13" s="229">
        <f>SUMIF($B$4:$B$60,$P13,J$4:J$60)</f>
        <v>31</v>
      </c>
      <c r="X13" s="229">
        <f>IF(Y13=0,T13,T13+AG13+AH13+AI13)</f>
        <v>3</v>
      </c>
      <c r="Y13" s="229">
        <f>IF(OR(AND(S12=S13,R12=R13,Q12=Q13),AND(S14=S13,S13=S12,R14=R13,R13=R12,Q14=Q13,Q13=Q12)),P13,0)</f>
        <v>0</v>
      </c>
      <c r="Z13" s="229">
        <f>SUMIF($AY$4:$AY$60,$Y13,$AX$4:$AX$60)+SUMIF($BB$4:$BB$60,$Y13,$AX$4:$AX$60)</f>
        <v>0</v>
      </c>
      <c r="AA13" s="229">
        <f>SUMIF($AZ$4:$AZ$60,$Y13,$AX$4:$AX$60)+SUMIF($BC$4:$BC$60,$Y13,$AX$4:$AX$60)</f>
        <v>0</v>
      </c>
      <c r="AB13" s="229">
        <f>SUMIF($BA$4:$BA$60,$Y13,$AX$4:$AX$60)+SUMIF($BD$4:$BD$60,$Y13,$AX$4:$AX$60)</f>
        <v>0</v>
      </c>
      <c r="AC13" s="229">
        <f>SUMIF(AY$4:AY$60,Y13,AS$4:AS$60)+SUMIF(BB$4:BB$60,Y13,AW$4:AW$60)+SUMIF(AZ$4:AZ$60,Y13,AS$4:AS$60)+SUMIF(BC$4:BC$60,Y13,AW$4:AW$60)</f>
        <v>0</v>
      </c>
      <c r="AD13" s="229">
        <f>SUMIF(BA$4:BA$60,Y13,AS$4:AS$60)+SUMIF(BD$4:BD$60,Y13,AW$4:AW$60)+SUMIF(AZ$4:AZ$60,Y13,AS$4:AS$60)+SUMIF(BC$4:BC$60,Y13,AW$4:AW$60)</f>
        <v>0</v>
      </c>
      <c r="AE13" s="229">
        <f>AC13-AD13+100</f>
        <v>100</v>
      </c>
      <c r="AF13" s="258" t="str">
        <f>IF(Y13&lt;&gt;0,Z13*3+AA13,"")</f>
        <v/>
      </c>
      <c r="AG13" s="229">
        <f>IF(Y13&lt;&gt;0,RANK(AF13,AF$11:AF$14)-1,5)</f>
        <v>5</v>
      </c>
      <c r="AH13" s="229">
        <f>IF(Y13&lt;&gt;0,SUMPRODUCT((AF$11:AF$14=AF13)*(AE$11:AE$14&gt;AE13)),5)</f>
        <v>5</v>
      </c>
      <c r="AI13" s="229">
        <f>IF(Y13&lt;&gt;0,SUMPRODUCT((AF$11:AF$14=AF13)*(AE$11:AE$14=AE13)*(AC$11:AC$14&gt;AC13)),5)</f>
        <v>5</v>
      </c>
      <c r="AJ13" s="229">
        <f>IF(Y13&lt;&gt;0,SUMPRODUCT(($AF11:$AF14=AF13)*($AE11:$AE14=AE13)*($AC11:$AC14=AC13)*($AK11:$AK14&lt;AK13)),5)</f>
        <v>5</v>
      </c>
      <c r="AK13" s="229">
        <f>IF(AL13=0,0,VLOOKUP(Y13,Tournament!AJ$20:AK$24,2,FALSE))</f>
        <v>0</v>
      </c>
      <c r="AL13" s="229">
        <f>IF(Y13&lt;&gt;0,IF(OR(SUM(AG13:AI13)=SUM(AG12:AI12),SUM(AG13:AI13)=SUM(AG14:AI14)),1,0),0)</f>
        <v>0</v>
      </c>
      <c r="AM13" s="229">
        <f>IF(AN13&lt;&gt;0,AM12+1,AM12)</f>
        <v>0</v>
      </c>
      <c r="AN13" s="229">
        <f>IF(AL13=1,Y13,0)</f>
        <v>0</v>
      </c>
      <c r="AO13" s="229">
        <v>10</v>
      </c>
      <c r="AP13" s="229" t="str">
        <f>IF(AND(Tournament!J25&lt;&gt;"",Tournament!L25&lt;&gt;""),IF(Tournament!J25&gt;Tournament!L25,Tournament!H25,""),"")</f>
        <v/>
      </c>
      <c r="AQ13" s="229" t="str">
        <f>IF(AND(Tournament!J25&lt;&gt;"",Tournament!L25&lt;&gt;""),IF(Tournament!J25=Tournament!L25,Tournament!H25,""),"")</f>
        <v/>
      </c>
      <c r="AR13" s="229" t="str">
        <f>IF(AND(Tournament!J25&lt;&gt;"",Tournament!L25&lt;&gt;""),IF(Tournament!J25&gt;Tournament!L25,Tournament!N25,""),"")</f>
        <v/>
      </c>
      <c r="AS13" s="229">
        <f>IF(AND(Tournament!J25&lt;&gt;"",Tournament!L25&lt;&gt;""),Tournament!J25,0)</f>
        <v>0</v>
      </c>
      <c r="AT13" s="229" t="str">
        <f>IF(AND(Tournament!J25&lt;&gt;"",Tournament!L25&lt;&gt;""),IF(Tournament!J25&lt;Tournament!L25,Tournament!N25,""),"")</f>
        <v/>
      </c>
      <c r="AU13" s="229" t="str">
        <f>IF(AND(Tournament!J25&lt;&gt;"",Tournament!L25&lt;&gt;""),IF(Tournament!J25=Tournament!L25,Tournament!N25,""),"")</f>
        <v/>
      </c>
      <c r="AV13" s="229" t="str">
        <f>IF(AND(Tournament!J25&lt;&gt;"",Tournament!L25&lt;&gt;""),IF(Tournament!J25&lt;Tournament!L25,Tournament!H25,""),"")</f>
        <v/>
      </c>
      <c r="AW13" s="229">
        <f>IF(AND(Tournament!J25&lt;&gt;"",Tournament!L25&lt;&gt;""),Tournament!L25,0)</f>
        <v>0</v>
      </c>
      <c r="AX13" s="229">
        <v>1</v>
      </c>
      <c r="AY13" s="229" t="str">
        <f t="shared" si="1"/>
        <v/>
      </c>
      <c r="AZ13" s="229" t="str">
        <f t="shared" si="2"/>
        <v/>
      </c>
      <c r="BA13" s="229" t="str">
        <f t="shared" si="3"/>
        <v/>
      </c>
      <c r="BB13" s="229" t="str">
        <f t="shared" si="4"/>
        <v/>
      </c>
      <c r="BC13" s="229" t="str">
        <f t="shared" si="5"/>
        <v/>
      </c>
      <c r="BD13" s="229" t="str">
        <f t="shared" si="6"/>
        <v/>
      </c>
      <c r="BE13" s="229">
        <v>11</v>
      </c>
      <c r="BF13" s="229" t="str">
        <f>Tournament!H26</f>
        <v>Argentina</v>
      </c>
      <c r="BG13" s="229" t="str">
        <f>IF(AND(Tournament!J26&lt;&gt;"",Tournament!L26&lt;&gt;""),Tournament!J26,"")</f>
        <v/>
      </c>
      <c r="BH13" s="229" t="str">
        <f>IF(AND(Tournament!L26&lt;&gt;"",Tournament!J26&lt;&gt;""),Tournament!L26,"")</f>
        <v/>
      </c>
      <c r="BI13" s="229" t="str">
        <f>Tournament!N26</f>
        <v>Bosnia-Herzegovina</v>
      </c>
    </row>
    <row r="14" spans="1:61">
      <c r="A14" s="229">
        <f>K14+L14+M14+N14</f>
        <v>3</v>
      </c>
      <c r="B14" s="229" t="str">
        <f>Tournament!N19</f>
        <v>Australia</v>
      </c>
      <c r="C14" s="229">
        <f>SUMIF(AP$4:AP$60,B14,AX$4:AX$60)+SUMIF(AT$4:AT$60,B14,AX$4:AX$60)</f>
        <v>0</v>
      </c>
      <c r="D14" s="229">
        <f>SUMIF(AQ$4:AQ$60,B14,AX$4:AX$60)+SUMIF(AU$4:AU$60,B14,AX$4:AX$60)</f>
        <v>0</v>
      </c>
      <c r="E14" s="229">
        <f>SUMIF(AR$4:AR$60,B14,AX$4:AX$60)+SUMIF(AV$4:AV$60,B14,AX$4:AX$60)</f>
        <v>1</v>
      </c>
      <c r="F14" s="229">
        <f>SUMIF($BF$3:$BF$60,B14,$BG$3:$BG$60)+SUMIF($BI$3:$BI$60,B14,$BH$3:$BH$60)</f>
        <v>1</v>
      </c>
      <c r="G14" s="229">
        <f>SUMIF($BI$3:$BI$60,B14,$BG$3:$BG$60)+SUMIF($BF$3:$BF$60,B14,$BH$3:$BH$60)</f>
        <v>3</v>
      </c>
      <c r="H14" s="229">
        <f>F14-G14+100</f>
        <v>98</v>
      </c>
      <c r="I14" s="258">
        <f>C14*3+D14</f>
        <v>0</v>
      </c>
      <c r="J14" s="229">
        <v>31</v>
      </c>
      <c r="K14" s="229">
        <f>RANK(I14,I$11:I$14)</f>
        <v>3</v>
      </c>
      <c r="L14" s="229">
        <f>SUMPRODUCT((I$11:I$14=I14)*(H$11:H$14&gt;H14))</f>
        <v>0</v>
      </c>
      <c r="M14" s="229">
        <f>SUMPRODUCT((I$11:I$14=I14)*(H$11:H$14=H14)*(F$11:F$14&gt;F14))</f>
        <v>0</v>
      </c>
      <c r="N14" s="229">
        <f>SUMPRODUCT((I$11:I$14=I14)*(H$11:H$14=H14)*(F$11:F$14=F14)*(J$11:J$14&lt;J14))</f>
        <v>0</v>
      </c>
      <c r="O14" s="229">
        <f>IF(SUM(AG11:AI14)=0,IF(COUNTIF(AJ11:AJ14,0)&gt;1,4,AJ14+1),IF(X14=X13,IF(X14=3,4,X14),IF(X14=5,3,IF(X14=6,4,X14))))</f>
        <v>4</v>
      </c>
      <c r="P14" s="229" t="str">
        <f>VLOOKUP(4,A$11:B$14,2,FALSE)</f>
        <v>Spain</v>
      </c>
      <c r="Q14" s="229">
        <f>SUMIF(B$4:B$60,P14,F$4:F$60)</f>
        <v>1</v>
      </c>
      <c r="R14" s="229">
        <f>SUMIF(B$4:B$60,P14,H$4:H$60)</f>
        <v>96</v>
      </c>
      <c r="S14" s="258">
        <f>SUMIF($B$4:$B$60,$P14,I$4:I$60)</f>
        <v>0</v>
      </c>
      <c r="T14" s="229">
        <f>SUMIF($B$4:$B$60,$P14,A$4:A$60)</f>
        <v>4</v>
      </c>
      <c r="U14" s="229">
        <f t="shared" si="7"/>
        <v>1</v>
      </c>
      <c r="V14" s="229">
        <f t="shared" si="7"/>
        <v>0</v>
      </c>
      <c r="W14" s="229">
        <f>SUMIF($B$4:$B$60,$P14,J$4:J$60)</f>
        <v>1</v>
      </c>
      <c r="X14" s="229">
        <f>IF(Y14=0,T14,T14+AG14+AH14+AI14)</f>
        <v>4</v>
      </c>
      <c r="Y14" s="229">
        <f>IF(AND(S13=S14,S13=S12,R13=R14,R13=R12,Q13=Q14,Q13=Q12),P14,0)</f>
        <v>0</v>
      </c>
      <c r="Z14" s="229">
        <f>SUMIF($AY$4:$AY$60,$Y14,$AX$4:$AX$60)+SUMIF($BB$4:$BB$60,$Y14,$AX$4:$AX$60)</f>
        <v>0</v>
      </c>
      <c r="AA14" s="229">
        <f>SUMIF($AZ$4:$AZ$60,$Y14,$AX$4:$AX$60)+SUMIF($BC$4:$BC$60,$Y14,$AX$4:$AX$60)</f>
        <v>0</v>
      </c>
      <c r="AB14" s="229">
        <f>SUMIF($BA$4:$BA$60,$Y14,$AX$4:$AX$60)+SUMIF($BD$4:$BD$60,$Y14,$AX$4:$AX$60)</f>
        <v>0</v>
      </c>
      <c r="AC14" s="229">
        <f>SUMIF(AY$4:AY$60,Y14,AS$4:AS$60)+SUMIF(BB$4:BB$60,Y14,AW$4:AW$60)+SUMIF(AZ$4:AZ$60,Y14,AS$4:AS$60)+SUMIF(BC$4:BC$60,Y14,AW$4:AW$60)</f>
        <v>0</v>
      </c>
      <c r="AD14" s="229">
        <f>SUMIF(BA$4:BA$60,Y14,AS$4:AS$60)+SUMIF(BD$4:BD$60,Y14,AW$4:AW$60)+SUMIF(AZ$4:AZ$60,Y14,AS$4:AS$60)+SUMIF(BC$4:BC$60,Y14,AW$4:AW$60)</f>
        <v>0</v>
      </c>
      <c r="AE14" s="229">
        <f>AC14-AD14+100</f>
        <v>100</v>
      </c>
      <c r="AF14" s="258" t="str">
        <f>IF(Y14&lt;&gt;0,Z14*3+AA14,"")</f>
        <v/>
      </c>
      <c r="AG14" s="229">
        <f>IF(Y14&lt;&gt;0,RANK(AF14,AF$11:AF$14)-1,5)</f>
        <v>5</v>
      </c>
      <c r="AH14" s="229">
        <f>IF(Y14&lt;&gt;0,SUMPRODUCT((AF$11:AF$14=AF14)*(AE$11:AE$14&gt;AE14)),5)</f>
        <v>5</v>
      </c>
      <c r="AI14" s="229">
        <f>IF(Y14&lt;&gt;0,SUMPRODUCT((AF$11:AF$14=AF14)*(AE$11:AE$14=AE14)*(AC$11:AC$14&gt;AC14)),5)</f>
        <v>5</v>
      </c>
      <c r="AJ14" s="229">
        <f>IF(Y14&lt;&gt;0,SUMPRODUCT(($AF11:$AF14=AF14)*($AE11:$AE14=AE14)*($AC11:$AC14=AC14)*($AK11:$AK14&lt;AK14)),5)</f>
        <v>5</v>
      </c>
      <c r="AK14" s="229">
        <f>IF(AL14=0,0,VLOOKUP(Y14,Tournament!AJ$20:AK$24,2,FALSE))</f>
        <v>0</v>
      </c>
      <c r="AL14" s="229">
        <f>IF(Y14&lt;&gt;0,IF(SUM(AG14:AI14)=SUM(AG13:AI13),1,0),0)</f>
        <v>0</v>
      </c>
      <c r="AM14" s="229">
        <f>IF(AN14&lt;&gt;0,AM13+1,AM13)</f>
        <v>0</v>
      </c>
      <c r="AN14" s="229">
        <f>IF(AL14=1,Y14,0)</f>
        <v>0</v>
      </c>
      <c r="AO14" s="229">
        <v>11</v>
      </c>
      <c r="AP14" s="229" t="str">
        <f>IF(AND(Tournament!J26&lt;&gt;"",Tournament!L26&lt;&gt;""),IF(Tournament!J26&gt;Tournament!L26,Tournament!H26,""),"")</f>
        <v/>
      </c>
      <c r="AQ14" s="229" t="str">
        <f>IF(AND(Tournament!J26&lt;&gt;"",Tournament!L26&lt;&gt;""),IF(Tournament!J26=Tournament!L26,Tournament!H26,""),"")</f>
        <v/>
      </c>
      <c r="AR14" s="229" t="str">
        <f>IF(AND(Tournament!J26&lt;&gt;"",Tournament!L26&lt;&gt;""),IF(Tournament!J26&gt;Tournament!L26,Tournament!N26,""),"")</f>
        <v/>
      </c>
      <c r="AS14" s="229">
        <f>IF(AND(Tournament!J26&lt;&gt;"",Tournament!L26&lt;&gt;""),Tournament!J26,0)</f>
        <v>0</v>
      </c>
      <c r="AT14" s="229" t="str">
        <f>IF(AND(Tournament!J26&lt;&gt;"",Tournament!L26&lt;&gt;""),IF(Tournament!J26&lt;Tournament!L26,Tournament!N26,""),"")</f>
        <v/>
      </c>
      <c r="AU14" s="229" t="str">
        <f>IF(AND(Tournament!J26&lt;&gt;"",Tournament!L26&lt;&gt;""),IF(Tournament!J26=Tournament!L26,Tournament!N26,""),"")</f>
        <v/>
      </c>
      <c r="AV14" s="229" t="str">
        <f>IF(AND(Tournament!J26&lt;&gt;"",Tournament!L26&lt;&gt;""),IF(Tournament!J26&lt;Tournament!L26,Tournament!H26,""),"")</f>
        <v/>
      </c>
      <c r="AW14" s="229">
        <f>IF(AND(Tournament!J26&lt;&gt;"",Tournament!L26&lt;&gt;""),Tournament!L26,0)</f>
        <v>0</v>
      </c>
      <c r="AX14" s="229">
        <v>1</v>
      </c>
      <c r="AY14" s="229" t="str">
        <f t="shared" si="1"/>
        <v/>
      </c>
      <c r="AZ14" s="229" t="str">
        <f t="shared" si="2"/>
        <v/>
      </c>
      <c r="BA14" s="229" t="str">
        <f t="shared" si="3"/>
        <v/>
      </c>
      <c r="BB14" s="229" t="str">
        <f t="shared" si="4"/>
        <v/>
      </c>
      <c r="BC14" s="229" t="str">
        <f t="shared" si="5"/>
        <v/>
      </c>
      <c r="BD14" s="229" t="str">
        <f t="shared" si="6"/>
        <v/>
      </c>
      <c r="BE14" s="229">
        <v>12</v>
      </c>
      <c r="BF14" s="229" t="str">
        <f>Tournament!H27</f>
        <v>Iran</v>
      </c>
      <c r="BG14" s="229" t="str">
        <f>IF(AND(Tournament!J27&lt;&gt;"",Tournament!L27&lt;&gt;""),Tournament!J27,"")</f>
        <v/>
      </c>
      <c r="BH14" s="229" t="str">
        <f>IF(AND(Tournament!L27&lt;&gt;"",Tournament!J27&lt;&gt;""),Tournament!L27,"")</f>
        <v/>
      </c>
      <c r="BI14" s="229" t="str">
        <f>Tournament!N27</f>
        <v>Nigeria</v>
      </c>
    </row>
    <row r="15" spans="1:61">
      <c r="I15" s="258"/>
      <c r="S15" s="258"/>
      <c r="AF15" s="258"/>
      <c r="AO15" s="229">
        <v>12</v>
      </c>
      <c r="AP15" s="229" t="str">
        <f>IF(AND(Tournament!J27&lt;&gt;"",Tournament!L27&lt;&gt;""),IF(Tournament!J27&gt;Tournament!L27,Tournament!H27,""),"")</f>
        <v/>
      </c>
      <c r="AQ15" s="229" t="str">
        <f>IF(AND(Tournament!J27&lt;&gt;"",Tournament!L27&lt;&gt;""),IF(Tournament!J27=Tournament!L27,Tournament!H27,""),"")</f>
        <v/>
      </c>
      <c r="AR15" s="229" t="str">
        <f>IF(AND(Tournament!J27&lt;&gt;"",Tournament!L27&lt;&gt;""),IF(Tournament!J27&gt;Tournament!L27,Tournament!N27,""),"")</f>
        <v/>
      </c>
      <c r="AS15" s="229">
        <f>IF(AND(Tournament!J27&lt;&gt;"",Tournament!L27&lt;&gt;""),Tournament!J27,0)</f>
        <v>0</v>
      </c>
      <c r="AT15" s="229" t="str">
        <f>IF(AND(Tournament!J27&lt;&gt;"",Tournament!L27&lt;&gt;""),IF(Tournament!J27&lt;Tournament!L27,Tournament!N27,""),"")</f>
        <v/>
      </c>
      <c r="AU15" s="229" t="str">
        <f>IF(AND(Tournament!J27&lt;&gt;"",Tournament!L27&lt;&gt;""),IF(Tournament!J27=Tournament!L27,Tournament!N27,""),"")</f>
        <v/>
      </c>
      <c r="AV15" s="229" t="str">
        <f>IF(AND(Tournament!J27&lt;&gt;"",Tournament!L27&lt;&gt;""),IF(Tournament!J27&lt;Tournament!L27,Tournament!H27,""),"")</f>
        <v/>
      </c>
      <c r="AW15" s="229">
        <f>IF(AND(Tournament!J27&lt;&gt;"",Tournament!L27&lt;&gt;""),Tournament!L27,0)</f>
        <v>0</v>
      </c>
      <c r="AX15" s="229">
        <v>1</v>
      </c>
      <c r="AY15" s="229" t="str">
        <f t="shared" si="1"/>
        <v/>
      </c>
      <c r="AZ15" s="229" t="str">
        <f t="shared" si="2"/>
        <v/>
      </c>
      <c r="BA15" s="229" t="str">
        <f t="shared" si="3"/>
        <v/>
      </c>
      <c r="BB15" s="229" t="str">
        <f t="shared" si="4"/>
        <v/>
      </c>
      <c r="BC15" s="229" t="str">
        <f t="shared" si="5"/>
        <v/>
      </c>
      <c r="BD15" s="229" t="str">
        <f t="shared" si="6"/>
        <v/>
      </c>
      <c r="BE15" s="229">
        <v>13</v>
      </c>
      <c r="BF15" s="229" t="str">
        <f>Tournament!H28</f>
        <v>Germany</v>
      </c>
      <c r="BG15" s="229" t="str">
        <f>IF(AND(Tournament!J28&lt;&gt;"",Tournament!L28&lt;&gt;""),Tournament!J28,"")</f>
        <v/>
      </c>
      <c r="BH15" s="229" t="str">
        <f>IF(AND(Tournament!L28&lt;&gt;"",Tournament!J28&lt;&gt;""),Tournament!L28,"")</f>
        <v/>
      </c>
      <c r="BI15" s="229" t="str">
        <f>Tournament!N28</f>
        <v>Portugal</v>
      </c>
    </row>
    <row r="16" spans="1:61">
      <c r="I16" s="258"/>
      <c r="S16" s="258"/>
      <c r="AF16" s="258"/>
      <c r="AO16" s="229">
        <v>13</v>
      </c>
      <c r="AP16" s="229" t="str">
        <f>IF(AND(Tournament!J28&lt;&gt;"",Tournament!L28&lt;&gt;""),IF(Tournament!J28&gt;Tournament!L28,Tournament!H28,""),"")</f>
        <v/>
      </c>
      <c r="AQ16" s="229" t="str">
        <f>IF(AND(Tournament!J28&lt;&gt;"",Tournament!L28&lt;&gt;""),IF(Tournament!J28=Tournament!L28,Tournament!H28,""),"")</f>
        <v/>
      </c>
      <c r="AR16" s="229" t="str">
        <f>IF(AND(Tournament!J28&lt;&gt;"",Tournament!L28&lt;&gt;""),IF(Tournament!J28&gt;Tournament!L28,Tournament!N28,""),"")</f>
        <v/>
      </c>
      <c r="AS16" s="229">
        <f>IF(AND(Tournament!J28&lt;&gt;"",Tournament!L28&lt;&gt;""),Tournament!J28,0)</f>
        <v>0</v>
      </c>
      <c r="AT16" s="229" t="str">
        <f>IF(AND(Tournament!J28&lt;&gt;"",Tournament!L28&lt;&gt;""),IF(Tournament!J28&lt;Tournament!L28,Tournament!N28,""),"")</f>
        <v/>
      </c>
      <c r="AU16" s="229" t="str">
        <f>IF(AND(Tournament!J28&lt;&gt;"",Tournament!L28&lt;&gt;""),IF(Tournament!J28=Tournament!L28,Tournament!N28,""),"")</f>
        <v/>
      </c>
      <c r="AV16" s="229" t="str">
        <f>IF(AND(Tournament!J28&lt;&gt;"",Tournament!L28&lt;&gt;""),IF(Tournament!J28&lt;Tournament!L28,Tournament!H28,""),"")</f>
        <v/>
      </c>
      <c r="AW16" s="229">
        <f>IF(AND(Tournament!J28&lt;&gt;"",Tournament!L28&lt;&gt;""),Tournament!L28,0)</f>
        <v>0</v>
      </c>
      <c r="AX16" s="229">
        <v>1</v>
      </c>
      <c r="AY16" s="229" t="str">
        <f t="shared" si="1"/>
        <v/>
      </c>
      <c r="AZ16" s="229" t="str">
        <f t="shared" si="2"/>
        <v/>
      </c>
      <c r="BA16" s="229" t="str">
        <f t="shared" si="3"/>
        <v/>
      </c>
      <c r="BB16" s="229" t="str">
        <f t="shared" si="4"/>
        <v/>
      </c>
      <c r="BC16" s="229" t="str">
        <f t="shared" si="5"/>
        <v/>
      </c>
      <c r="BD16" s="229" t="str">
        <f t="shared" si="6"/>
        <v/>
      </c>
      <c r="BE16" s="229">
        <v>14</v>
      </c>
      <c r="BF16" s="229" t="str">
        <f>Tournament!H29</f>
        <v>Ghana</v>
      </c>
      <c r="BG16" s="229" t="str">
        <f>IF(AND(Tournament!J29&lt;&gt;"",Tournament!L29&lt;&gt;""),Tournament!J29,"")</f>
        <v/>
      </c>
      <c r="BH16" s="229" t="str">
        <f>IF(AND(Tournament!L29&lt;&gt;"",Tournament!J29&lt;&gt;""),Tournament!L29,"")</f>
        <v/>
      </c>
      <c r="BI16" s="229" t="str">
        <f>Tournament!N29</f>
        <v>USA</v>
      </c>
    </row>
    <row r="17" spans="1:61">
      <c r="I17" s="258"/>
      <c r="S17" s="258"/>
      <c r="AF17" s="258"/>
      <c r="AO17" s="229">
        <v>14</v>
      </c>
      <c r="AP17" s="229" t="str">
        <f>IF(AND(Tournament!J29&lt;&gt;"",Tournament!L29&lt;&gt;""),IF(Tournament!J29&gt;Tournament!L29,Tournament!H29,""),"")</f>
        <v/>
      </c>
      <c r="AQ17" s="229" t="str">
        <f>IF(AND(Tournament!J29&lt;&gt;"",Tournament!L29&lt;&gt;""),IF(Tournament!J29=Tournament!L29,Tournament!H29,""),"")</f>
        <v/>
      </c>
      <c r="AR17" s="229" t="str">
        <f>IF(AND(Tournament!J29&lt;&gt;"",Tournament!L29&lt;&gt;""),IF(Tournament!J29&gt;Tournament!L29,Tournament!N29,""),"")</f>
        <v/>
      </c>
      <c r="AS17" s="229">
        <f>IF(AND(Tournament!J29&lt;&gt;"",Tournament!L29&lt;&gt;""),Tournament!J29,0)</f>
        <v>0</v>
      </c>
      <c r="AT17" s="229" t="str">
        <f>IF(AND(Tournament!J29&lt;&gt;"",Tournament!L29&lt;&gt;""),IF(Tournament!J29&lt;Tournament!L29,Tournament!N29,""),"")</f>
        <v/>
      </c>
      <c r="AU17" s="229" t="str">
        <f>IF(AND(Tournament!J29&lt;&gt;"",Tournament!L29&lt;&gt;""),IF(Tournament!J29=Tournament!L29,Tournament!N29,""),"")</f>
        <v/>
      </c>
      <c r="AV17" s="229" t="str">
        <f>IF(AND(Tournament!J29&lt;&gt;"",Tournament!L29&lt;&gt;""),IF(Tournament!J29&lt;Tournament!L29,Tournament!H29,""),"")</f>
        <v/>
      </c>
      <c r="AW17" s="229">
        <f>IF(AND(Tournament!J29&lt;&gt;"",Tournament!L29&lt;&gt;""),Tournament!L29,0)</f>
        <v>0</v>
      </c>
      <c r="AX17" s="229">
        <v>1</v>
      </c>
      <c r="AY17" s="229" t="str">
        <f t="shared" si="1"/>
        <v/>
      </c>
      <c r="AZ17" s="229" t="str">
        <f t="shared" si="2"/>
        <v/>
      </c>
      <c r="BA17" s="229" t="str">
        <f t="shared" si="3"/>
        <v/>
      </c>
      <c r="BB17" s="229" t="str">
        <f t="shared" si="4"/>
        <v/>
      </c>
      <c r="BC17" s="229" t="str">
        <f t="shared" si="5"/>
        <v/>
      </c>
      <c r="BD17" s="229" t="str">
        <f t="shared" si="6"/>
        <v/>
      </c>
      <c r="BE17" s="229">
        <v>15</v>
      </c>
      <c r="BF17" s="229" t="str">
        <f>Tournament!H30</f>
        <v>Belgium</v>
      </c>
      <c r="BG17" s="229" t="str">
        <f>IF(AND(Tournament!J30&lt;&gt;"",Tournament!L30&lt;&gt;""),Tournament!J30,"")</f>
        <v/>
      </c>
      <c r="BH17" s="229" t="str">
        <f>IF(AND(Tournament!L30&lt;&gt;"",Tournament!J30&lt;&gt;""),Tournament!L30,"")</f>
        <v/>
      </c>
      <c r="BI17" s="229" t="str">
        <f>Tournament!N30</f>
        <v>Algeria</v>
      </c>
    </row>
    <row r="18" spans="1:61">
      <c r="A18" s="229">
        <f>K18+L18+M18+N18</f>
        <v>1</v>
      </c>
      <c r="B18" s="229" t="str">
        <f>Tournament!H20</f>
        <v>Colombia</v>
      </c>
      <c r="C18" s="229">
        <f>SUMIF(AP$4:AP$60,B18,AX$4:AX$60)+SUMIF(AT$4:AT$60,B18,AX$4:AX$60)</f>
        <v>0</v>
      </c>
      <c r="D18" s="229">
        <f>SUMIF(AQ$4:AQ$60,B18,AX$4:AX$60)+SUMIF(AU$4:AU$60,B18,AX$4:AX$60)</f>
        <v>0</v>
      </c>
      <c r="E18" s="229">
        <f>SUMIF(AR$4:AR$60,B18,AX$4:AX$60)+SUMIF(AV$4:AV$60,B18,AX$4:AX$60)</f>
        <v>0</v>
      </c>
      <c r="F18" s="229">
        <f>SUMIF($BF$3:$BF$60,B18,$BG$3:$BG$60)+SUMIF($BI$3:$BI$60,B18,$BH$3:$BH$60)</f>
        <v>0</v>
      </c>
      <c r="G18" s="229">
        <f>SUMIF($BI$3:$BI$60,B18,$BG$3:$BG$60)+SUMIF($BF$3:$BF$60,B18,$BH$3:$BH$60)</f>
        <v>0</v>
      </c>
      <c r="H18" s="229">
        <f>F18-G18+100</f>
        <v>100</v>
      </c>
      <c r="I18" s="258">
        <f>C18*3+D18</f>
        <v>0</v>
      </c>
      <c r="J18" s="229">
        <v>4</v>
      </c>
      <c r="K18" s="229">
        <f>RANK(I18,I$18:I$21)</f>
        <v>1</v>
      </c>
      <c r="L18" s="229">
        <f>SUMPRODUCT((I$18:I$21=I18)*(H$18:H$21&gt;H18))</f>
        <v>0</v>
      </c>
      <c r="M18" s="229">
        <f>SUMPRODUCT((I$18:I$21=I18)*(H$18:H$21=H18)*(F$18:F$21&gt;F18))</f>
        <v>0</v>
      </c>
      <c r="N18" s="229">
        <f>SUMPRODUCT((I$18:I$21=I18)*(H$18:H$21=H18)*(F$18:F$21=F18)*(J$18:J$21&lt;J18))</f>
        <v>0</v>
      </c>
      <c r="O18" s="229">
        <f>IF(SUM(AG18:AI21)=0,IF(COUNTIF(AJ18:AJ21,0)&gt;1,1,AJ18+1),X18)</f>
        <v>1</v>
      </c>
      <c r="P18" s="229" t="str">
        <f>VLOOKUP(1,A$18:B$21,2,FALSE)</f>
        <v>Colombia</v>
      </c>
      <c r="Q18" s="229">
        <f>SUMIF(B$4:B$60,P18,F$4:F$60)</f>
        <v>0</v>
      </c>
      <c r="R18" s="229">
        <f>SUMIF(B$4:B$60,P18,H$4:H$60)</f>
        <v>100</v>
      </c>
      <c r="S18" s="258">
        <f>SUMIF($B$4:$B$60,$P18,I$4:I$60)</f>
        <v>0</v>
      </c>
      <c r="T18" s="229">
        <f>SUMIF($B$4:$B$60,$P18,A$4:A$60)</f>
        <v>1</v>
      </c>
      <c r="U18" s="229">
        <f t="shared" ref="U18:V21" si="8">SUMIF($B$4:$B$60,$P18,L$4:L$60)</f>
        <v>0</v>
      </c>
      <c r="V18" s="229">
        <f t="shared" si="8"/>
        <v>0</v>
      </c>
      <c r="W18" s="229">
        <f>SUMIF($B$4:$B$60,$P18,J$4:J$60)</f>
        <v>4</v>
      </c>
      <c r="X18" s="229">
        <f>IF(Y18=0,T18,T18+AG18+AH18+AI18)</f>
        <v>1</v>
      </c>
      <c r="Y18" s="229" t="str">
        <f>IF(AND(S18=S19,R18=R19,Q18=Q19),P18,0)</f>
        <v>Colombia</v>
      </c>
      <c r="Z18" s="229">
        <f>SUMIF($AY$4:$AY$60,$Y18,$AX$4:$AX$60)+SUMIF($BB$4:$BB$60,$Y18,$AX$4:$AX$60)</f>
        <v>0</v>
      </c>
      <c r="AA18" s="229">
        <f>SUMIF($AZ$4:$AZ$60,$Y18,$AX$4:$AX$60)+SUMIF($BC$4:$BC$60,$Y18,$AX$4:$AX$60)</f>
        <v>0</v>
      </c>
      <c r="AB18" s="229">
        <f>SUMIF($BA$4:$BA$60,$Y18,$AX$4:$AX$60)+SUMIF($BD$4:$BD$60,$Y18,$AX$4:$AX$60)</f>
        <v>0</v>
      </c>
      <c r="AC18" s="229">
        <f>SUMIF(AY$4:AY$60,Y18,AS$4:AS$60)+SUMIF(BB$4:BB$60,Y18,AW$4:AW$60)+SUMIF(AZ$4:AZ$60,Y18,AS$4:AS$60)+SUMIF(BC$4:BC$60,Y18,AW$4:AW$60)</f>
        <v>0</v>
      </c>
      <c r="AD18" s="229">
        <f>SUMIF(BA$4:BA$60,Y18,AS$4:AS$60)+SUMIF(BD$4:BD$60,Y18,AW$4:AW$60)+SUMIF(AZ$4:AZ$60,Y18,AS$4:AS$60)+SUMIF(BC$4:BC$60,Y18,AW$4:AW$60)</f>
        <v>0</v>
      </c>
      <c r="AE18" s="229">
        <f>AC18-AD18+100</f>
        <v>100</v>
      </c>
      <c r="AF18" s="258">
        <f>IF(Y18&lt;&gt;0,Z18*3+AA18,"")</f>
        <v>0</v>
      </c>
      <c r="AG18" s="229">
        <f>IF(Y18&lt;&gt;0,RANK(AF18,AF$18:AF$21)-1,5)</f>
        <v>0</v>
      </c>
      <c r="AH18" s="229">
        <f>IF(Y18&lt;&gt;0,SUMPRODUCT((AF$18:AF$21=AF18)*(AE$18:AE$21&gt;AE18)),5)</f>
        <v>0</v>
      </c>
      <c r="AI18" s="229">
        <f>IF(Y18&lt;&gt;0,SUMPRODUCT((AF$18:AF$21=AF18)*(AE$18:AE$21=AE18)*(AC$18:AC$21&gt;AC18)),5)</f>
        <v>0</v>
      </c>
      <c r="AJ18" s="229">
        <f>IF(Y18&lt;&gt;0,SUMPRODUCT(($AF18:$AF21=AF18)*($AE18:$AE21=AE18)*($AC18:$AC21=AC18)*($AK18:$AK21&lt;AK18)),5)</f>
        <v>0</v>
      </c>
      <c r="AK18" s="229">
        <f>IF(AL18=0,0,VLOOKUP(Y18,Tournament!AJ$27:AK$30,2,FALSE))</f>
        <v>0</v>
      </c>
      <c r="AL18" s="229">
        <f>IF(Y18&lt;&gt;0,IF(SUM(AG18:AI18)=SUM(AG19:AI19),1,0),0)</f>
        <v>1</v>
      </c>
      <c r="AM18" s="229">
        <f>IF(AN18&lt;&gt;0,1,0)</f>
        <v>1</v>
      </c>
      <c r="AN18" s="229" t="str">
        <f>IF(AL18=1,Y18,0)</f>
        <v>Colombia</v>
      </c>
      <c r="AO18" s="229">
        <v>15</v>
      </c>
      <c r="AP18" s="229" t="str">
        <f>IF(AND(Tournament!J30&lt;&gt;"",Tournament!L30&lt;&gt;""),IF(Tournament!J30&gt;Tournament!L30,Tournament!H30,""),"")</f>
        <v/>
      </c>
      <c r="AQ18" s="229" t="str">
        <f>IF(AND(Tournament!J30&lt;&gt;"",Tournament!L30&lt;&gt;""),IF(Tournament!J30=Tournament!L30,Tournament!H30,""),"")</f>
        <v/>
      </c>
      <c r="AR18" s="229" t="str">
        <f>IF(AND(Tournament!J30&lt;&gt;"",Tournament!L30&lt;&gt;""),IF(Tournament!J30&gt;Tournament!L30,Tournament!N30,""),"")</f>
        <v/>
      </c>
      <c r="AS18" s="229">
        <f>IF(AND(Tournament!J30&lt;&gt;"",Tournament!L30&lt;&gt;""),Tournament!J30,0)</f>
        <v>0</v>
      </c>
      <c r="AT18" s="229" t="str">
        <f>IF(AND(Tournament!J30&lt;&gt;"",Tournament!L30&lt;&gt;""),IF(Tournament!J30&lt;Tournament!L30,Tournament!N30,""),"")</f>
        <v/>
      </c>
      <c r="AU18" s="229" t="str">
        <f>IF(AND(Tournament!J30&lt;&gt;"",Tournament!L30&lt;&gt;""),IF(Tournament!J30=Tournament!L30,Tournament!N30,""),"")</f>
        <v/>
      </c>
      <c r="AV18" s="229" t="str">
        <f>IF(AND(Tournament!J30&lt;&gt;"",Tournament!L30&lt;&gt;""),IF(Tournament!J30&lt;Tournament!L30,Tournament!H30,""),"")</f>
        <v/>
      </c>
      <c r="AW18" s="229">
        <f>IF(AND(Tournament!J30&lt;&gt;"",Tournament!L30&lt;&gt;""),Tournament!L30,0)</f>
        <v>0</v>
      </c>
      <c r="AX18" s="229">
        <v>1</v>
      </c>
      <c r="AY18" s="229" t="str">
        <f t="shared" si="1"/>
        <v/>
      </c>
      <c r="AZ18" s="229" t="str">
        <f t="shared" si="2"/>
        <v/>
      </c>
      <c r="BA18" s="229" t="str">
        <f t="shared" si="3"/>
        <v/>
      </c>
      <c r="BB18" s="229" t="str">
        <f t="shared" si="4"/>
        <v/>
      </c>
      <c r="BC18" s="229" t="str">
        <f t="shared" si="5"/>
        <v/>
      </c>
      <c r="BD18" s="229" t="str">
        <f t="shared" si="6"/>
        <v/>
      </c>
      <c r="BE18" s="229">
        <v>16</v>
      </c>
      <c r="BF18" s="229" t="str">
        <f>Tournament!H31</f>
        <v>Russia</v>
      </c>
      <c r="BG18" s="229" t="str">
        <f>IF(AND(Tournament!J31&lt;&gt;"",Tournament!L31&lt;&gt;""),Tournament!J31,"")</f>
        <v/>
      </c>
      <c r="BH18" s="229" t="str">
        <f>IF(AND(Tournament!L31&lt;&gt;"",Tournament!J31&lt;&gt;""),Tournament!L31,"")</f>
        <v/>
      </c>
      <c r="BI18" s="229" t="str">
        <f>Tournament!N31</f>
        <v>South Korea</v>
      </c>
    </row>
    <row r="19" spans="1:61">
      <c r="A19" s="229">
        <f>K19+L19+M19+N19</f>
        <v>2</v>
      </c>
      <c r="B19" s="229" t="str">
        <f>Tournament!N20</f>
        <v>Greece</v>
      </c>
      <c r="C19" s="229">
        <f>SUMIF(AP$4:AP$60,B19,AX$4:AX$60)+SUMIF(AT$4:AT$60,B19,AX$4:AX$60)</f>
        <v>0</v>
      </c>
      <c r="D19" s="229">
        <f>SUMIF(AQ$4:AQ$60,B19,AX$4:AX$60)+SUMIF(AU$4:AU$60,B19,AX$4:AX$60)</f>
        <v>0</v>
      </c>
      <c r="E19" s="229">
        <f>SUMIF(AR$4:AR$60,B19,AX$4:AX$60)+SUMIF(AV$4:AV$60,B19,AX$4:AX$60)</f>
        <v>0</v>
      </c>
      <c r="F19" s="229">
        <f>SUMIF($BF$3:$BF$60,B19,$BG$3:$BG$60)+SUMIF($BI$3:$BI$60,B19,$BH$3:$BH$60)</f>
        <v>0</v>
      </c>
      <c r="G19" s="229">
        <f>SUMIF($BI$3:$BI$60,B19,$BG$3:$BG$60)+SUMIF($BF$3:$BF$60,B19,$BH$3:$BH$60)</f>
        <v>0</v>
      </c>
      <c r="H19" s="229">
        <f>F19-G19+100</f>
        <v>100</v>
      </c>
      <c r="I19" s="258">
        <f>C19*3+D19</f>
        <v>0</v>
      </c>
      <c r="J19" s="229">
        <v>15</v>
      </c>
      <c r="K19" s="229">
        <f>RANK(I19,I$18:I$21)</f>
        <v>1</v>
      </c>
      <c r="L19" s="229">
        <f>SUMPRODUCT((I$18:I$21=I19)*(H$18:H$21&gt;H19))</f>
        <v>0</v>
      </c>
      <c r="M19" s="229">
        <f>SUMPRODUCT((I$18:I$21=I19)*(H$18:H$21=H19)*(F$18:F$21&gt;F19))</f>
        <v>0</v>
      </c>
      <c r="N19" s="229">
        <f>SUMPRODUCT((I$18:I$21=I19)*(H$18:H$21=H19)*(F$18:F$21=F19)*(J$18:J$21&lt;J19))</f>
        <v>1</v>
      </c>
      <c r="O19" s="229">
        <f>IF(SUM(AG18:AI21)=0,IF(COUNTIF(AJ18:AJ21,0)&gt;1,2,AJ19+1),IF(AND(X18=1,X19=3,Y18&lt;&gt;0,Y19&lt;&gt;0,Y20=0,Y21=0),2,IF(AND(X18=2,X19=2,Y18&lt;&gt;0,Y19&lt;&gt;0,Y20=0,Y21=0),1,IF(AND(X19=4,AI19=2),3,X19))))</f>
        <v>2</v>
      </c>
      <c r="P19" s="229" t="str">
        <f>VLOOKUP(2,A$18:B$21,2,FALSE)</f>
        <v>Greece</v>
      </c>
      <c r="Q19" s="229">
        <f>SUMIF(B$4:B$60,P19,F$4:F$60)</f>
        <v>0</v>
      </c>
      <c r="R19" s="229">
        <f>SUMIF(B$4:B$60,P19,H$4:H$60)</f>
        <v>100</v>
      </c>
      <c r="S19" s="258">
        <f>SUMIF($B$4:$B$60,$P19,I$4:I$60)</f>
        <v>0</v>
      </c>
      <c r="T19" s="229">
        <f>SUMIF($B$4:$B$60,$P19,A$4:A$60)</f>
        <v>2</v>
      </c>
      <c r="U19" s="229">
        <f t="shared" si="8"/>
        <v>0</v>
      </c>
      <c r="V19" s="229">
        <f t="shared" si="8"/>
        <v>0</v>
      </c>
      <c r="W19" s="229">
        <f>SUMIF($B$4:$B$60,$P19,J$4:J$60)</f>
        <v>15</v>
      </c>
      <c r="X19" s="229">
        <f>IF(Y19=0,T19,T19+AG19+AH19+AI19)</f>
        <v>2</v>
      </c>
      <c r="Y19" s="229" t="str">
        <f>IF(OR(AND(S18=S19,R18=R19,Q18=Q19),AND(S20=S19,R20=R19,Q20=Q19)),P19,0)</f>
        <v>Greece</v>
      </c>
      <c r="Z19" s="229">
        <f>SUMIF($AY$4:$AY$60,$Y19,$AX$4:$AX$60)+SUMIF($BB$4:$BB$60,$Y19,$AX$4:$AX$60)</f>
        <v>0</v>
      </c>
      <c r="AA19" s="229">
        <f>SUMIF($AZ$4:$AZ$60,$Y19,$AX$4:$AX$60)+SUMIF($BC$4:$BC$60,$Y19,$AX$4:$AX$60)</f>
        <v>0</v>
      </c>
      <c r="AB19" s="229">
        <f>SUMIF($BA$4:$BA$60,$Y19,$AX$4:$AX$60)+SUMIF($BD$4:$BD$60,$Y19,$AX$4:$AX$60)</f>
        <v>0</v>
      </c>
      <c r="AC19" s="229">
        <f>SUMIF(AY$4:AY$60,Y19,AS$4:AS$60)+SUMIF(BB$4:BB$60,Y19,AW$4:AW$60)+SUMIF(AZ$4:AZ$60,Y19,AS$4:AS$60)+SUMIF(BC$4:BC$60,Y19,AW$4:AW$60)</f>
        <v>0</v>
      </c>
      <c r="AD19" s="229">
        <f>SUMIF(BA$4:BA$60,Y19,AS$4:AS$60)+SUMIF(BD$4:BD$60,Y19,AW$4:AW$60)+SUMIF(AZ$4:AZ$60,Y19,AS$4:AS$60)+SUMIF(BC$4:BC$60,Y19,AW$4:AW$60)</f>
        <v>0</v>
      </c>
      <c r="AE19" s="229">
        <f>AC19-AD19+100</f>
        <v>100</v>
      </c>
      <c r="AF19" s="258">
        <f>IF(Y19&lt;&gt;0,Z19*3+AA19,"")</f>
        <v>0</v>
      </c>
      <c r="AG19" s="229">
        <f>IF(Y19&lt;&gt;0,RANK(AF19,AF$18:AF$21)-1,5)</f>
        <v>0</v>
      </c>
      <c r="AH19" s="229">
        <f>IF(Y19&lt;&gt;0,SUMPRODUCT((AF$18:AF$21=AF19)*(AE$18:AE$21&gt;AE19)),5)</f>
        <v>0</v>
      </c>
      <c r="AI19" s="229">
        <f>IF(Y19&lt;&gt;0,SUMPRODUCT((AF$18:AF$21=AF19)*(AE$18:AE$21=AE19)*(AC$18:AC$21&gt;AC19)),5)</f>
        <v>0</v>
      </c>
      <c r="AJ19" s="229">
        <f>IF(Y19&lt;&gt;0,SUMPRODUCT(($AF18:$AF21=AF19)*($AE18:$AE21=AE19)*($AC18:$AC21=AC19)*($AK18:$AK21&lt;AK19)),5)</f>
        <v>0</v>
      </c>
      <c r="AK19" s="229">
        <f>IF(AL19=0,0,VLOOKUP(Y19,Tournament!AJ$27:AK$30,2,FALSE))</f>
        <v>0</v>
      </c>
      <c r="AL19" s="229">
        <f>IF(Y19&lt;&gt;0,IF(OR(SUM(AG19:AI19)=SUM(AG18:AI18),SUM(AG19:AI19)=SUM(AG20:AI20)),1,0),0)</f>
        <v>1</v>
      </c>
      <c r="AM19" s="229">
        <f>IF(AN19&lt;&gt;0,AM18+1,AM18)</f>
        <v>2</v>
      </c>
      <c r="AN19" s="229" t="str">
        <f>IF(AL19=1,Y19,0)</f>
        <v>Greece</v>
      </c>
      <c r="AO19" s="229">
        <v>16</v>
      </c>
      <c r="AP19" s="229" t="str">
        <f>IF(AND(Tournament!J31&lt;&gt;"",Tournament!L31&lt;&gt;""),IF(Tournament!J31&gt;Tournament!L31,Tournament!H31,""),"")</f>
        <v/>
      </c>
      <c r="AQ19" s="229" t="str">
        <f>IF(AND(Tournament!J31&lt;&gt;"",Tournament!L31&lt;&gt;""),IF(Tournament!J31=Tournament!L31,Tournament!H31,""),"")</f>
        <v/>
      </c>
      <c r="AR19" s="229" t="str">
        <f>IF(AND(Tournament!J31&lt;&gt;"",Tournament!L31&lt;&gt;""),IF(Tournament!J31&gt;Tournament!L31,Tournament!N31,""),"")</f>
        <v/>
      </c>
      <c r="AS19" s="229">
        <f>IF(AND(Tournament!J31&lt;&gt;"",Tournament!L31&lt;&gt;""),Tournament!J31,0)</f>
        <v>0</v>
      </c>
      <c r="AT19" s="229" t="str">
        <f>IF(AND(Tournament!J31&lt;&gt;"",Tournament!L31&lt;&gt;""),IF(Tournament!J31&lt;Tournament!L31,Tournament!N31,""),"")</f>
        <v/>
      </c>
      <c r="AU19" s="229" t="str">
        <f>IF(AND(Tournament!J31&lt;&gt;"",Tournament!L31&lt;&gt;""),IF(Tournament!J31=Tournament!L31,Tournament!N31,""),"")</f>
        <v/>
      </c>
      <c r="AV19" s="229" t="str">
        <f>IF(AND(Tournament!J31&lt;&gt;"",Tournament!L31&lt;&gt;""),IF(Tournament!J31&lt;Tournament!L31,Tournament!H31,""),"")</f>
        <v/>
      </c>
      <c r="AW19" s="229">
        <f>IF(AND(Tournament!J31&lt;&gt;"",Tournament!L31&lt;&gt;""),Tournament!L31,0)</f>
        <v>0</v>
      </c>
      <c r="AX19" s="229">
        <v>1</v>
      </c>
      <c r="AY19" s="229" t="str">
        <f t="shared" si="1"/>
        <v/>
      </c>
      <c r="AZ19" s="229" t="str">
        <f t="shared" si="2"/>
        <v/>
      </c>
      <c r="BA19" s="229" t="str">
        <f t="shared" si="3"/>
        <v/>
      </c>
      <c r="BB19" s="229" t="str">
        <f t="shared" si="4"/>
        <v/>
      </c>
      <c r="BC19" s="229" t="str">
        <f t="shared" si="5"/>
        <v/>
      </c>
      <c r="BD19" s="229" t="str">
        <f t="shared" si="6"/>
        <v/>
      </c>
      <c r="BE19" s="229">
        <v>17</v>
      </c>
      <c r="BF19" s="229" t="str">
        <f>Tournament!H32</f>
        <v>Brazil</v>
      </c>
      <c r="BG19" s="229" t="str">
        <f>IF(AND(Tournament!J32&lt;&gt;"",Tournament!L32&lt;&gt;""),Tournament!J32,"")</f>
        <v/>
      </c>
      <c r="BH19" s="229" t="str">
        <f>IF(AND(Tournament!L32&lt;&gt;"",Tournament!J32&lt;&gt;""),Tournament!L32,"")</f>
        <v/>
      </c>
      <c r="BI19" s="229" t="str">
        <f>Tournament!N32</f>
        <v>Mexico</v>
      </c>
    </row>
    <row r="20" spans="1:61">
      <c r="A20" s="229">
        <f>K20+L20+M20+N20</f>
        <v>3</v>
      </c>
      <c r="B20" s="229" t="str">
        <f>Tournament!H21</f>
        <v>Ivory Coast</v>
      </c>
      <c r="C20" s="229">
        <f>SUMIF(AP$4:AP$60,B20,AX$4:AX$60)+SUMIF(AT$4:AT$60,B20,AX$4:AX$60)</f>
        <v>0</v>
      </c>
      <c r="D20" s="229">
        <f>SUMIF(AQ$4:AQ$60,B20,AX$4:AX$60)+SUMIF(AU$4:AU$60,B20,AX$4:AX$60)</f>
        <v>0</v>
      </c>
      <c r="E20" s="229">
        <f>SUMIF(AR$4:AR$60,B20,AX$4:AX$60)+SUMIF(AV$4:AV$60,B20,AX$4:AX$60)</f>
        <v>0</v>
      </c>
      <c r="F20" s="229">
        <f>SUMIF($BF$3:$BF$60,B20,$BG$3:$BG$60)+SUMIF($BI$3:$BI$60,B20,$BH$3:$BH$60)</f>
        <v>0</v>
      </c>
      <c r="G20" s="229">
        <f>SUMIF($BI$3:$BI$60,B20,$BG$3:$BG$60)+SUMIF($BF$3:$BF$60,B20,$BH$3:$BH$60)</f>
        <v>0</v>
      </c>
      <c r="H20" s="229">
        <f>F20-G20+100</f>
        <v>100</v>
      </c>
      <c r="I20" s="258">
        <f>C20*3+D20</f>
        <v>0</v>
      </c>
      <c r="J20" s="229">
        <v>17</v>
      </c>
      <c r="K20" s="229">
        <f>RANK(I20,I$18:I$21)</f>
        <v>1</v>
      </c>
      <c r="L20" s="229">
        <f>SUMPRODUCT((I$18:I$21=I20)*(H$18:H$21&gt;H20))</f>
        <v>0</v>
      </c>
      <c r="M20" s="229">
        <f>SUMPRODUCT((I$18:I$21=I20)*(H$18:H$21=H20)*(F$18:F$21&gt;F20))</f>
        <v>0</v>
      </c>
      <c r="N20" s="229">
        <f>SUMPRODUCT((I$18:I$21=I20)*(H$18:H$21=H20)*(F$18:F$21=F20)*(J$18:J$21&lt;J20))</f>
        <v>2</v>
      </c>
      <c r="O20" s="229">
        <f>IF(SUM(AG18:AI21)=0,IF(COUNTIF(AJ18:AJ21,0)&gt;1,3,AJ20+1),IF(AND(X19=3,X20=3,Y18=0,Y19&lt;&gt;0,Y20&lt;&gt;0),2,IF(OR(X20=5,X20=4),3,IF(X20=6,4,IF(AND(X19=4,X18=1,Y20&lt;&gt;""),2,IF(AND(AI20=0,AI19=1,AI18=1,Y20&lt;&gt;""),1,X20))))))</f>
        <v>3</v>
      </c>
      <c r="P20" s="229" t="str">
        <f>VLOOKUP(3,A$18:B$21,2,FALSE)</f>
        <v>Ivory Coast</v>
      </c>
      <c r="Q20" s="229">
        <f>SUMIF(B$4:B$60,P20,F$4:F$60)</f>
        <v>0</v>
      </c>
      <c r="R20" s="229">
        <f>SUMIF(B$4:B$60,P20,H$4:H$60)</f>
        <v>100</v>
      </c>
      <c r="S20" s="258">
        <f>SUMIF($B$4:$B$60,$P20,I$4:I$60)</f>
        <v>0</v>
      </c>
      <c r="T20" s="229">
        <f>SUMIF($B$4:$B$60,$P20,A$4:A$60)</f>
        <v>3</v>
      </c>
      <c r="U20" s="229">
        <f t="shared" si="8"/>
        <v>0</v>
      </c>
      <c r="V20" s="229">
        <f t="shared" si="8"/>
        <v>0</v>
      </c>
      <c r="W20" s="229">
        <f>SUMIF($B$4:$B$60,$P20,J$4:J$60)</f>
        <v>17</v>
      </c>
      <c r="X20" s="229">
        <f>IF(Y20=0,T20,T20+AG20+AH20+AI20)</f>
        <v>3</v>
      </c>
      <c r="Y20" s="229" t="str">
        <f>IF(OR(AND(S19=S20,R19=R20,Q19=Q20),AND(S21=S20,S20=S19,R21=R20,R20=R19,Q21=Q20,Q20=Q19)),P20,0)</f>
        <v>Ivory Coast</v>
      </c>
      <c r="Z20" s="229">
        <f>SUMIF($AY$4:$AY$60,$Y20,$AX$4:$AX$60)+SUMIF($BB$4:$BB$60,$Y20,$AX$4:$AX$60)</f>
        <v>0</v>
      </c>
      <c r="AA20" s="229">
        <f>SUMIF($AZ$4:$AZ$60,$Y20,$AX$4:$AX$60)+SUMIF($BC$4:$BC$60,$Y20,$AX$4:$AX$60)</f>
        <v>0</v>
      </c>
      <c r="AB20" s="229">
        <f>SUMIF($BA$4:$BA$60,$Y20,$AX$4:$AX$60)+SUMIF($BD$4:$BD$60,$Y20,$AX$4:$AX$60)</f>
        <v>0</v>
      </c>
      <c r="AC20" s="229">
        <f>SUMIF(AY$4:AY$60,Y20,AS$4:AS$60)+SUMIF(BB$4:BB$60,Y20,AW$4:AW$60)+SUMIF(AZ$4:AZ$60,Y20,AS$4:AS$60)+SUMIF(BC$4:BC$60,Y20,AW$4:AW$60)</f>
        <v>0</v>
      </c>
      <c r="AD20" s="229">
        <f>SUMIF(BA$4:BA$60,Y20,AS$4:AS$60)+SUMIF(BD$4:BD$60,Y20,AW$4:AW$60)+SUMIF(AZ$4:AZ$60,Y20,AS$4:AS$60)+SUMIF(BC$4:BC$60,Y20,AW$4:AW$60)</f>
        <v>0</v>
      </c>
      <c r="AE20" s="229">
        <f>AC20-AD20+100</f>
        <v>100</v>
      </c>
      <c r="AF20" s="258">
        <f>IF(Y20&lt;&gt;0,Z20*3+AA20,"")</f>
        <v>0</v>
      </c>
      <c r="AG20" s="229">
        <f>IF(Y20&lt;&gt;0,RANK(AF20,AF$18:AF$21)-1,5)</f>
        <v>0</v>
      </c>
      <c r="AH20" s="229">
        <f>IF(Y20&lt;&gt;0,SUMPRODUCT((AF$18:AF$21=AF20)*(AE$18:AE$21&gt;AE20)),5)</f>
        <v>0</v>
      </c>
      <c r="AI20" s="229">
        <f>IF(Y20&lt;&gt;0,SUMPRODUCT((AF$18:AF$21=AF20)*(AE$18:AE$21=AE20)*(AC$18:AC$21&gt;AC20)),5)</f>
        <v>0</v>
      </c>
      <c r="AJ20" s="229">
        <f>IF(Y20&lt;&gt;0,SUMPRODUCT(($AF18:$AF21=AF20)*($AE18:$AE21=AE20)*($AC18:$AC21=AC20)*($AK18:$AK21&lt;AK20)),5)</f>
        <v>0</v>
      </c>
      <c r="AK20" s="229">
        <f>IF(AL20=0,0,VLOOKUP(Y20,Tournament!AJ$27:AK$30,2,FALSE))</f>
        <v>0</v>
      </c>
      <c r="AL20" s="229">
        <f>IF(Y20&lt;&gt;0,IF(OR(SUM(AG20:AI20)=SUM(AG19:AI19),SUM(AG20:AI20)=SUM(AG21:AI21)),1,0),0)</f>
        <v>1</v>
      </c>
      <c r="AM20" s="229">
        <f>IF(AN20&lt;&gt;0,AM19+1,AM19)</f>
        <v>3</v>
      </c>
      <c r="AN20" s="229" t="str">
        <f>IF(AL20=1,Y20,0)</f>
        <v>Ivory Coast</v>
      </c>
      <c r="AO20" s="229">
        <v>17</v>
      </c>
      <c r="AP20" s="229" t="str">
        <f>IF(AND(Tournament!J32&lt;&gt;"",Tournament!L32&lt;&gt;""),IF(Tournament!J32&gt;Tournament!L32,Tournament!H32,""),"")</f>
        <v/>
      </c>
      <c r="AQ20" s="229" t="str">
        <f>IF(AND(Tournament!J32&lt;&gt;"",Tournament!L32&lt;&gt;""),IF(Tournament!J32=Tournament!L32,Tournament!H32,""),"")</f>
        <v/>
      </c>
      <c r="AR20" s="229" t="str">
        <f>IF(AND(Tournament!J32&lt;&gt;"",Tournament!L32&lt;&gt;""),IF(Tournament!J32&gt;Tournament!L32,Tournament!N32,""),"")</f>
        <v/>
      </c>
      <c r="AS20" s="229">
        <f>IF(AND(Tournament!J32&lt;&gt;"",Tournament!L32&lt;&gt;""),Tournament!J32,0)</f>
        <v>0</v>
      </c>
      <c r="AT20" s="229" t="str">
        <f>IF(AND(Tournament!J32&lt;&gt;"",Tournament!L32&lt;&gt;""),IF(Tournament!J32&lt;Tournament!L32,Tournament!N32,""),"")</f>
        <v/>
      </c>
      <c r="AU20" s="229" t="str">
        <f>IF(AND(Tournament!J32&lt;&gt;"",Tournament!L32&lt;&gt;""),IF(Tournament!J32=Tournament!L32,Tournament!N32,""),"")</f>
        <v/>
      </c>
      <c r="AV20" s="229" t="str">
        <f>IF(AND(Tournament!J32&lt;&gt;"",Tournament!L32&lt;&gt;""),IF(Tournament!J32&lt;Tournament!L32,Tournament!H32,""),"")</f>
        <v/>
      </c>
      <c r="AW20" s="229">
        <f>IF(AND(Tournament!J32&lt;&gt;"",Tournament!L32&lt;&gt;""),Tournament!L32,0)</f>
        <v>0</v>
      </c>
      <c r="AX20" s="229">
        <v>1</v>
      </c>
      <c r="AY20" s="229" t="str">
        <f t="shared" si="1"/>
        <v/>
      </c>
      <c r="AZ20" s="229" t="str">
        <f t="shared" si="2"/>
        <v/>
      </c>
      <c r="BA20" s="229" t="str">
        <f t="shared" si="3"/>
        <v/>
      </c>
      <c r="BB20" s="229" t="str">
        <f t="shared" si="4"/>
        <v/>
      </c>
      <c r="BC20" s="229" t="str">
        <f t="shared" si="5"/>
        <v/>
      </c>
      <c r="BD20" s="229" t="str">
        <f t="shared" si="6"/>
        <v/>
      </c>
      <c r="BE20" s="229">
        <v>18</v>
      </c>
      <c r="BF20" s="229" t="str">
        <f>Tournament!H33</f>
        <v>Cameroon</v>
      </c>
      <c r="BG20" s="229" t="str">
        <f>IF(AND(Tournament!J33&lt;&gt;"",Tournament!L33&lt;&gt;""),Tournament!J33,"")</f>
        <v/>
      </c>
      <c r="BH20" s="229" t="str">
        <f>IF(AND(Tournament!L33&lt;&gt;"",Tournament!J33&lt;&gt;""),Tournament!L33,"")</f>
        <v/>
      </c>
      <c r="BI20" s="229" t="str">
        <f>Tournament!N33</f>
        <v>Croatia</v>
      </c>
    </row>
    <row r="21" spans="1:61">
      <c r="A21" s="229">
        <f>K21+L21+M21+N21</f>
        <v>4</v>
      </c>
      <c r="B21" s="229" t="str">
        <f>Tournament!N21</f>
        <v>Japan</v>
      </c>
      <c r="C21" s="229">
        <f>SUMIF(AP$4:AP$60,B21,AX$4:AX$60)+SUMIF(AT$4:AT$60,B21,AX$4:AX$60)</f>
        <v>0</v>
      </c>
      <c r="D21" s="229">
        <f>SUMIF(AQ$4:AQ$60,B21,AX$4:AX$60)+SUMIF(AU$4:AU$60,B21,AX$4:AX$60)</f>
        <v>0</v>
      </c>
      <c r="E21" s="229">
        <f>SUMIF(AR$4:AR$60,B21,AX$4:AX$60)+SUMIF(AV$4:AV$60,B21,AX$4:AX$60)</f>
        <v>0</v>
      </c>
      <c r="F21" s="229">
        <f>SUMIF($BF$3:$BF$60,B21,$BG$3:$BG$60)+SUMIF($BI$3:$BI$60,B21,$BH$3:$BH$60)</f>
        <v>0</v>
      </c>
      <c r="G21" s="229">
        <f>SUMIF($BI$3:$BI$60,B21,$BG$3:$BG$60)+SUMIF($BF$3:$BF$60,B21,$BH$3:$BH$60)</f>
        <v>0</v>
      </c>
      <c r="H21" s="229">
        <f>F21-G21+100</f>
        <v>100</v>
      </c>
      <c r="I21" s="258">
        <f>C21*3+D21</f>
        <v>0</v>
      </c>
      <c r="J21" s="229">
        <v>28</v>
      </c>
      <c r="K21" s="229">
        <f>RANK(I21,I$18:I$21)</f>
        <v>1</v>
      </c>
      <c r="L21" s="229">
        <f>SUMPRODUCT((I$18:I$21=I21)*(H$18:H$21&gt;H21))</f>
        <v>0</v>
      </c>
      <c r="M21" s="229">
        <f>SUMPRODUCT((I$18:I$21=I21)*(H$18:H$21=H21)*(F$18:F$21&gt;F21))</f>
        <v>0</v>
      </c>
      <c r="N21" s="229">
        <f>SUMPRODUCT((I$18:I$21=I21)*(H$18:H$21=H21)*(F$18:F$21=F21)*(J$18:J$21&lt;J21))</f>
        <v>3</v>
      </c>
      <c r="O21" s="229">
        <f>IF(SUM(AG18:AI21)=0,IF(COUNTIF(AJ18:AJ21,0)&gt;1,4,AJ21+1),IF(X21=X20,IF(X21=3,4,X21),IF(X21=5,3,IF(X21=6,4,X21))))</f>
        <v>4</v>
      </c>
      <c r="P21" s="229" t="str">
        <f>VLOOKUP(4,A$18:B$21,2,FALSE)</f>
        <v>Japan</v>
      </c>
      <c r="Q21" s="229">
        <f>SUMIF(B$4:B$60,P21,F$4:F$60)</f>
        <v>0</v>
      </c>
      <c r="R21" s="229">
        <f>SUMIF(B$4:B$60,P21,H$4:H$60)</f>
        <v>100</v>
      </c>
      <c r="S21" s="258">
        <f>SUMIF($B$4:$B$60,$P21,I$4:I$60)</f>
        <v>0</v>
      </c>
      <c r="T21" s="229">
        <f>SUMIF($B$4:$B$60,$P21,A$4:A$60)</f>
        <v>4</v>
      </c>
      <c r="U21" s="229">
        <f t="shared" si="8"/>
        <v>0</v>
      </c>
      <c r="V21" s="229">
        <f t="shared" si="8"/>
        <v>0</v>
      </c>
      <c r="W21" s="229">
        <f>SUMIF($B$4:$B$60,$P21,J$4:J$60)</f>
        <v>28</v>
      </c>
      <c r="X21" s="229">
        <f>IF(Y21=0,T21,T21+AG21+AH21+AI21)</f>
        <v>4</v>
      </c>
      <c r="Y21" s="229" t="str">
        <f>IF(AND(S20=S21,S20=S19,R20=R21,R20=R19,Q20=Q21,Q20=Q19),P21,0)</f>
        <v>Japan</v>
      </c>
      <c r="Z21" s="229">
        <f>SUMIF($AY$4:$AY$60,$Y21,$AX$4:$AX$60)+SUMIF($BB$4:$BB$60,$Y21,$AX$4:$AX$60)</f>
        <v>0</v>
      </c>
      <c r="AA21" s="229">
        <f>SUMIF($AZ$4:$AZ$60,$Y21,$AX$4:$AX$60)+SUMIF($BC$4:$BC$60,$Y21,$AX$4:$AX$60)</f>
        <v>0</v>
      </c>
      <c r="AB21" s="229">
        <f>SUMIF($BA$4:$BA$60,$Y21,$AX$4:$AX$60)+SUMIF($BD$4:$BD$60,$Y21,$AX$4:$AX$60)</f>
        <v>0</v>
      </c>
      <c r="AC21" s="229">
        <f>SUMIF(AY$4:AY$60,Y21,AS$4:AS$60)+SUMIF(BB$4:BB$60,Y21,AW$4:AW$60)+SUMIF(AZ$4:AZ$60,Y21,AS$4:AS$60)+SUMIF(BC$4:BC$60,Y21,AW$4:AW$60)</f>
        <v>0</v>
      </c>
      <c r="AD21" s="229">
        <f>SUMIF(BA$4:BA$60,Y21,AS$4:AS$60)+SUMIF(BD$4:BD$60,Y21,AW$4:AW$60)+SUMIF(AZ$4:AZ$60,Y21,AS$4:AS$60)+SUMIF(BC$4:BC$60,Y21,AW$4:AW$60)</f>
        <v>0</v>
      </c>
      <c r="AE21" s="229">
        <f>AC21-AD21+100</f>
        <v>100</v>
      </c>
      <c r="AF21" s="258">
        <f>IF(Y21&lt;&gt;0,Z21*3+AA21,"")</f>
        <v>0</v>
      </c>
      <c r="AG21" s="229">
        <f>IF(Y21&lt;&gt;0,RANK(AF21,AF$18:AF$21)-1,5)</f>
        <v>0</v>
      </c>
      <c r="AH21" s="229">
        <f>IF(Y21&lt;&gt;0,SUMPRODUCT((AF$18:AF$21=AF21)*(AE$18:AE$21&gt;AE21)),5)</f>
        <v>0</v>
      </c>
      <c r="AI21" s="229">
        <f>IF(Y21&lt;&gt;0,SUMPRODUCT((AF$18:AF$21=AF21)*(AE$18:AE$21=AE21)*(AC$18:AC$21&gt;AC21)),5)</f>
        <v>0</v>
      </c>
      <c r="AJ21" s="229">
        <f>IF(Y21&lt;&gt;0,SUMPRODUCT(($AF18:$AF21=AF21)*($AE18:$AE21=AE21)*($AC18:$AC21=AC21)*($AK18:$AK21&lt;AK21)),5)</f>
        <v>0</v>
      </c>
      <c r="AK21" s="229">
        <f>IF(AL21=0,0,VLOOKUP(Y21,Tournament!AJ$27:AK$30,2,FALSE))</f>
        <v>0</v>
      </c>
      <c r="AL21" s="229">
        <f>IF(Y21&lt;&gt;0,IF(SUM(AG21:AI21)=SUM(AG20:AI20),1,0),0)</f>
        <v>1</v>
      </c>
      <c r="AM21" s="229">
        <f>IF(AN21&lt;&gt;0,AM20+1,AM20)</f>
        <v>4</v>
      </c>
      <c r="AN21" s="229" t="str">
        <f>IF(AL21=1,Y21,0)</f>
        <v>Japan</v>
      </c>
      <c r="AO21" s="229">
        <v>18</v>
      </c>
      <c r="AP21" s="229" t="str">
        <f>IF(AND(Tournament!J33&lt;&gt;"",Tournament!L33&lt;&gt;""),IF(Tournament!J33&gt;Tournament!L33,Tournament!H33,""),"")</f>
        <v/>
      </c>
      <c r="AQ21" s="229" t="str">
        <f>IF(AND(Tournament!J33&lt;&gt;"",Tournament!L33&lt;&gt;""),IF(Tournament!J33=Tournament!L33,Tournament!H33,""),"")</f>
        <v/>
      </c>
      <c r="AR21" s="229" t="str">
        <f>IF(AND(Tournament!J33&lt;&gt;"",Tournament!L33&lt;&gt;""),IF(Tournament!J33&gt;Tournament!L33,Tournament!N33,""),"")</f>
        <v/>
      </c>
      <c r="AS21" s="229">
        <f>IF(AND(Tournament!J33&lt;&gt;"",Tournament!L33&lt;&gt;""),Tournament!J33,0)</f>
        <v>0</v>
      </c>
      <c r="AT21" s="229" t="str">
        <f>IF(AND(Tournament!J33&lt;&gt;"",Tournament!L33&lt;&gt;""),IF(Tournament!J33&lt;Tournament!L33,Tournament!N33,""),"")</f>
        <v/>
      </c>
      <c r="AU21" s="229" t="str">
        <f>IF(AND(Tournament!J33&lt;&gt;"",Tournament!L33&lt;&gt;""),IF(Tournament!J33=Tournament!L33,Tournament!N33,""),"")</f>
        <v/>
      </c>
      <c r="AV21" s="229" t="str">
        <f>IF(AND(Tournament!J33&lt;&gt;"",Tournament!L33&lt;&gt;""),IF(Tournament!J33&lt;Tournament!L33,Tournament!H33,""),"")</f>
        <v/>
      </c>
      <c r="AW21" s="229">
        <f>IF(AND(Tournament!J33&lt;&gt;"",Tournament!L33&lt;&gt;""),Tournament!L33,0)</f>
        <v>0</v>
      </c>
      <c r="AX21" s="229">
        <v>1</v>
      </c>
      <c r="AY21" s="229" t="str">
        <f t="shared" si="1"/>
        <v/>
      </c>
      <c r="AZ21" s="229" t="str">
        <f t="shared" si="2"/>
        <v/>
      </c>
      <c r="BA21" s="229" t="str">
        <f t="shared" si="3"/>
        <v/>
      </c>
      <c r="BB21" s="229" t="str">
        <f t="shared" si="4"/>
        <v/>
      </c>
      <c r="BC21" s="229" t="str">
        <f t="shared" si="5"/>
        <v/>
      </c>
      <c r="BD21" s="229" t="str">
        <f t="shared" si="6"/>
        <v/>
      </c>
      <c r="BE21" s="229">
        <v>19</v>
      </c>
      <c r="BF21" s="229" t="str">
        <f>Tournament!H34</f>
        <v>Spain</v>
      </c>
      <c r="BG21" s="229" t="str">
        <f>IF(AND(Tournament!J34&lt;&gt;"",Tournament!L34&lt;&gt;""),Tournament!J34,"")</f>
        <v/>
      </c>
      <c r="BH21" s="229" t="str">
        <f>IF(AND(Tournament!L34&lt;&gt;"",Tournament!J34&lt;&gt;""),Tournament!L34,"")</f>
        <v/>
      </c>
      <c r="BI21" s="229" t="str">
        <f>Tournament!N34</f>
        <v>Chile</v>
      </c>
    </row>
    <row r="22" spans="1:61">
      <c r="I22" s="258"/>
      <c r="S22" s="258"/>
      <c r="AF22" s="258"/>
      <c r="AO22" s="229">
        <v>19</v>
      </c>
      <c r="AP22" s="229" t="str">
        <f>IF(AND(Tournament!J34&lt;&gt;"",Tournament!L34&lt;&gt;""),IF(Tournament!J34&gt;Tournament!L34,Tournament!H34,""),"")</f>
        <v/>
      </c>
      <c r="AQ22" s="229" t="str">
        <f>IF(AND(Tournament!J34&lt;&gt;"",Tournament!L34&lt;&gt;""),IF(Tournament!J34=Tournament!L34,Tournament!H34,""),"")</f>
        <v/>
      </c>
      <c r="AR22" s="229" t="str">
        <f>IF(AND(Tournament!J34&lt;&gt;"",Tournament!L34&lt;&gt;""),IF(Tournament!J34&gt;Tournament!L34,Tournament!N34,""),"")</f>
        <v/>
      </c>
      <c r="AS22" s="229">
        <f>IF(AND(Tournament!J34&lt;&gt;"",Tournament!L34&lt;&gt;""),Tournament!J34,0)</f>
        <v>0</v>
      </c>
      <c r="AT22" s="229" t="str">
        <f>IF(AND(Tournament!J34&lt;&gt;"",Tournament!L34&lt;&gt;""),IF(Tournament!J34&lt;Tournament!L34,Tournament!N34,""),"")</f>
        <v/>
      </c>
      <c r="AU22" s="229" t="str">
        <f>IF(AND(Tournament!J34&lt;&gt;"",Tournament!L34&lt;&gt;""),IF(Tournament!J34=Tournament!L34,Tournament!N34,""),"")</f>
        <v/>
      </c>
      <c r="AV22" s="229" t="str">
        <f>IF(AND(Tournament!J34&lt;&gt;"",Tournament!L34&lt;&gt;""),IF(Tournament!J34&lt;Tournament!L34,Tournament!H34,""),"")</f>
        <v/>
      </c>
      <c r="AW22" s="229">
        <f>IF(AND(Tournament!J34&lt;&gt;"",Tournament!L34&lt;&gt;""),Tournament!L34,0)</f>
        <v>0</v>
      </c>
      <c r="AX22" s="229">
        <v>1</v>
      </c>
      <c r="AY22" s="229" t="str">
        <f t="shared" si="1"/>
        <v/>
      </c>
      <c r="AZ22" s="229" t="str">
        <f t="shared" si="2"/>
        <v/>
      </c>
      <c r="BA22" s="229" t="str">
        <f t="shared" si="3"/>
        <v/>
      </c>
      <c r="BB22" s="229" t="str">
        <f t="shared" si="4"/>
        <v/>
      </c>
      <c r="BC22" s="229" t="str">
        <f t="shared" si="5"/>
        <v/>
      </c>
      <c r="BD22" s="229" t="str">
        <f t="shared" si="6"/>
        <v/>
      </c>
      <c r="BE22" s="229">
        <v>20</v>
      </c>
      <c r="BF22" s="229" t="str">
        <f>Tournament!H35</f>
        <v>Australia</v>
      </c>
      <c r="BG22" s="229" t="str">
        <f>IF(AND(Tournament!J35&lt;&gt;"",Tournament!L35&lt;&gt;""),Tournament!J35,"")</f>
        <v/>
      </c>
      <c r="BH22" s="229" t="str">
        <f>IF(AND(Tournament!L35&lt;&gt;"",Tournament!J35&lt;&gt;""),Tournament!L35,"")</f>
        <v/>
      </c>
      <c r="BI22" s="229" t="str">
        <f>Tournament!N35</f>
        <v>Netherlands</v>
      </c>
    </row>
    <row r="23" spans="1:61">
      <c r="I23" s="258"/>
      <c r="S23" s="258"/>
      <c r="AF23" s="258"/>
      <c r="AO23" s="229">
        <v>20</v>
      </c>
      <c r="AP23" s="229" t="str">
        <f>IF(AND(Tournament!J35&lt;&gt;"",Tournament!L35&lt;&gt;""),IF(Tournament!J35&gt;Tournament!L35,Tournament!H35,""),"")</f>
        <v/>
      </c>
      <c r="AQ23" s="229" t="str">
        <f>IF(AND(Tournament!J35&lt;&gt;"",Tournament!L35&lt;&gt;""),IF(Tournament!J35=Tournament!L35,Tournament!H35,""),"")</f>
        <v/>
      </c>
      <c r="AR23" s="229" t="str">
        <f>IF(AND(Tournament!J35&lt;&gt;"",Tournament!L35&lt;&gt;""),IF(Tournament!J35&gt;Tournament!L35,Tournament!N35,""),"")</f>
        <v/>
      </c>
      <c r="AS23" s="229">
        <f>IF(AND(Tournament!J35&lt;&gt;"",Tournament!L35&lt;&gt;""),Tournament!J35,0)</f>
        <v>0</v>
      </c>
      <c r="AT23" s="229" t="str">
        <f>IF(AND(Tournament!J35&lt;&gt;"",Tournament!L35&lt;&gt;""),IF(Tournament!J35&lt;Tournament!L35,Tournament!N35,""),"")</f>
        <v/>
      </c>
      <c r="AU23" s="229" t="str">
        <f>IF(AND(Tournament!J35&lt;&gt;"",Tournament!L35&lt;&gt;""),IF(Tournament!J35=Tournament!L35,Tournament!N35,""),"")</f>
        <v/>
      </c>
      <c r="AV23" s="229" t="str">
        <f>IF(AND(Tournament!J35&lt;&gt;"",Tournament!L35&lt;&gt;""),IF(Tournament!J35&lt;Tournament!L35,Tournament!H35,""),"")</f>
        <v/>
      </c>
      <c r="AW23" s="229">
        <f>IF(AND(Tournament!J35&lt;&gt;"",Tournament!L35&lt;&gt;""),Tournament!L35,0)</f>
        <v>0</v>
      </c>
      <c r="AX23" s="229">
        <v>1</v>
      </c>
      <c r="AY23" s="229" t="str">
        <f t="shared" si="1"/>
        <v/>
      </c>
      <c r="AZ23" s="229" t="str">
        <f t="shared" si="2"/>
        <v/>
      </c>
      <c r="BA23" s="229" t="str">
        <f t="shared" si="3"/>
        <v/>
      </c>
      <c r="BB23" s="229" t="str">
        <f t="shared" si="4"/>
        <v/>
      </c>
      <c r="BC23" s="229" t="str">
        <f t="shared" si="5"/>
        <v/>
      </c>
      <c r="BD23" s="229" t="str">
        <f t="shared" si="6"/>
        <v/>
      </c>
      <c r="BE23" s="229">
        <v>21</v>
      </c>
      <c r="BF23" s="229" t="str">
        <f>Tournament!H36</f>
        <v>Colombia</v>
      </c>
      <c r="BG23" s="229" t="str">
        <f>IF(AND(Tournament!J36&lt;&gt;"",Tournament!L36&lt;&gt;""),Tournament!J36,"")</f>
        <v/>
      </c>
      <c r="BH23" s="229" t="str">
        <f>IF(AND(Tournament!L36&lt;&gt;"",Tournament!J36&lt;&gt;""),Tournament!L36,"")</f>
        <v/>
      </c>
      <c r="BI23" s="229" t="str">
        <f>Tournament!N36</f>
        <v>Ivory Coast</v>
      </c>
    </row>
    <row r="24" spans="1:61">
      <c r="I24" s="258"/>
      <c r="S24" s="258"/>
      <c r="AF24" s="258"/>
      <c r="AO24" s="229">
        <v>21</v>
      </c>
      <c r="AP24" s="229" t="str">
        <f>IF(AND(Tournament!J36&lt;&gt;"",Tournament!L36&lt;&gt;""),IF(Tournament!J36&gt;Tournament!L36,Tournament!H36,""),"")</f>
        <v/>
      </c>
      <c r="AQ24" s="229" t="str">
        <f>IF(AND(Tournament!J36&lt;&gt;"",Tournament!L36&lt;&gt;""),IF(Tournament!J36=Tournament!L36,Tournament!H36,""),"")</f>
        <v/>
      </c>
      <c r="AR24" s="229" t="str">
        <f>IF(AND(Tournament!J36&lt;&gt;"",Tournament!L36&lt;&gt;""),IF(Tournament!J36&gt;Tournament!L36,Tournament!N36,""),"")</f>
        <v/>
      </c>
      <c r="AS24" s="229">
        <f>IF(AND(Tournament!J36&lt;&gt;"",Tournament!L36&lt;&gt;""),Tournament!J36,0)</f>
        <v>0</v>
      </c>
      <c r="AT24" s="229" t="str">
        <f>IF(AND(Tournament!J36&lt;&gt;"",Tournament!L36&lt;&gt;""),IF(Tournament!J36&lt;Tournament!L36,Tournament!N36,""),"")</f>
        <v/>
      </c>
      <c r="AU24" s="229" t="str">
        <f>IF(AND(Tournament!J36&lt;&gt;"",Tournament!L36&lt;&gt;""),IF(Tournament!J36=Tournament!L36,Tournament!N36,""),"")</f>
        <v/>
      </c>
      <c r="AV24" s="229" t="str">
        <f>IF(AND(Tournament!J36&lt;&gt;"",Tournament!L36&lt;&gt;""),IF(Tournament!J36&lt;Tournament!L36,Tournament!H36,""),"")</f>
        <v/>
      </c>
      <c r="AW24" s="229">
        <f>IF(AND(Tournament!J36&lt;&gt;"",Tournament!L36&lt;&gt;""),Tournament!L36,0)</f>
        <v>0</v>
      </c>
      <c r="AX24" s="229">
        <v>1</v>
      </c>
      <c r="AY24" s="229" t="str">
        <f t="shared" si="1"/>
        <v/>
      </c>
      <c r="AZ24" s="229" t="str">
        <f t="shared" si="2"/>
        <v/>
      </c>
      <c r="BA24" s="229" t="str">
        <f t="shared" si="3"/>
        <v/>
      </c>
      <c r="BB24" s="229" t="str">
        <f t="shared" si="4"/>
        <v/>
      </c>
      <c r="BC24" s="229" t="str">
        <f t="shared" si="5"/>
        <v/>
      </c>
      <c r="BD24" s="229" t="str">
        <f t="shared" si="6"/>
        <v/>
      </c>
      <c r="BE24" s="229">
        <v>22</v>
      </c>
      <c r="BF24" s="229" t="str">
        <f>Tournament!H37</f>
        <v>Japan</v>
      </c>
      <c r="BG24" s="229" t="str">
        <f>IF(AND(Tournament!J37&lt;&gt;"",Tournament!L37&lt;&gt;""),Tournament!J37,"")</f>
        <v/>
      </c>
      <c r="BH24" s="229" t="str">
        <f>IF(AND(Tournament!L37&lt;&gt;"",Tournament!J37&lt;&gt;""),Tournament!L37,"")</f>
        <v/>
      </c>
      <c r="BI24" s="229" t="str">
        <f>Tournament!N37</f>
        <v>Greece</v>
      </c>
    </row>
    <row r="25" spans="1:61">
      <c r="A25" s="229">
        <f>K25+L25+M25+N25</f>
        <v>1</v>
      </c>
      <c r="B25" s="229" t="str">
        <f>Tournament!H22</f>
        <v>Uruguay</v>
      </c>
      <c r="C25" s="229">
        <f>SUMIF(AP$4:AP$60,B25,AX$4:AX$60)+SUMIF(AT$4:AT$60,B25,AX$4:AX$60)</f>
        <v>0</v>
      </c>
      <c r="D25" s="229">
        <f>SUMIF(AQ$4:AQ$60,B25,AX$4:AX$60)+SUMIF(AU$4:AU$60,B25,AX$4:AX$60)</f>
        <v>0</v>
      </c>
      <c r="E25" s="229">
        <f>SUMIF(AR$4:AR$60,B25,AX$4:AX$60)+SUMIF(AV$4:AV$60,B25,AX$4:AX$60)</f>
        <v>0</v>
      </c>
      <c r="F25" s="229">
        <f>SUMIF($BF$3:$BF$60,B25,$BG$3:$BG$60)+SUMIF($BI$3:$BI$60,B25,$BH$3:$BH$60)</f>
        <v>0</v>
      </c>
      <c r="G25" s="229">
        <f>SUMIF($BI$3:$BI$60,B25,$BG$3:$BG$60)+SUMIF($BF$3:$BF$60,B25,$BH$3:$BH$60)</f>
        <v>0</v>
      </c>
      <c r="H25" s="229">
        <f>F25-G25+100</f>
        <v>100</v>
      </c>
      <c r="I25" s="258">
        <f>C25*3+D25</f>
        <v>0</v>
      </c>
      <c r="J25" s="229">
        <v>6</v>
      </c>
      <c r="K25" s="229">
        <f>RANK(I25,I$25:I$28)</f>
        <v>1</v>
      </c>
      <c r="L25" s="229">
        <f>SUMPRODUCT((I$25:I$28=I25)*(H$25:H$28&gt;H25))</f>
        <v>0</v>
      </c>
      <c r="M25" s="229">
        <f>SUMPRODUCT((I$25:I$28=I25)*(H$25:H$28=H25)*(F$25:F$28&gt;F25))</f>
        <v>0</v>
      </c>
      <c r="N25" s="229">
        <f>SUMPRODUCT((I$25:I$28=I25)*(H$25:H$28=H25)*(F$25:F$28=F25)*(J$25:J$28&lt;J25))</f>
        <v>0</v>
      </c>
      <c r="O25" s="229">
        <f>IF(SUM(AG25:AI28)=0,IF(COUNTIF(AJ25:AJ28,0)&gt;1,1,AJ25+1),X25)</f>
        <v>1</v>
      </c>
      <c r="P25" s="229" t="str">
        <f>VLOOKUP(1,A$25:B$28,2,FALSE)</f>
        <v>Uruguay</v>
      </c>
      <c r="Q25" s="229">
        <f>SUMIF(B$4:B$60,P25,F$4:F$60)</f>
        <v>0</v>
      </c>
      <c r="R25" s="229">
        <f>SUMIF(B$4:B$60,P25,H$4:H$60)</f>
        <v>100</v>
      </c>
      <c r="S25" s="258">
        <f>SUMIF($B$4:$B$60,$P25,I$4:I$60)</f>
        <v>0</v>
      </c>
      <c r="T25" s="229">
        <f>SUMIF($B$4:$B$60,$P25,A$4:A$60)</f>
        <v>1</v>
      </c>
      <c r="U25" s="229">
        <f t="shared" ref="U25:V28" si="9">SUMIF($B$4:$B$60,$P25,L$4:L$60)</f>
        <v>0</v>
      </c>
      <c r="V25" s="229">
        <f t="shared" si="9"/>
        <v>0</v>
      </c>
      <c r="W25" s="229">
        <f>SUMIF($B$4:$B$60,$P25,J$4:J$60)</f>
        <v>6</v>
      </c>
      <c r="X25" s="229">
        <f>IF(Y25=0,T25,T25+AG25+AH25+AI25)</f>
        <v>1</v>
      </c>
      <c r="Y25" s="229" t="str">
        <f>IF(AND(S25=S26,R25=R26,Q25=Q26),P25,0)</f>
        <v>Uruguay</v>
      </c>
      <c r="Z25" s="229">
        <f>SUMIF($AY$4:$AY$60,$Y25,$AX$4:$AX$60)+SUMIF($BB$4:$BB$60,$Y25,$AX$4:$AX$60)</f>
        <v>0</v>
      </c>
      <c r="AA25" s="229">
        <f>SUMIF($AZ$4:$AZ$60,$Y25,$AX$4:$AX$60)+SUMIF($BC$4:$BC$60,$Y25,$AX$4:$AX$60)</f>
        <v>0</v>
      </c>
      <c r="AB25" s="229">
        <f>SUMIF($BA$4:$BA$60,$Y25,$AX$4:$AX$60)+SUMIF($BD$4:$BD$60,$Y25,$AX$4:$AX$60)</f>
        <v>0</v>
      </c>
      <c r="AC25" s="229">
        <f>SUMIF(AY$4:AY$60,Y25,AS$4:AS$60)+SUMIF(BB$4:BB$60,Y25,AW$4:AW$60)+SUMIF(AZ$4:AZ$60,Y25,AS$4:AS$60)+SUMIF(BC$4:BC$60,Y25,AW$4:AW$60)</f>
        <v>0</v>
      </c>
      <c r="AD25" s="229">
        <f>SUMIF(BA$4:BA$60,Y25,AS$4:AS$60)+SUMIF(BD$4:BD$60,Y25,AW$4:AW$60)+SUMIF(AZ$4:AZ$60,Y25,AS$4:AS$60)+SUMIF(BC$4:BC$60,Y25,AW$4:AW$60)</f>
        <v>0</v>
      </c>
      <c r="AE25" s="229">
        <f>AC25-AD25+100</f>
        <v>100</v>
      </c>
      <c r="AF25" s="258">
        <f>IF(Y25&lt;&gt;0,Z25*3+AA25,"")</f>
        <v>0</v>
      </c>
      <c r="AG25" s="229">
        <f>IF(Y25&lt;&gt;0,RANK(AF25,AF$25:AF$28)-1,5)</f>
        <v>0</v>
      </c>
      <c r="AH25" s="229">
        <f>IF(Y25&lt;&gt;0,SUMPRODUCT((AF$25:AF$28=AF25)*(AE$25:AE$28&gt;AE25)),5)</f>
        <v>0</v>
      </c>
      <c r="AI25" s="229">
        <f>IF(Y25&lt;&gt;0,SUMPRODUCT((AF$25:AF$28=AF25)*(AE$25:AE$28=AE25)*(AC$25:AC$28&gt;AC25)),5)</f>
        <v>0</v>
      </c>
      <c r="AJ25" s="229">
        <f>IF(Y25&lt;&gt;0,SUMPRODUCT(($AF25:$AF28=AF25)*($AE25:$AE28=AE25)*($AC25:$AC28=AC25)*($AK25:$AK28&lt;AK25)),5)</f>
        <v>0</v>
      </c>
      <c r="AK25" s="229">
        <f>IF(AL25=0,0,VLOOKUP(Y25,Tournament!AJ$33:AK$36,2,FALSE))</f>
        <v>0</v>
      </c>
      <c r="AL25" s="229">
        <f>IF(Y25&lt;&gt;0,IF(SUM(AG25:AI25)=SUM(AG26:AI26),1,0),0)</f>
        <v>1</v>
      </c>
      <c r="AM25" s="229">
        <f>IF(AN25&lt;&gt;0,1,0)</f>
        <v>1</v>
      </c>
      <c r="AN25" s="229" t="str">
        <f>IF(AL25=1,Y25,0)</f>
        <v>Uruguay</v>
      </c>
      <c r="AO25" s="229">
        <v>22</v>
      </c>
      <c r="AP25" s="229" t="str">
        <f>IF(AND(Tournament!J37&lt;&gt;"",Tournament!L37&lt;&gt;""),IF(Tournament!J37&gt;Tournament!L37,Tournament!H37,""),"")</f>
        <v/>
      </c>
      <c r="AQ25" s="229" t="str">
        <f>IF(AND(Tournament!J37&lt;&gt;"",Tournament!L37&lt;&gt;""),IF(Tournament!J37=Tournament!L37,Tournament!H37,""),"")</f>
        <v/>
      </c>
      <c r="AR25" s="229" t="str">
        <f>IF(AND(Tournament!J37&lt;&gt;"",Tournament!L37&lt;&gt;""),IF(Tournament!J37&gt;Tournament!L37,Tournament!N37,""),"")</f>
        <v/>
      </c>
      <c r="AS25" s="229">
        <f>IF(AND(Tournament!J37&lt;&gt;"",Tournament!L37&lt;&gt;""),Tournament!J37,0)</f>
        <v>0</v>
      </c>
      <c r="AT25" s="229" t="str">
        <f>IF(AND(Tournament!J37&lt;&gt;"",Tournament!L37&lt;&gt;""),IF(Tournament!J37&lt;Tournament!L37,Tournament!N37,""),"")</f>
        <v/>
      </c>
      <c r="AU25" s="229" t="str">
        <f>IF(AND(Tournament!J37&lt;&gt;"",Tournament!L37&lt;&gt;""),IF(Tournament!J37=Tournament!L37,Tournament!N37,""),"")</f>
        <v/>
      </c>
      <c r="AV25" s="229" t="str">
        <f>IF(AND(Tournament!J37&lt;&gt;"",Tournament!L37&lt;&gt;""),IF(Tournament!J37&lt;Tournament!L37,Tournament!H37,""),"")</f>
        <v/>
      </c>
      <c r="AW25" s="229">
        <f>IF(AND(Tournament!J37&lt;&gt;"",Tournament!L37&lt;&gt;""),Tournament!L37,0)</f>
        <v>0</v>
      </c>
      <c r="AX25" s="229">
        <v>1</v>
      </c>
      <c r="AY25" s="229" t="str">
        <f t="shared" si="1"/>
        <v/>
      </c>
      <c r="AZ25" s="229" t="str">
        <f t="shared" si="2"/>
        <v/>
      </c>
      <c r="BA25" s="229" t="str">
        <f t="shared" si="3"/>
        <v/>
      </c>
      <c r="BB25" s="229" t="str">
        <f t="shared" si="4"/>
        <v/>
      </c>
      <c r="BC25" s="229" t="str">
        <f t="shared" si="5"/>
        <v/>
      </c>
      <c r="BD25" s="229" t="str">
        <f t="shared" si="6"/>
        <v/>
      </c>
      <c r="BE25" s="229">
        <v>23</v>
      </c>
      <c r="BF25" s="229" t="str">
        <f>Tournament!H38</f>
        <v>Uruguay</v>
      </c>
      <c r="BG25" s="229" t="str">
        <f>IF(AND(Tournament!J38&lt;&gt;"",Tournament!L38&lt;&gt;""),Tournament!J38,"")</f>
        <v/>
      </c>
      <c r="BH25" s="229" t="str">
        <f>IF(AND(Tournament!L38&lt;&gt;"",Tournament!J38&lt;&gt;""),Tournament!L38,"")</f>
        <v/>
      </c>
      <c r="BI25" s="229" t="str">
        <f>Tournament!N38</f>
        <v>England</v>
      </c>
    </row>
    <row r="26" spans="1:61">
      <c r="A26" s="229">
        <f>K26+L26+M26+N26</f>
        <v>4</v>
      </c>
      <c r="B26" s="229" t="str">
        <f>Tournament!N22</f>
        <v>Costa Rica</v>
      </c>
      <c r="C26" s="229">
        <f>SUMIF(AP$4:AP$60,B26,AX$4:AX$60)+SUMIF(AT$4:AT$60,B26,AX$4:AX$60)</f>
        <v>0</v>
      </c>
      <c r="D26" s="229">
        <f>SUMIF(AQ$4:AQ$60,B26,AX$4:AX$60)+SUMIF(AU$4:AU$60,B26,AX$4:AX$60)</f>
        <v>0</v>
      </c>
      <c r="E26" s="229">
        <f>SUMIF(AR$4:AR$60,B26,AX$4:AX$60)+SUMIF(AV$4:AV$60,B26,AX$4:AX$60)</f>
        <v>0</v>
      </c>
      <c r="F26" s="229">
        <f>SUMIF($BF$3:$BF$60,B26,$BG$3:$BG$60)+SUMIF($BI$3:$BI$60,B26,$BH$3:$BH$60)</f>
        <v>0</v>
      </c>
      <c r="G26" s="229">
        <f>SUMIF($BI$3:$BI$60,B26,$BG$3:$BG$60)+SUMIF($BF$3:$BF$60,B26,$BH$3:$BH$60)</f>
        <v>0</v>
      </c>
      <c r="H26" s="229">
        <f>F26-G26+100</f>
        <v>100</v>
      </c>
      <c r="I26" s="258">
        <f>C26*3+D26</f>
        <v>0</v>
      </c>
      <c r="J26" s="229">
        <v>24</v>
      </c>
      <c r="K26" s="229">
        <f>RANK(I26,I$25:I$28)</f>
        <v>1</v>
      </c>
      <c r="L26" s="229">
        <f>SUMPRODUCT((I$25:I$28=I26)*(H$25:H$28&gt;H26))</f>
        <v>0</v>
      </c>
      <c r="M26" s="229">
        <f>SUMPRODUCT((I$25:I$28=I26)*(H$25:H$28=H26)*(F$25:F$28&gt;F26))</f>
        <v>0</v>
      </c>
      <c r="N26" s="229">
        <f>SUMPRODUCT((I$25:I$28=I26)*(H$25:H$28=H26)*(F$25:F$28=F26)*(J$25:J$28&lt;J26))</f>
        <v>3</v>
      </c>
      <c r="O26" s="229">
        <f>IF(SUM(AG25:AI28)=0,IF(COUNTIF(AJ25:AJ28,0)&gt;1,2,AJ26+1),IF(AND(X25=1,X26=3,Y25&lt;&gt;0,Y26&lt;&gt;0,Y27=0,Y28=0),2,IF(AND(X25=2,X26=2,Y25&lt;&gt;0,Y26&lt;&gt;0,Y27=0,Y28=0),1,IF(AND(X26=4,AI26=2),3,X26))))</f>
        <v>2</v>
      </c>
      <c r="P26" s="229" t="str">
        <f>VLOOKUP(2,A$25:B$28,2,FALSE)</f>
        <v>Italy</v>
      </c>
      <c r="Q26" s="229">
        <f>SUMIF(B$4:B$60,P26,F$4:F$60)</f>
        <v>0</v>
      </c>
      <c r="R26" s="229">
        <f>SUMIF(B$4:B$60,P26,H$4:H$60)</f>
        <v>100</v>
      </c>
      <c r="S26" s="258">
        <f>SUMIF($B$4:$B$60,$P26,I$4:I$60)</f>
        <v>0</v>
      </c>
      <c r="T26" s="229">
        <f>SUMIF($B$4:$B$60,$P26,A$4:A$60)</f>
        <v>2</v>
      </c>
      <c r="U26" s="229">
        <f t="shared" si="9"/>
        <v>0</v>
      </c>
      <c r="V26" s="229">
        <f t="shared" si="9"/>
        <v>0</v>
      </c>
      <c r="W26" s="229">
        <f>SUMIF($B$4:$B$60,$P26,J$4:J$60)</f>
        <v>9</v>
      </c>
      <c r="X26" s="229">
        <f>IF(Y26=0,T26,T26+AG26+AH26+AI26)</f>
        <v>2</v>
      </c>
      <c r="Y26" s="229" t="str">
        <f>IF(OR(AND(S25=S26,R25=R26,Q25=Q26),AND(S27=S26,R27=R26,Q27=Q26)),P26,0)</f>
        <v>Italy</v>
      </c>
      <c r="Z26" s="229">
        <f>SUMIF($AY$4:$AY$60,$Y26,$AX$4:$AX$60)+SUMIF($BB$4:$BB$60,$Y26,$AX$4:$AX$60)</f>
        <v>0</v>
      </c>
      <c r="AA26" s="229">
        <f>SUMIF($AZ$4:$AZ$60,$Y26,$AX$4:$AX$60)+SUMIF($BC$4:$BC$60,$Y26,$AX$4:$AX$60)</f>
        <v>0</v>
      </c>
      <c r="AB26" s="229">
        <f>SUMIF($BA$4:$BA$60,$Y26,$AX$4:$AX$60)+SUMIF($BD$4:$BD$60,$Y26,$AX$4:$AX$60)</f>
        <v>0</v>
      </c>
      <c r="AC26" s="229">
        <f>SUMIF(AY$4:AY$60,Y26,AS$4:AS$60)+SUMIF(BB$4:BB$60,Y26,AW$4:AW$60)+SUMIF(AZ$4:AZ$60,Y26,AS$4:AS$60)+SUMIF(BC$4:BC$60,Y26,AW$4:AW$60)</f>
        <v>0</v>
      </c>
      <c r="AD26" s="229">
        <f>SUMIF(BA$4:BA$60,Y26,AS$4:AS$60)+SUMIF(BD$4:BD$60,Y26,AW$4:AW$60)+SUMIF(AZ$4:AZ$60,Y26,AS$4:AS$60)+SUMIF(BC$4:BC$60,Y26,AW$4:AW$60)</f>
        <v>0</v>
      </c>
      <c r="AE26" s="229">
        <f>AC26-AD26+100</f>
        <v>100</v>
      </c>
      <c r="AF26" s="258">
        <f>IF(Y26&lt;&gt;0,Z26*3+AA26,"")</f>
        <v>0</v>
      </c>
      <c r="AG26" s="229">
        <f>IF(Y26&lt;&gt;0,RANK(AF26,AF$25:AF$28)-1,5)</f>
        <v>0</v>
      </c>
      <c r="AH26" s="229">
        <f>IF(Y26&lt;&gt;0,SUMPRODUCT((AF$25:AF$28=AF26)*(AE$25:AE$28&gt;AE26)),5)</f>
        <v>0</v>
      </c>
      <c r="AI26" s="229">
        <f>IF(Y26&lt;&gt;0,SUMPRODUCT((AF$25:AF$28=AF26)*(AE$25:AE$28=AE26)*(AC$25:AC$28&gt;AC26)),5)</f>
        <v>0</v>
      </c>
      <c r="AJ26" s="229">
        <f>IF(Y26&lt;&gt;0,SUMPRODUCT(($AF25:$AF28=AF26)*($AE25:$AE28=AE26)*($AC25:$AC28=AC26)*($AK25:$AK28&lt;AK26)),5)</f>
        <v>0</v>
      </c>
      <c r="AK26" s="229">
        <f>IF(AL26=0,0,VLOOKUP(Y26,Tournament!AJ$33:AK$36,2,FALSE))</f>
        <v>0</v>
      </c>
      <c r="AL26" s="229">
        <f>IF(Y26&lt;&gt;0,IF(OR(SUM(AG26:AI26)=SUM(AG25:AI25),SUM(AG26:AI26)=SUM(AG27:AI27)),1,0),0)</f>
        <v>1</v>
      </c>
      <c r="AM26" s="229">
        <f>IF(AN26&lt;&gt;0,AM25+1,AM25)</f>
        <v>2</v>
      </c>
      <c r="AN26" s="229" t="str">
        <f>IF(AL26=1,Y26,0)</f>
        <v>Italy</v>
      </c>
      <c r="AO26" s="229">
        <v>23</v>
      </c>
      <c r="AP26" s="229" t="str">
        <f>IF(AND(Tournament!J38&lt;&gt;"",Tournament!L38&lt;&gt;""),IF(Tournament!J38&gt;Tournament!L38,Tournament!H38,""),"")</f>
        <v/>
      </c>
      <c r="AQ26" s="229" t="str">
        <f>IF(AND(Tournament!J38&lt;&gt;"",Tournament!L38&lt;&gt;""),IF(Tournament!J38=Tournament!L38,Tournament!H38,""),"")</f>
        <v/>
      </c>
      <c r="AR26" s="229" t="str">
        <f>IF(AND(Tournament!J38&lt;&gt;"",Tournament!L38&lt;&gt;""),IF(Tournament!J38&gt;Tournament!L38,Tournament!N38,""),"")</f>
        <v/>
      </c>
      <c r="AS26" s="229">
        <f>IF(AND(Tournament!J38&lt;&gt;"",Tournament!L38&lt;&gt;""),Tournament!J38,0)</f>
        <v>0</v>
      </c>
      <c r="AT26" s="229" t="str">
        <f>IF(AND(Tournament!J38&lt;&gt;"",Tournament!L38&lt;&gt;""),IF(Tournament!J38&lt;Tournament!L38,Tournament!N38,""),"")</f>
        <v/>
      </c>
      <c r="AU26" s="229" t="str">
        <f>IF(AND(Tournament!J38&lt;&gt;"",Tournament!L38&lt;&gt;""),IF(Tournament!J38=Tournament!L38,Tournament!N38,""),"")</f>
        <v/>
      </c>
      <c r="AV26" s="229" t="str">
        <f>IF(AND(Tournament!J38&lt;&gt;"",Tournament!L38&lt;&gt;""),IF(Tournament!J38&lt;Tournament!L38,Tournament!H38,""),"")</f>
        <v/>
      </c>
      <c r="AW26" s="229">
        <f>IF(AND(Tournament!J38&lt;&gt;"",Tournament!L38&lt;&gt;""),Tournament!L38,0)</f>
        <v>0</v>
      </c>
      <c r="AX26" s="229">
        <v>1</v>
      </c>
      <c r="AY26" s="229" t="str">
        <f t="shared" si="1"/>
        <v/>
      </c>
      <c r="AZ26" s="229" t="str">
        <f t="shared" si="2"/>
        <v/>
      </c>
      <c r="BA26" s="229" t="str">
        <f t="shared" si="3"/>
        <v/>
      </c>
      <c r="BB26" s="229" t="str">
        <f t="shared" si="4"/>
        <v/>
      </c>
      <c r="BC26" s="229" t="str">
        <f t="shared" si="5"/>
        <v/>
      </c>
      <c r="BD26" s="229" t="str">
        <f t="shared" si="6"/>
        <v/>
      </c>
      <c r="BE26" s="229">
        <v>24</v>
      </c>
      <c r="BF26" s="229" t="str">
        <f>Tournament!H39</f>
        <v>Italy</v>
      </c>
      <c r="BG26" s="229" t="str">
        <f>IF(AND(Tournament!J39&lt;&gt;"",Tournament!L39&lt;&gt;""),Tournament!J39,"")</f>
        <v/>
      </c>
      <c r="BH26" s="229" t="str">
        <f>IF(AND(Tournament!L39&lt;&gt;"",Tournament!J39&lt;&gt;""),Tournament!L39,"")</f>
        <v/>
      </c>
      <c r="BI26" s="229" t="str">
        <f>Tournament!N39</f>
        <v>Costa Rica</v>
      </c>
    </row>
    <row r="27" spans="1:61">
      <c r="A27" s="229">
        <f>K27+L27+M27+N27</f>
        <v>3</v>
      </c>
      <c r="B27" s="229" t="str">
        <f>Tournament!H23</f>
        <v>England</v>
      </c>
      <c r="C27" s="229">
        <f>SUMIF(AP$4:AP$60,B27,AX$4:AX$60)+SUMIF(AT$4:AT$60,B27,AX$4:AX$60)</f>
        <v>0</v>
      </c>
      <c r="D27" s="229">
        <f>SUMIF(AQ$4:AQ$60,B27,AX$4:AX$60)+SUMIF(AU$4:AU$60,B27,AX$4:AX$60)</f>
        <v>0</v>
      </c>
      <c r="E27" s="229">
        <f>SUMIF(AR$4:AR$60,B27,AX$4:AX$60)+SUMIF(AV$4:AV$60,B27,AX$4:AX$60)</f>
        <v>0</v>
      </c>
      <c r="F27" s="229">
        <f>SUMIF($BF$3:$BF$60,B27,$BG$3:$BG$60)+SUMIF($BI$3:$BI$60,B27,$BH$3:$BH$60)</f>
        <v>0</v>
      </c>
      <c r="G27" s="229">
        <f>SUMIF($BI$3:$BI$60,B27,$BG$3:$BG$60)+SUMIF($BF$3:$BF$60,B27,$BH$3:$BH$60)</f>
        <v>0</v>
      </c>
      <c r="H27" s="229">
        <f>F27-G27+100</f>
        <v>100</v>
      </c>
      <c r="I27" s="258">
        <f>C27*3+D27</f>
        <v>0</v>
      </c>
      <c r="J27" s="229">
        <v>10</v>
      </c>
      <c r="K27" s="229">
        <f>RANK(I27,I$25:I$28)</f>
        <v>1</v>
      </c>
      <c r="L27" s="229">
        <f>SUMPRODUCT((I$25:I$28=I27)*(H$25:H$28&gt;H27))</f>
        <v>0</v>
      </c>
      <c r="M27" s="229">
        <f>SUMPRODUCT((I$25:I$28=I27)*(H$25:H$28=H27)*(F$25:F$28&gt;F27))</f>
        <v>0</v>
      </c>
      <c r="N27" s="229">
        <f>SUMPRODUCT((I$25:I$28=I27)*(H$25:H$28=H27)*(F$25:F$28=F27)*(J$25:J$28&lt;J27))</f>
        <v>2</v>
      </c>
      <c r="O27" s="229">
        <f>IF(SUM(AG25:AI28)=0,IF(COUNTIF(AJ25:AJ28,0)&gt;1,3,AJ27+1),IF(AND(X26=3,X27=3,Y25=0,Y26&lt;&gt;0,Y27&lt;&gt;0),2,IF(OR(X27=5,X27=4),3,IF(X27=6,4,IF(AND(X26=4,X25=1,Y27&lt;&gt;""),2,IF(AND(AI27=0,AI26=1,AI25=1,Y27&lt;&gt;""),1,X27))))))</f>
        <v>3</v>
      </c>
      <c r="P27" s="229" t="str">
        <f>VLOOKUP(3,A$25:B$28,2,FALSE)</f>
        <v>England</v>
      </c>
      <c r="Q27" s="229">
        <f>SUMIF(B$4:B$60,P27,F$4:F$60)</f>
        <v>0</v>
      </c>
      <c r="R27" s="229">
        <f>SUMIF(B$4:B$60,P27,H$4:H$60)</f>
        <v>100</v>
      </c>
      <c r="S27" s="258">
        <f>SUMIF($B$4:$B$60,$P27,I$4:I$60)</f>
        <v>0</v>
      </c>
      <c r="T27" s="229">
        <f>SUMIF($B$4:$B$60,$P27,A$4:A$60)</f>
        <v>3</v>
      </c>
      <c r="U27" s="229">
        <f t="shared" si="9"/>
        <v>0</v>
      </c>
      <c r="V27" s="229">
        <f t="shared" si="9"/>
        <v>0</v>
      </c>
      <c r="W27" s="229">
        <f>SUMIF($B$4:$B$60,$P27,J$4:J$60)</f>
        <v>10</v>
      </c>
      <c r="X27" s="229">
        <f>IF(Y27=0,T27,T27+AG27+AH27+AI27)</f>
        <v>3</v>
      </c>
      <c r="Y27" s="229" t="str">
        <f>IF(OR(AND(S26=S27,R26=R27,Q26=Q27),AND(S28=S27,S27=S26,R28=R27,R27=R26,Q28=Q27,Q27=Q26)),P27,0)</f>
        <v>England</v>
      </c>
      <c r="Z27" s="229">
        <f>SUMIF($AY$4:$AY$60,$Y27,$AX$4:$AX$60)+SUMIF($BB$4:$BB$60,$Y27,$AX$4:$AX$60)</f>
        <v>0</v>
      </c>
      <c r="AA27" s="229">
        <f>SUMIF($AZ$4:$AZ$60,$Y27,$AX$4:$AX$60)+SUMIF($BC$4:$BC$60,$Y27,$AX$4:$AX$60)</f>
        <v>0</v>
      </c>
      <c r="AB27" s="229">
        <f>SUMIF($BA$4:$BA$60,$Y27,$AX$4:$AX$60)+SUMIF($BD$4:$BD$60,$Y27,$AX$4:$AX$60)</f>
        <v>0</v>
      </c>
      <c r="AC27" s="229">
        <f>SUMIF(AY$4:AY$60,Y27,AS$4:AS$60)+SUMIF(BB$4:BB$60,Y27,AW$4:AW$60)+SUMIF(AZ$4:AZ$60,Y27,AS$4:AS$60)+SUMIF(BC$4:BC$60,Y27,AW$4:AW$60)</f>
        <v>0</v>
      </c>
      <c r="AD27" s="229">
        <f>SUMIF(BA$4:BA$60,Y27,AS$4:AS$60)+SUMIF(BD$4:BD$60,Y27,AW$4:AW$60)+SUMIF(AZ$4:AZ$60,Y27,AS$4:AS$60)+SUMIF(BC$4:BC$60,Y27,AW$4:AW$60)</f>
        <v>0</v>
      </c>
      <c r="AE27" s="229">
        <f>AC27-AD27+100</f>
        <v>100</v>
      </c>
      <c r="AF27" s="258">
        <f>IF(Y27&lt;&gt;0,Z27*3+AA27,"")</f>
        <v>0</v>
      </c>
      <c r="AG27" s="229">
        <f>IF(Y27&lt;&gt;0,RANK(AF27,AF$25:AF$28)-1,5)</f>
        <v>0</v>
      </c>
      <c r="AH27" s="229">
        <f>IF(Y27&lt;&gt;0,SUMPRODUCT((AF$25:AF$28=AF27)*(AE$25:AE$28&gt;AE27)),5)</f>
        <v>0</v>
      </c>
      <c r="AI27" s="229">
        <f>IF(Y27&lt;&gt;0,SUMPRODUCT((AF$25:AF$28=AF27)*(AE$25:AE$28=AE27)*(AC$25:AC$28&gt;AC27)),5)</f>
        <v>0</v>
      </c>
      <c r="AJ27" s="229">
        <f>IF(Y27&lt;&gt;0,SUMPRODUCT(($AF25:$AF28=AF27)*($AE25:$AE28=AE27)*($AC25:$AC28=AC27)*($AK25:$AK28&lt;AK27)),5)</f>
        <v>0</v>
      </c>
      <c r="AK27" s="229">
        <f>IF(AL27=0,0,VLOOKUP(Y27,Tournament!AJ$33:AK$36,2,FALSE))</f>
        <v>0</v>
      </c>
      <c r="AL27" s="229">
        <f>IF(Y27&lt;&gt;0,IF(OR(SUM(AG27:AI27)=SUM(AG26:AI26),SUM(AG27:AI27)=SUM(AG28:AI28)),1,0),0)</f>
        <v>1</v>
      </c>
      <c r="AM27" s="229">
        <f>IF(AN27&lt;&gt;0,AM26+1,AM26)</f>
        <v>3</v>
      </c>
      <c r="AN27" s="229" t="str">
        <f>IF(AL27=1,Y27,0)</f>
        <v>England</v>
      </c>
      <c r="AO27" s="229">
        <v>24</v>
      </c>
      <c r="AP27" s="229" t="str">
        <f>IF(AND(Tournament!J39&lt;&gt;"",Tournament!L39&lt;&gt;""),IF(Tournament!J39&gt;Tournament!L39,Tournament!H39,""),"")</f>
        <v/>
      </c>
      <c r="AQ27" s="229" t="str">
        <f>IF(AND(Tournament!J39&lt;&gt;"",Tournament!L39&lt;&gt;""),IF(Tournament!J39=Tournament!L39,Tournament!H39,""),"")</f>
        <v/>
      </c>
      <c r="AR27" s="229" t="str">
        <f>IF(AND(Tournament!J39&lt;&gt;"",Tournament!L39&lt;&gt;""),IF(Tournament!J39&gt;Tournament!L39,Tournament!N39,""),"")</f>
        <v/>
      </c>
      <c r="AS27" s="229">
        <f>IF(AND(Tournament!J39&lt;&gt;"",Tournament!L39&lt;&gt;""),Tournament!J39,0)</f>
        <v>0</v>
      </c>
      <c r="AT27" s="229" t="str">
        <f>IF(AND(Tournament!J39&lt;&gt;"",Tournament!L39&lt;&gt;""),IF(Tournament!J39&lt;Tournament!L39,Tournament!N39,""),"")</f>
        <v/>
      </c>
      <c r="AU27" s="229" t="str">
        <f>IF(AND(Tournament!J39&lt;&gt;"",Tournament!L39&lt;&gt;""),IF(Tournament!J39=Tournament!L39,Tournament!N39,""),"")</f>
        <v/>
      </c>
      <c r="AV27" s="229" t="str">
        <f>IF(AND(Tournament!J39&lt;&gt;"",Tournament!L39&lt;&gt;""),IF(Tournament!J39&lt;Tournament!L39,Tournament!H39,""),"")</f>
        <v/>
      </c>
      <c r="AW27" s="229">
        <f>IF(AND(Tournament!J39&lt;&gt;"",Tournament!L39&lt;&gt;""),Tournament!L39,0)</f>
        <v>0</v>
      </c>
      <c r="AX27" s="229">
        <v>1</v>
      </c>
      <c r="AY27" s="229" t="str">
        <f t="shared" si="1"/>
        <v/>
      </c>
      <c r="AZ27" s="229" t="str">
        <f t="shared" si="2"/>
        <v/>
      </c>
      <c r="BA27" s="229" t="str">
        <f t="shared" si="3"/>
        <v/>
      </c>
      <c r="BB27" s="229" t="str">
        <f t="shared" si="4"/>
        <v/>
      </c>
      <c r="BC27" s="229" t="str">
        <f t="shared" si="5"/>
        <v/>
      </c>
      <c r="BD27" s="229" t="str">
        <f t="shared" si="6"/>
        <v/>
      </c>
      <c r="BE27" s="229">
        <v>25</v>
      </c>
      <c r="BF27" s="229" t="str">
        <f>Tournament!H40</f>
        <v>Switzerland</v>
      </c>
      <c r="BG27" s="229" t="str">
        <f>IF(AND(Tournament!J40&lt;&gt;"",Tournament!L40&lt;&gt;""),Tournament!J40,"")</f>
        <v/>
      </c>
      <c r="BH27" s="229" t="str">
        <f>IF(AND(Tournament!L40&lt;&gt;"",Tournament!J40&lt;&gt;""),Tournament!L40,"")</f>
        <v/>
      </c>
      <c r="BI27" s="229" t="str">
        <f>Tournament!N40</f>
        <v>France</v>
      </c>
    </row>
    <row r="28" spans="1:61">
      <c r="A28" s="229">
        <f>K28+L28+M28+N28</f>
        <v>2</v>
      </c>
      <c r="B28" s="229" t="str">
        <f>Tournament!N23</f>
        <v>Italy</v>
      </c>
      <c r="C28" s="229">
        <f>SUMIF(AP$4:AP$60,B28,AX$4:AX$60)+SUMIF(AT$4:AT$60,B28,AX$4:AX$60)</f>
        <v>0</v>
      </c>
      <c r="D28" s="229">
        <f>SUMIF(AQ$4:AQ$60,B28,AX$4:AX$60)+SUMIF(AU$4:AU$60,B28,AX$4:AX$60)</f>
        <v>0</v>
      </c>
      <c r="E28" s="229">
        <f>SUMIF(AR$4:AR$60,B28,AX$4:AX$60)+SUMIF(AV$4:AV$60,B28,AX$4:AX$60)</f>
        <v>0</v>
      </c>
      <c r="F28" s="229">
        <f>SUMIF($BF$3:$BF$60,B28,$BG$3:$BG$60)+SUMIF($BI$3:$BI$60,B28,$BH$3:$BH$60)</f>
        <v>0</v>
      </c>
      <c r="G28" s="229">
        <f>SUMIF($BI$3:$BI$60,B28,$BG$3:$BG$60)+SUMIF($BF$3:$BF$60,B28,$BH$3:$BH$60)</f>
        <v>0</v>
      </c>
      <c r="H28" s="229">
        <f>F28-G28+100</f>
        <v>100</v>
      </c>
      <c r="I28" s="258">
        <f>C28*3+D28</f>
        <v>0</v>
      </c>
      <c r="J28" s="229">
        <v>9</v>
      </c>
      <c r="K28" s="229">
        <f>RANK(I28,I$25:I$28)</f>
        <v>1</v>
      </c>
      <c r="L28" s="229">
        <f>SUMPRODUCT((I$25:I$28=I28)*(H$25:H$28&gt;H28))</f>
        <v>0</v>
      </c>
      <c r="M28" s="229">
        <f>SUMPRODUCT((I$25:I$28=I28)*(H$25:H$28=H28)*(F$25:F$28&gt;F28))</f>
        <v>0</v>
      </c>
      <c r="N28" s="229">
        <f>SUMPRODUCT((I$25:I$28=I28)*(H$25:H$28=H28)*(F$25:F$28=F28)*(J$25:J$28&lt;J28))</f>
        <v>1</v>
      </c>
      <c r="O28" s="229">
        <f>IF(SUM(AG25:AI28)=0,IF(COUNTIF(AJ25:AJ28,0)&gt;1,4,AJ28+1),IF(X28=X27,IF(X28=3,4,X28),IF(X28=5,3,IF(X28=6,4,X28))))</f>
        <v>4</v>
      </c>
      <c r="P28" s="229" t="str">
        <f>VLOOKUP(4,A$25:B$28,2,FALSE)</f>
        <v>Costa Rica</v>
      </c>
      <c r="Q28" s="229">
        <f>SUMIF(B$4:B$60,P28,F$4:F$60)</f>
        <v>0</v>
      </c>
      <c r="R28" s="229">
        <f>SUMIF(B$4:B$60,P28,H$4:H$60)</f>
        <v>100</v>
      </c>
      <c r="S28" s="258">
        <f>SUMIF($B$4:$B$60,$P28,I$4:I$60)</f>
        <v>0</v>
      </c>
      <c r="T28" s="229">
        <f>SUMIF($B$4:$B$60,$P28,A$4:A$60)</f>
        <v>4</v>
      </c>
      <c r="U28" s="229">
        <f t="shared" si="9"/>
        <v>0</v>
      </c>
      <c r="V28" s="229">
        <f t="shared" si="9"/>
        <v>0</v>
      </c>
      <c r="W28" s="229">
        <f>SUMIF($B$4:$B$60,$P28,J$4:J$60)</f>
        <v>24</v>
      </c>
      <c r="X28" s="229">
        <f>IF(Y28=0,T28,T28+AG28+AH28+AI28)</f>
        <v>4</v>
      </c>
      <c r="Y28" s="229" t="str">
        <f>IF(AND(S27=S28,S27=S26,R27=R28,R27=R26,Q27=Q28,Q27=Q26),P28,0)</f>
        <v>Costa Rica</v>
      </c>
      <c r="Z28" s="229">
        <f>SUMIF($AY$4:$AY$60,$Y28,$AX$4:$AX$60)+SUMIF($BB$4:$BB$60,$Y28,$AX$4:$AX$60)</f>
        <v>0</v>
      </c>
      <c r="AA28" s="229">
        <f>SUMIF($AZ$4:$AZ$60,$Y28,$AX$4:$AX$60)+SUMIF($BC$4:$BC$60,$Y28,$AX$4:$AX$60)</f>
        <v>0</v>
      </c>
      <c r="AB28" s="229">
        <f>SUMIF($BA$4:$BA$60,$Y28,$AX$4:$AX$60)+SUMIF($BD$4:$BD$60,$Y28,$AX$4:$AX$60)</f>
        <v>0</v>
      </c>
      <c r="AC28" s="229">
        <f>SUMIF(AY$4:AY$60,Y28,AS$4:AS$60)+SUMIF(BB$4:BB$60,Y28,AW$4:AW$60)+SUMIF(AZ$4:AZ$60,Y28,AS$4:AS$60)+SUMIF(BC$4:BC$60,Y28,AW$4:AW$60)</f>
        <v>0</v>
      </c>
      <c r="AD28" s="229">
        <f>SUMIF(BA$4:BA$60,Y28,AS$4:AS$60)+SUMIF(BD$4:BD$60,Y28,AW$4:AW$60)+SUMIF(AZ$4:AZ$60,Y28,AS$4:AS$60)+SUMIF(BC$4:BC$60,Y28,AW$4:AW$60)</f>
        <v>0</v>
      </c>
      <c r="AE28" s="229">
        <f>AC28-AD28+100</f>
        <v>100</v>
      </c>
      <c r="AF28" s="258">
        <f>IF(Y28&lt;&gt;0,Z28*3+AA28,"")</f>
        <v>0</v>
      </c>
      <c r="AG28" s="229">
        <f>IF(Y28&lt;&gt;0,RANK(AF28,AF$25:AF$28)-1,5)</f>
        <v>0</v>
      </c>
      <c r="AH28" s="229">
        <f>IF(Y28&lt;&gt;0,SUMPRODUCT((AF$25:AF$28=AF28)*(AE$25:AE$28&gt;AE28)),5)</f>
        <v>0</v>
      </c>
      <c r="AI28" s="229">
        <f>IF(Y28&lt;&gt;0,SUMPRODUCT((AF$25:AF$28=AF28)*(AE$25:AE$28=AE28)*(AC$25:AC$28&gt;AC28)),5)</f>
        <v>0</v>
      </c>
      <c r="AJ28" s="229">
        <f>IF(Y28&lt;&gt;0,SUMPRODUCT(($AF25:$AF28=AF28)*($AE25:$AE28=AE28)*($AC25:$AC28=AC28)*($AK25:$AK28&lt;AK28)),5)</f>
        <v>0</v>
      </c>
      <c r="AK28" s="229">
        <f>IF(AL28=0,0,VLOOKUP(Y28,Tournament!AJ$33:AK$36,2,FALSE))</f>
        <v>0</v>
      </c>
      <c r="AL28" s="229">
        <f>IF(Y28&lt;&gt;0,IF(SUM(AG28:AI28)=SUM(AG27:AI27),1,0),0)</f>
        <v>1</v>
      </c>
      <c r="AM28" s="229">
        <f>IF(AN28&lt;&gt;0,AM27+1,AM27)</f>
        <v>4</v>
      </c>
      <c r="AN28" s="229" t="str">
        <f>IF(AL28=1,Y28,0)</f>
        <v>Costa Rica</v>
      </c>
      <c r="AO28" s="229">
        <v>25</v>
      </c>
      <c r="AP28" s="229" t="str">
        <f>IF(AND(Tournament!J40&lt;&gt;"",Tournament!L40&lt;&gt;""),IF(Tournament!J40&gt;Tournament!L40,Tournament!H40,""),"")</f>
        <v/>
      </c>
      <c r="AQ28" s="229" t="str">
        <f>IF(AND(Tournament!J40&lt;&gt;"",Tournament!L40&lt;&gt;""),IF(Tournament!J40=Tournament!L40,Tournament!H40,""),"")</f>
        <v/>
      </c>
      <c r="AR28" s="229" t="str">
        <f>IF(AND(Tournament!J40&lt;&gt;"",Tournament!L40&lt;&gt;""),IF(Tournament!J40&gt;Tournament!L40,Tournament!N40,""),"")</f>
        <v/>
      </c>
      <c r="AS28" s="229">
        <f>IF(AND(Tournament!J40&lt;&gt;"",Tournament!L40&lt;&gt;""),Tournament!J40,0)</f>
        <v>0</v>
      </c>
      <c r="AT28" s="229" t="str">
        <f>IF(AND(Tournament!J40&lt;&gt;"",Tournament!L40&lt;&gt;""),IF(Tournament!J40&lt;Tournament!L40,Tournament!N40,""),"")</f>
        <v/>
      </c>
      <c r="AU28" s="229" t="str">
        <f>IF(AND(Tournament!J40&lt;&gt;"",Tournament!L40&lt;&gt;""),IF(Tournament!J40=Tournament!L40,Tournament!N40,""),"")</f>
        <v/>
      </c>
      <c r="AV28" s="229" t="str">
        <f>IF(AND(Tournament!J40&lt;&gt;"",Tournament!L40&lt;&gt;""),IF(Tournament!J40&lt;Tournament!L40,Tournament!H40,""),"")</f>
        <v/>
      </c>
      <c r="AW28" s="229">
        <f>IF(AND(Tournament!J40&lt;&gt;"",Tournament!L40&lt;&gt;""),Tournament!L40,0)</f>
        <v>0</v>
      </c>
      <c r="AX28" s="229">
        <v>1</v>
      </c>
      <c r="AY28" s="229" t="str">
        <f t="shared" si="1"/>
        <v/>
      </c>
      <c r="AZ28" s="229" t="str">
        <f t="shared" si="2"/>
        <v/>
      </c>
      <c r="BA28" s="229" t="str">
        <f t="shared" si="3"/>
        <v/>
      </c>
      <c r="BB28" s="229" t="str">
        <f t="shared" si="4"/>
        <v/>
      </c>
      <c r="BC28" s="229" t="str">
        <f t="shared" si="5"/>
        <v/>
      </c>
      <c r="BD28" s="229" t="str">
        <f t="shared" si="6"/>
        <v/>
      </c>
      <c r="BE28" s="229">
        <v>26</v>
      </c>
      <c r="BF28" s="229" t="str">
        <f>Tournament!H41</f>
        <v>Honduras</v>
      </c>
      <c r="BG28" s="229" t="str">
        <f>IF(AND(Tournament!J41&lt;&gt;"",Tournament!L41&lt;&gt;""),Tournament!J41,"")</f>
        <v/>
      </c>
      <c r="BH28" s="229" t="str">
        <f>IF(AND(Tournament!L41&lt;&gt;"",Tournament!J41&lt;&gt;""),Tournament!L41,"")</f>
        <v/>
      </c>
      <c r="BI28" s="229" t="str">
        <f>Tournament!N41</f>
        <v>Ecuador</v>
      </c>
    </row>
    <row r="29" spans="1:61">
      <c r="AO29" s="229">
        <v>26</v>
      </c>
      <c r="AP29" s="229" t="str">
        <f>IF(AND(Tournament!J41&lt;&gt;"",Tournament!L41&lt;&gt;""),IF(Tournament!J41&gt;Tournament!L41,Tournament!H41,""),"")</f>
        <v/>
      </c>
      <c r="AQ29" s="229" t="str">
        <f>IF(AND(Tournament!J41&lt;&gt;"",Tournament!L41&lt;&gt;""),IF(Tournament!J41=Tournament!L41,Tournament!H41,""),"")</f>
        <v/>
      </c>
      <c r="AR29" s="229" t="str">
        <f>IF(AND(Tournament!J41&lt;&gt;"",Tournament!L41&lt;&gt;""),IF(Tournament!J41&gt;Tournament!L41,Tournament!N41,""),"")</f>
        <v/>
      </c>
      <c r="AS29" s="229">
        <f>IF(AND(Tournament!J41&lt;&gt;"",Tournament!L41&lt;&gt;""),Tournament!J41,0)</f>
        <v>0</v>
      </c>
      <c r="AT29" s="229" t="str">
        <f>IF(AND(Tournament!J41&lt;&gt;"",Tournament!L41&lt;&gt;""),IF(Tournament!J41&lt;Tournament!L41,Tournament!N41,""),"")</f>
        <v/>
      </c>
      <c r="AU29" s="229" t="str">
        <f>IF(AND(Tournament!J41&lt;&gt;"",Tournament!L41&lt;&gt;""),IF(Tournament!J41=Tournament!L41,Tournament!N41,""),"")</f>
        <v/>
      </c>
      <c r="AV29" s="229" t="str">
        <f>IF(AND(Tournament!J41&lt;&gt;"",Tournament!L41&lt;&gt;""),IF(Tournament!J41&lt;Tournament!L41,Tournament!H41,""),"")</f>
        <v/>
      </c>
      <c r="AW29" s="229">
        <f>IF(AND(Tournament!J41&lt;&gt;"",Tournament!L41&lt;&gt;""),Tournament!L41,0)</f>
        <v>0</v>
      </c>
      <c r="AX29" s="229">
        <v>1</v>
      </c>
      <c r="AY29" s="229" t="str">
        <f t="shared" si="1"/>
        <v/>
      </c>
      <c r="AZ29" s="229" t="str">
        <f t="shared" si="2"/>
        <v/>
      </c>
      <c r="BA29" s="229" t="str">
        <f t="shared" si="3"/>
        <v/>
      </c>
      <c r="BB29" s="229" t="str">
        <f t="shared" si="4"/>
        <v/>
      </c>
      <c r="BC29" s="229" t="str">
        <f t="shared" si="5"/>
        <v/>
      </c>
      <c r="BD29" s="229" t="str">
        <f t="shared" si="6"/>
        <v/>
      </c>
      <c r="BE29" s="229">
        <v>27</v>
      </c>
      <c r="BF29" s="229" t="str">
        <f>Tournament!H42</f>
        <v>Argentina</v>
      </c>
      <c r="BG29" s="229" t="str">
        <f>IF(AND(Tournament!J42&lt;&gt;"",Tournament!L42&lt;&gt;""),Tournament!J42,"")</f>
        <v/>
      </c>
      <c r="BH29" s="229" t="str">
        <f>IF(AND(Tournament!L42&lt;&gt;"",Tournament!J42&lt;&gt;""),Tournament!L42,"")</f>
        <v/>
      </c>
      <c r="BI29" s="229" t="str">
        <f>Tournament!N42</f>
        <v>Iran</v>
      </c>
    </row>
    <row r="30" spans="1:61">
      <c r="I30" s="258"/>
      <c r="S30" s="258"/>
      <c r="AF30" s="258"/>
      <c r="AO30" s="229">
        <v>27</v>
      </c>
      <c r="AP30" s="229" t="str">
        <f>IF(AND(Tournament!J42&lt;&gt;"",Tournament!L42&lt;&gt;""),IF(Tournament!J42&gt;Tournament!L42,Tournament!H42,""),"")</f>
        <v/>
      </c>
      <c r="AQ30" s="229" t="str">
        <f>IF(AND(Tournament!J42&lt;&gt;"",Tournament!L42&lt;&gt;""),IF(Tournament!J42=Tournament!L42,Tournament!H42,""),"")</f>
        <v/>
      </c>
      <c r="AR30" s="229" t="str">
        <f>IF(AND(Tournament!J42&lt;&gt;"",Tournament!L42&lt;&gt;""),IF(Tournament!J42&gt;Tournament!L42,Tournament!N42,""),"")</f>
        <v/>
      </c>
      <c r="AS30" s="229">
        <f>IF(AND(Tournament!J42&lt;&gt;"",Tournament!L42&lt;&gt;""),Tournament!J42,0)</f>
        <v>0</v>
      </c>
      <c r="AT30" s="229" t="str">
        <f>IF(AND(Tournament!J42&lt;&gt;"",Tournament!L42&lt;&gt;""),IF(Tournament!J42&lt;Tournament!L42,Tournament!N42,""),"")</f>
        <v/>
      </c>
      <c r="AU30" s="229" t="str">
        <f>IF(AND(Tournament!J42&lt;&gt;"",Tournament!L42&lt;&gt;""),IF(Tournament!J42=Tournament!L42,Tournament!N42,""),"")</f>
        <v/>
      </c>
      <c r="AV30" s="229" t="str">
        <f>IF(AND(Tournament!J42&lt;&gt;"",Tournament!L42&lt;&gt;""),IF(Tournament!J42&lt;Tournament!L42,Tournament!H42,""),"")</f>
        <v/>
      </c>
      <c r="AW30" s="229">
        <f>IF(AND(Tournament!J42&lt;&gt;"",Tournament!L42&lt;&gt;""),Tournament!L42,0)</f>
        <v>0</v>
      </c>
      <c r="AX30" s="229">
        <v>1</v>
      </c>
      <c r="AY30" s="229" t="str">
        <f t="shared" si="1"/>
        <v/>
      </c>
      <c r="AZ30" s="229" t="str">
        <f t="shared" si="2"/>
        <v/>
      </c>
      <c r="BA30" s="229" t="str">
        <f t="shared" si="3"/>
        <v/>
      </c>
      <c r="BB30" s="229" t="str">
        <f t="shared" si="4"/>
        <v/>
      </c>
      <c r="BC30" s="229" t="str">
        <f t="shared" si="5"/>
        <v/>
      </c>
      <c r="BD30" s="229" t="str">
        <f t="shared" si="6"/>
        <v/>
      </c>
      <c r="BE30" s="229">
        <v>28</v>
      </c>
      <c r="BF30" s="229" t="str">
        <f>Tournament!H43</f>
        <v>Nigeria</v>
      </c>
      <c r="BG30" s="229" t="str">
        <f>IF(AND(Tournament!J43&lt;&gt;"",Tournament!L43&lt;&gt;""),Tournament!J43,"")</f>
        <v/>
      </c>
      <c r="BH30" s="229" t="str">
        <f>IF(AND(Tournament!L43&lt;&gt;"",Tournament!J43&lt;&gt;""),Tournament!L43,"")</f>
        <v/>
      </c>
      <c r="BI30" s="229" t="str">
        <f>Tournament!N43</f>
        <v>Bosnia-Herzegovina</v>
      </c>
    </row>
    <row r="31" spans="1:61">
      <c r="I31" s="258"/>
      <c r="P31" s="229" t="s">
        <v>2894</v>
      </c>
      <c r="S31" s="258"/>
      <c r="AF31" s="258"/>
      <c r="AO31" s="229">
        <v>28</v>
      </c>
      <c r="AP31" s="229" t="str">
        <f>IF(AND(Tournament!J43&lt;&gt;"",Tournament!L43&lt;&gt;""),IF(Tournament!J43&gt;Tournament!L43,Tournament!H43,""),"")</f>
        <v/>
      </c>
      <c r="AQ31" s="229" t="str">
        <f>IF(AND(Tournament!J43&lt;&gt;"",Tournament!L43&lt;&gt;""),IF(Tournament!J43=Tournament!L43,Tournament!H43,""),"")</f>
        <v/>
      </c>
      <c r="AR31" s="229" t="str">
        <f>IF(AND(Tournament!J43&lt;&gt;"",Tournament!L43&lt;&gt;""),IF(Tournament!J43&gt;Tournament!L43,Tournament!N43,""),"")</f>
        <v/>
      </c>
      <c r="AS31" s="229">
        <f>IF(AND(Tournament!J43&lt;&gt;"",Tournament!L43&lt;&gt;""),Tournament!J43,0)</f>
        <v>0</v>
      </c>
      <c r="AT31" s="229" t="str">
        <f>IF(AND(Tournament!J43&lt;&gt;"",Tournament!L43&lt;&gt;""),IF(Tournament!J43&lt;Tournament!L43,Tournament!N43,""),"")</f>
        <v/>
      </c>
      <c r="AU31" s="229" t="str">
        <f>IF(AND(Tournament!J43&lt;&gt;"",Tournament!L43&lt;&gt;""),IF(Tournament!J43=Tournament!L43,Tournament!N43,""),"")</f>
        <v/>
      </c>
      <c r="AV31" s="229" t="str">
        <f>IF(AND(Tournament!J43&lt;&gt;"",Tournament!L43&lt;&gt;""),IF(Tournament!J43&lt;Tournament!L43,Tournament!H43,""),"")</f>
        <v/>
      </c>
      <c r="AW31" s="229">
        <f>IF(AND(Tournament!J43&lt;&gt;"",Tournament!L43&lt;&gt;""),Tournament!L43,0)</f>
        <v>0</v>
      </c>
      <c r="AX31" s="229">
        <v>1</v>
      </c>
      <c r="AY31" s="229" t="str">
        <f t="shared" si="1"/>
        <v/>
      </c>
      <c r="AZ31" s="229" t="str">
        <f t="shared" si="2"/>
        <v/>
      </c>
      <c r="BA31" s="229" t="str">
        <f t="shared" si="3"/>
        <v/>
      </c>
      <c r="BB31" s="229" t="str">
        <f t="shared" si="4"/>
        <v/>
      </c>
      <c r="BC31" s="229" t="str">
        <f t="shared" si="5"/>
        <v/>
      </c>
      <c r="BD31" s="229" t="str">
        <f t="shared" si="6"/>
        <v/>
      </c>
      <c r="BE31" s="229">
        <v>29</v>
      </c>
      <c r="BF31" s="229" t="str">
        <f>Tournament!H44</f>
        <v>Germany</v>
      </c>
      <c r="BG31" s="229" t="str">
        <f>IF(AND(Tournament!J44&lt;&gt;"",Tournament!L44&lt;&gt;""),Tournament!J44,"")</f>
        <v/>
      </c>
      <c r="BH31" s="229" t="str">
        <f>IF(AND(Tournament!L44&lt;&gt;"",Tournament!J44&lt;&gt;""),Tournament!L44,"")</f>
        <v/>
      </c>
      <c r="BI31" s="229" t="str">
        <f>Tournament!N44</f>
        <v>Ghana</v>
      </c>
    </row>
    <row r="32" spans="1:61">
      <c r="A32" s="229">
        <f>K32+L32+M32+N32</f>
        <v>1</v>
      </c>
      <c r="B32" s="229" t="str">
        <f>Tournament!H24</f>
        <v>Switzerland</v>
      </c>
      <c r="C32" s="229">
        <f>SUMIF(AP$4:AP$60,B32,AX$4:AX$60)+SUMIF(AT$4:AT$60,B32,AX$4:AX$60)</f>
        <v>0</v>
      </c>
      <c r="D32" s="229">
        <f>SUMIF(AQ$4:AQ$60,B32,AX$4:AX$60)+SUMIF(AU$4:AU$60,B32,AX$4:AX$60)</f>
        <v>0</v>
      </c>
      <c r="E32" s="229">
        <f>SUMIF(AR$4:AR$60,B32,AX$4:AX$60)+SUMIF(AV$4:AV$60,B32,AX$4:AX$60)</f>
        <v>0</v>
      </c>
      <c r="F32" s="229">
        <f>SUMIF($BF$3:$BF$60,B32,$BG$3:$BG$60)+SUMIF($BI$3:$BI$60,B32,$BH$3:$BH$60)</f>
        <v>0</v>
      </c>
      <c r="G32" s="229">
        <f>SUMIF($BI$3:$BI$60,B32,$BG$3:$BG$60)+SUMIF($BF$3:$BF$60,B32,$BH$3:$BH$60)</f>
        <v>0</v>
      </c>
      <c r="H32" s="229">
        <f>F32-G32+100</f>
        <v>100</v>
      </c>
      <c r="I32" s="258">
        <f>C32*3+D32</f>
        <v>0</v>
      </c>
      <c r="J32" s="229">
        <v>7</v>
      </c>
      <c r="K32" s="229">
        <f>RANK(I32,I$32:I$35)</f>
        <v>1</v>
      </c>
      <c r="L32" s="229">
        <f>SUMPRODUCT((I$32:I$35=I32)*(H$32:H$35&gt;H32))</f>
        <v>0</v>
      </c>
      <c r="M32" s="229">
        <f>SUMPRODUCT((I$32:I$35=I32)*(H$32:H$35=H32)*(F$32:F$35&gt;F32))</f>
        <v>0</v>
      </c>
      <c r="N32" s="229">
        <f>SUMPRODUCT((I$32:I$35=I32)*(H$32:H$35=H32)*(F$32:F$35=F32)*(J$32:J$35&lt;J32))</f>
        <v>0</v>
      </c>
      <c r="O32" s="229">
        <f>IF(SUM(AG32:AI35)=0,IF(COUNTIF(AJ32:AJ35,0)&gt;1,1,AJ32+1),X32)</f>
        <v>1</v>
      </c>
      <c r="P32" s="229" t="str">
        <f>VLOOKUP(1,A$32:B$35,2,FALSE)</f>
        <v>Switzerland</v>
      </c>
      <c r="Q32" s="229">
        <f>SUMIF(B$4:B$60,P32,F$4:F$60)</f>
        <v>0</v>
      </c>
      <c r="R32" s="229">
        <f>SUMIF(B$4:B$60,P32,H$4:H$60)</f>
        <v>100</v>
      </c>
      <c r="S32" s="258">
        <f>SUMIF($B$4:$B$60,$P32,I$4:I$60)</f>
        <v>0</v>
      </c>
      <c r="T32" s="229">
        <f>SUMIF($B$4:$B$60,$P32,A$4:A$60)</f>
        <v>1</v>
      </c>
      <c r="U32" s="229">
        <f t="shared" ref="U32:V35" si="10">SUMIF($B$4:$B$60,$P32,L$4:L$60)</f>
        <v>0</v>
      </c>
      <c r="V32" s="229">
        <f t="shared" si="10"/>
        <v>0</v>
      </c>
      <c r="W32" s="229">
        <f>SUMIF($B$4:$B$60,$P32,J$4:J$60)</f>
        <v>7</v>
      </c>
      <c r="X32" s="229">
        <f>IF(Y32=0,T32,T32+AG32+AH32+AI32)</f>
        <v>1</v>
      </c>
      <c r="Y32" s="229" t="str">
        <f>IF(AND(S32=S33,R32=R33,Q32=Q33),P32,0)</f>
        <v>Switzerland</v>
      </c>
      <c r="Z32" s="229">
        <f>SUMIF($AY$4:$AY$60,$Y32,$AX$4:$AX$60)+SUMIF($BB$4:$BB$60,$Y32,$AX$4:$AX$60)</f>
        <v>0</v>
      </c>
      <c r="AA32" s="229">
        <f>SUMIF($AZ$4:$AZ$60,$Y32,$AX$4:$AX$60)+SUMIF($BC$4:$BC$60,$Y32,$AX$4:$AX$60)</f>
        <v>0</v>
      </c>
      <c r="AB32" s="229">
        <f>SUMIF($BA$4:$BA$60,$Y32,$AX$4:$AX$60)+SUMIF($BD$4:$BD$60,$Y32,$AX$4:$AX$60)</f>
        <v>0</v>
      </c>
      <c r="AC32" s="229">
        <f>SUMIF(AY$4:AY$60,Y32,AS$4:AS$60)+SUMIF(BB$4:BB$60,Y32,AW$4:AW$60)+SUMIF(AZ$4:AZ$60,Y32,AS$4:AS$60)+SUMIF(BC$4:BC$60,Y32,AW$4:AW$60)</f>
        <v>0</v>
      </c>
      <c r="AD32" s="229">
        <f>SUMIF(BA$4:BA$60,Y32,AS$4:AS$60)+SUMIF(BD$4:BD$60,Y32,AW$4:AW$60)+SUMIF(AZ$4:AZ$60,Y32,AS$4:AS$60)+SUMIF(BC$4:BC$60,Y32,AW$4:AW$60)</f>
        <v>0</v>
      </c>
      <c r="AE32" s="229">
        <f>AC32-AD32+100</f>
        <v>100</v>
      </c>
      <c r="AF32" s="258">
        <f>IF(Y32&lt;&gt;0,Z32*3+AA32,"")</f>
        <v>0</v>
      </c>
      <c r="AG32" s="229">
        <f>IF(Y32&lt;&gt;0,RANK(AF32,AF$32:AF$35)-1,5)</f>
        <v>0</v>
      </c>
      <c r="AH32" s="229">
        <f>IF(Y32&lt;&gt;0,SUMPRODUCT((AF$32:AF$35=AF32)*(AE$32:AE$35&gt;AE32)),5)</f>
        <v>0</v>
      </c>
      <c r="AI32" s="229">
        <f>IF(Y32&lt;&gt;0,SUMPRODUCT((AF$32:AF$35=AF32)*(AE$32:AE$35=AE32)*(AC$32:AC$35&gt;AC32)),5)</f>
        <v>0</v>
      </c>
      <c r="AJ32" s="229">
        <f>IF(Y32&lt;&gt;0,SUMPRODUCT(($AF32:$AF35=AF32)*($AE32:$AE35=AE32)*($AC32:$AC35=AC32)*($AK32:$AK35&lt;AK32)),5)</f>
        <v>0</v>
      </c>
      <c r="AK32" s="229">
        <f>IF(AL32=0,0,VLOOKUP(Y32,Tournament!AJ$39:AK$42,2,FALSE))</f>
        <v>0</v>
      </c>
      <c r="AL32" s="229">
        <f>IF(Y32&lt;&gt;0,IF(SUM(AG32:AI32)=SUM(AG33:AI33),1,0),0)</f>
        <v>1</v>
      </c>
      <c r="AM32" s="229">
        <f>IF(AN32&lt;&gt;0,1,0)</f>
        <v>1</v>
      </c>
      <c r="AN32" s="229" t="str">
        <f>IF(AL32=1,Y32,0)</f>
        <v>Switzerland</v>
      </c>
      <c r="AO32" s="229">
        <v>29</v>
      </c>
      <c r="AP32" s="229" t="str">
        <f>IF(AND(Tournament!J44&lt;&gt;"",Tournament!L44&lt;&gt;""),IF(Tournament!J44&gt;Tournament!L44,Tournament!H44,""),"")</f>
        <v/>
      </c>
      <c r="AQ32" s="229" t="str">
        <f>IF(AND(Tournament!J44&lt;&gt;"",Tournament!L44&lt;&gt;""),IF(Tournament!J44=Tournament!L44,Tournament!H44,""),"")</f>
        <v/>
      </c>
      <c r="AR32" s="229" t="str">
        <f>IF(AND(Tournament!J44&lt;&gt;"",Tournament!L44&lt;&gt;""),IF(Tournament!J44&gt;Tournament!L44,Tournament!N44,""),"")</f>
        <v/>
      </c>
      <c r="AS32" s="229">
        <f>IF(AND(Tournament!J44&lt;&gt;"",Tournament!L44&lt;&gt;""),Tournament!J44,0)</f>
        <v>0</v>
      </c>
      <c r="AT32" s="229" t="str">
        <f>IF(AND(Tournament!J44&lt;&gt;"",Tournament!L44&lt;&gt;""),IF(Tournament!J44&lt;Tournament!L44,Tournament!N44,""),"")</f>
        <v/>
      </c>
      <c r="AU32" s="229" t="str">
        <f>IF(AND(Tournament!J44&lt;&gt;"",Tournament!L44&lt;&gt;""),IF(Tournament!J44=Tournament!L44,Tournament!N44,""),"")</f>
        <v/>
      </c>
      <c r="AV32" s="229" t="str">
        <f>IF(AND(Tournament!J44&lt;&gt;"",Tournament!L44&lt;&gt;""),IF(Tournament!J44&lt;Tournament!L44,Tournament!H44,""),"")</f>
        <v/>
      </c>
      <c r="AW32" s="229">
        <f>IF(AND(Tournament!J44&lt;&gt;"",Tournament!L44&lt;&gt;""),Tournament!L44,0)</f>
        <v>0</v>
      </c>
      <c r="AX32" s="229">
        <v>1</v>
      </c>
      <c r="AY32" s="229" t="str">
        <f t="shared" si="1"/>
        <v/>
      </c>
      <c r="AZ32" s="229" t="str">
        <f t="shared" si="2"/>
        <v/>
      </c>
      <c r="BA32" s="229" t="str">
        <f t="shared" si="3"/>
        <v/>
      </c>
      <c r="BB32" s="229" t="str">
        <f t="shared" si="4"/>
        <v/>
      </c>
      <c r="BC32" s="229" t="str">
        <f t="shared" si="5"/>
        <v/>
      </c>
      <c r="BD32" s="229" t="str">
        <f t="shared" si="6"/>
        <v/>
      </c>
      <c r="BE32" s="229">
        <v>30</v>
      </c>
      <c r="BF32" s="229" t="str">
        <f>Tournament!H45</f>
        <v>USA</v>
      </c>
      <c r="BG32" s="229" t="str">
        <f>IF(AND(Tournament!J45&lt;&gt;"",Tournament!L45&lt;&gt;""),Tournament!J45,"")</f>
        <v/>
      </c>
      <c r="BH32" s="229" t="str">
        <f>IF(AND(Tournament!L45&lt;&gt;"",Tournament!J45&lt;&gt;""),Tournament!L45,"")</f>
        <v/>
      </c>
      <c r="BI32" s="229" t="str">
        <f>Tournament!N45</f>
        <v>Portugal</v>
      </c>
    </row>
    <row r="33" spans="1:61">
      <c r="A33" s="229">
        <f>K33+L33+M33+N33</f>
        <v>3</v>
      </c>
      <c r="B33" s="229" t="str">
        <f>Tournament!N24</f>
        <v>Ecuador</v>
      </c>
      <c r="C33" s="229">
        <f>SUMIF(AP$4:AP$60,B33,AX$4:AX$60)+SUMIF(AT$4:AT$60,B33,AX$4:AX$60)</f>
        <v>0</v>
      </c>
      <c r="D33" s="229">
        <f>SUMIF(AQ$4:AQ$60,B33,AX$4:AX$60)+SUMIF(AU$4:AU$60,B33,AX$4:AX$60)</f>
        <v>0</v>
      </c>
      <c r="E33" s="229">
        <f>SUMIF(AR$4:AR$60,B33,AX$4:AX$60)+SUMIF(AV$4:AV$60,B33,AX$4:AX$60)</f>
        <v>0</v>
      </c>
      <c r="F33" s="229">
        <f>SUMIF($BF$3:$BF$60,B33,$BG$3:$BG$60)+SUMIF($BI$3:$BI$60,B33,$BH$3:$BH$60)</f>
        <v>0</v>
      </c>
      <c r="G33" s="229">
        <f>SUMIF($BI$3:$BI$60,B33,$BG$3:$BG$60)+SUMIF($BF$3:$BF$60,B33,$BH$3:$BH$60)</f>
        <v>0</v>
      </c>
      <c r="H33" s="229">
        <f>F33-G33+100</f>
        <v>100</v>
      </c>
      <c r="I33" s="258">
        <f>C33*3+D33</f>
        <v>0</v>
      </c>
      <c r="J33" s="229">
        <v>21</v>
      </c>
      <c r="K33" s="229">
        <f>RANK(I33,I$32:I$35)</f>
        <v>1</v>
      </c>
      <c r="L33" s="229">
        <f>SUMPRODUCT((I$32:I$35=I33)*(H$32:H$35&gt;H33))</f>
        <v>0</v>
      </c>
      <c r="M33" s="229">
        <f>SUMPRODUCT((I$32:I$35=I33)*(H$32:H$35=H33)*(F$32:F$35&gt;F33))</f>
        <v>0</v>
      </c>
      <c r="N33" s="229">
        <f>SUMPRODUCT((I$32:I$35=I33)*(H$32:H$35=H33)*(F$32:F$35=F33)*(J$32:J$35&lt;J33))</f>
        <v>2</v>
      </c>
      <c r="O33" s="229">
        <f>IF(SUM(AG32:AI35)=0,IF(COUNTIF(AJ32:AJ35,0)&gt;1,2,AJ33+1),IF(AND(X32=1,X33=3,Y32&lt;&gt;0,Y33&lt;&gt;0,Y34=0,Y35=0),2,IF(AND(X32=2,X33=2,Y32&lt;&gt;0,Y33&lt;&gt;0,Y34=0,Y35=0),1,IF(AND(X33=4,AI33=2),3,X33))))</f>
        <v>2</v>
      </c>
      <c r="P33" s="229" t="str">
        <f>VLOOKUP(2,A$32:B$35,2,FALSE)</f>
        <v>France</v>
      </c>
      <c r="Q33" s="229">
        <f>SUMIF(B$4:B$60,P33,F$4:F$60)</f>
        <v>0</v>
      </c>
      <c r="R33" s="229">
        <f>SUMIF(B$4:B$60,P33,H$4:H$60)</f>
        <v>100</v>
      </c>
      <c r="S33" s="258">
        <f>SUMIF($B$4:$B$60,$P33,I$4:I$60)</f>
        <v>0</v>
      </c>
      <c r="T33" s="229">
        <f>SUMIF($B$4:$B$60,$P33,A$4:A$60)</f>
        <v>2</v>
      </c>
      <c r="U33" s="229">
        <f t="shared" si="10"/>
        <v>0</v>
      </c>
      <c r="V33" s="229">
        <f t="shared" si="10"/>
        <v>0</v>
      </c>
      <c r="W33" s="229">
        <f>SUMIF($B$4:$B$60,$P33,J$4:J$60)</f>
        <v>20</v>
      </c>
      <c r="X33" s="229">
        <f>IF(Y33=0,T33,T33+AG33+AH33+AI33)</f>
        <v>2</v>
      </c>
      <c r="Y33" s="229" t="str">
        <f>IF(OR(AND(S32=S33,R32=R33,Q32=Q33),AND(S34=S33,R34=R33,Q34=Q33)),P33,0)</f>
        <v>France</v>
      </c>
      <c r="Z33" s="229">
        <f>SUMIF($AY$4:$AY$60,$Y33,$AX$4:$AX$60)+SUMIF($BB$4:$BB$60,$Y33,$AX$4:$AX$60)</f>
        <v>0</v>
      </c>
      <c r="AA33" s="229">
        <f>SUMIF($AZ$4:$AZ$60,$Y33,$AX$4:$AX$60)+SUMIF($BC$4:$BC$60,$Y33,$AX$4:$AX$60)</f>
        <v>0</v>
      </c>
      <c r="AB33" s="229">
        <f>SUMIF($BA$4:$BA$60,$Y33,$AX$4:$AX$60)+SUMIF($BD$4:$BD$60,$Y33,$AX$4:$AX$60)</f>
        <v>0</v>
      </c>
      <c r="AC33" s="229">
        <f>SUMIF(AY$4:AY$60,Y33,AS$4:AS$60)+SUMIF(BB$4:BB$60,Y33,AW$4:AW$60)+SUMIF(AZ$4:AZ$60,Y33,AS$4:AS$60)+SUMIF(BC$4:BC$60,Y33,AW$4:AW$60)</f>
        <v>0</v>
      </c>
      <c r="AD33" s="229">
        <f>SUMIF(BA$4:BA$60,Y33,AS$4:AS$60)+SUMIF(BD$4:BD$60,Y33,AW$4:AW$60)+SUMIF(AZ$4:AZ$60,Y33,AS$4:AS$60)+SUMIF(BC$4:BC$60,Y33,AW$4:AW$60)</f>
        <v>0</v>
      </c>
      <c r="AE33" s="229">
        <f>AC33-AD33+100</f>
        <v>100</v>
      </c>
      <c r="AF33" s="258">
        <f>IF(Y33&lt;&gt;0,Z33*3+AA33,"")</f>
        <v>0</v>
      </c>
      <c r="AG33" s="229">
        <f>IF(Y33&lt;&gt;0,RANK(AF33,AF$32:AF$35)-1,5)</f>
        <v>0</v>
      </c>
      <c r="AH33" s="229">
        <f>IF(Y33&lt;&gt;0,SUMPRODUCT((AF$32:AF$35=AF33)*(AE$32:AE$35&gt;AE33)),5)</f>
        <v>0</v>
      </c>
      <c r="AI33" s="229">
        <f>IF(Y33&lt;&gt;0,SUMPRODUCT((AF$32:AF$35=AF33)*(AE$32:AE$35=AE33)*(AC$32:AC$35&gt;AC33)),5)</f>
        <v>0</v>
      </c>
      <c r="AJ33" s="229">
        <f>IF(Y33&lt;&gt;0,SUMPRODUCT(($AF32:$AF35=AF33)*($AE32:$AE35=AE33)*($AC32:$AC35=AC33)*($AK32:$AK35&lt;AK33)),5)</f>
        <v>0</v>
      </c>
      <c r="AK33" s="229">
        <f>IF(AL33=0,0,VLOOKUP(Y33,Tournament!AJ$39:AK$42,2,FALSE))</f>
        <v>0</v>
      </c>
      <c r="AL33" s="229">
        <f>IF(Y33&lt;&gt;0,IF(OR(SUM(AG33:AI33)=SUM(AG32:AI32),SUM(AG33:AI33)=SUM(AG34:AI34)),1,0),0)</f>
        <v>1</v>
      </c>
      <c r="AM33" s="229">
        <f>IF(AN33&lt;&gt;0,AM32+1,AM32)</f>
        <v>2</v>
      </c>
      <c r="AN33" s="229" t="str">
        <f>IF(AL33=1,Y33,0)</f>
        <v>France</v>
      </c>
      <c r="AO33" s="229">
        <v>30</v>
      </c>
      <c r="AP33" s="229" t="str">
        <f>IF(AND(Tournament!J45&lt;&gt;"",Tournament!L45&lt;&gt;""),IF(Tournament!J45&gt;Tournament!L45,Tournament!H45,""),"")</f>
        <v/>
      </c>
      <c r="AQ33" s="229" t="str">
        <f>IF(AND(Tournament!J45&lt;&gt;"",Tournament!L45&lt;&gt;""),IF(Tournament!J45=Tournament!L45,Tournament!H45,""),"")</f>
        <v/>
      </c>
      <c r="AR33" s="229" t="str">
        <f>IF(AND(Tournament!J45&lt;&gt;"",Tournament!L45&lt;&gt;""),IF(Tournament!J45&gt;Tournament!L45,Tournament!N45,""),"")</f>
        <v/>
      </c>
      <c r="AS33" s="229">
        <f>IF(AND(Tournament!J45&lt;&gt;"",Tournament!L45&lt;&gt;""),Tournament!J45,0)</f>
        <v>0</v>
      </c>
      <c r="AT33" s="229" t="str">
        <f>IF(AND(Tournament!J45&lt;&gt;"",Tournament!L45&lt;&gt;""),IF(Tournament!J45&lt;Tournament!L45,Tournament!N45,""),"")</f>
        <v/>
      </c>
      <c r="AU33" s="229" t="str">
        <f>IF(AND(Tournament!J45&lt;&gt;"",Tournament!L45&lt;&gt;""),IF(Tournament!J45=Tournament!L45,Tournament!N45,""),"")</f>
        <v/>
      </c>
      <c r="AV33" s="229" t="str">
        <f>IF(AND(Tournament!J45&lt;&gt;"",Tournament!L45&lt;&gt;""),IF(Tournament!J45&lt;Tournament!L45,Tournament!H45,""),"")</f>
        <v/>
      </c>
      <c r="AW33" s="229">
        <f>IF(AND(Tournament!J45&lt;&gt;"",Tournament!L45&lt;&gt;""),Tournament!L45,0)</f>
        <v>0</v>
      </c>
      <c r="AX33" s="229">
        <v>1</v>
      </c>
      <c r="AY33" s="229" t="str">
        <f t="shared" si="1"/>
        <v/>
      </c>
      <c r="AZ33" s="229" t="str">
        <f t="shared" si="2"/>
        <v/>
      </c>
      <c r="BA33" s="229" t="str">
        <f t="shared" si="3"/>
        <v/>
      </c>
      <c r="BB33" s="229" t="str">
        <f t="shared" si="4"/>
        <v/>
      </c>
      <c r="BC33" s="229" t="str">
        <f t="shared" si="5"/>
        <v/>
      </c>
      <c r="BD33" s="229" t="str">
        <f t="shared" si="6"/>
        <v/>
      </c>
      <c r="BE33" s="229">
        <v>31</v>
      </c>
      <c r="BF33" s="229" t="str">
        <f>Tournament!H46</f>
        <v>Belgium</v>
      </c>
      <c r="BG33" s="229" t="str">
        <f>IF(AND(Tournament!J46&lt;&gt;"",Tournament!L46&lt;&gt;""),Tournament!J46,"")</f>
        <v/>
      </c>
      <c r="BH33" s="229" t="str">
        <f>IF(AND(Tournament!L46&lt;&gt;"",Tournament!J46&lt;&gt;""),Tournament!L46,"")</f>
        <v/>
      </c>
      <c r="BI33" s="229" t="str">
        <f>Tournament!N46</f>
        <v>Russia</v>
      </c>
    </row>
    <row r="34" spans="1:61">
      <c r="A34" s="229">
        <f>K34+L34+M34+N34</f>
        <v>2</v>
      </c>
      <c r="B34" s="229" t="str">
        <f>Tournament!H25</f>
        <v>France</v>
      </c>
      <c r="C34" s="229">
        <f>SUMIF(AP$4:AP$60,B34,AX$4:AX$60)+SUMIF(AT$4:AT$60,B34,AX$4:AX$60)</f>
        <v>0</v>
      </c>
      <c r="D34" s="229">
        <f>SUMIF(AQ$4:AQ$60,B34,AX$4:AX$60)+SUMIF(AU$4:AU$60,B34,AX$4:AX$60)</f>
        <v>0</v>
      </c>
      <c r="E34" s="229">
        <f>SUMIF(AR$4:AR$60,B34,AX$4:AX$60)+SUMIF(AV$4:AV$60,B34,AX$4:AX$60)</f>
        <v>0</v>
      </c>
      <c r="F34" s="229">
        <f>SUMIF($BF$3:$BF$60,B34,$BG$3:$BG$60)+SUMIF($BI$3:$BI$60,B34,$BH$3:$BH$60)</f>
        <v>0</v>
      </c>
      <c r="G34" s="229">
        <f>SUMIF($BI$3:$BI$60,B34,$BG$3:$BG$60)+SUMIF($BF$3:$BF$60,B34,$BH$3:$BH$60)</f>
        <v>0</v>
      </c>
      <c r="H34" s="229">
        <f>F34-G34+100</f>
        <v>100</v>
      </c>
      <c r="I34" s="258">
        <f>C34*3+D34</f>
        <v>0</v>
      </c>
      <c r="J34" s="229">
        <v>20</v>
      </c>
      <c r="K34" s="229">
        <f>RANK(I34,I$32:I$35)</f>
        <v>1</v>
      </c>
      <c r="L34" s="229">
        <f>SUMPRODUCT((I$32:I$35=I34)*(H$32:H$35&gt;H34))</f>
        <v>0</v>
      </c>
      <c r="M34" s="229">
        <f>SUMPRODUCT((I$32:I$35=I34)*(H$32:H$35=H34)*(F$32:F$35&gt;F34))</f>
        <v>0</v>
      </c>
      <c r="N34" s="229">
        <f>SUMPRODUCT((I$32:I$35=I34)*(H$32:H$35=H34)*(F$32:F$35=F34)*(J$32:J$35&lt;J34))</f>
        <v>1</v>
      </c>
      <c r="O34" s="229">
        <f>IF(SUM(AG32:AI35)=0,IF(COUNTIF(AJ32:AJ35,0)&gt;1,3,AJ34+1),IF(AND(X33=3,X34=3,Y32=0,Y33&lt;&gt;0,Y34&lt;&gt;0),2,IF(OR(X34=5,X34=4),3,IF(X34=6,4,IF(AND(X33=4,X32=1,Y34&lt;&gt;""),2,IF(AND(AI34=0,AI33=1,AI32=1,Y34&lt;&gt;""),1,X34))))))</f>
        <v>3</v>
      </c>
      <c r="P34" s="229" t="str">
        <f>VLOOKUP(3,A$32:B$35,2,FALSE)</f>
        <v>Ecuador</v>
      </c>
      <c r="Q34" s="229">
        <f>SUMIF(B$4:B$60,P34,F$4:F$60)</f>
        <v>0</v>
      </c>
      <c r="R34" s="229">
        <f>SUMIF(B$4:B$60,P34,H$4:H$60)</f>
        <v>100</v>
      </c>
      <c r="S34" s="258">
        <f>SUMIF($B$4:$B$60,$P34,I$4:I$60)</f>
        <v>0</v>
      </c>
      <c r="T34" s="229">
        <f>SUMIF($B$4:$B$60,$P34,A$4:A$60)</f>
        <v>3</v>
      </c>
      <c r="U34" s="229">
        <f t="shared" si="10"/>
        <v>0</v>
      </c>
      <c r="V34" s="229">
        <f t="shared" si="10"/>
        <v>0</v>
      </c>
      <c r="W34" s="229">
        <f>SUMIF($B$4:$B$60,$P34,J$4:J$60)</f>
        <v>21</v>
      </c>
      <c r="X34" s="229">
        <f>IF(Y34=0,T34,T34+AG34+AH34+AI34)</f>
        <v>3</v>
      </c>
      <c r="Y34" s="229" t="str">
        <f>IF(OR(AND(S33=S34,R33=R34,Q33=Q34),AND(S35=S34,S34=S33,R35=R34,R34=R33,Q35=Q34,Q34=Q33)),P34,0)</f>
        <v>Ecuador</v>
      </c>
      <c r="Z34" s="229">
        <f>SUMIF($AY$4:$AY$60,$Y34,$AX$4:$AX$60)+SUMIF($BB$4:$BB$60,$Y34,$AX$4:$AX$60)</f>
        <v>0</v>
      </c>
      <c r="AA34" s="229">
        <f>SUMIF($AZ$4:$AZ$60,$Y34,$AX$4:$AX$60)+SUMIF($BC$4:$BC$60,$Y34,$AX$4:$AX$60)</f>
        <v>0</v>
      </c>
      <c r="AB34" s="229">
        <f>SUMIF($BA$4:$BA$60,$Y34,$AX$4:$AX$60)+SUMIF($BD$4:$BD$60,$Y34,$AX$4:$AX$60)</f>
        <v>0</v>
      </c>
      <c r="AC34" s="229">
        <f>SUMIF(AY$4:AY$60,Y34,AS$4:AS$60)+SUMIF(BB$4:BB$60,Y34,AW$4:AW$60)+SUMIF(AZ$4:AZ$60,Y34,AS$4:AS$60)+SUMIF(BC$4:BC$60,Y34,AW$4:AW$60)</f>
        <v>0</v>
      </c>
      <c r="AD34" s="229">
        <f>SUMIF(BA$4:BA$60,Y34,AS$4:AS$60)+SUMIF(BD$4:BD$60,Y34,AW$4:AW$60)+SUMIF(AZ$4:AZ$60,Y34,AS$4:AS$60)+SUMIF(BC$4:BC$60,Y34,AW$4:AW$60)</f>
        <v>0</v>
      </c>
      <c r="AE34" s="229">
        <f>AC34-AD34+100</f>
        <v>100</v>
      </c>
      <c r="AF34" s="258">
        <f>IF(Y34&lt;&gt;0,Z34*3+AA34,"")</f>
        <v>0</v>
      </c>
      <c r="AG34" s="229">
        <f>IF(Y34&lt;&gt;0,RANK(AF34,AF$32:AF$35)-1,5)</f>
        <v>0</v>
      </c>
      <c r="AH34" s="229">
        <f>IF(Y34&lt;&gt;0,SUMPRODUCT((AF$32:AF$35=AF34)*(AE$32:AE$35&gt;AE34)),5)</f>
        <v>0</v>
      </c>
      <c r="AI34" s="229">
        <f>IF(Y34&lt;&gt;0,SUMPRODUCT((AF$32:AF$35=AF34)*(AE$32:AE$35=AE34)*(AC$32:AC$35&gt;AC34)),5)</f>
        <v>0</v>
      </c>
      <c r="AJ34" s="229">
        <f>IF(Y34&lt;&gt;0,SUMPRODUCT(($AF32:$AF35=AF34)*($AE32:$AE35=AE34)*($AC32:$AC35=AC34)*($AK32:$AK35&lt;AK34)),5)</f>
        <v>0</v>
      </c>
      <c r="AK34" s="229">
        <f>IF(AL34=0,0,VLOOKUP(Y34,Tournament!AJ$39:AK$42,2,FALSE))</f>
        <v>0</v>
      </c>
      <c r="AL34" s="229">
        <f>IF(Y34&lt;&gt;0,IF(OR(SUM(AG34:AI34)=SUM(AG33:AI33),SUM(AG34:AI34)=SUM(AG35:AI35)),1,0),0)</f>
        <v>1</v>
      </c>
      <c r="AM34" s="229">
        <f>IF(AN34&lt;&gt;0,AM33+1,AM33)</f>
        <v>3</v>
      </c>
      <c r="AN34" s="229" t="str">
        <f>IF(AL34=1,Y34,0)</f>
        <v>Ecuador</v>
      </c>
      <c r="AO34" s="229">
        <v>31</v>
      </c>
      <c r="AP34" s="229" t="str">
        <f>IF(AND(Tournament!J46&lt;&gt;"",Tournament!L46&lt;&gt;""),IF(Tournament!J46&gt;Tournament!L46,Tournament!H46,""),"")</f>
        <v/>
      </c>
      <c r="AQ34" s="229" t="str">
        <f>IF(AND(Tournament!J46&lt;&gt;"",Tournament!L46&lt;&gt;""),IF(Tournament!J46=Tournament!L46,Tournament!H46,""),"")</f>
        <v/>
      </c>
      <c r="AR34" s="229" t="str">
        <f>IF(AND(Tournament!J46&lt;&gt;"",Tournament!L46&lt;&gt;""),IF(Tournament!J46&gt;Tournament!L46,Tournament!N46,""),"")</f>
        <v/>
      </c>
      <c r="AS34" s="229">
        <f>IF(AND(Tournament!J46&lt;&gt;"",Tournament!L46&lt;&gt;""),Tournament!J46,0)</f>
        <v>0</v>
      </c>
      <c r="AT34" s="229" t="str">
        <f>IF(AND(Tournament!J46&lt;&gt;"",Tournament!L46&lt;&gt;""),IF(Tournament!J46&lt;Tournament!L46,Tournament!N46,""),"")</f>
        <v/>
      </c>
      <c r="AU34" s="229" t="str">
        <f>IF(AND(Tournament!J46&lt;&gt;"",Tournament!L46&lt;&gt;""),IF(Tournament!J46=Tournament!L46,Tournament!N46,""),"")</f>
        <v/>
      </c>
      <c r="AV34" s="229" t="str">
        <f>IF(AND(Tournament!J46&lt;&gt;"",Tournament!L46&lt;&gt;""),IF(Tournament!J46&lt;Tournament!L46,Tournament!H46,""),"")</f>
        <v/>
      </c>
      <c r="AW34" s="229">
        <f>IF(AND(Tournament!J46&lt;&gt;"",Tournament!L46&lt;&gt;""),Tournament!L46,0)</f>
        <v>0</v>
      </c>
      <c r="AX34" s="229">
        <v>1</v>
      </c>
      <c r="AY34" s="229" t="str">
        <f t="shared" si="1"/>
        <v/>
      </c>
      <c r="AZ34" s="229" t="str">
        <f t="shared" si="2"/>
        <v/>
      </c>
      <c r="BA34" s="229" t="str">
        <f t="shared" si="3"/>
        <v/>
      </c>
      <c r="BB34" s="229" t="str">
        <f t="shared" si="4"/>
        <v/>
      </c>
      <c r="BC34" s="229" t="str">
        <f t="shared" si="5"/>
        <v/>
      </c>
      <c r="BD34" s="229" t="str">
        <f t="shared" si="6"/>
        <v/>
      </c>
      <c r="BE34" s="229">
        <v>32</v>
      </c>
      <c r="BF34" s="229" t="str">
        <f>Tournament!H47</f>
        <v>South Korea</v>
      </c>
      <c r="BG34" s="229" t="str">
        <f>IF(AND(Tournament!J47&lt;&gt;"",Tournament!L47&lt;&gt;""),Tournament!J47,"")</f>
        <v/>
      </c>
      <c r="BH34" s="229" t="str">
        <f>IF(AND(Tournament!L47&lt;&gt;"",Tournament!J47&lt;&gt;""),Tournament!L47,"")</f>
        <v/>
      </c>
      <c r="BI34" s="229" t="str">
        <f>Tournament!N47</f>
        <v>Algeria</v>
      </c>
    </row>
    <row r="35" spans="1:61">
      <c r="A35" s="229">
        <f>K35+L35+M35+N35</f>
        <v>4</v>
      </c>
      <c r="B35" s="229" t="str">
        <f>Tournament!N25</f>
        <v>Honduras</v>
      </c>
      <c r="C35" s="229">
        <f>SUMIF(AP$4:AP$60,B35,AX$4:AX$60)+SUMIF(AT$4:AT$60,B35,AX$4:AX$60)</f>
        <v>0</v>
      </c>
      <c r="D35" s="229">
        <f>SUMIF(AQ$4:AQ$60,B35,AX$4:AX$60)+SUMIF(AU$4:AU$60,B35,AX$4:AX$60)</f>
        <v>0</v>
      </c>
      <c r="E35" s="229">
        <f>SUMIF(AR$4:AR$60,B35,AX$4:AX$60)+SUMIF(AV$4:AV$60,B35,AX$4:AX$60)</f>
        <v>0</v>
      </c>
      <c r="F35" s="229">
        <f>SUMIF($BF$3:$BF$60,B35,$BG$3:$BG$60)+SUMIF($BI$3:$BI$60,B35,$BH$3:$BH$60)</f>
        <v>0</v>
      </c>
      <c r="G35" s="229">
        <f>SUMIF($BI$3:$BI$60,B35,$BG$3:$BG$60)+SUMIF($BF$3:$BF$60,B35,$BH$3:$BH$60)</f>
        <v>0</v>
      </c>
      <c r="H35" s="229">
        <f>F35-G35+100</f>
        <v>100</v>
      </c>
      <c r="I35" s="258">
        <f>C35*3+D35</f>
        <v>0</v>
      </c>
      <c r="J35" s="229">
        <v>27</v>
      </c>
      <c r="K35" s="229">
        <f>RANK(I35,I$32:I$35)</f>
        <v>1</v>
      </c>
      <c r="L35" s="229">
        <f>SUMPRODUCT((I$32:I$35=I35)*(H$32:H$35&gt;H35))</f>
        <v>0</v>
      </c>
      <c r="M35" s="229">
        <f>SUMPRODUCT((I$32:I$35=I35)*(H$32:H$35=H35)*(F$32:F$35&gt;F35))</f>
        <v>0</v>
      </c>
      <c r="N35" s="229">
        <f>SUMPRODUCT((I$32:I$35=I35)*(H$32:H$35=H35)*(F$32:F$35=F35)*(J$32:J$35&lt;J35))</f>
        <v>3</v>
      </c>
      <c r="O35" s="229">
        <f>IF(SUM(AG32:AI35)=0,IF(COUNTIF(AJ32:AJ35,0)&gt;1,4,AJ35+1),IF(X35=X34,IF(X35=3,4,X35),IF(X35=5,3,IF(X35=6,4,X35))))</f>
        <v>4</v>
      </c>
      <c r="P35" s="229" t="str">
        <f>VLOOKUP(4,A$32:B$35,2,FALSE)</f>
        <v>Honduras</v>
      </c>
      <c r="Q35" s="229">
        <f>SUMIF(B$4:B$60,P35,F$4:F$60)</f>
        <v>0</v>
      </c>
      <c r="R35" s="229">
        <f>SUMIF(B$4:B$60,P35,H$4:H$60)</f>
        <v>100</v>
      </c>
      <c r="S35" s="258">
        <f>SUMIF($B$4:$B$60,$P35,I$4:I$60)</f>
        <v>0</v>
      </c>
      <c r="T35" s="229">
        <f>SUMIF($B$4:$B$60,$P35,A$4:A$60)</f>
        <v>4</v>
      </c>
      <c r="U35" s="229">
        <f t="shared" si="10"/>
        <v>0</v>
      </c>
      <c r="V35" s="229">
        <f t="shared" si="10"/>
        <v>0</v>
      </c>
      <c r="W35" s="229">
        <f>SUMIF($B$4:$B$60,$P35,J$4:J$60)</f>
        <v>27</v>
      </c>
      <c r="X35" s="229">
        <f>IF(Y35=0,T35,T35+AG35+AH35+AI35)</f>
        <v>4</v>
      </c>
      <c r="Y35" s="229" t="str">
        <f>IF(AND(S34=S35,S34=S33,R34=R35,R34=R33,Q34=Q35,Q34=Q33),P35,0)</f>
        <v>Honduras</v>
      </c>
      <c r="Z35" s="229">
        <f>SUMIF($AY$4:$AY$60,$Y35,$AX$4:$AX$60)+SUMIF($BB$4:$BB$60,$Y35,$AX$4:$AX$60)</f>
        <v>0</v>
      </c>
      <c r="AA35" s="229">
        <f>SUMIF($AZ$4:$AZ$60,$Y35,$AX$4:$AX$60)+SUMIF($BC$4:$BC$60,$Y35,$AX$4:$AX$60)</f>
        <v>0</v>
      </c>
      <c r="AB35" s="229">
        <f>SUMIF($BA$4:$BA$60,$Y35,$AX$4:$AX$60)+SUMIF($BD$4:$BD$60,$Y35,$AX$4:$AX$60)</f>
        <v>0</v>
      </c>
      <c r="AC35" s="229">
        <f>SUMIF(AY$4:AY$60,Y35,AS$4:AS$60)+SUMIF(BB$4:BB$60,Y35,AW$4:AW$60)+SUMIF(AZ$4:AZ$60,Y35,AS$4:AS$60)+SUMIF(BC$4:BC$60,Y35,AW$4:AW$60)</f>
        <v>0</v>
      </c>
      <c r="AD35" s="229">
        <f>SUMIF(BA$4:BA$60,Y35,AS$4:AS$60)+SUMIF(BD$4:BD$60,Y35,AW$4:AW$60)+SUMIF(AZ$4:AZ$60,Y35,AS$4:AS$60)+SUMIF(BC$4:BC$60,Y35,AW$4:AW$60)</f>
        <v>0</v>
      </c>
      <c r="AE35" s="229">
        <f>AC35-AD35+100</f>
        <v>100</v>
      </c>
      <c r="AF35" s="258">
        <f>IF(Y35&lt;&gt;0,Z35*3+AA35,"")</f>
        <v>0</v>
      </c>
      <c r="AG35" s="229">
        <f>IF(Y35&lt;&gt;0,RANK(AF35,AF$32:AF$35)-1,5)</f>
        <v>0</v>
      </c>
      <c r="AH35" s="229">
        <f>IF(Y35&lt;&gt;0,SUMPRODUCT((AF$32:AF$35=AF35)*(AE$32:AE$35&gt;AE35)),5)</f>
        <v>0</v>
      </c>
      <c r="AI35" s="229">
        <f>IF(Y35&lt;&gt;0,SUMPRODUCT((AF$32:AF$35=AF35)*(AE$32:AE$35=AE35)*(AC$32:AC$35&gt;AC35)),5)</f>
        <v>0</v>
      </c>
      <c r="AJ35" s="229">
        <f>IF(Y35&lt;&gt;0,SUMPRODUCT(($AF32:$AF35=AF35)*($AE32:$AE35=AE35)*($AC32:$AC35=AC35)*($AK32:$AK35&lt;AK35)),5)</f>
        <v>0</v>
      </c>
      <c r="AK35" s="229">
        <f>IF(AL35=0,0,VLOOKUP(Y35,Tournament!AJ$39:AK$42,2,FALSE))</f>
        <v>0</v>
      </c>
      <c r="AL35" s="229">
        <f>IF(Y35&lt;&gt;0,IF(SUM(AG35:AI35)=SUM(AG34:AI34),1,0),0)</f>
        <v>1</v>
      </c>
      <c r="AM35" s="229">
        <f>IF(AN35&lt;&gt;0,AM34+1,AM34)</f>
        <v>4</v>
      </c>
      <c r="AN35" s="229" t="str">
        <f>IF(AL35=1,Y35,0)</f>
        <v>Honduras</v>
      </c>
      <c r="AO35" s="229">
        <v>32</v>
      </c>
      <c r="AP35" s="229" t="str">
        <f>IF(AND(Tournament!J47&lt;&gt;"",Tournament!L47&lt;&gt;""),IF(Tournament!J47&gt;Tournament!L47,Tournament!H47,""),"")</f>
        <v/>
      </c>
      <c r="AQ35" s="229" t="str">
        <f>IF(AND(Tournament!J47&lt;&gt;"",Tournament!L47&lt;&gt;""),IF(Tournament!J47=Tournament!L47,Tournament!H47,""),"")</f>
        <v/>
      </c>
      <c r="AR35" s="229" t="str">
        <f>IF(AND(Tournament!J47&lt;&gt;"",Tournament!L47&lt;&gt;""),IF(Tournament!J47&gt;Tournament!L47,Tournament!N47,""),"")</f>
        <v/>
      </c>
      <c r="AS35" s="229">
        <f>IF(AND(Tournament!J47&lt;&gt;"",Tournament!L47&lt;&gt;""),Tournament!J47,0)</f>
        <v>0</v>
      </c>
      <c r="AT35" s="229" t="str">
        <f>IF(AND(Tournament!J47&lt;&gt;"",Tournament!L47&lt;&gt;""),IF(Tournament!J47&lt;Tournament!L47,Tournament!N47,""),"")</f>
        <v/>
      </c>
      <c r="AU35" s="229" t="str">
        <f>IF(AND(Tournament!J47&lt;&gt;"",Tournament!L47&lt;&gt;""),IF(Tournament!J47=Tournament!L47,Tournament!N47,""),"")</f>
        <v/>
      </c>
      <c r="AV35" s="229" t="str">
        <f>IF(AND(Tournament!J47&lt;&gt;"",Tournament!L47&lt;&gt;""),IF(Tournament!J47&lt;Tournament!L47,Tournament!H47,""),"")</f>
        <v/>
      </c>
      <c r="AW35" s="229">
        <f>IF(AND(Tournament!J47&lt;&gt;"",Tournament!L47&lt;&gt;""),Tournament!L47,0)</f>
        <v>0</v>
      </c>
      <c r="AX35" s="229">
        <v>1</v>
      </c>
      <c r="AY35" s="229" t="str">
        <f t="shared" si="1"/>
        <v/>
      </c>
      <c r="AZ35" s="229" t="str">
        <f t="shared" si="2"/>
        <v/>
      </c>
      <c r="BA35" s="229" t="str">
        <f t="shared" si="3"/>
        <v/>
      </c>
      <c r="BB35" s="229" t="str">
        <f t="shared" si="4"/>
        <v/>
      </c>
      <c r="BC35" s="229" t="str">
        <f t="shared" si="5"/>
        <v/>
      </c>
      <c r="BD35" s="229" t="str">
        <f t="shared" si="6"/>
        <v/>
      </c>
      <c r="BE35" s="229">
        <v>33</v>
      </c>
      <c r="BF35" s="229" t="str">
        <f>Tournament!H48</f>
        <v>Cameroon</v>
      </c>
      <c r="BG35" s="229" t="str">
        <f>IF(AND(Tournament!J48&lt;&gt;"",Tournament!L48&lt;&gt;""),Tournament!J48,"")</f>
        <v/>
      </c>
      <c r="BH35" s="229" t="str">
        <f>IF(AND(Tournament!L48&lt;&gt;"",Tournament!J48&lt;&gt;""),Tournament!L48,"")</f>
        <v/>
      </c>
      <c r="BI35" s="229" t="str">
        <f>Tournament!N48</f>
        <v>Brazil</v>
      </c>
    </row>
    <row r="36" spans="1:61">
      <c r="AO36" s="229">
        <v>33</v>
      </c>
      <c r="AP36" s="229" t="str">
        <f>IF(AND(Tournament!J48&lt;&gt;"",Tournament!L48&lt;&gt;""),IF(Tournament!J48&gt;Tournament!L48,Tournament!H48,""),"")</f>
        <v/>
      </c>
      <c r="AQ36" s="229" t="str">
        <f>IF(AND(Tournament!J48&lt;&gt;"",Tournament!L48&lt;&gt;""),IF(Tournament!J48=Tournament!L48,Tournament!H48,""),"")</f>
        <v/>
      </c>
      <c r="AR36" s="229" t="str">
        <f>IF(AND(Tournament!J48&lt;&gt;"",Tournament!L48&lt;&gt;""),IF(Tournament!J48&gt;Tournament!L48,Tournament!N48,""),"")</f>
        <v/>
      </c>
      <c r="AS36" s="229">
        <f>IF(AND(Tournament!J48&lt;&gt;"",Tournament!L48&lt;&gt;""),Tournament!J48,0)</f>
        <v>0</v>
      </c>
      <c r="AT36" s="229" t="str">
        <f>IF(AND(Tournament!J48&lt;&gt;"",Tournament!L48&lt;&gt;""),IF(Tournament!J48&lt;Tournament!L48,Tournament!N48,""),"")</f>
        <v/>
      </c>
      <c r="AU36" s="229" t="str">
        <f>IF(AND(Tournament!J48&lt;&gt;"",Tournament!L48&lt;&gt;""),IF(Tournament!J48=Tournament!L48,Tournament!N48,""),"")</f>
        <v/>
      </c>
      <c r="AV36" s="229" t="str">
        <f>IF(AND(Tournament!J48&lt;&gt;"",Tournament!L48&lt;&gt;""),IF(Tournament!J48&lt;Tournament!L48,Tournament!H48,""),"")</f>
        <v/>
      </c>
      <c r="AW36" s="229">
        <f>IF(AND(Tournament!J48&lt;&gt;"",Tournament!L48&lt;&gt;""),Tournament!L48,0)</f>
        <v>0</v>
      </c>
      <c r="AX36" s="229">
        <v>1</v>
      </c>
      <c r="AY36" s="229" t="str">
        <f t="shared" si="1"/>
        <v/>
      </c>
      <c r="AZ36" s="229" t="str">
        <f t="shared" si="2"/>
        <v/>
      </c>
      <c r="BA36" s="229" t="str">
        <f t="shared" si="3"/>
        <v/>
      </c>
      <c r="BB36" s="229" t="str">
        <f t="shared" si="4"/>
        <v/>
      </c>
      <c r="BC36" s="229" t="str">
        <f t="shared" si="5"/>
        <v/>
      </c>
      <c r="BD36" s="229" t="str">
        <f t="shared" si="6"/>
        <v/>
      </c>
      <c r="BE36" s="229">
        <v>34</v>
      </c>
      <c r="BF36" s="229" t="str">
        <f>Tournament!H49</f>
        <v>Croatia</v>
      </c>
      <c r="BG36" s="229" t="str">
        <f>IF(AND(Tournament!J49&lt;&gt;"",Tournament!L49&lt;&gt;""),Tournament!J49,"")</f>
        <v/>
      </c>
      <c r="BH36" s="229" t="str">
        <f>IF(AND(Tournament!L49&lt;&gt;"",Tournament!J49&lt;&gt;""),Tournament!L49,"")</f>
        <v/>
      </c>
      <c r="BI36" s="229" t="str">
        <f>Tournament!N49</f>
        <v>Mexico</v>
      </c>
    </row>
    <row r="37" spans="1:61">
      <c r="I37" s="258"/>
      <c r="S37" s="258"/>
      <c r="AF37" s="258"/>
      <c r="AO37" s="229">
        <v>34</v>
      </c>
      <c r="AP37" s="229" t="str">
        <f>IF(AND(Tournament!J49&lt;&gt;"",Tournament!L49&lt;&gt;""),IF(Tournament!J49&gt;Tournament!L49,Tournament!H49,""),"")</f>
        <v/>
      </c>
      <c r="AQ37" s="229" t="str">
        <f>IF(AND(Tournament!J49&lt;&gt;"",Tournament!L49&lt;&gt;""),IF(Tournament!J49=Tournament!L49,Tournament!H49,""),"")</f>
        <v/>
      </c>
      <c r="AR37" s="229" t="str">
        <f>IF(AND(Tournament!J49&lt;&gt;"",Tournament!L49&lt;&gt;""),IF(Tournament!J49&gt;Tournament!L49,Tournament!N49,""),"")</f>
        <v/>
      </c>
      <c r="AS37" s="229">
        <f>IF(AND(Tournament!J49&lt;&gt;"",Tournament!L49&lt;&gt;""),Tournament!J49,0)</f>
        <v>0</v>
      </c>
      <c r="AT37" s="229" t="str">
        <f>IF(AND(Tournament!J49&lt;&gt;"",Tournament!L49&lt;&gt;""),IF(Tournament!J49&lt;Tournament!L49,Tournament!N49,""),"")</f>
        <v/>
      </c>
      <c r="AU37" s="229" t="str">
        <f>IF(AND(Tournament!J49&lt;&gt;"",Tournament!L49&lt;&gt;""),IF(Tournament!J49=Tournament!L49,Tournament!N49,""),"")</f>
        <v/>
      </c>
      <c r="AV37" s="229" t="str">
        <f>IF(AND(Tournament!J49&lt;&gt;"",Tournament!L49&lt;&gt;""),IF(Tournament!J49&lt;Tournament!L49,Tournament!H49,""),"")</f>
        <v/>
      </c>
      <c r="AW37" s="229">
        <f>IF(AND(Tournament!J49&lt;&gt;"",Tournament!L49&lt;&gt;""),Tournament!L49,0)</f>
        <v>0</v>
      </c>
      <c r="AX37" s="229">
        <v>1</v>
      </c>
      <c r="AY37" s="229" t="str">
        <f t="shared" si="1"/>
        <v/>
      </c>
      <c r="AZ37" s="229" t="str">
        <f t="shared" si="2"/>
        <v/>
      </c>
      <c r="BA37" s="229" t="str">
        <f t="shared" si="3"/>
        <v/>
      </c>
      <c r="BB37" s="229" t="str">
        <f t="shared" si="4"/>
        <v/>
      </c>
      <c r="BC37" s="229" t="str">
        <f t="shared" si="5"/>
        <v/>
      </c>
      <c r="BD37" s="229" t="str">
        <f t="shared" si="6"/>
        <v/>
      </c>
      <c r="BE37" s="229">
        <v>35</v>
      </c>
      <c r="BF37" s="229" t="str">
        <f>Tournament!H50</f>
        <v>Australia</v>
      </c>
      <c r="BG37" s="229" t="str">
        <f>IF(AND(Tournament!J50&lt;&gt;"",Tournament!L50&lt;&gt;""),Tournament!J50,"")</f>
        <v/>
      </c>
      <c r="BH37" s="229" t="str">
        <f>IF(AND(Tournament!L50&lt;&gt;"",Tournament!J50&lt;&gt;""),Tournament!L50,"")</f>
        <v/>
      </c>
      <c r="BI37" s="229" t="str">
        <f>Tournament!N50</f>
        <v>Spain</v>
      </c>
    </row>
    <row r="38" spans="1:61">
      <c r="I38" s="258"/>
      <c r="S38" s="258"/>
      <c r="AF38" s="258"/>
      <c r="AO38" s="229">
        <v>35</v>
      </c>
      <c r="AP38" s="229" t="str">
        <f>IF(AND(Tournament!J50&lt;&gt;"",Tournament!L50&lt;&gt;""),IF(Tournament!J50&gt;Tournament!L50,Tournament!H50,""),"")</f>
        <v/>
      </c>
      <c r="AQ38" s="229" t="str">
        <f>IF(AND(Tournament!J50&lt;&gt;"",Tournament!L50&lt;&gt;""),IF(Tournament!J50=Tournament!L50,Tournament!H50,""),"")</f>
        <v/>
      </c>
      <c r="AR38" s="229" t="str">
        <f>IF(AND(Tournament!J50&lt;&gt;"",Tournament!L50&lt;&gt;""),IF(Tournament!J50&gt;Tournament!L50,Tournament!N50,""),"")</f>
        <v/>
      </c>
      <c r="AS38" s="229">
        <f>IF(AND(Tournament!J50&lt;&gt;"",Tournament!L50&lt;&gt;""),Tournament!J50,0)</f>
        <v>0</v>
      </c>
      <c r="AT38" s="229" t="str">
        <f>IF(AND(Tournament!J50&lt;&gt;"",Tournament!L50&lt;&gt;""),IF(Tournament!J50&lt;Tournament!L50,Tournament!N50,""),"")</f>
        <v/>
      </c>
      <c r="AU38" s="229" t="str">
        <f>IF(AND(Tournament!J50&lt;&gt;"",Tournament!L50&lt;&gt;""),IF(Tournament!J50=Tournament!L50,Tournament!N50,""),"")</f>
        <v/>
      </c>
      <c r="AV38" s="229" t="str">
        <f>IF(AND(Tournament!J50&lt;&gt;"",Tournament!L50&lt;&gt;""),IF(Tournament!J50&lt;Tournament!L50,Tournament!H50,""),"")</f>
        <v/>
      </c>
      <c r="AW38" s="229">
        <f>IF(AND(Tournament!J50&lt;&gt;"",Tournament!L50&lt;&gt;""),Tournament!L50,0)</f>
        <v>0</v>
      </c>
      <c r="AX38" s="229">
        <v>1</v>
      </c>
      <c r="AY38" s="229" t="str">
        <f t="shared" si="1"/>
        <v/>
      </c>
      <c r="AZ38" s="229" t="str">
        <f t="shared" si="2"/>
        <v/>
      </c>
      <c r="BA38" s="229" t="str">
        <f t="shared" si="3"/>
        <v/>
      </c>
      <c r="BB38" s="229" t="str">
        <f t="shared" si="4"/>
        <v/>
      </c>
      <c r="BC38" s="229" t="str">
        <f t="shared" si="5"/>
        <v/>
      </c>
      <c r="BD38" s="229" t="str">
        <f t="shared" si="6"/>
        <v/>
      </c>
      <c r="BE38" s="229">
        <v>36</v>
      </c>
      <c r="BF38" s="229" t="str">
        <f>Tournament!H51</f>
        <v>Netherlands</v>
      </c>
      <c r="BG38" s="229" t="str">
        <f>IF(AND(Tournament!J51&lt;&gt;"",Tournament!L51&lt;&gt;""),Tournament!J51,"")</f>
        <v/>
      </c>
      <c r="BH38" s="229" t="str">
        <f>IF(AND(Tournament!L51&lt;&gt;"",Tournament!J51&lt;&gt;""),Tournament!L51,"")</f>
        <v/>
      </c>
      <c r="BI38" s="229" t="str">
        <f>Tournament!N51</f>
        <v>Chile</v>
      </c>
    </row>
    <row r="39" spans="1:61">
      <c r="A39" s="229">
        <f>K39+L39+M39+N39</f>
        <v>1</v>
      </c>
      <c r="B39" s="229" t="str">
        <f>Tournament!H26</f>
        <v>Argentina</v>
      </c>
      <c r="C39" s="229">
        <f>SUMIF(AP$4:AP$60,B39,AX$4:AX$60)+SUMIF(AT$4:AT$60,B39,AX$4:AX$60)</f>
        <v>0</v>
      </c>
      <c r="D39" s="229">
        <f>SUMIF(AQ$4:AQ$60,B39,AX$4:AX$60)+SUMIF(AU$4:AU$60,B39,AX$4:AX$60)</f>
        <v>0</v>
      </c>
      <c r="E39" s="229">
        <f>SUMIF(AR$4:AR$60,B39,AX$4:AX$60)+SUMIF(AV$4:AV$60,B39,AX$4:AX$60)</f>
        <v>0</v>
      </c>
      <c r="F39" s="229">
        <f>SUMIF($BF$3:$BF$60,B39,$BG$3:$BG$60)+SUMIF($BI$3:$BI$60,B39,$BH$3:$BH$60)</f>
        <v>0</v>
      </c>
      <c r="G39" s="229">
        <f>SUMIF($BI$3:$BI$60,B39,$BG$3:$BG$60)+SUMIF($BF$3:$BF$60,B39,$BH$3:$BH$60)</f>
        <v>0</v>
      </c>
      <c r="H39" s="229">
        <f>F39-G39+100</f>
        <v>100</v>
      </c>
      <c r="I39" s="258">
        <f>C39*3+D39</f>
        <v>0</v>
      </c>
      <c r="J39" s="229">
        <v>3</v>
      </c>
      <c r="K39" s="229">
        <f>RANK(I39,I$39:I$42)</f>
        <v>1</v>
      </c>
      <c r="L39" s="229">
        <f>SUMPRODUCT((I$39:I$42=I39)*(H$39:H$42&gt;H39))</f>
        <v>0</v>
      </c>
      <c r="M39" s="229">
        <f>SUMPRODUCT((I$39:I$42=I39)*(H$39:H$42=H39)*(F$39:F$42&gt;F39))</f>
        <v>0</v>
      </c>
      <c r="N39" s="229">
        <f>SUMPRODUCT((I$39:I$42=I39)*(H$39:H$42=H39)*(F$39:F$42=F39)*(J$39:J$42&lt;J39))</f>
        <v>0</v>
      </c>
      <c r="O39" s="229">
        <f>IF(SUM(AG39:AI42)=0,IF(COUNTIF(AJ39:AJ42,0)&gt;1,1,AJ39+1),X39)</f>
        <v>1</v>
      </c>
      <c r="P39" s="229" t="str">
        <f>VLOOKUP(1,A$39:B$42,2,FALSE)</f>
        <v>Argentina</v>
      </c>
      <c r="Q39" s="229">
        <f>SUMIF(B$4:B$60,P39,F$4:F$60)</f>
        <v>0</v>
      </c>
      <c r="R39" s="229">
        <f>SUMIF(B$4:B$60,P39,H$4:H$60)</f>
        <v>100</v>
      </c>
      <c r="S39" s="258">
        <f>SUMIF($B$4:$B$60,$P39,I$4:I$60)</f>
        <v>0</v>
      </c>
      <c r="T39" s="229">
        <f>SUMIF($B$4:$B$60,$P39,A$4:A$60)</f>
        <v>1</v>
      </c>
      <c r="U39" s="229">
        <f t="shared" ref="U39:V42" si="11">SUMIF($B$4:$B$60,$P39,L$4:L$60)</f>
        <v>0</v>
      </c>
      <c r="V39" s="229">
        <f t="shared" si="11"/>
        <v>0</v>
      </c>
      <c r="W39" s="229">
        <f>SUMIF($B$4:$B$60,$P39,J$4:J$60)</f>
        <v>3</v>
      </c>
      <c r="X39" s="229">
        <f>IF(Y39=0,T39,T39+AG39+AH39+AI39)</f>
        <v>1</v>
      </c>
      <c r="Y39" s="229" t="str">
        <f>IF(AND(S39=S40,R39=R40,Q39=Q40),P39,0)</f>
        <v>Argentina</v>
      </c>
      <c r="Z39" s="229">
        <f>SUMIF($AY$4:$AY$60,$Y39,$AX$4:$AX$60)+SUMIF($BB$4:$BB$60,$Y39,$AX$4:$AX$60)</f>
        <v>0</v>
      </c>
      <c r="AA39" s="229">
        <f>SUMIF($AZ$4:$AZ$60,$Y39,$AX$4:$AX$60)+SUMIF($BC$4:$BC$60,$Y39,$AX$4:$AX$60)</f>
        <v>0</v>
      </c>
      <c r="AB39" s="229">
        <f>SUMIF($BA$4:$BA$60,$Y39,$AX$4:$AX$60)+SUMIF($BD$4:$BD$60,$Y39,$AX$4:$AX$60)</f>
        <v>0</v>
      </c>
      <c r="AC39" s="229">
        <f>SUMIF(AY$4:AY$60,Y39,AS$4:AS$60)+SUMIF(BB$4:BB$60,Y39,AW$4:AW$60)+SUMIF(AZ$4:AZ$60,Y39,AS$4:AS$60)+SUMIF(BC$4:BC$60,Y39,AW$4:AW$60)</f>
        <v>0</v>
      </c>
      <c r="AD39" s="229">
        <f>SUMIF(BA$4:BA$60,Y39,AS$4:AS$60)+SUMIF(BD$4:BD$60,Y39,AW$4:AW$60)+SUMIF(AZ$4:AZ$60,Y39,AS$4:AS$60)+SUMIF(BC$4:BC$60,Y39,AW$4:AW$60)</f>
        <v>0</v>
      </c>
      <c r="AE39" s="229">
        <f>AC39-AD39+100</f>
        <v>100</v>
      </c>
      <c r="AF39" s="258">
        <f>IF(Y39&lt;&gt;0,Z39*3+AA39,"")</f>
        <v>0</v>
      </c>
      <c r="AG39" s="229">
        <f>IF(Y39&lt;&gt;0,RANK(AF39,AF$39:AF$42)-1,5)</f>
        <v>0</v>
      </c>
      <c r="AH39" s="229">
        <f>IF(Y39&lt;&gt;0,SUMPRODUCT((AF$39:AF$42=AF39)*(AE$39:AE$42&gt;AE39)),5)</f>
        <v>0</v>
      </c>
      <c r="AI39" s="229">
        <f>IF(Y39&lt;&gt;0,SUMPRODUCT((AF$39:AF$42=AF39)*(AE$39:AE$42=AE39)*(AC$39:AC$42&gt;AC39)),5)</f>
        <v>0</v>
      </c>
      <c r="AJ39" s="229">
        <f>IF(Y39&lt;&gt;0,SUMPRODUCT(($AF39:$AF42=AF39)*($AE39:$AE42=AE39)*($AC39:$AC42=AC39)*($AK39:$AK42&lt;AK39)),5)</f>
        <v>0</v>
      </c>
      <c r="AK39" s="229">
        <f>IF(AL39=0,0,VLOOKUP(Y39,Tournament!AJ$45:AK$48,2,FALSE))</f>
        <v>0</v>
      </c>
      <c r="AL39" s="229">
        <f>IF(Y39&lt;&gt;0,IF(SUM(AG39:AI39)=SUM(AG40:AI40),1,0),0)</f>
        <v>1</v>
      </c>
      <c r="AM39" s="229">
        <f>IF(AN39&lt;&gt;0,1,0)</f>
        <v>1</v>
      </c>
      <c r="AN39" s="229" t="str">
        <f>IF(AL39=1,Y39,0)</f>
        <v>Argentina</v>
      </c>
      <c r="AO39" s="229">
        <v>36</v>
      </c>
      <c r="AP39" s="229" t="str">
        <f>IF(AND(Tournament!J51&lt;&gt;"",Tournament!L51&lt;&gt;""),IF(Tournament!J51&gt;Tournament!L51,Tournament!H51,""),"")</f>
        <v/>
      </c>
      <c r="AQ39" s="229" t="str">
        <f>IF(AND(Tournament!J51&lt;&gt;"",Tournament!L51&lt;&gt;""),IF(Tournament!J51=Tournament!L51,Tournament!H51,""),"")</f>
        <v/>
      </c>
      <c r="AR39" s="229" t="str">
        <f>IF(AND(Tournament!J51&lt;&gt;"",Tournament!L51&lt;&gt;""),IF(Tournament!J51&gt;Tournament!L51,Tournament!N51,""),"")</f>
        <v/>
      </c>
      <c r="AS39" s="229">
        <f>IF(AND(Tournament!J51&lt;&gt;"",Tournament!L51&lt;&gt;""),Tournament!J51,0)</f>
        <v>0</v>
      </c>
      <c r="AT39" s="229" t="str">
        <f>IF(AND(Tournament!J51&lt;&gt;"",Tournament!L51&lt;&gt;""),IF(Tournament!J51&lt;Tournament!L51,Tournament!N51,""),"")</f>
        <v/>
      </c>
      <c r="AU39" s="229" t="str">
        <f>IF(AND(Tournament!J51&lt;&gt;"",Tournament!L51&lt;&gt;""),IF(Tournament!J51=Tournament!L51,Tournament!N51,""),"")</f>
        <v/>
      </c>
      <c r="AV39" s="229" t="str">
        <f>IF(AND(Tournament!J51&lt;&gt;"",Tournament!L51&lt;&gt;""),IF(Tournament!J51&lt;Tournament!L51,Tournament!H51,""),"")</f>
        <v/>
      </c>
      <c r="AW39" s="229">
        <f>IF(AND(Tournament!J51&lt;&gt;"",Tournament!L51&lt;&gt;""),Tournament!L51,0)</f>
        <v>0</v>
      </c>
      <c r="AX39" s="229">
        <v>1</v>
      </c>
      <c r="AY39" s="229" t="str">
        <f t="shared" si="1"/>
        <v/>
      </c>
      <c r="AZ39" s="229" t="str">
        <f t="shared" si="2"/>
        <v/>
      </c>
      <c r="BA39" s="229" t="str">
        <f t="shared" si="3"/>
        <v/>
      </c>
      <c r="BB39" s="229" t="str">
        <f t="shared" si="4"/>
        <v/>
      </c>
      <c r="BC39" s="229" t="str">
        <f t="shared" si="5"/>
        <v/>
      </c>
      <c r="BD39" s="229" t="str">
        <f t="shared" si="6"/>
        <v/>
      </c>
      <c r="BE39" s="229">
        <v>37</v>
      </c>
      <c r="BF39" s="229" t="str">
        <f>Tournament!H52</f>
        <v>Japan</v>
      </c>
      <c r="BG39" s="229" t="str">
        <f>IF(AND(Tournament!J52&lt;&gt;"",Tournament!L52&lt;&gt;""),Tournament!J52,"")</f>
        <v/>
      </c>
      <c r="BH39" s="229" t="str">
        <f>IF(AND(Tournament!L52&lt;&gt;"",Tournament!J52&lt;&gt;""),Tournament!L52,"")</f>
        <v/>
      </c>
      <c r="BI39" s="229" t="str">
        <f>Tournament!N52</f>
        <v>Colombia</v>
      </c>
    </row>
    <row r="40" spans="1:61">
      <c r="A40" s="229">
        <f>K40+L40+M40+N40</f>
        <v>2</v>
      </c>
      <c r="B40" s="229" t="str">
        <f>Tournament!N26</f>
        <v>Bosnia-Herzegovina</v>
      </c>
      <c r="C40" s="229">
        <f>SUMIF(AP$4:AP$60,B40,AX$4:AX$60)+SUMIF(AT$4:AT$60,B40,AX$4:AX$60)</f>
        <v>0</v>
      </c>
      <c r="D40" s="229">
        <f>SUMIF(AQ$4:AQ$60,B40,AX$4:AX$60)+SUMIF(AU$4:AU$60,B40,AX$4:AX$60)</f>
        <v>0</v>
      </c>
      <c r="E40" s="229">
        <f>SUMIF(AR$4:AR$60,B40,AX$4:AX$60)+SUMIF(AV$4:AV$60,B40,AX$4:AX$60)</f>
        <v>0</v>
      </c>
      <c r="F40" s="229">
        <f>SUMIF($BF$3:$BF$60,B40,$BG$3:$BG$60)+SUMIF($BI$3:$BI$60,B40,$BH$3:$BH$60)</f>
        <v>0</v>
      </c>
      <c r="G40" s="229">
        <f>SUMIF($BI$3:$BI$60,B40,$BG$3:$BG$60)+SUMIF($BF$3:$BF$60,B40,$BH$3:$BH$60)</f>
        <v>0</v>
      </c>
      <c r="H40" s="229">
        <f>F40-G40+100</f>
        <v>100</v>
      </c>
      <c r="I40" s="258">
        <f>C40*3+D40</f>
        <v>0</v>
      </c>
      <c r="J40" s="229">
        <v>16</v>
      </c>
      <c r="K40" s="229">
        <f>RANK(I40,I$39:I$42)</f>
        <v>1</v>
      </c>
      <c r="L40" s="229">
        <f>SUMPRODUCT((I$39:I$42=I40)*(H$39:H$42&gt;H40))</f>
        <v>0</v>
      </c>
      <c r="M40" s="229">
        <f>SUMPRODUCT((I$39:I$42=I40)*(H$39:H$42=H40)*(F$39:F$42&gt;F40))</f>
        <v>0</v>
      </c>
      <c r="N40" s="229">
        <f>SUMPRODUCT((I$39:I$42=I40)*(H$39:H$42=H40)*(F$39:F$42=F40)*(J$39:J$42&lt;J40))</f>
        <v>1</v>
      </c>
      <c r="O40" s="229">
        <f>IF(SUM(AG39:AI42)=0,IF(COUNTIF(AJ39:AJ42,0)&gt;1,2,AJ40+1),IF(AND(X39=1,X40=3,Y39&lt;&gt;0,Y40&lt;&gt;0,Y41=0,Y42=0),2,IF(AND(X39=2,X40=2,Y39&lt;&gt;0,Y40&lt;&gt;0,Y41=0,Y42=0),1,IF(AND(X40=4,AI40=2),3,X40))))</f>
        <v>2</v>
      </c>
      <c r="P40" s="229" t="str">
        <f>VLOOKUP(2,A$39:B$42,2,FALSE)</f>
        <v>Bosnia-Herzegovina</v>
      </c>
      <c r="Q40" s="229">
        <f>SUMIF(B$4:B$60,P40,F$4:F$60)</f>
        <v>0</v>
      </c>
      <c r="R40" s="229">
        <f>SUMIF(B$4:B$60,P40,H$4:H$60)</f>
        <v>100</v>
      </c>
      <c r="S40" s="258">
        <f>SUMIF($B$4:$B$60,$P40,I$4:I$60)</f>
        <v>0</v>
      </c>
      <c r="T40" s="229">
        <f>SUMIF($B$4:$B$60,$P40,A$4:A$60)</f>
        <v>2</v>
      </c>
      <c r="U40" s="229">
        <f t="shared" si="11"/>
        <v>0</v>
      </c>
      <c r="V40" s="229">
        <f t="shared" si="11"/>
        <v>0</v>
      </c>
      <c r="W40" s="229">
        <f>SUMIF($B$4:$B$60,$P40,J$4:J$60)</f>
        <v>16</v>
      </c>
      <c r="X40" s="229">
        <f>IF(Y40=0,T40,T40+AG40+AH40+AI40)</f>
        <v>2</v>
      </c>
      <c r="Y40" s="229" t="str">
        <f>IF(OR(AND(S39=S40,R39=R40,Q39=Q40),AND(S41=S40,R41=R40,Q41=Q40)),P40,0)</f>
        <v>Bosnia-Herzegovina</v>
      </c>
      <c r="Z40" s="229">
        <f>SUMIF($AY$4:$AY$60,$Y40,$AX$4:$AX$60)+SUMIF($BB$4:$BB$60,$Y40,$AX$4:$AX$60)</f>
        <v>0</v>
      </c>
      <c r="AA40" s="229">
        <f>SUMIF($AZ$4:$AZ$60,$Y40,$AX$4:$AX$60)+SUMIF($BC$4:$BC$60,$Y40,$AX$4:$AX$60)</f>
        <v>0</v>
      </c>
      <c r="AB40" s="229">
        <f>SUMIF($BA$4:$BA$60,$Y40,$AX$4:$AX$60)+SUMIF($BD$4:$BD$60,$Y40,$AX$4:$AX$60)</f>
        <v>0</v>
      </c>
      <c r="AC40" s="229">
        <f>SUMIF(AY$4:AY$60,Y40,AS$4:AS$60)+SUMIF(BB$4:BB$60,Y40,AW$4:AW$60)+SUMIF(AZ$4:AZ$60,Y40,AS$4:AS$60)+SUMIF(BC$4:BC$60,Y40,AW$4:AW$60)</f>
        <v>0</v>
      </c>
      <c r="AD40" s="229">
        <f>SUMIF(BA$4:BA$60,Y40,AS$4:AS$60)+SUMIF(BD$4:BD$60,Y40,AW$4:AW$60)+SUMIF(AZ$4:AZ$60,Y40,AS$4:AS$60)+SUMIF(BC$4:BC$60,Y40,AW$4:AW$60)</f>
        <v>0</v>
      </c>
      <c r="AE40" s="229">
        <f>AC40-AD40+100</f>
        <v>100</v>
      </c>
      <c r="AF40" s="258">
        <f>IF(Y40&lt;&gt;0,Z40*3+AA40,"")</f>
        <v>0</v>
      </c>
      <c r="AG40" s="229">
        <f>IF(Y40&lt;&gt;0,RANK(AF40,AF$39:AF$42)-1,5)</f>
        <v>0</v>
      </c>
      <c r="AH40" s="229">
        <f>IF(Y40&lt;&gt;0,SUMPRODUCT((AF$39:AF$42=AF40)*(AE$39:AE$42&gt;AE40)),5)</f>
        <v>0</v>
      </c>
      <c r="AI40" s="229">
        <f>IF(Y40&lt;&gt;0,SUMPRODUCT((AF$39:AF$42=AF40)*(AE$39:AE$42=AE40)*(AC$39:AC$42&gt;AC40)),5)</f>
        <v>0</v>
      </c>
      <c r="AJ40" s="229">
        <f>IF(Y40&lt;&gt;0,SUMPRODUCT(($AF39:$AF42=AF40)*($AE39:$AE42=AE40)*($AC39:$AC42=AC40)*($AK39:$AK42&lt;AK40)),5)</f>
        <v>0</v>
      </c>
      <c r="AK40" s="229">
        <f>IF(AL40=0,0,VLOOKUP(Y40,Tournament!AJ$45:AK$48,2,FALSE))</f>
        <v>0</v>
      </c>
      <c r="AL40" s="229">
        <f>IF(Y40&lt;&gt;0,IF(OR(SUM(AG40:AI40)=SUM(AG39:AI39),SUM(AG40:AI40)=SUM(AG41:AI41)),1,0),0)</f>
        <v>1</v>
      </c>
      <c r="AM40" s="229">
        <f>IF(AN40&lt;&gt;0,AM39+1,AM39)</f>
        <v>2</v>
      </c>
      <c r="AN40" s="229" t="str">
        <f>IF(AL40=1,Y40,0)</f>
        <v>Bosnia-Herzegovina</v>
      </c>
      <c r="AO40" s="229">
        <v>37</v>
      </c>
      <c r="AP40" s="229" t="str">
        <f>IF(AND(Tournament!J52&lt;&gt;"",Tournament!L52&lt;&gt;""),IF(Tournament!J52&gt;Tournament!L52,Tournament!H52,""),"")</f>
        <v/>
      </c>
      <c r="AQ40" s="229" t="str">
        <f>IF(AND(Tournament!J52&lt;&gt;"",Tournament!L52&lt;&gt;""),IF(Tournament!J52=Tournament!L52,Tournament!H52,""),"")</f>
        <v/>
      </c>
      <c r="AR40" s="229" t="str">
        <f>IF(AND(Tournament!J52&lt;&gt;"",Tournament!L52&lt;&gt;""),IF(Tournament!J52&gt;Tournament!L52,Tournament!N52,""),"")</f>
        <v/>
      </c>
      <c r="AS40" s="229">
        <f>IF(AND(Tournament!J52&lt;&gt;"",Tournament!L52&lt;&gt;""),Tournament!J52,0)</f>
        <v>0</v>
      </c>
      <c r="AT40" s="229" t="str">
        <f>IF(AND(Tournament!J52&lt;&gt;"",Tournament!L52&lt;&gt;""),IF(Tournament!J52&lt;Tournament!L52,Tournament!N52,""),"")</f>
        <v/>
      </c>
      <c r="AU40" s="229" t="str">
        <f>IF(AND(Tournament!J52&lt;&gt;"",Tournament!L52&lt;&gt;""),IF(Tournament!J52=Tournament!L52,Tournament!N52,""),"")</f>
        <v/>
      </c>
      <c r="AV40" s="229" t="str">
        <f>IF(AND(Tournament!J52&lt;&gt;"",Tournament!L52&lt;&gt;""),IF(Tournament!J52&lt;Tournament!L52,Tournament!H52,""),"")</f>
        <v/>
      </c>
      <c r="AW40" s="229">
        <f>IF(AND(Tournament!J52&lt;&gt;"",Tournament!L52&lt;&gt;""),Tournament!L52,0)</f>
        <v>0</v>
      </c>
      <c r="AX40" s="229">
        <v>1</v>
      </c>
      <c r="AY40" s="229" t="str">
        <f t="shared" si="1"/>
        <v/>
      </c>
      <c r="AZ40" s="229" t="str">
        <f t="shared" si="2"/>
        <v/>
      </c>
      <c r="BA40" s="229" t="str">
        <f t="shared" si="3"/>
        <v/>
      </c>
      <c r="BB40" s="229" t="str">
        <f t="shared" si="4"/>
        <v/>
      </c>
      <c r="BC40" s="229" t="str">
        <f t="shared" si="5"/>
        <v/>
      </c>
      <c r="BD40" s="229" t="str">
        <f t="shared" si="6"/>
        <v/>
      </c>
      <c r="BE40" s="229">
        <v>38</v>
      </c>
      <c r="BF40" s="229" t="str">
        <f>Tournament!H53</f>
        <v>Greece</v>
      </c>
      <c r="BG40" s="229" t="str">
        <f>IF(AND(Tournament!J53&lt;&gt;"",Tournament!L53&lt;&gt;""),Tournament!J53,"")</f>
        <v/>
      </c>
      <c r="BH40" s="229" t="str">
        <f>IF(AND(Tournament!L53&lt;&gt;"",Tournament!J53&lt;&gt;""),Tournament!L53,"")</f>
        <v/>
      </c>
      <c r="BI40" s="229" t="str">
        <f>Tournament!N53</f>
        <v>Ivory Coast</v>
      </c>
    </row>
    <row r="41" spans="1:61">
      <c r="A41" s="229">
        <f>K41+L41+M41+N41</f>
        <v>4</v>
      </c>
      <c r="B41" s="229" t="str">
        <f>Tournament!H27</f>
        <v>Iran</v>
      </c>
      <c r="C41" s="229">
        <f>SUMIF(AP$4:AP$60,B41,AX$4:AX$60)+SUMIF(AT$4:AT$60,B41,AX$4:AX$60)</f>
        <v>0</v>
      </c>
      <c r="D41" s="229">
        <f>SUMIF(AQ$4:AQ$60,B41,AX$4:AX$60)+SUMIF(AU$4:AU$60,B41,AX$4:AX$60)</f>
        <v>0</v>
      </c>
      <c r="E41" s="229">
        <f>SUMIF(AR$4:AR$60,B41,AX$4:AX$60)+SUMIF(AV$4:AV$60,B41,AX$4:AX$60)</f>
        <v>0</v>
      </c>
      <c r="F41" s="229">
        <f>SUMIF($BF$3:$BF$60,B41,$BG$3:$BG$60)+SUMIF($BI$3:$BI$60,B41,$BH$3:$BH$60)</f>
        <v>0</v>
      </c>
      <c r="G41" s="229">
        <f>SUMIF($BI$3:$BI$60,B41,$BG$3:$BG$60)+SUMIF($BF$3:$BF$60,B41,$BH$3:$BH$60)</f>
        <v>0</v>
      </c>
      <c r="H41" s="229">
        <f>F41-G41+100</f>
        <v>100</v>
      </c>
      <c r="I41" s="258">
        <f>C41*3+D41</f>
        <v>0</v>
      </c>
      <c r="J41" s="229">
        <v>29</v>
      </c>
      <c r="K41" s="229">
        <f>RANK(I41,I$39:I$42)</f>
        <v>1</v>
      </c>
      <c r="L41" s="229">
        <f>SUMPRODUCT((I$39:I$42=I41)*(H$39:H$42&gt;H41))</f>
        <v>0</v>
      </c>
      <c r="M41" s="229">
        <f>SUMPRODUCT((I$39:I$42=I41)*(H$39:H$42=H41)*(F$39:F$42&gt;F41))</f>
        <v>0</v>
      </c>
      <c r="N41" s="229">
        <f>SUMPRODUCT((I$39:I$42=I41)*(H$39:H$42=H41)*(F$39:F$42=F41)*(J$39:J$42&lt;J41))</f>
        <v>3</v>
      </c>
      <c r="O41" s="229">
        <f>IF(SUM(AG39:AI42)=0,IF(COUNTIF(AJ39:AJ42,0)&gt;1,3,AJ41+1),IF(AND(X40=3,X41=3,Y39=0,Y40&lt;&gt;0,Y41&lt;&gt;0),2,IF(OR(X41=5,X41=4),3,IF(X41=6,4,IF(AND(X40=4,X39=1,Y41&lt;&gt;""),2,IF(AND(AI41=0,AI40=1,AI39=1,Y41&lt;&gt;""),1,X41))))))</f>
        <v>3</v>
      </c>
      <c r="P41" s="229" t="str">
        <f>VLOOKUP(3,A$39:B$42,2,FALSE)</f>
        <v>Nigeria</v>
      </c>
      <c r="Q41" s="229">
        <f>SUMIF(B$4:B$60,P41,F$4:F$60)</f>
        <v>0</v>
      </c>
      <c r="R41" s="229">
        <f>SUMIF(B$4:B$60,P41,H$4:H$60)</f>
        <v>100</v>
      </c>
      <c r="S41" s="258">
        <f>SUMIF($B$4:$B$60,$P41,I$4:I$60)</f>
        <v>0</v>
      </c>
      <c r="T41" s="229">
        <f>SUMIF($B$4:$B$60,$P41,A$4:A$60)</f>
        <v>3</v>
      </c>
      <c r="U41" s="229">
        <f t="shared" si="11"/>
        <v>0</v>
      </c>
      <c r="V41" s="229">
        <f t="shared" si="11"/>
        <v>0</v>
      </c>
      <c r="W41" s="229">
        <f>SUMIF($B$4:$B$60,$P41,J$4:J$60)</f>
        <v>26</v>
      </c>
      <c r="X41" s="229">
        <f>IF(Y41=0,T41,T41+AG41+AH41+AI41)</f>
        <v>3</v>
      </c>
      <c r="Y41" s="229" t="str">
        <f>IF(OR(AND(S40=S41,R40=R41,Q40=Q41),AND(S42=S41,S41=S40,R42=R41,R41=R40,Q42=Q41,Q41=Q40)),P41,0)</f>
        <v>Nigeria</v>
      </c>
      <c r="Z41" s="229">
        <f>SUMIF($AY$4:$AY$60,$Y41,$AX$4:$AX$60)+SUMIF($BB$4:$BB$60,$Y41,$AX$4:$AX$60)</f>
        <v>0</v>
      </c>
      <c r="AA41" s="229">
        <f>SUMIF($AZ$4:$AZ$60,$Y41,$AX$4:$AX$60)+SUMIF($BC$4:$BC$60,$Y41,$AX$4:$AX$60)</f>
        <v>0</v>
      </c>
      <c r="AB41" s="229">
        <f>SUMIF($BA$4:$BA$60,$Y41,$AX$4:$AX$60)+SUMIF($BD$4:$BD$60,$Y41,$AX$4:$AX$60)</f>
        <v>0</v>
      </c>
      <c r="AC41" s="229">
        <f>SUMIF(AY$4:AY$60,Y41,AS$4:AS$60)+SUMIF(BB$4:BB$60,Y41,AW$4:AW$60)+SUMIF(AZ$4:AZ$60,Y41,AS$4:AS$60)+SUMIF(BC$4:BC$60,Y41,AW$4:AW$60)</f>
        <v>0</v>
      </c>
      <c r="AD41" s="229">
        <f>SUMIF(BA$4:BA$60,Y41,AS$4:AS$60)+SUMIF(BD$4:BD$60,Y41,AW$4:AW$60)+SUMIF(AZ$4:AZ$60,Y41,AS$4:AS$60)+SUMIF(BC$4:BC$60,Y41,AW$4:AW$60)</f>
        <v>0</v>
      </c>
      <c r="AE41" s="229">
        <f>AC41-AD41+100</f>
        <v>100</v>
      </c>
      <c r="AF41" s="258">
        <f>IF(Y41&lt;&gt;0,Z41*3+AA41,"")</f>
        <v>0</v>
      </c>
      <c r="AG41" s="229">
        <f>IF(Y41&lt;&gt;0,RANK(AF41,AF$39:AF$42)-1,5)</f>
        <v>0</v>
      </c>
      <c r="AH41" s="229">
        <f>IF(Y41&lt;&gt;0,SUMPRODUCT((AF$39:AF$42=AF41)*(AE$39:AE$42&gt;AE41)),5)</f>
        <v>0</v>
      </c>
      <c r="AI41" s="229">
        <f>IF(Y41&lt;&gt;0,SUMPRODUCT((AF$39:AF$42=AF41)*(AE$39:AE$42=AE41)*(AC$39:AC$42&gt;AC41)),5)</f>
        <v>0</v>
      </c>
      <c r="AJ41" s="229">
        <f>IF(Y41&lt;&gt;0,SUMPRODUCT(($AF39:$AF42=AF41)*($AE39:$AE42=AE41)*($AC39:$AC42=AC41)*($AK39:$AK42&lt;AK41)),5)</f>
        <v>0</v>
      </c>
      <c r="AK41" s="229">
        <f>IF(AL41=0,0,VLOOKUP(Y41,Tournament!AJ$45:AK$48,2,FALSE))</f>
        <v>0</v>
      </c>
      <c r="AL41" s="229">
        <f>IF(Y41&lt;&gt;0,IF(OR(SUM(AG41:AI41)=SUM(AG40:AI40),SUM(AG41:AI41)=SUM(AG42:AI42)),1,0),0)</f>
        <v>1</v>
      </c>
      <c r="AM41" s="229">
        <f>IF(AN41&lt;&gt;0,AM40+1,AM40)</f>
        <v>3</v>
      </c>
      <c r="AN41" s="229" t="str">
        <f>IF(AL41=1,Y41,0)</f>
        <v>Nigeria</v>
      </c>
      <c r="AO41" s="229">
        <v>38</v>
      </c>
      <c r="AP41" s="229" t="str">
        <f>IF(AND(Tournament!J53&lt;&gt;"",Tournament!L53&lt;&gt;""),IF(Tournament!J53&gt;Tournament!L53,Tournament!H53,""),"")</f>
        <v/>
      </c>
      <c r="AQ41" s="229" t="str">
        <f>IF(AND(Tournament!J53&lt;&gt;"",Tournament!L53&lt;&gt;""),IF(Tournament!J53=Tournament!L53,Tournament!H53,""),"")</f>
        <v/>
      </c>
      <c r="AR41" s="229" t="str">
        <f>IF(AND(Tournament!J53&lt;&gt;"",Tournament!L53&lt;&gt;""),IF(Tournament!J53&gt;Tournament!L53,Tournament!N53,""),"")</f>
        <v/>
      </c>
      <c r="AS41" s="229">
        <f>IF(AND(Tournament!J53&lt;&gt;"",Tournament!L53&lt;&gt;""),Tournament!J53,0)</f>
        <v>0</v>
      </c>
      <c r="AT41" s="229" t="str">
        <f>IF(AND(Tournament!J53&lt;&gt;"",Tournament!L53&lt;&gt;""),IF(Tournament!J53&lt;Tournament!L53,Tournament!N53,""),"")</f>
        <v/>
      </c>
      <c r="AU41" s="229" t="str">
        <f>IF(AND(Tournament!J53&lt;&gt;"",Tournament!L53&lt;&gt;""),IF(Tournament!J53=Tournament!L53,Tournament!N53,""),"")</f>
        <v/>
      </c>
      <c r="AV41" s="229" t="str">
        <f>IF(AND(Tournament!J53&lt;&gt;"",Tournament!L53&lt;&gt;""),IF(Tournament!J53&lt;Tournament!L53,Tournament!H53,""),"")</f>
        <v/>
      </c>
      <c r="AW41" s="229">
        <f>IF(AND(Tournament!J53&lt;&gt;"",Tournament!L53&lt;&gt;""),Tournament!L53,0)</f>
        <v>0</v>
      </c>
      <c r="AX41" s="229">
        <v>1</v>
      </c>
      <c r="AY41" s="229" t="str">
        <f t="shared" si="1"/>
        <v/>
      </c>
      <c r="AZ41" s="229" t="str">
        <f t="shared" si="2"/>
        <v/>
      </c>
      <c r="BA41" s="229" t="str">
        <f t="shared" si="3"/>
        <v/>
      </c>
      <c r="BB41" s="229" t="str">
        <f t="shared" si="4"/>
        <v/>
      </c>
      <c r="BC41" s="229" t="str">
        <f t="shared" si="5"/>
        <v/>
      </c>
      <c r="BD41" s="229" t="str">
        <f t="shared" si="6"/>
        <v/>
      </c>
      <c r="BE41" s="229">
        <v>39</v>
      </c>
      <c r="BF41" s="229" t="str">
        <f>Tournament!H54</f>
        <v>Italy</v>
      </c>
      <c r="BG41" s="229" t="str">
        <f>IF(AND(Tournament!J54&lt;&gt;"",Tournament!L54&lt;&gt;""),Tournament!J54,"")</f>
        <v/>
      </c>
      <c r="BH41" s="229" t="str">
        <f>IF(AND(Tournament!L54&lt;&gt;"",Tournament!J54&lt;&gt;""),Tournament!L54,"")</f>
        <v/>
      </c>
      <c r="BI41" s="229" t="str">
        <f>Tournament!N54</f>
        <v>Uruguay</v>
      </c>
    </row>
    <row r="42" spans="1:61">
      <c r="A42" s="229">
        <f>K42+L42+M42+N42</f>
        <v>3</v>
      </c>
      <c r="B42" s="229" t="str">
        <f>Tournament!N27</f>
        <v>Nigeria</v>
      </c>
      <c r="C42" s="229">
        <f>SUMIF(AP$4:AP$60,B42,AX$4:AX$60)+SUMIF(AT$4:AT$60,B42,AX$4:AX$60)</f>
        <v>0</v>
      </c>
      <c r="D42" s="229">
        <f>SUMIF(AQ$4:AQ$60,B42,AX$4:AX$60)+SUMIF(AU$4:AU$60,B42,AX$4:AX$60)</f>
        <v>0</v>
      </c>
      <c r="E42" s="229">
        <f>SUMIF(AR$4:AR$60,B42,AX$4:AX$60)+SUMIF(AV$4:AV$60,B42,AX$4:AX$60)</f>
        <v>0</v>
      </c>
      <c r="F42" s="229">
        <f>SUMIF($BF$3:$BF$60,B42,$BG$3:$BG$60)+SUMIF($BI$3:$BI$60,B42,$BH$3:$BH$60)</f>
        <v>0</v>
      </c>
      <c r="G42" s="229">
        <f>SUMIF($BI$3:$BI$60,B42,$BG$3:$BG$60)+SUMIF($BF$3:$BF$60,B42,$BH$3:$BH$60)</f>
        <v>0</v>
      </c>
      <c r="H42" s="229">
        <f>F42-G42+100</f>
        <v>100</v>
      </c>
      <c r="I42" s="258">
        <f>C42*3+D42</f>
        <v>0</v>
      </c>
      <c r="J42" s="229">
        <v>26</v>
      </c>
      <c r="K42" s="229">
        <f>RANK(I42,I$39:I$42)</f>
        <v>1</v>
      </c>
      <c r="L42" s="229">
        <f>SUMPRODUCT((I$39:I$42=I42)*(H$39:H$42&gt;H42))</f>
        <v>0</v>
      </c>
      <c r="M42" s="229">
        <f>SUMPRODUCT((I$39:I$42=I42)*(H$39:H$42=H42)*(F$39:F$42&gt;F42))</f>
        <v>0</v>
      </c>
      <c r="N42" s="229">
        <f>SUMPRODUCT((I$39:I$42=I42)*(H$39:H$42=H42)*(F$39:F$42=F42)*(J$39:J$42&lt;J42))</f>
        <v>2</v>
      </c>
      <c r="O42" s="229">
        <f>IF(SUM(AG39:AI42)=0,IF(COUNTIF(AJ39:AJ42,0)&gt;1,4,AJ42+1),IF(X42=X41,IF(X42=3,4,X42),IF(X42=5,3,IF(X42=6,4,X42))))</f>
        <v>4</v>
      </c>
      <c r="P42" s="229" t="str">
        <f>VLOOKUP(4,A$39:B$42,2,FALSE)</f>
        <v>Iran</v>
      </c>
      <c r="Q42" s="229">
        <f>SUMIF(B$4:B$60,P42,F$4:F$60)</f>
        <v>0</v>
      </c>
      <c r="R42" s="229">
        <f>SUMIF(B$4:B$60,P42,H$4:H$60)</f>
        <v>100</v>
      </c>
      <c r="S42" s="258">
        <f>SUMIF($B$4:$B$60,$P42,I$4:I$60)</f>
        <v>0</v>
      </c>
      <c r="T42" s="229">
        <f>SUMIF($B$4:$B$60,$P42,A$4:A$60)</f>
        <v>4</v>
      </c>
      <c r="U42" s="229">
        <f t="shared" si="11"/>
        <v>0</v>
      </c>
      <c r="V42" s="229">
        <f t="shared" si="11"/>
        <v>0</v>
      </c>
      <c r="W42" s="229">
        <f>SUMIF($B$4:$B$60,$P42,J$4:J$60)</f>
        <v>29</v>
      </c>
      <c r="X42" s="229">
        <f>IF(Y42=0,T42,T42+AG42+AH42+AI42)</f>
        <v>4</v>
      </c>
      <c r="Y42" s="229" t="str">
        <f>IF(AND(S41=S42,S41=S40,R41=R42,R41=R40,Q41=Q42,Q41=Q40),P42,0)</f>
        <v>Iran</v>
      </c>
      <c r="Z42" s="229">
        <f>SUMIF($AY$4:$AY$60,$Y42,$AX$4:$AX$60)+SUMIF($BB$4:$BB$60,$Y42,$AX$4:$AX$60)</f>
        <v>0</v>
      </c>
      <c r="AA42" s="229">
        <f>SUMIF($AZ$4:$AZ$60,$Y42,$AX$4:$AX$60)+SUMIF($BC$4:$BC$60,$Y42,$AX$4:$AX$60)</f>
        <v>0</v>
      </c>
      <c r="AB42" s="229">
        <f>SUMIF($BA$4:$BA$60,$Y42,$AX$4:$AX$60)+SUMIF($BD$4:$BD$60,$Y42,$AX$4:$AX$60)</f>
        <v>0</v>
      </c>
      <c r="AC42" s="229">
        <f>SUMIF(AY$4:AY$60,Y42,AS$4:AS$60)+SUMIF(BB$4:BB$60,Y42,AW$4:AW$60)+SUMIF(AZ$4:AZ$60,Y42,AS$4:AS$60)+SUMIF(BC$4:BC$60,Y42,AW$4:AW$60)</f>
        <v>0</v>
      </c>
      <c r="AD42" s="229">
        <f>SUMIF(BA$4:BA$60,Y42,AS$4:AS$60)+SUMIF(BD$4:BD$60,Y42,AW$4:AW$60)+SUMIF(AZ$4:AZ$60,Y42,AS$4:AS$60)+SUMIF(BC$4:BC$60,Y42,AW$4:AW$60)</f>
        <v>0</v>
      </c>
      <c r="AE42" s="229">
        <f>AC42-AD42+100</f>
        <v>100</v>
      </c>
      <c r="AF42" s="258">
        <f>IF(Y42&lt;&gt;0,Z42*3+AA42,"")</f>
        <v>0</v>
      </c>
      <c r="AG42" s="229">
        <f>IF(Y42&lt;&gt;0,RANK(AF42,AF$39:AF$42)-1,5)</f>
        <v>0</v>
      </c>
      <c r="AH42" s="229">
        <f>IF(Y42&lt;&gt;0,SUMPRODUCT((AF$39:AF$42=AF42)*(AE$39:AE$42&gt;AE42)),5)</f>
        <v>0</v>
      </c>
      <c r="AI42" s="229">
        <f>IF(Y42&lt;&gt;0,SUMPRODUCT((AF$39:AF$42=AF42)*(AE$39:AE$42=AE42)*(AC$39:AC$42&gt;AC42)),5)</f>
        <v>0</v>
      </c>
      <c r="AJ42" s="229">
        <f>IF(Y42&lt;&gt;0,SUMPRODUCT(($AF39:$AF42=AF42)*($AE39:$AE42=AE42)*($AC39:$AC42=AC42)*($AK39:$AK42&lt;AK42)),5)</f>
        <v>0</v>
      </c>
      <c r="AK42" s="229">
        <f>IF(AL42=0,0,VLOOKUP(Y42,Tournament!AJ$45:AK$48,2,FALSE))</f>
        <v>0</v>
      </c>
      <c r="AL42" s="229">
        <f>IF(Y42&lt;&gt;0,IF(SUM(AG42:AI42)=SUM(AG41:AI41),1,0),0)</f>
        <v>1</v>
      </c>
      <c r="AM42" s="229">
        <f>IF(AN42&lt;&gt;0,AM41+1,AM41)</f>
        <v>4</v>
      </c>
      <c r="AN42" s="229" t="str">
        <f>IF(AL42=1,Y42,0)</f>
        <v>Iran</v>
      </c>
      <c r="AO42" s="229">
        <v>39</v>
      </c>
      <c r="AP42" s="229" t="str">
        <f>IF(AND(Tournament!J54&lt;&gt;"",Tournament!L54&lt;&gt;""),IF(Tournament!J54&gt;Tournament!L54,Tournament!H54,""),"")</f>
        <v/>
      </c>
      <c r="AQ42" s="229" t="str">
        <f>IF(AND(Tournament!J54&lt;&gt;"",Tournament!L54&lt;&gt;""),IF(Tournament!J54=Tournament!L54,Tournament!H54,""),"")</f>
        <v/>
      </c>
      <c r="AR42" s="229" t="str">
        <f>IF(AND(Tournament!J54&lt;&gt;"",Tournament!L54&lt;&gt;""),IF(Tournament!J54&gt;Tournament!L54,Tournament!N54,""),"")</f>
        <v/>
      </c>
      <c r="AS42" s="229">
        <f>IF(AND(Tournament!J54&lt;&gt;"",Tournament!L54&lt;&gt;""),Tournament!J54,0)</f>
        <v>0</v>
      </c>
      <c r="AT42" s="229" t="str">
        <f>IF(AND(Tournament!J54&lt;&gt;"",Tournament!L54&lt;&gt;""),IF(Tournament!J54&lt;Tournament!L54,Tournament!N54,""),"")</f>
        <v/>
      </c>
      <c r="AU42" s="229" t="str">
        <f>IF(AND(Tournament!J54&lt;&gt;"",Tournament!L54&lt;&gt;""),IF(Tournament!J54=Tournament!L54,Tournament!N54,""),"")</f>
        <v/>
      </c>
      <c r="AV42" s="229" t="str">
        <f>IF(AND(Tournament!J54&lt;&gt;"",Tournament!L54&lt;&gt;""),IF(Tournament!J54&lt;Tournament!L54,Tournament!H54,""),"")</f>
        <v/>
      </c>
      <c r="AW42" s="229">
        <f>IF(AND(Tournament!J54&lt;&gt;"",Tournament!L54&lt;&gt;""),Tournament!L54,0)</f>
        <v>0</v>
      </c>
      <c r="AX42" s="229">
        <v>1</v>
      </c>
      <c r="AY42" s="229" t="str">
        <f t="shared" si="1"/>
        <v/>
      </c>
      <c r="AZ42" s="229" t="str">
        <f t="shared" si="2"/>
        <v/>
      </c>
      <c r="BA42" s="229" t="str">
        <f t="shared" si="3"/>
        <v/>
      </c>
      <c r="BB42" s="229" t="str">
        <f t="shared" si="4"/>
        <v/>
      </c>
      <c r="BC42" s="229" t="str">
        <f t="shared" si="5"/>
        <v/>
      </c>
      <c r="BD42" s="229" t="str">
        <f t="shared" si="6"/>
        <v/>
      </c>
      <c r="BE42" s="229">
        <v>40</v>
      </c>
      <c r="BF42" s="229" t="str">
        <f>Tournament!H55</f>
        <v>Costa Rica</v>
      </c>
      <c r="BG42" s="229" t="str">
        <f>IF(AND(Tournament!J55&lt;&gt;"",Tournament!L55&lt;&gt;""),Tournament!J55,"")</f>
        <v/>
      </c>
      <c r="BH42" s="229" t="str">
        <f>IF(AND(Tournament!L55&lt;&gt;"",Tournament!J55&lt;&gt;""),Tournament!L55,"")</f>
        <v/>
      </c>
      <c r="BI42" s="229" t="str">
        <f>Tournament!N55</f>
        <v>England</v>
      </c>
    </row>
    <row r="43" spans="1:61">
      <c r="AO43" s="229">
        <v>40</v>
      </c>
      <c r="AP43" s="229" t="str">
        <f>IF(AND(Tournament!J55&lt;&gt;"",Tournament!L55&lt;&gt;""),IF(Tournament!J55&gt;Tournament!L55,Tournament!H55,""),"")</f>
        <v/>
      </c>
      <c r="AQ43" s="229" t="str">
        <f>IF(AND(Tournament!J55&lt;&gt;"",Tournament!L55&lt;&gt;""),IF(Tournament!J55=Tournament!L55,Tournament!H55,""),"")</f>
        <v/>
      </c>
      <c r="AR43" s="229" t="str">
        <f>IF(AND(Tournament!J55&lt;&gt;"",Tournament!L55&lt;&gt;""),IF(Tournament!J55&gt;Tournament!L55,Tournament!N55,""),"")</f>
        <v/>
      </c>
      <c r="AS43" s="229">
        <f>IF(AND(Tournament!J55&lt;&gt;"",Tournament!L55&lt;&gt;""),Tournament!J55,0)</f>
        <v>0</v>
      </c>
      <c r="AT43" s="229" t="str">
        <f>IF(AND(Tournament!J55&lt;&gt;"",Tournament!L55&lt;&gt;""),IF(Tournament!J55&lt;Tournament!L55,Tournament!N55,""),"")</f>
        <v/>
      </c>
      <c r="AU43" s="229" t="str">
        <f>IF(AND(Tournament!J55&lt;&gt;"",Tournament!L55&lt;&gt;""),IF(Tournament!J55=Tournament!L55,Tournament!N55,""),"")</f>
        <v/>
      </c>
      <c r="AV43" s="229" t="str">
        <f>IF(AND(Tournament!J55&lt;&gt;"",Tournament!L55&lt;&gt;""),IF(Tournament!J55&lt;Tournament!L55,Tournament!H55,""),"")</f>
        <v/>
      </c>
      <c r="AW43" s="229">
        <f>IF(AND(Tournament!J55&lt;&gt;"",Tournament!L55&lt;&gt;""),Tournament!L55,0)</f>
        <v>0</v>
      </c>
      <c r="AX43" s="229">
        <v>1</v>
      </c>
      <c r="AY43" s="229" t="str">
        <f t="shared" si="1"/>
        <v/>
      </c>
      <c r="AZ43" s="229" t="str">
        <f t="shared" si="2"/>
        <v/>
      </c>
      <c r="BA43" s="229" t="str">
        <f t="shared" si="3"/>
        <v/>
      </c>
      <c r="BB43" s="229" t="str">
        <f t="shared" si="4"/>
        <v/>
      </c>
      <c r="BC43" s="229" t="str">
        <f t="shared" si="5"/>
        <v/>
      </c>
      <c r="BD43" s="229" t="str">
        <f t="shared" si="6"/>
        <v/>
      </c>
      <c r="BE43" s="229">
        <v>41</v>
      </c>
      <c r="BF43" s="229" t="str">
        <f>Tournament!H56</f>
        <v>Honduras</v>
      </c>
      <c r="BG43" s="229" t="str">
        <f>IF(AND(Tournament!J56&lt;&gt;"",Tournament!L56&lt;&gt;""),Tournament!J56,"")</f>
        <v/>
      </c>
      <c r="BH43" s="229" t="str">
        <f>IF(AND(Tournament!L56&lt;&gt;"",Tournament!J56&lt;&gt;""),Tournament!L56,"")</f>
        <v/>
      </c>
      <c r="BI43" s="229" t="str">
        <f>Tournament!N56</f>
        <v>Switzerland</v>
      </c>
    </row>
    <row r="44" spans="1:61">
      <c r="I44" s="258"/>
      <c r="S44" s="258"/>
      <c r="AF44" s="258"/>
      <c r="AO44" s="229">
        <v>41</v>
      </c>
      <c r="AP44" s="229" t="str">
        <f>IF(AND(Tournament!J56&lt;&gt;"",Tournament!L56&lt;&gt;""),IF(Tournament!J56&gt;Tournament!L56,Tournament!H56,""),"")</f>
        <v/>
      </c>
      <c r="AQ44" s="229" t="str">
        <f>IF(AND(Tournament!J56&lt;&gt;"",Tournament!L56&lt;&gt;""),IF(Tournament!J56=Tournament!L56,Tournament!H56,""),"")</f>
        <v/>
      </c>
      <c r="AR44" s="229" t="str">
        <f>IF(AND(Tournament!J56&lt;&gt;"",Tournament!L56&lt;&gt;""),IF(Tournament!J56&gt;Tournament!L56,Tournament!N56,""),"")</f>
        <v/>
      </c>
      <c r="AS44" s="229">
        <f>IF(AND(Tournament!J56&lt;&gt;"",Tournament!L56&lt;&gt;""),Tournament!J56,0)</f>
        <v>0</v>
      </c>
      <c r="AT44" s="229" t="str">
        <f>IF(AND(Tournament!J56&lt;&gt;"",Tournament!L56&lt;&gt;""),IF(Tournament!J56&lt;Tournament!L56,Tournament!N56,""),"")</f>
        <v/>
      </c>
      <c r="AU44" s="229" t="str">
        <f>IF(AND(Tournament!J56&lt;&gt;"",Tournament!L56&lt;&gt;""),IF(Tournament!J56=Tournament!L56,Tournament!N56,""),"")</f>
        <v/>
      </c>
      <c r="AV44" s="229" t="str">
        <f>IF(AND(Tournament!J56&lt;&gt;"",Tournament!L56&lt;&gt;""),IF(Tournament!J56&lt;Tournament!L56,Tournament!H56,""),"")</f>
        <v/>
      </c>
      <c r="AW44" s="229">
        <f>IF(AND(Tournament!J56&lt;&gt;"",Tournament!L56&lt;&gt;""),Tournament!L56,0)</f>
        <v>0</v>
      </c>
      <c r="AX44" s="229">
        <v>1</v>
      </c>
      <c r="AY44" s="229" t="str">
        <f t="shared" si="1"/>
        <v/>
      </c>
      <c r="AZ44" s="229" t="str">
        <f t="shared" si="2"/>
        <v/>
      </c>
      <c r="BA44" s="229" t="str">
        <f t="shared" si="3"/>
        <v/>
      </c>
      <c r="BB44" s="229" t="str">
        <f t="shared" si="4"/>
        <v/>
      </c>
      <c r="BC44" s="229" t="str">
        <f t="shared" si="5"/>
        <v/>
      </c>
      <c r="BD44" s="229" t="str">
        <f t="shared" si="6"/>
        <v/>
      </c>
      <c r="BE44" s="229">
        <v>42</v>
      </c>
      <c r="BF44" s="229" t="str">
        <f>Tournament!H57</f>
        <v>Ecuador</v>
      </c>
      <c r="BG44" s="229" t="str">
        <f>IF(AND(Tournament!J57&lt;&gt;"",Tournament!L57&lt;&gt;""),Tournament!J57,"")</f>
        <v/>
      </c>
      <c r="BH44" s="229" t="str">
        <f>IF(AND(Tournament!L57&lt;&gt;"",Tournament!J57&lt;&gt;""),Tournament!L57,"")</f>
        <v/>
      </c>
      <c r="BI44" s="229" t="str">
        <f>Tournament!N57</f>
        <v>France</v>
      </c>
    </row>
    <row r="45" spans="1:61">
      <c r="I45" s="258"/>
      <c r="S45" s="258"/>
      <c r="AF45" s="258"/>
      <c r="AO45" s="229">
        <v>42</v>
      </c>
      <c r="AP45" s="229" t="str">
        <f>IF(AND(Tournament!J57&lt;&gt;"",Tournament!L57&lt;&gt;""),IF(Tournament!J57&gt;Tournament!L57,Tournament!H57,""),"")</f>
        <v/>
      </c>
      <c r="AQ45" s="229" t="str">
        <f>IF(AND(Tournament!J57&lt;&gt;"",Tournament!L57&lt;&gt;""),IF(Tournament!J57=Tournament!L57,Tournament!H57,""),"")</f>
        <v/>
      </c>
      <c r="AR45" s="229" t="str">
        <f>IF(AND(Tournament!J57&lt;&gt;"",Tournament!L57&lt;&gt;""),IF(Tournament!J57&gt;Tournament!L57,Tournament!N57,""),"")</f>
        <v/>
      </c>
      <c r="AS45" s="229">
        <f>IF(AND(Tournament!J57&lt;&gt;"",Tournament!L57&lt;&gt;""),Tournament!J57,0)</f>
        <v>0</v>
      </c>
      <c r="AT45" s="229" t="str">
        <f>IF(AND(Tournament!J57&lt;&gt;"",Tournament!L57&lt;&gt;""),IF(Tournament!J57&lt;Tournament!L57,Tournament!N57,""),"")</f>
        <v/>
      </c>
      <c r="AU45" s="229" t="str">
        <f>IF(AND(Tournament!J57&lt;&gt;"",Tournament!L57&lt;&gt;""),IF(Tournament!J57=Tournament!L57,Tournament!N57,""),"")</f>
        <v/>
      </c>
      <c r="AV45" s="229" t="str">
        <f>IF(AND(Tournament!J57&lt;&gt;"",Tournament!L57&lt;&gt;""),IF(Tournament!J57&lt;Tournament!L57,Tournament!H57,""),"")</f>
        <v/>
      </c>
      <c r="AW45" s="229">
        <f>IF(AND(Tournament!J57&lt;&gt;"",Tournament!L57&lt;&gt;""),Tournament!L57,0)</f>
        <v>0</v>
      </c>
      <c r="AX45" s="229">
        <v>1</v>
      </c>
      <c r="AY45" s="229" t="str">
        <f t="shared" si="1"/>
        <v/>
      </c>
      <c r="AZ45" s="229" t="str">
        <f t="shared" si="2"/>
        <v/>
      </c>
      <c r="BA45" s="229" t="str">
        <f t="shared" si="3"/>
        <v/>
      </c>
      <c r="BB45" s="229" t="str">
        <f t="shared" si="4"/>
        <v/>
      </c>
      <c r="BC45" s="229" t="str">
        <f t="shared" si="5"/>
        <v/>
      </c>
      <c r="BD45" s="229" t="str">
        <f t="shared" si="6"/>
        <v/>
      </c>
      <c r="BE45" s="229">
        <v>43</v>
      </c>
      <c r="BF45" s="229" t="str">
        <f>Tournament!H58</f>
        <v>Nigeria</v>
      </c>
      <c r="BG45" s="229" t="str">
        <f>IF(AND(Tournament!J58&lt;&gt;"",Tournament!L58&lt;&gt;""),Tournament!J58,"")</f>
        <v/>
      </c>
      <c r="BH45" s="229" t="str">
        <f>IF(AND(Tournament!L58&lt;&gt;"",Tournament!J58&lt;&gt;""),Tournament!L58,"")</f>
        <v/>
      </c>
      <c r="BI45" s="229" t="str">
        <f>Tournament!N58</f>
        <v>Argentina</v>
      </c>
    </row>
    <row r="46" spans="1:61">
      <c r="A46" s="229">
        <f>K46+L46+M46+N46</f>
        <v>1</v>
      </c>
      <c r="B46" s="229" t="str">
        <f>Tournament!H28</f>
        <v>Germany</v>
      </c>
      <c r="C46" s="229">
        <f>SUMIF(AP$4:AP$60,B46,AX$4:AX$60)+SUMIF(AT$4:AT$60,B46,AX$4:AX$60)</f>
        <v>0</v>
      </c>
      <c r="D46" s="229">
        <f>SUMIF(AQ$4:AQ$60,B46,AX$4:AX$60)+SUMIF(AU$4:AU$60,B46,AX$4:AX$60)</f>
        <v>0</v>
      </c>
      <c r="E46" s="229">
        <f>SUMIF(AR$4:AR$60,B46,AX$4:AX$60)+SUMIF(AV$4:AV$60,B46,AX$4:AX$60)</f>
        <v>0</v>
      </c>
      <c r="F46" s="229">
        <f>SUMIF($BF$3:$BF$60,B46,$BG$3:$BG$60)+SUMIF($BI$3:$BI$60,B46,$BH$3:$BH$60)</f>
        <v>0</v>
      </c>
      <c r="G46" s="229">
        <f>SUMIF($BI$3:$BI$60,B46,$BG$3:$BG$60)+SUMIF($BF$3:$BF$60,B46,$BH$3:$BH$60)</f>
        <v>0</v>
      </c>
      <c r="H46" s="229">
        <f>F46-G46+100</f>
        <v>100</v>
      </c>
      <c r="I46" s="258">
        <f>C46*3+D46</f>
        <v>0</v>
      </c>
      <c r="J46" s="229">
        <v>2</v>
      </c>
      <c r="K46" s="229">
        <f>RANK(I46,I$46:I$49)</f>
        <v>1</v>
      </c>
      <c r="L46" s="229">
        <f>SUMPRODUCT((I$46:I$49=I46)*(H$46:H$49&gt;H46))</f>
        <v>0</v>
      </c>
      <c r="M46" s="229">
        <f>SUMPRODUCT((I$46:I$49=I46)*(H$46:H$49=H46)*(F$46:F$49&gt;F46))</f>
        <v>0</v>
      </c>
      <c r="N46" s="229">
        <f>SUMPRODUCT((I$46:I$49=I46)*(H$46:H$49=H46)*(F$46:F$49=F46)*(J$46:J$49&lt;J46))</f>
        <v>0</v>
      </c>
      <c r="O46" s="229">
        <f>IF(SUM(AG46:AI49)=0,IF(COUNTIF(AJ46:AJ49,0)&gt;1,1,AJ46+1),X46)</f>
        <v>1</v>
      </c>
      <c r="P46" s="229" t="str">
        <f>VLOOKUP(1,A$46:B$49,2,FALSE)</f>
        <v>Germany</v>
      </c>
      <c r="Q46" s="229">
        <f>SUMIF(B$4:B$60,P46,F$4:F$60)</f>
        <v>0</v>
      </c>
      <c r="R46" s="229">
        <f>SUMIF(B$4:B$60,P46,H$4:H$60)</f>
        <v>100</v>
      </c>
      <c r="S46" s="258">
        <f>SUMIF($B$4:$B$60,$P46,I$4:I$60)</f>
        <v>0</v>
      </c>
      <c r="T46" s="229">
        <f>SUMIF($B$4:$B$60,$P46,A$4:A$60)</f>
        <v>1</v>
      </c>
      <c r="U46" s="229">
        <f t="shared" ref="U46:V49" si="12">SUMIF($B$4:$B$60,$P46,L$4:L$60)</f>
        <v>0</v>
      </c>
      <c r="V46" s="229">
        <f t="shared" si="12"/>
        <v>0</v>
      </c>
      <c r="W46" s="229">
        <f>SUMIF($B$4:$B$60,$P46,J$4:J$60)</f>
        <v>2</v>
      </c>
      <c r="X46" s="229">
        <f>IF(Y46=0,T46,T46+AG46+AH46+AI46)</f>
        <v>1</v>
      </c>
      <c r="Y46" s="229" t="str">
        <f>IF(AND(S46=S47,R46=R47,Q46=Q47),P46,0)</f>
        <v>Germany</v>
      </c>
      <c r="Z46" s="229">
        <f>SUMIF($AY$4:$AY$60,$Y46,$AX$4:$AX$60)+SUMIF($BB$4:$BB$60,$Y46,$AX$4:$AX$60)</f>
        <v>0</v>
      </c>
      <c r="AA46" s="229">
        <f>SUMIF($AZ$4:$AZ$60,$Y46,$AX$4:$AX$60)+SUMIF($BC$4:$BC$60,$Y46,$AX$4:$AX$60)</f>
        <v>0</v>
      </c>
      <c r="AB46" s="229">
        <f>SUMIF($BA$4:$BA$60,$Y46,$AX$4:$AX$60)+SUMIF($BD$4:$BD$60,$Y46,$AX$4:$AX$60)</f>
        <v>0</v>
      </c>
      <c r="AC46" s="229">
        <f>SUMIF(AY$4:AY$60,Y46,AS$4:AS$60)+SUMIF(BB$4:BB$60,Y46,AW$4:AW$60)+SUMIF(AZ$4:AZ$60,Y46,AS$4:AS$60)+SUMIF(BC$4:BC$60,Y46,AW$4:AW$60)</f>
        <v>0</v>
      </c>
      <c r="AD46" s="229">
        <f>SUMIF(BA$4:BA$60,Y46,AS$4:AS$60)+SUMIF(BD$4:BD$60,Y46,AW$4:AW$60)+SUMIF(AZ$4:AZ$60,Y46,AS$4:AS$60)+SUMIF(BC$4:BC$60,Y46,AW$4:AW$60)</f>
        <v>0</v>
      </c>
      <c r="AE46" s="229">
        <f>AC46-AD46+100</f>
        <v>100</v>
      </c>
      <c r="AF46" s="258">
        <f>IF(Y46&lt;&gt;0,Z46*3+AA46,"")</f>
        <v>0</v>
      </c>
      <c r="AG46" s="229">
        <f>IF(Y46&lt;&gt;0,RANK(AF46,AF$46:AF$49)-1,5)</f>
        <v>0</v>
      </c>
      <c r="AH46" s="229">
        <f>IF(Y46&lt;&gt;0,SUMPRODUCT((AF$46:AF$49=AF46)*(AE$46:AE$49&gt;AE46)),5)</f>
        <v>0</v>
      </c>
      <c r="AI46" s="229">
        <f>IF(Y46&lt;&gt;0,SUMPRODUCT((AF$46:AF$49=AF46)*(AE$46:AE$49=AE46)*(AC$46:AC$49&gt;AC46)),5)</f>
        <v>0</v>
      </c>
      <c r="AJ46" s="229">
        <f>IF(Y46&lt;&gt;0,SUMPRODUCT(($AF46:$AF49=AF46)*($AE46:$AE49=AE46)*($AC46:$AC49=AC46)*($AK46:$AK49&lt;AK46)),5)</f>
        <v>0</v>
      </c>
      <c r="AK46" s="229">
        <f>IF(AL46=0,0,VLOOKUP(Y46,Tournament!AJ$51:AK$54,2,FALSE))</f>
        <v>0</v>
      </c>
      <c r="AL46" s="229">
        <f>IF(Y46&lt;&gt;0,IF(SUM(AG46:AI46)=SUM(AG47:AI47),1,0),0)</f>
        <v>1</v>
      </c>
      <c r="AM46" s="229">
        <f>IF(AN46&lt;&gt;0,1,0)</f>
        <v>1</v>
      </c>
      <c r="AN46" s="229" t="str">
        <f>IF(AL46=1,Y46,0)</f>
        <v>Germany</v>
      </c>
      <c r="AO46" s="229">
        <v>43</v>
      </c>
      <c r="AP46" s="229" t="str">
        <f>IF(AND(Tournament!J58&lt;&gt;"",Tournament!L58&lt;&gt;""),IF(Tournament!J58&gt;Tournament!L58,Tournament!H58,""),"")</f>
        <v/>
      </c>
      <c r="AQ46" s="229" t="str">
        <f>IF(AND(Tournament!J58&lt;&gt;"",Tournament!L58&lt;&gt;""),IF(Tournament!J58=Tournament!L58,Tournament!H58,""),"")</f>
        <v/>
      </c>
      <c r="AR46" s="229" t="str">
        <f>IF(AND(Tournament!J58&lt;&gt;"",Tournament!L58&lt;&gt;""),IF(Tournament!J58&gt;Tournament!L58,Tournament!N58,""),"")</f>
        <v/>
      </c>
      <c r="AS46" s="229">
        <f>IF(AND(Tournament!J58&lt;&gt;"",Tournament!L58&lt;&gt;""),Tournament!J58,0)</f>
        <v>0</v>
      </c>
      <c r="AT46" s="229" t="str">
        <f>IF(AND(Tournament!J58&lt;&gt;"",Tournament!L58&lt;&gt;""),IF(Tournament!J58&lt;Tournament!L58,Tournament!N58,""),"")</f>
        <v/>
      </c>
      <c r="AU46" s="229" t="str">
        <f>IF(AND(Tournament!J58&lt;&gt;"",Tournament!L58&lt;&gt;""),IF(Tournament!J58=Tournament!L58,Tournament!N58,""),"")</f>
        <v/>
      </c>
      <c r="AV46" s="229" t="str">
        <f>IF(AND(Tournament!J58&lt;&gt;"",Tournament!L58&lt;&gt;""),IF(Tournament!J58&lt;Tournament!L58,Tournament!H58,""),"")</f>
        <v/>
      </c>
      <c r="AW46" s="229">
        <f>IF(AND(Tournament!J58&lt;&gt;"",Tournament!L58&lt;&gt;""),Tournament!L58,0)</f>
        <v>0</v>
      </c>
      <c r="AX46" s="229">
        <v>1</v>
      </c>
      <c r="AY46" s="229" t="str">
        <f t="shared" si="1"/>
        <v/>
      </c>
      <c r="AZ46" s="229" t="str">
        <f t="shared" si="2"/>
        <v/>
      </c>
      <c r="BA46" s="229" t="str">
        <f t="shared" si="3"/>
        <v/>
      </c>
      <c r="BB46" s="229" t="str">
        <f t="shared" si="4"/>
        <v/>
      </c>
      <c r="BC46" s="229" t="str">
        <f t="shared" si="5"/>
        <v/>
      </c>
      <c r="BD46" s="229" t="str">
        <f t="shared" si="6"/>
        <v/>
      </c>
      <c r="BE46" s="229">
        <v>44</v>
      </c>
      <c r="BF46" s="229" t="str">
        <f>Tournament!H59</f>
        <v>Bosnia-Herzegovina</v>
      </c>
      <c r="BG46" s="229" t="str">
        <f>IF(AND(Tournament!J59&lt;&gt;"",Tournament!L59&lt;&gt;""),Tournament!J59,"")</f>
        <v/>
      </c>
      <c r="BH46" s="229" t="str">
        <f>IF(AND(Tournament!L59&lt;&gt;"",Tournament!J59&lt;&gt;""),Tournament!L59,"")</f>
        <v/>
      </c>
      <c r="BI46" s="229" t="str">
        <f>Tournament!N59</f>
        <v>Iran</v>
      </c>
    </row>
    <row r="47" spans="1:61">
      <c r="A47" s="229">
        <f>K47+L47+M47+N47</f>
        <v>3</v>
      </c>
      <c r="B47" s="229" t="str">
        <f>Tournament!N28</f>
        <v>Portugal</v>
      </c>
      <c r="C47" s="229">
        <f>SUMIF(AP$4:AP$60,B47,AX$4:AX$60)+SUMIF(AT$4:AT$60,B47,AX$4:AX$60)</f>
        <v>0</v>
      </c>
      <c r="D47" s="229">
        <f>SUMIF(AQ$4:AQ$60,B47,AX$4:AX$60)+SUMIF(AU$4:AU$60,B47,AX$4:AX$60)</f>
        <v>0</v>
      </c>
      <c r="E47" s="229">
        <f>SUMIF(AR$4:AR$60,B47,AX$4:AX$60)+SUMIF(AV$4:AV$60,B47,AX$4:AX$60)</f>
        <v>0</v>
      </c>
      <c r="F47" s="229">
        <f>SUMIF($BF$3:$BF$60,B47,$BG$3:$BG$60)+SUMIF($BI$3:$BI$60,B47,$BH$3:$BH$60)</f>
        <v>0</v>
      </c>
      <c r="G47" s="229">
        <f>SUMIF($BI$3:$BI$60,B47,$BG$3:$BG$60)+SUMIF($BF$3:$BF$60,B47,$BH$3:$BH$60)</f>
        <v>0</v>
      </c>
      <c r="H47" s="229">
        <f>F47-G47+100</f>
        <v>100</v>
      </c>
      <c r="I47" s="258">
        <f>C47*3+D47</f>
        <v>0</v>
      </c>
      <c r="J47" s="229">
        <v>14</v>
      </c>
      <c r="K47" s="229">
        <f>RANK(I47,I$46:I$49)</f>
        <v>1</v>
      </c>
      <c r="L47" s="229">
        <f>SUMPRODUCT((I$46:I$49=I47)*(H$46:H$49&gt;H47))</f>
        <v>0</v>
      </c>
      <c r="M47" s="229">
        <f>SUMPRODUCT((I$46:I$49=I47)*(H$46:H$49=H47)*(F$46:F$49&gt;F47))</f>
        <v>0</v>
      </c>
      <c r="N47" s="229">
        <f>SUMPRODUCT((I$46:I$49=I47)*(H$46:H$49=H47)*(F$46:F$49=F47)*(J$46:J$49&lt;J47))</f>
        <v>2</v>
      </c>
      <c r="O47" s="229">
        <f>IF(SUM(AG46:AI49)=0,IF(COUNTIF(AJ46:AJ49,0)&gt;1,2,AJ47+1),IF(AND(X46=1,X47=3,Y46&lt;&gt;0,Y47&lt;&gt;0,Y48=0,Y49=0),2,IF(AND(X46=2,X47=2,Y46&lt;&gt;0,Y47&lt;&gt;0,Y48=0,Y49=0),1,IF(AND(X47=4,AI47=2),3,X47))))</f>
        <v>2</v>
      </c>
      <c r="P47" s="229" t="str">
        <f>VLOOKUP(2,A$46:B$49,2,FALSE)</f>
        <v>USA</v>
      </c>
      <c r="Q47" s="229">
        <f>SUMIF(B$4:B$60,P47,F$4:F$60)</f>
        <v>0</v>
      </c>
      <c r="R47" s="229">
        <f>SUMIF(B$4:B$60,P47,H$4:H$60)</f>
        <v>100</v>
      </c>
      <c r="S47" s="258">
        <f>SUMIF($B$4:$B$60,$P47,I$4:I$60)</f>
        <v>0</v>
      </c>
      <c r="T47" s="229">
        <f>SUMIF($B$4:$B$60,$P47,A$4:A$60)</f>
        <v>2</v>
      </c>
      <c r="U47" s="229">
        <f t="shared" si="12"/>
        <v>0</v>
      </c>
      <c r="V47" s="229">
        <f t="shared" si="12"/>
        <v>0</v>
      </c>
      <c r="W47" s="229">
        <f>SUMIF($B$4:$B$60,$P47,J$4:J$60)</f>
        <v>13</v>
      </c>
      <c r="X47" s="229">
        <f>IF(Y47=0,T47,T47+AG47+AH47+AI47)</f>
        <v>2</v>
      </c>
      <c r="Y47" s="229" t="str">
        <f>IF(OR(AND(S46=S47,R46=R47,Q46=Q47),AND(S48=S47,R48=R47,Q48=Q47)),P47,0)</f>
        <v>USA</v>
      </c>
      <c r="Z47" s="229">
        <f>SUMIF($AY$4:$AY$60,$Y47,$AX$4:$AX$60)+SUMIF($BB$4:$BB$60,$Y47,$AX$4:$AX$60)</f>
        <v>0</v>
      </c>
      <c r="AA47" s="229">
        <f>SUMIF($AZ$4:$AZ$60,$Y47,$AX$4:$AX$60)+SUMIF($BC$4:$BC$60,$Y47,$AX$4:$AX$60)</f>
        <v>0</v>
      </c>
      <c r="AB47" s="229">
        <f>SUMIF($BA$4:$BA$60,$Y47,$AX$4:$AX$60)+SUMIF($BD$4:$BD$60,$Y47,$AX$4:$AX$60)</f>
        <v>0</v>
      </c>
      <c r="AC47" s="229">
        <f>SUMIF(AY$4:AY$60,Y47,AS$4:AS$60)+SUMIF(BB$4:BB$60,Y47,AW$4:AW$60)+SUMIF(AZ$4:AZ$60,Y47,AS$4:AS$60)+SUMIF(BC$4:BC$60,Y47,AW$4:AW$60)</f>
        <v>0</v>
      </c>
      <c r="AD47" s="229">
        <f>SUMIF(BA$4:BA$60,Y47,AS$4:AS$60)+SUMIF(BD$4:BD$60,Y47,AW$4:AW$60)+SUMIF(AZ$4:AZ$60,Y47,AS$4:AS$60)+SUMIF(BC$4:BC$60,Y47,AW$4:AW$60)</f>
        <v>0</v>
      </c>
      <c r="AE47" s="229">
        <f>AC47-AD47+100</f>
        <v>100</v>
      </c>
      <c r="AF47" s="258">
        <f>IF(Y47&lt;&gt;0,Z47*3+AA47,"")</f>
        <v>0</v>
      </c>
      <c r="AG47" s="229">
        <f>IF(Y47&lt;&gt;0,RANK(AF47,AF$46:AF$49)-1,5)</f>
        <v>0</v>
      </c>
      <c r="AH47" s="229">
        <f>IF(Y47&lt;&gt;0,SUMPRODUCT((AF$46:AF$49=AF47)*(AE$46:AE$49&gt;AE47)),5)</f>
        <v>0</v>
      </c>
      <c r="AI47" s="229">
        <f>IF(Y47&lt;&gt;0,SUMPRODUCT((AF$46:AF$49=AF47)*(AE$46:AE$49=AE47)*(AC$46:AC$49&gt;AC47)),5)</f>
        <v>0</v>
      </c>
      <c r="AJ47" s="229">
        <f>IF(Y47&lt;&gt;0,SUMPRODUCT(($AF46:$AF49=AF47)*($AE46:$AE49=AE47)*($AC46:$AC49=AC47)*($AK46:$AK49&lt;AK47)),5)</f>
        <v>0</v>
      </c>
      <c r="AK47" s="229">
        <f>IF(AL47=0,0,VLOOKUP(Y47,Tournament!AJ$51:AK$54,2,FALSE))</f>
        <v>0</v>
      </c>
      <c r="AL47" s="229">
        <f>IF(Y47&lt;&gt;0,IF(OR(SUM(AG47:AI47)=SUM(AG46:AI46),SUM(AG47:AI47)=SUM(AG48:AI48)),1,0),0)</f>
        <v>1</v>
      </c>
      <c r="AM47" s="229">
        <f>IF(AN47&lt;&gt;0,AM46+1,AM46)</f>
        <v>2</v>
      </c>
      <c r="AN47" s="229" t="str">
        <f>IF(AL47=1,Y47,0)</f>
        <v>USA</v>
      </c>
      <c r="AO47" s="229">
        <v>44</v>
      </c>
      <c r="AP47" s="229" t="str">
        <f>IF(AND(Tournament!J59&lt;&gt;"",Tournament!L59&lt;&gt;""),IF(Tournament!J59&gt;Tournament!L59,Tournament!H59,""),"")</f>
        <v/>
      </c>
      <c r="AQ47" s="229" t="str">
        <f>IF(AND(Tournament!J59&lt;&gt;"",Tournament!L59&lt;&gt;""),IF(Tournament!J59=Tournament!L59,Tournament!H59,""),"")</f>
        <v/>
      </c>
      <c r="AR47" s="229" t="str">
        <f>IF(AND(Tournament!J59&lt;&gt;"",Tournament!L59&lt;&gt;""),IF(Tournament!J59&gt;Tournament!L59,Tournament!N59,""),"")</f>
        <v/>
      </c>
      <c r="AS47" s="229">
        <f>IF(AND(Tournament!J59&lt;&gt;"",Tournament!L59&lt;&gt;""),Tournament!J59,0)</f>
        <v>0</v>
      </c>
      <c r="AT47" s="229" t="str">
        <f>IF(AND(Tournament!J59&lt;&gt;"",Tournament!L59&lt;&gt;""),IF(Tournament!J59&lt;Tournament!L59,Tournament!N59,""),"")</f>
        <v/>
      </c>
      <c r="AU47" s="229" t="str">
        <f>IF(AND(Tournament!J59&lt;&gt;"",Tournament!L59&lt;&gt;""),IF(Tournament!J59=Tournament!L59,Tournament!N59,""),"")</f>
        <v/>
      </c>
      <c r="AV47" s="229" t="str">
        <f>IF(AND(Tournament!J59&lt;&gt;"",Tournament!L59&lt;&gt;""),IF(Tournament!J59&lt;Tournament!L59,Tournament!H59,""),"")</f>
        <v/>
      </c>
      <c r="AW47" s="229">
        <f>IF(AND(Tournament!J59&lt;&gt;"",Tournament!L59&lt;&gt;""),Tournament!L59,0)</f>
        <v>0</v>
      </c>
      <c r="AX47" s="229">
        <v>1</v>
      </c>
      <c r="AY47" s="229" t="str">
        <f t="shared" si="1"/>
        <v/>
      </c>
      <c r="AZ47" s="229" t="str">
        <f t="shared" si="2"/>
        <v/>
      </c>
      <c r="BA47" s="229" t="str">
        <f t="shared" si="3"/>
        <v/>
      </c>
      <c r="BB47" s="229" t="str">
        <f t="shared" si="4"/>
        <v/>
      </c>
      <c r="BC47" s="229" t="str">
        <f t="shared" si="5"/>
        <v/>
      </c>
      <c r="BD47" s="229" t="str">
        <f t="shared" si="6"/>
        <v/>
      </c>
      <c r="BE47" s="229">
        <v>45</v>
      </c>
      <c r="BF47" s="229" t="str">
        <f>Tournament!H60</f>
        <v>USA</v>
      </c>
      <c r="BG47" s="229" t="str">
        <f>IF(AND(Tournament!J60&lt;&gt;"",Tournament!L60&lt;&gt;""),Tournament!J60,"")</f>
        <v/>
      </c>
      <c r="BH47" s="229" t="str">
        <f>IF(AND(Tournament!L60&lt;&gt;"",Tournament!J60&lt;&gt;""),Tournament!L60,"")</f>
        <v/>
      </c>
      <c r="BI47" s="229" t="str">
        <f>Tournament!N60</f>
        <v>Germany</v>
      </c>
    </row>
    <row r="48" spans="1:61">
      <c r="A48" s="229">
        <f>K48+L48+M48+N48</f>
        <v>4</v>
      </c>
      <c r="B48" s="229" t="str">
        <f>Tournament!H29</f>
        <v>Ghana</v>
      </c>
      <c r="C48" s="229">
        <f>SUMIF(AP$4:AP$60,B48,AX$4:AX$60)+SUMIF(AT$4:AT$60,B48,AX$4:AX$60)</f>
        <v>0</v>
      </c>
      <c r="D48" s="229">
        <f>SUMIF(AQ$4:AQ$60,B48,AX$4:AX$60)+SUMIF(AU$4:AU$60,B48,AX$4:AX$60)</f>
        <v>0</v>
      </c>
      <c r="E48" s="229">
        <f>SUMIF(AR$4:AR$60,B48,AX$4:AX$60)+SUMIF(AV$4:AV$60,B48,AX$4:AX$60)</f>
        <v>0</v>
      </c>
      <c r="F48" s="229">
        <f>SUMIF($BF$3:$BF$60,B48,$BG$3:$BG$60)+SUMIF($BI$3:$BI$60,B48,$BH$3:$BH$60)</f>
        <v>0</v>
      </c>
      <c r="G48" s="229">
        <f>SUMIF($BI$3:$BI$60,B48,$BG$3:$BG$60)+SUMIF($BF$3:$BF$60,B48,$BH$3:$BH$60)</f>
        <v>0</v>
      </c>
      <c r="H48" s="229">
        <f>F48-G48+100</f>
        <v>100</v>
      </c>
      <c r="I48" s="258">
        <f>C48*3+D48</f>
        <v>0</v>
      </c>
      <c r="J48" s="229">
        <v>22</v>
      </c>
      <c r="K48" s="229">
        <f>RANK(I48,I$46:I$49)</f>
        <v>1</v>
      </c>
      <c r="L48" s="229">
        <f>SUMPRODUCT((I$46:I$49=I48)*(H$46:H$49&gt;H48))</f>
        <v>0</v>
      </c>
      <c r="M48" s="229">
        <f>SUMPRODUCT((I$46:I$49=I48)*(H$46:H$49=H48)*(F$46:F$49&gt;F48))</f>
        <v>0</v>
      </c>
      <c r="N48" s="229">
        <f>SUMPRODUCT((I$46:I$49=I48)*(H$46:H$49=H48)*(F$46:F$49=F48)*(J$46:J$49&lt;J48))</f>
        <v>3</v>
      </c>
      <c r="O48" s="229">
        <f>IF(SUM(AG46:AI49)=0,IF(COUNTIF(AJ46:AJ49,0)&gt;1,3,AJ48+1),IF(AND(X47=3,X48=3,Y46=0,Y47&lt;&gt;0,Y48&lt;&gt;0),2,IF(OR(X48=5,X48=4),3,IF(X48=6,4,IF(AND(X47=4,X46=1,Y48&lt;&gt;""),2,IF(AND(AI48=0,AI47=1,AI46=1,Y48&lt;&gt;""),1,X48))))))</f>
        <v>3</v>
      </c>
      <c r="P48" s="229" t="str">
        <f>VLOOKUP(3,A$46:B$49,2,FALSE)</f>
        <v>Portugal</v>
      </c>
      <c r="Q48" s="229">
        <f>SUMIF(B$4:B$60,P48,F$4:F$60)</f>
        <v>0</v>
      </c>
      <c r="R48" s="229">
        <f>SUMIF(B$4:B$60,P48,H$4:H$60)</f>
        <v>100</v>
      </c>
      <c r="S48" s="258">
        <f>SUMIF($B$4:$B$60,$P48,I$4:I$60)</f>
        <v>0</v>
      </c>
      <c r="T48" s="229">
        <f>SUMIF($B$4:$B$60,$P48,A$4:A$60)</f>
        <v>3</v>
      </c>
      <c r="U48" s="229">
        <f t="shared" si="12"/>
        <v>0</v>
      </c>
      <c r="V48" s="229">
        <f t="shared" si="12"/>
        <v>0</v>
      </c>
      <c r="W48" s="229">
        <f>SUMIF($B$4:$B$60,$P48,J$4:J$60)</f>
        <v>14</v>
      </c>
      <c r="X48" s="229">
        <f>IF(Y48=0,T48,T48+AG48+AH48+AI48)</f>
        <v>3</v>
      </c>
      <c r="Y48" s="229" t="str">
        <f>IF(OR(AND(S47=S48,R47=R48,Q47=Q48),AND(S49=S48,S48=S47,R49=R48,R48=R47,Q49=Q48,Q48=Q47)),P48,0)</f>
        <v>Portugal</v>
      </c>
      <c r="Z48" s="229">
        <f>SUMIF($AY$4:$AY$60,$Y48,$AX$4:$AX$60)+SUMIF($BB$4:$BB$60,$Y48,$AX$4:$AX$60)</f>
        <v>0</v>
      </c>
      <c r="AA48" s="229">
        <f>SUMIF($AZ$4:$AZ$60,$Y48,$AX$4:$AX$60)+SUMIF($BC$4:$BC$60,$Y48,$AX$4:$AX$60)</f>
        <v>0</v>
      </c>
      <c r="AB48" s="229">
        <f>SUMIF($BA$4:$BA$60,$Y48,$AX$4:$AX$60)+SUMIF($BD$4:$BD$60,$Y48,$AX$4:$AX$60)</f>
        <v>0</v>
      </c>
      <c r="AC48" s="229">
        <f>SUMIF(AY$4:AY$60,Y48,AS$4:AS$60)+SUMIF(BB$4:BB$60,Y48,AW$4:AW$60)+SUMIF(AZ$4:AZ$60,Y48,AS$4:AS$60)+SUMIF(BC$4:BC$60,Y48,AW$4:AW$60)</f>
        <v>0</v>
      </c>
      <c r="AD48" s="229">
        <f>SUMIF(BA$4:BA$60,Y48,AS$4:AS$60)+SUMIF(BD$4:BD$60,Y48,AW$4:AW$60)+SUMIF(AZ$4:AZ$60,Y48,AS$4:AS$60)+SUMIF(BC$4:BC$60,Y48,AW$4:AW$60)</f>
        <v>0</v>
      </c>
      <c r="AE48" s="229">
        <f>AC48-AD48+100</f>
        <v>100</v>
      </c>
      <c r="AF48" s="258">
        <f>IF(Y48&lt;&gt;0,Z48*3+AA48,"")</f>
        <v>0</v>
      </c>
      <c r="AG48" s="229">
        <f>IF(Y48&lt;&gt;0,RANK(AF48,AF$46:AF$49)-1,5)</f>
        <v>0</v>
      </c>
      <c r="AH48" s="229">
        <f>IF(Y48&lt;&gt;0,SUMPRODUCT((AF$46:AF$49=AF48)*(AE$46:AE$49&gt;AE48)),5)</f>
        <v>0</v>
      </c>
      <c r="AI48" s="229">
        <f>IF(Y48&lt;&gt;0,SUMPRODUCT((AF$46:AF$49=AF48)*(AE$46:AE$49=AE48)*(AC$46:AC$49&gt;AC48)),5)</f>
        <v>0</v>
      </c>
      <c r="AJ48" s="229">
        <f>IF(Y48&lt;&gt;0,SUMPRODUCT(($AF46:$AF49=AF48)*($AE46:$AE49=AE48)*($AC46:$AC49=AC48)*($AK46:$AK49&lt;AK48)),5)</f>
        <v>0</v>
      </c>
      <c r="AK48" s="229">
        <f>IF(AL48=0,0,VLOOKUP(Y48,Tournament!AJ$51:AK$54,2,FALSE))</f>
        <v>0</v>
      </c>
      <c r="AL48" s="229">
        <f>IF(Y48&lt;&gt;0,IF(OR(SUM(AG48:AI48)=SUM(AG47:AI47),SUM(AG48:AI48)=SUM(AG49:AI49)),1,0),0)</f>
        <v>1</v>
      </c>
      <c r="AM48" s="229">
        <f>IF(AN48&lt;&gt;0,AM47+1,AM47)</f>
        <v>3</v>
      </c>
      <c r="AN48" s="229" t="str">
        <f>IF(AL48=1,Y48,0)</f>
        <v>Portugal</v>
      </c>
      <c r="AO48" s="229">
        <v>45</v>
      </c>
      <c r="AP48" s="229" t="str">
        <f>IF(AND(Tournament!J60&lt;&gt;"",Tournament!L60&lt;&gt;""),IF(Tournament!J60&gt;Tournament!L60,Tournament!H60,""),"")</f>
        <v/>
      </c>
      <c r="AQ48" s="229" t="str">
        <f>IF(AND(Tournament!J60&lt;&gt;"",Tournament!L60&lt;&gt;""),IF(Tournament!J60=Tournament!L60,Tournament!H60,""),"")</f>
        <v/>
      </c>
      <c r="AR48" s="229" t="str">
        <f>IF(AND(Tournament!J60&lt;&gt;"",Tournament!L60&lt;&gt;""),IF(Tournament!J60&gt;Tournament!L60,Tournament!N60,""),"")</f>
        <v/>
      </c>
      <c r="AS48" s="229">
        <f>IF(AND(Tournament!J60&lt;&gt;"",Tournament!L60&lt;&gt;""),Tournament!J60,0)</f>
        <v>0</v>
      </c>
      <c r="AT48" s="229" t="str">
        <f>IF(AND(Tournament!J60&lt;&gt;"",Tournament!L60&lt;&gt;""),IF(Tournament!J60&lt;Tournament!L60,Tournament!N60,""),"")</f>
        <v/>
      </c>
      <c r="AU48" s="229" t="str">
        <f>IF(AND(Tournament!J60&lt;&gt;"",Tournament!L60&lt;&gt;""),IF(Tournament!J60=Tournament!L60,Tournament!N60,""),"")</f>
        <v/>
      </c>
      <c r="AV48" s="229" t="str">
        <f>IF(AND(Tournament!J60&lt;&gt;"",Tournament!L60&lt;&gt;""),IF(Tournament!J60&lt;Tournament!L60,Tournament!H60,""),"")</f>
        <v/>
      </c>
      <c r="AW48" s="229">
        <f>IF(AND(Tournament!J60&lt;&gt;"",Tournament!L60&lt;&gt;""),Tournament!L60,0)</f>
        <v>0</v>
      </c>
      <c r="AX48" s="229">
        <v>1</v>
      </c>
      <c r="AY48" s="229" t="str">
        <f t="shared" si="1"/>
        <v/>
      </c>
      <c r="AZ48" s="229" t="str">
        <f t="shared" si="2"/>
        <v/>
      </c>
      <c r="BA48" s="229" t="str">
        <f t="shared" si="3"/>
        <v/>
      </c>
      <c r="BB48" s="229" t="str">
        <f t="shared" si="4"/>
        <v/>
      </c>
      <c r="BC48" s="229" t="str">
        <f t="shared" si="5"/>
        <v/>
      </c>
      <c r="BD48" s="229" t="str">
        <f t="shared" si="6"/>
        <v/>
      </c>
      <c r="BE48" s="229">
        <v>46</v>
      </c>
      <c r="BF48" s="229" t="str">
        <f>Tournament!H61</f>
        <v>Portugal</v>
      </c>
      <c r="BG48" s="229" t="str">
        <f>IF(AND(Tournament!J61&lt;&gt;"",Tournament!L61&lt;&gt;""),Tournament!J61,"")</f>
        <v/>
      </c>
      <c r="BH48" s="229" t="str">
        <f>IF(AND(Tournament!L61&lt;&gt;"",Tournament!J61&lt;&gt;""),Tournament!L61,"")</f>
        <v/>
      </c>
      <c r="BI48" s="229" t="str">
        <f>Tournament!N61</f>
        <v>Ghana</v>
      </c>
    </row>
    <row r="49" spans="1:61">
      <c r="A49" s="229">
        <f>K49+L49+M49+N49</f>
        <v>2</v>
      </c>
      <c r="B49" s="229" t="str">
        <f>Tournament!N29</f>
        <v>USA</v>
      </c>
      <c r="C49" s="229">
        <f>SUMIF(AP$4:AP$60,B49,AX$4:AX$60)+SUMIF(AT$4:AT$60,B49,AX$4:AX$60)</f>
        <v>0</v>
      </c>
      <c r="D49" s="229">
        <f>SUMIF(AQ$4:AQ$60,B49,AX$4:AX$60)+SUMIF(AU$4:AU$60,B49,AX$4:AX$60)</f>
        <v>0</v>
      </c>
      <c r="E49" s="229">
        <f>SUMIF(AR$4:AR$60,B49,AX$4:AX$60)+SUMIF(AV$4:AV$60,B49,AX$4:AX$60)</f>
        <v>0</v>
      </c>
      <c r="F49" s="229">
        <f>SUMIF($BF$3:$BF$60,B49,$BG$3:$BG$60)+SUMIF($BI$3:$BI$60,B49,$BH$3:$BH$60)</f>
        <v>0</v>
      </c>
      <c r="G49" s="229">
        <f>SUMIF($BI$3:$BI$60,B49,$BG$3:$BG$60)+SUMIF($BF$3:$BF$60,B49,$BH$3:$BH$60)</f>
        <v>0</v>
      </c>
      <c r="H49" s="229">
        <f>F49-G49+100</f>
        <v>100</v>
      </c>
      <c r="I49" s="258">
        <f>C49*3+D49</f>
        <v>0</v>
      </c>
      <c r="J49" s="229">
        <v>13</v>
      </c>
      <c r="K49" s="229">
        <f>RANK(I49,I$46:I$49)</f>
        <v>1</v>
      </c>
      <c r="L49" s="229">
        <f>SUMPRODUCT((I$46:I$49=I49)*(H$46:H$49&gt;H49))</f>
        <v>0</v>
      </c>
      <c r="M49" s="229">
        <f>SUMPRODUCT((I$46:I$49=I49)*(H$46:H$49=H49)*(F$46:F$49&gt;F49))</f>
        <v>0</v>
      </c>
      <c r="N49" s="229">
        <f>SUMPRODUCT((I$46:I$49=I49)*(H$46:H$49=H49)*(F$46:F$49=F49)*(J$46:J$49&lt;J49))</f>
        <v>1</v>
      </c>
      <c r="O49" s="229">
        <f>IF(SUM(AG46:AI49)=0,IF(COUNTIF(AJ46:AJ49,0)&gt;1,4,AJ49+1),IF(X49=X48,IF(X49=3,4,X49),IF(X49=5,3,IF(X49=6,4,X49))))</f>
        <v>4</v>
      </c>
      <c r="P49" s="229" t="str">
        <f>VLOOKUP(4,A$46:B$49,2,FALSE)</f>
        <v>Ghana</v>
      </c>
      <c r="Q49" s="229">
        <f>SUMIF(B$4:B$60,P49,F$4:F$60)</f>
        <v>0</v>
      </c>
      <c r="R49" s="229">
        <f>SUMIF(B$4:B$60,P49,H$4:H$60)</f>
        <v>100</v>
      </c>
      <c r="S49" s="258">
        <f>SUMIF($B$4:$B$60,$P49,I$4:I$60)</f>
        <v>0</v>
      </c>
      <c r="T49" s="229">
        <f>SUMIF($B$4:$B$60,$P49,A$4:A$60)</f>
        <v>4</v>
      </c>
      <c r="U49" s="229">
        <f t="shared" si="12"/>
        <v>0</v>
      </c>
      <c r="V49" s="229">
        <f t="shared" si="12"/>
        <v>0</v>
      </c>
      <c r="W49" s="229">
        <f>SUMIF($B$4:$B$60,$P49,J$4:J$60)</f>
        <v>22</v>
      </c>
      <c r="X49" s="229">
        <f>IF(Y49=0,T49,T49+AG49+AH49+AI49)</f>
        <v>4</v>
      </c>
      <c r="Y49" s="229" t="str">
        <f>IF(AND(S48=S49,S48=S47,R48=R49,R48=R47,Q48=Q49,Q48=Q47),P49,0)</f>
        <v>Ghana</v>
      </c>
      <c r="Z49" s="229">
        <f>SUMIF($AY$4:$AY$60,$Y49,$AX$4:$AX$60)+SUMIF($BB$4:$BB$60,$Y49,$AX$4:$AX$60)</f>
        <v>0</v>
      </c>
      <c r="AA49" s="229">
        <f>SUMIF($AZ$4:$AZ$60,$Y49,$AX$4:$AX$60)+SUMIF($BC$4:$BC$60,$Y49,$AX$4:$AX$60)</f>
        <v>0</v>
      </c>
      <c r="AB49" s="229">
        <f>SUMIF($BA$4:$BA$60,$Y49,$AX$4:$AX$60)+SUMIF($BD$4:$BD$60,$Y49,$AX$4:$AX$60)</f>
        <v>0</v>
      </c>
      <c r="AC49" s="229">
        <f>SUMIF(AY$4:AY$60,Y49,AS$4:AS$60)+SUMIF(BB$4:BB$60,Y49,AW$4:AW$60)+SUMIF(AZ$4:AZ$60,Y49,AS$4:AS$60)+SUMIF(BC$4:BC$60,Y49,AW$4:AW$60)</f>
        <v>0</v>
      </c>
      <c r="AD49" s="229">
        <f>SUMIF(BA$4:BA$60,Y49,AS$4:AS$60)+SUMIF(BD$4:BD$60,Y49,AW$4:AW$60)+SUMIF(AZ$4:AZ$60,Y49,AS$4:AS$60)+SUMIF(BC$4:BC$60,Y49,AW$4:AW$60)</f>
        <v>0</v>
      </c>
      <c r="AE49" s="229">
        <f>AC49-AD49+100</f>
        <v>100</v>
      </c>
      <c r="AF49" s="258">
        <f>IF(Y49&lt;&gt;0,Z49*3+AA49,"")</f>
        <v>0</v>
      </c>
      <c r="AG49" s="229">
        <f>IF(Y49&lt;&gt;0,RANK(AF49,AF$46:AF$49)-1,5)</f>
        <v>0</v>
      </c>
      <c r="AH49" s="229">
        <f>IF(Y49&lt;&gt;0,SUMPRODUCT((AF$46:AF$49=AF49)*(AE$46:AE$49&gt;AE49)),5)</f>
        <v>0</v>
      </c>
      <c r="AI49" s="229">
        <f>IF(Y49&lt;&gt;0,SUMPRODUCT((AF$46:AF$49=AF49)*(AE$46:AE$49=AE49)*(AC$46:AC$49&gt;AC49)),5)</f>
        <v>0</v>
      </c>
      <c r="AJ49" s="229">
        <f>IF(Y49&lt;&gt;0,SUMPRODUCT(($AF46:$AF49=AF49)*($AE46:$AE49=AE49)*($AC46:$AC49=AC49)*($AK46:$AK49&lt;AK49)),5)</f>
        <v>0</v>
      </c>
      <c r="AK49" s="229">
        <f>IF(AL49=0,0,VLOOKUP(Y49,Tournament!AJ$51:AK$54,2,FALSE))</f>
        <v>0</v>
      </c>
      <c r="AL49" s="229">
        <f>IF(Y49&lt;&gt;0,IF(SUM(AG49:AI49)=SUM(AG48:AI48),1,0),0)</f>
        <v>1</v>
      </c>
      <c r="AM49" s="229">
        <f>IF(AN49&lt;&gt;0,AM48+1,AM48)</f>
        <v>4</v>
      </c>
      <c r="AN49" s="229" t="str">
        <f>IF(AL49=1,Y49,0)</f>
        <v>Ghana</v>
      </c>
      <c r="AO49" s="229">
        <v>46</v>
      </c>
      <c r="AP49" s="229" t="str">
        <f>IF(AND(Tournament!J61&lt;&gt;"",Tournament!L61&lt;&gt;""),IF(Tournament!J61&gt;Tournament!L61,Tournament!H61,""),"")</f>
        <v/>
      </c>
      <c r="AQ49" s="229" t="str">
        <f>IF(AND(Tournament!J61&lt;&gt;"",Tournament!L61&lt;&gt;""),IF(Tournament!J61=Tournament!L61,Tournament!H61,""),"")</f>
        <v/>
      </c>
      <c r="AR49" s="229" t="str">
        <f>IF(AND(Tournament!J61&lt;&gt;"",Tournament!L61&lt;&gt;""),IF(Tournament!J61&gt;Tournament!L61,Tournament!N61,""),"")</f>
        <v/>
      </c>
      <c r="AS49" s="229">
        <f>IF(AND(Tournament!J61&lt;&gt;"",Tournament!L61&lt;&gt;""),Tournament!J61,0)</f>
        <v>0</v>
      </c>
      <c r="AT49" s="229" t="str">
        <f>IF(AND(Tournament!J61&lt;&gt;"",Tournament!L61&lt;&gt;""),IF(Tournament!J61&lt;Tournament!L61,Tournament!N61,""),"")</f>
        <v/>
      </c>
      <c r="AU49" s="229" t="str">
        <f>IF(AND(Tournament!J61&lt;&gt;"",Tournament!L61&lt;&gt;""),IF(Tournament!J61=Tournament!L61,Tournament!N61,""),"")</f>
        <v/>
      </c>
      <c r="AV49" s="229" t="str">
        <f>IF(AND(Tournament!J61&lt;&gt;"",Tournament!L61&lt;&gt;""),IF(Tournament!J61&lt;Tournament!L61,Tournament!H61,""),"")</f>
        <v/>
      </c>
      <c r="AW49" s="229">
        <f>IF(AND(Tournament!J61&lt;&gt;"",Tournament!L61&lt;&gt;""),Tournament!L61,0)</f>
        <v>0</v>
      </c>
      <c r="AX49" s="229">
        <v>1</v>
      </c>
      <c r="AY49" s="229" t="str">
        <f t="shared" si="1"/>
        <v/>
      </c>
      <c r="AZ49" s="229" t="str">
        <f t="shared" si="2"/>
        <v/>
      </c>
      <c r="BA49" s="229" t="str">
        <f t="shared" si="3"/>
        <v/>
      </c>
      <c r="BB49" s="229" t="str">
        <f t="shared" si="4"/>
        <v/>
      </c>
      <c r="BC49" s="229" t="str">
        <f t="shared" si="5"/>
        <v/>
      </c>
      <c r="BD49" s="229" t="str">
        <f t="shared" si="6"/>
        <v/>
      </c>
      <c r="BE49" s="229">
        <v>47</v>
      </c>
      <c r="BF49" s="229" t="str">
        <f>Tournament!H62</f>
        <v>South Korea</v>
      </c>
      <c r="BG49" s="229" t="str">
        <f>IF(AND(Tournament!J62&lt;&gt;"",Tournament!L62&lt;&gt;""),Tournament!J62,"")</f>
        <v/>
      </c>
      <c r="BH49" s="229" t="str">
        <f>IF(AND(Tournament!L62&lt;&gt;"",Tournament!J62&lt;&gt;""),Tournament!L62,"")</f>
        <v/>
      </c>
      <c r="BI49" s="229" t="str">
        <f>Tournament!N62</f>
        <v>Belgium</v>
      </c>
    </row>
    <row r="50" spans="1:61">
      <c r="AO50" s="229">
        <v>47</v>
      </c>
      <c r="AP50" s="229" t="str">
        <f>IF(AND(Tournament!J62&lt;&gt;"",Tournament!L62&lt;&gt;""),IF(Tournament!J62&gt;Tournament!L62,Tournament!H62,""),"")</f>
        <v/>
      </c>
      <c r="AQ50" s="229" t="str">
        <f>IF(AND(Tournament!J62&lt;&gt;"",Tournament!L62&lt;&gt;""),IF(Tournament!J62=Tournament!L62,Tournament!H62,""),"")</f>
        <v/>
      </c>
      <c r="AR50" s="229" t="str">
        <f>IF(AND(Tournament!J62&lt;&gt;"",Tournament!L62&lt;&gt;""),IF(Tournament!J62&gt;Tournament!L62,Tournament!N62,""),"")</f>
        <v/>
      </c>
      <c r="AS50" s="229">
        <f>IF(AND(Tournament!J62&lt;&gt;"",Tournament!L62&lt;&gt;""),Tournament!J62,0)</f>
        <v>0</v>
      </c>
      <c r="AT50" s="229" t="str">
        <f>IF(AND(Tournament!J62&lt;&gt;"",Tournament!L62&lt;&gt;""),IF(Tournament!J62&lt;Tournament!L62,Tournament!N62,""),"")</f>
        <v/>
      </c>
      <c r="AU50" s="229" t="str">
        <f>IF(AND(Tournament!J62&lt;&gt;"",Tournament!L62&lt;&gt;""),IF(Tournament!J62=Tournament!L62,Tournament!N62,""),"")</f>
        <v/>
      </c>
      <c r="AV50" s="229" t="str">
        <f>IF(AND(Tournament!J62&lt;&gt;"",Tournament!L62&lt;&gt;""),IF(Tournament!J62&lt;Tournament!L62,Tournament!H62,""),"")</f>
        <v/>
      </c>
      <c r="AW50" s="229">
        <f>IF(AND(Tournament!J62&lt;&gt;"",Tournament!L62&lt;&gt;""),Tournament!L62,0)</f>
        <v>0</v>
      </c>
      <c r="AX50" s="229">
        <v>1</v>
      </c>
      <c r="AY50" s="229" t="str">
        <f t="shared" si="1"/>
        <v/>
      </c>
      <c r="AZ50" s="229" t="str">
        <f t="shared" si="2"/>
        <v/>
      </c>
      <c r="BA50" s="229" t="str">
        <f t="shared" si="3"/>
        <v/>
      </c>
      <c r="BB50" s="229" t="str">
        <f t="shared" si="4"/>
        <v/>
      </c>
      <c r="BC50" s="229" t="str">
        <f t="shared" si="5"/>
        <v/>
      </c>
      <c r="BD50" s="229" t="str">
        <f t="shared" si="6"/>
        <v/>
      </c>
      <c r="BE50" s="229">
        <v>48</v>
      </c>
      <c r="BF50" s="229" t="str">
        <f>Tournament!H63</f>
        <v>Algeria</v>
      </c>
      <c r="BG50" s="229" t="str">
        <f>IF(AND(Tournament!J63&lt;&gt;"",Tournament!L63&lt;&gt;""),Tournament!J63,"")</f>
        <v/>
      </c>
      <c r="BH50" s="229" t="str">
        <f>IF(AND(Tournament!L63&lt;&gt;"",Tournament!J63&lt;&gt;""),Tournament!L63,"")</f>
        <v/>
      </c>
      <c r="BI50" s="229" t="str">
        <f>Tournament!N63</f>
        <v>Russia</v>
      </c>
    </row>
    <row r="51" spans="1:61">
      <c r="I51" s="258"/>
      <c r="S51" s="258"/>
      <c r="AF51" s="258"/>
      <c r="AO51" s="229">
        <v>48</v>
      </c>
      <c r="AP51" s="229" t="str">
        <f>IF(AND(Tournament!J63&lt;&gt;"",Tournament!L63&lt;&gt;""),IF(Tournament!J63&gt;Tournament!L63,Tournament!H63,""),"")</f>
        <v/>
      </c>
      <c r="AQ51" s="229" t="str">
        <f>IF(AND(Tournament!J63&lt;&gt;"",Tournament!L63&lt;&gt;""),IF(Tournament!J63=Tournament!L63,Tournament!H63,""),"")</f>
        <v/>
      </c>
      <c r="AR51" s="229" t="str">
        <f>IF(AND(Tournament!J63&lt;&gt;"",Tournament!L63&lt;&gt;""),IF(Tournament!J63&gt;Tournament!L63,Tournament!N63,""),"")</f>
        <v/>
      </c>
      <c r="AS51" s="229">
        <f>IF(AND(Tournament!J63&lt;&gt;"",Tournament!L63&lt;&gt;""),Tournament!J63,0)</f>
        <v>0</v>
      </c>
      <c r="AT51" s="229" t="str">
        <f>IF(AND(Tournament!J63&lt;&gt;"",Tournament!L63&lt;&gt;""),IF(Tournament!J63&lt;Tournament!L63,Tournament!N63,""),"")</f>
        <v/>
      </c>
      <c r="AU51" s="229" t="str">
        <f>IF(AND(Tournament!J63&lt;&gt;"",Tournament!L63&lt;&gt;""),IF(Tournament!J63=Tournament!L63,Tournament!N63,""),"")</f>
        <v/>
      </c>
      <c r="AV51" s="229" t="str">
        <f>IF(AND(Tournament!J63&lt;&gt;"",Tournament!L63&lt;&gt;""),IF(Tournament!J63&lt;Tournament!L63,Tournament!H63,""),"")</f>
        <v/>
      </c>
      <c r="AW51" s="229">
        <f>IF(AND(Tournament!J63&lt;&gt;"",Tournament!L63&lt;&gt;""),Tournament!L63,0)</f>
        <v>0</v>
      </c>
      <c r="AX51" s="229">
        <v>1</v>
      </c>
      <c r="AY51" s="229" t="str">
        <f t="shared" si="1"/>
        <v/>
      </c>
      <c r="AZ51" s="229" t="str">
        <f t="shared" si="2"/>
        <v/>
      </c>
      <c r="BA51" s="229" t="str">
        <f t="shared" si="3"/>
        <v/>
      </c>
      <c r="BB51" s="229" t="str">
        <f t="shared" si="4"/>
        <v/>
      </c>
      <c r="BC51" s="229" t="str">
        <f t="shared" si="5"/>
        <v/>
      </c>
      <c r="BD51" s="229" t="str">
        <f t="shared" si="6"/>
        <v/>
      </c>
    </row>
    <row r="52" spans="1:61">
      <c r="I52" s="258"/>
      <c r="S52" s="258"/>
      <c r="AF52" s="258"/>
    </row>
    <row r="53" spans="1:61">
      <c r="A53" s="229">
        <f>K53+L53+M53+N53</f>
        <v>1</v>
      </c>
      <c r="B53" s="229" t="str">
        <f>Tournament!H30</f>
        <v>Belgium</v>
      </c>
      <c r="C53" s="229">
        <f>SUMIF(AP$4:AP$60,B53,AX$4:AX$60)+SUMIF(AT$4:AT$60,B53,AX$4:AX$60)</f>
        <v>0</v>
      </c>
      <c r="D53" s="229">
        <f>SUMIF(AQ$4:AQ$60,B53,AX$4:AX$60)+SUMIF(AU$4:AU$60,B53,AX$4:AX$60)</f>
        <v>0</v>
      </c>
      <c r="E53" s="229">
        <f>SUMIF(AR$4:AR$60,B53,AX$4:AX$60)+SUMIF(AV$4:AV$60,B53,AX$4:AX$60)</f>
        <v>0</v>
      </c>
      <c r="F53" s="229">
        <f>SUMIF($BF$3:$BF$60,B53,$BG$3:$BG$60)+SUMIF($BI$3:$BI$60,B53,$BH$3:$BH$60)</f>
        <v>0</v>
      </c>
      <c r="G53" s="229">
        <f>SUMIF($BI$3:$BI$60,B53,$BG$3:$BG$60)+SUMIF($BF$3:$BF$60,B53,$BH$3:$BH$60)</f>
        <v>0</v>
      </c>
      <c r="H53" s="229">
        <f>F53-G53+100</f>
        <v>100</v>
      </c>
      <c r="I53" s="258">
        <f>C53*3+D53</f>
        <v>0</v>
      </c>
      <c r="J53" s="229">
        <v>5</v>
      </c>
      <c r="K53" s="229">
        <f>RANK(I53,I$53:I$56)</f>
        <v>1</v>
      </c>
      <c r="L53" s="229">
        <f>SUMPRODUCT((I$53:I$56=I53)*(H$53:H$56&gt;H53))</f>
        <v>0</v>
      </c>
      <c r="M53" s="229">
        <f>SUMPRODUCT((I$53:I$56=I53)*(H$53:H$56=H53)*(F$53:F$56&gt;F53))</f>
        <v>0</v>
      </c>
      <c r="N53" s="229">
        <f>SUMPRODUCT((I$53:I$56=I53)*(H$53:H$56=H53)*(F$53:F$56=F53)*(J$53:J$56&lt;J53))</f>
        <v>0</v>
      </c>
      <c r="O53" s="229">
        <f>IF(SUM(AG53:AI56)=0,IF(COUNTIF(AJ53:AJ56,0)&gt;1,1,AJ53+1),X53)</f>
        <v>1</v>
      </c>
      <c r="P53" s="229" t="str">
        <f>VLOOKUP(1,A$53:B$56,2,FALSE)</f>
        <v>Belgium</v>
      </c>
      <c r="Q53" s="229">
        <f>SUMIF(B$4:B$60,P53,F$4:F$60)</f>
        <v>0</v>
      </c>
      <c r="R53" s="229">
        <f>SUMIF(B$4:B$60,P53,H$4:H$60)</f>
        <v>100</v>
      </c>
      <c r="S53" s="258">
        <f>SUMIF($B$4:$B$60,$P53,I$4:I$60)</f>
        <v>0</v>
      </c>
      <c r="T53" s="229">
        <f>SUMIF($B$4:$B$60,$P53,A$4:A$60)</f>
        <v>1</v>
      </c>
      <c r="U53" s="229">
        <f t="shared" ref="U53:V56" si="13">SUMIF($B$4:$B$60,$P53,L$4:L$60)</f>
        <v>0</v>
      </c>
      <c r="V53" s="229">
        <f t="shared" si="13"/>
        <v>0</v>
      </c>
      <c r="W53" s="229">
        <f>SUMIF($B$4:$B$60,$P53,J$4:J$60)</f>
        <v>5</v>
      </c>
      <c r="X53" s="229">
        <f>IF(Y53=0,T53,T53+AG53+AH53+AI53)</f>
        <v>1</v>
      </c>
      <c r="Y53" s="229" t="str">
        <f>IF(AND(S53=S54,R53=R54,Q53=Q54),P53,0)</f>
        <v>Belgium</v>
      </c>
      <c r="Z53" s="229">
        <f>SUMIF($AY$4:$AY$60,$Y53,$AX$4:$AX$60)+SUMIF($BB$4:$BB$60,$Y53,$AX$4:$AX$60)</f>
        <v>0</v>
      </c>
      <c r="AA53" s="229">
        <f>SUMIF($AZ$4:$AZ$60,$Y53,$AX$4:$AX$60)+SUMIF($BC$4:$BC$60,$Y53,$AX$4:$AX$60)</f>
        <v>0</v>
      </c>
      <c r="AB53" s="229">
        <f>SUMIF($BA$4:$BA$60,$Y53,$AX$4:$AX$60)+SUMIF($BD$4:$BD$60,$Y53,$AX$4:$AX$60)</f>
        <v>0</v>
      </c>
      <c r="AC53" s="229">
        <f>SUMIF(AY$4:AY$60,Y53,AS$4:AS$60)+SUMIF(BB$4:BB$60,Y53,AW$4:AW$60)+SUMIF(AZ$4:AZ$60,Y53,AS$4:AS$60)+SUMIF(BC$4:BC$60,Y53,AW$4:AW$60)</f>
        <v>0</v>
      </c>
      <c r="AD53" s="229">
        <f>SUMIF(BA$4:BA$60,Y53,AS$4:AS$60)+SUMIF(BD$4:BD$60,Y53,AW$4:AW$60)+SUMIF(AZ$4:AZ$60,Y53,AS$4:AS$60)+SUMIF(BC$4:BC$60,Y53,AW$4:AW$60)</f>
        <v>0</v>
      </c>
      <c r="AE53" s="229">
        <f>AC53-AD53+100</f>
        <v>100</v>
      </c>
      <c r="AF53" s="258">
        <f>IF(Y53&lt;&gt;0,Z53*3+AA53,"")</f>
        <v>0</v>
      </c>
      <c r="AG53" s="229">
        <f>IF(Y53&lt;&gt;0,RANK(AF53,AF$53:AF$56)-1,5)</f>
        <v>0</v>
      </c>
      <c r="AH53" s="229">
        <f>IF(Y53&lt;&gt;0,SUMPRODUCT((AF$53:AF$56=AF53)*(AE$53:AE$56&gt;AE53)),5)</f>
        <v>0</v>
      </c>
      <c r="AI53" s="229">
        <f>IF(Y53&lt;&gt;0,SUMPRODUCT((AF$53:AF$56=AF53)*(AE$53:AE$56=AE53)*(AC$53:AC$56&gt;AC53)),5)</f>
        <v>0</v>
      </c>
      <c r="AJ53" s="229">
        <f>IF(Y53&lt;&gt;0,SUMPRODUCT(($AF53:$AF56=AF53)*($AE53:$AE56=AE53)*($AC53:$AC56=AC53)*($AK53:$AK56&lt;AK53)),5)</f>
        <v>0</v>
      </c>
      <c r="AK53" s="229">
        <f>IF(AL53=0,0,VLOOKUP(Y53,Tournament!AJ$57:AK$60,2,FALSE))</f>
        <v>0</v>
      </c>
      <c r="AL53" s="229">
        <f>IF(Y53&lt;&gt;0,IF(SUM(AG53:AI53)=SUM(AG54:AI54),1,0),0)</f>
        <v>1</v>
      </c>
      <c r="AM53" s="229">
        <f>IF(AN53&lt;&gt;0,1,0)</f>
        <v>1</v>
      </c>
      <c r="AN53" s="229" t="str">
        <f>IF(AL53=1,Y53,0)</f>
        <v>Belgium</v>
      </c>
    </row>
    <row r="54" spans="1:61">
      <c r="A54" s="229">
        <f>K54+L54+M54+N54</f>
        <v>3</v>
      </c>
      <c r="B54" s="229" t="str">
        <f>Tournament!N30</f>
        <v>Algeria</v>
      </c>
      <c r="C54" s="229">
        <f>SUMIF(AP$4:AP$60,B54,AX$4:AX$60)+SUMIF(AT$4:AT$60,B54,AX$4:AX$60)</f>
        <v>0</v>
      </c>
      <c r="D54" s="229">
        <f>SUMIF(AQ$4:AQ$60,B54,AX$4:AX$60)+SUMIF(AU$4:AU$60,B54,AX$4:AX$60)</f>
        <v>0</v>
      </c>
      <c r="E54" s="229">
        <f>SUMIF(AR$4:AR$60,B54,AX$4:AX$60)+SUMIF(AV$4:AV$60,B54,AX$4:AX$60)</f>
        <v>0</v>
      </c>
      <c r="F54" s="229">
        <f>SUMIF($BF$3:$BF$60,B54,$BG$3:$BG$60)+SUMIF($BI$3:$BI$60,B54,$BH$3:$BH$60)</f>
        <v>0</v>
      </c>
      <c r="G54" s="229">
        <f>SUMIF($BI$3:$BI$60,B54,$BG$3:$BG$60)+SUMIF($BF$3:$BF$60,B54,$BH$3:$BH$60)</f>
        <v>0</v>
      </c>
      <c r="H54" s="229">
        <f>F54-G54+100</f>
        <v>100</v>
      </c>
      <c r="I54" s="258">
        <f>C54*3+D54</f>
        <v>0</v>
      </c>
      <c r="J54" s="229">
        <v>25</v>
      </c>
      <c r="K54" s="229">
        <f>RANK(I54,I$53:I$56)</f>
        <v>1</v>
      </c>
      <c r="L54" s="229">
        <f>SUMPRODUCT((I$53:I$56=I54)*(H$53:H$56&gt;H54))</f>
        <v>0</v>
      </c>
      <c r="M54" s="229">
        <f>SUMPRODUCT((I$53:I$56=I54)*(H$53:H$56=H54)*(F$53:F$56&gt;F54))</f>
        <v>0</v>
      </c>
      <c r="N54" s="229">
        <f>SUMPRODUCT((I$53:I$56=I54)*(H$53:H$56=H54)*(F$53:F$56=F54)*(J$53:J$56&lt;J54))</f>
        <v>2</v>
      </c>
      <c r="O54" s="229">
        <f>IF(SUM(AG53:AI56)=0,IF(COUNTIF(AJ53:AJ56,0)&gt;1,2,AJ54+1),IF(AND(X53=1,X54=3,Y53&lt;&gt;0,Y54&lt;&gt;0,Y55=0,Y56=0),2,IF(AND(X53=2,X54=2,Y53&lt;&gt;0,Y54&lt;&gt;0,Y55=0,Y56=0),1,IF(AND(X54=4,AI54=2),3,X54))))</f>
        <v>2</v>
      </c>
      <c r="P54" s="229" t="str">
        <f>VLOOKUP(2,A$53:B$56,2,FALSE)</f>
        <v>Russia</v>
      </c>
      <c r="Q54" s="229">
        <f>SUMIF(B$4:B$60,P54,F$4:F$60)</f>
        <v>0</v>
      </c>
      <c r="R54" s="229">
        <f>SUMIF(B$4:B$60,P54,H$4:H$60)</f>
        <v>100</v>
      </c>
      <c r="S54" s="258">
        <f>SUMIF($B$4:$B$60,$P54,I$4:I$60)</f>
        <v>0</v>
      </c>
      <c r="T54" s="229">
        <f>SUMIF($B$4:$B$60,$P54,A$4:A$60)</f>
        <v>2</v>
      </c>
      <c r="U54" s="229">
        <f t="shared" si="13"/>
        <v>0</v>
      </c>
      <c r="V54" s="229">
        <f t="shared" si="13"/>
        <v>0</v>
      </c>
      <c r="W54" s="229">
        <f>SUMIF($B$4:$B$60,$P54,J$4:J$60)</f>
        <v>19</v>
      </c>
      <c r="X54" s="229">
        <f>IF(Y54=0,T54,T54+AG54+AH54+AI54)</f>
        <v>2</v>
      </c>
      <c r="Y54" s="229" t="str">
        <f>IF(OR(AND(S53=S54,R53=R54,Q53=Q54),AND(S55=S54,R55=R54,Q55=Q54)),P54,0)</f>
        <v>Russia</v>
      </c>
      <c r="Z54" s="229">
        <f>SUMIF($AY$4:$AY$60,$Y54,$AX$4:$AX$60)+SUMIF($BB$4:$BB$60,$Y54,$AX$4:$AX$60)</f>
        <v>0</v>
      </c>
      <c r="AA54" s="229">
        <f>SUMIF($AZ$4:$AZ$60,$Y54,$AX$4:$AX$60)+SUMIF($BC$4:$BC$60,$Y54,$AX$4:$AX$60)</f>
        <v>0</v>
      </c>
      <c r="AB54" s="229">
        <f>SUMIF($BA$4:$BA$60,$Y54,$AX$4:$AX$60)+SUMIF($BD$4:$BD$60,$Y54,$AX$4:$AX$60)</f>
        <v>0</v>
      </c>
      <c r="AC54" s="229">
        <f>SUMIF(AY$4:AY$60,Y54,AS$4:AS$60)+SUMIF(BB$4:BB$60,Y54,AW$4:AW$60)+SUMIF(AZ$4:AZ$60,Y54,AS$4:AS$60)+SUMIF(BC$4:BC$60,Y54,AW$4:AW$60)</f>
        <v>0</v>
      </c>
      <c r="AD54" s="229">
        <f>SUMIF(BA$4:BA$60,Y54,AS$4:AS$60)+SUMIF(BD$4:BD$60,Y54,AW$4:AW$60)+SUMIF(AZ$4:AZ$60,Y54,AS$4:AS$60)+SUMIF(BC$4:BC$60,Y54,AW$4:AW$60)</f>
        <v>0</v>
      </c>
      <c r="AE54" s="229">
        <f>AC54-AD54+100</f>
        <v>100</v>
      </c>
      <c r="AF54" s="258">
        <f>IF(Y54&lt;&gt;0,Z54*3+AA54,"")</f>
        <v>0</v>
      </c>
      <c r="AG54" s="229">
        <f>IF(Y54&lt;&gt;0,RANK(AF54,AF$53:AF$56)-1,5)</f>
        <v>0</v>
      </c>
      <c r="AH54" s="229">
        <f>IF(Y54&lt;&gt;0,SUMPRODUCT((AF$53:AF$56=AF54)*(AE$53:AE$56&gt;AE54)),5)</f>
        <v>0</v>
      </c>
      <c r="AI54" s="229">
        <f>IF(Y54&lt;&gt;0,SUMPRODUCT((AF$53:AF$56=AF54)*(AE$53:AE$56=AE54)*(AC$53:AC$56&gt;AC54)),5)</f>
        <v>0</v>
      </c>
      <c r="AJ54" s="229">
        <f>IF(Y54&lt;&gt;0,SUMPRODUCT(($AF53:$AF56=AF54)*($AE53:$AE56=AE54)*($AC53:$AC56=AC54)*($AK53:$AK56&lt;AK54)),5)</f>
        <v>0</v>
      </c>
      <c r="AK54" s="229">
        <f>IF(AL54=0,0,VLOOKUP(Y54,Tournament!AJ$57:AK$60,2,FALSE))</f>
        <v>0</v>
      </c>
      <c r="AL54" s="229">
        <f>IF(Y54&lt;&gt;0,IF(OR(SUM(AG54:AI54)=SUM(AG53:AI53),SUM(AG54:AI54)=SUM(AG55:AI55)),1,0),0)</f>
        <v>1</v>
      </c>
      <c r="AM54" s="229">
        <f>IF(AN54&lt;&gt;0,AM53+1,AM53)</f>
        <v>2</v>
      </c>
      <c r="AN54" s="229" t="str">
        <f>IF(AL54=1,Y54,0)</f>
        <v>Russia</v>
      </c>
    </row>
    <row r="55" spans="1:61">
      <c r="A55" s="229">
        <f>K55+L55+M55+N55</f>
        <v>2</v>
      </c>
      <c r="B55" s="229" t="str">
        <f>Tournament!H31</f>
        <v>Russia</v>
      </c>
      <c r="C55" s="229">
        <f>SUMIF(AP$4:AP$60,B55,AX$4:AX$60)+SUMIF(AT$4:AT$60,B55,AX$4:AX$60)</f>
        <v>0</v>
      </c>
      <c r="D55" s="229">
        <f>SUMIF(AQ$4:AQ$60,B55,AX$4:AX$60)+SUMIF(AU$4:AU$60,B55,AX$4:AX$60)</f>
        <v>0</v>
      </c>
      <c r="E55" s="229">
        <f>SUMIF(AR$4:AR$60,B55,AX$4:AX$60)+SUMIF(AV$4:AV$60,B55,AX$4:AX$60)</f>
        <v>0</v>
      </c>
      <c r="F55" s="229">
        <f>SUMIF($BF$3:$BF$60,B55,$BG$3:$BG$60)+SUMIF($BI$3:$BI$60,B55,$BH$3:$BH$60)</f>
        <v>0</v>
      </c>
      <c r="G55" s="229">
        <f>SUMIF($BI$3:$BI$60,B55,$BG$3:$BG$60)+SUMIF($BF$3:$BF$60,B55,$BH$3:$BH$60)</f>
        <v>0</v>
      </c>
      <c r="H55" s="229">
        <f>F55-G55+100</f>
        <v>100</v>
      </c>
      <c r="I55" s="258">
        <f>C55*3+D55</f>
        <v>0</v>
      </c>
      <c r="J55" s="229">
        <v>19</v>
      </c>
      <c r="K55" s="229">
        <f>RANK(I55,I$53:I$56)</f>
        <v>1</v>
      </c>
      <c r="L55" s="229">
        <f>SUMPRODUCT((I$53:I$56=I55)*(H$53:H$56&gt;H55))</f>
        <v>0</v>
      </c>
      <c r="M55" s="229">
        <f>SUMPRODUCT((I$53:I$56=I55)*(H$53:H$56=H55)*(F$53:F$56&gt;F55))</f>
        <v>0</v>
      </c>
      <c r="N55" s="229">
        <f>SUMPRODUCT((I$53:I$56=I55)*(H$53:H$56=H55)*(F$53:F$56=F55)*(J$53:J$56&lt;J55))</f>
        <v>1</v>
      </c>
      <c r="O55" s="229">
        <f>IF(SUM(AG53:AI56)=0,IF(COUNTIF(AJ53:AJ56,0)&gt;1,3,AJ55+1),IF(AND(X54=3,X55=3,Y53=0,Y54&lt;&gt;0,Y55&lt;&gt;0),2,IF(OR(X55=5,X55=4),3,IF(X55=6,4,IF(AND(X54=4,X53=1,Y55&lt;&gt;""),2,IF(AND(AI55=0,AI54=1,AI53=1,Y55&lt;&gt;""),1,X55))))))</f>
        <v>3</v>
      </c>
      <c r="P55" s="229" t="str">
        <f>VLOOKUP(3,A$53:B$56,2,FALSE)</f>
        <v>Algeria</v>
      </c>
      <c r="Q55" s="229">
        <f>SUMIF(B$4:B$60,P55,F$4:F$60)</f>
        <v>0</v>
      </c>
      <c r="R55" s="229">
        <f>SUMIF(B$4:B$60,P55,H$4:H$60)</f>
        <v>100</v>
      </c>
      <c r="S55" s="258">
        <f>SUMIF($B$4:$B$60,$P55,I$4:I$60)</f>
        <v>0</v>
      </c>
      <c r="T55" s="229">
        <f>SUMIF($B$4:$B$60,$P55,A$4:A$60)</f>
        <v>3</v>
      </c>
      <c r="U55" s="229">
        <f t="shared" si="13"/>
        <v>0</v>
      </c>
      <c r="V55" s="229">
        <f t="shared" si="13"/>
        <v>0</v>
      </c>
      <c r="W55" s="229">
        <f>SUMIF($B$4:$B$60,$P55,J$4:J$60)</f>
        <v>25</v>
      </c>
      <c r="X55" s="229">
        <f>IF(Y55=0,T55,T55+AG55+AH55+AI55)</f>
        <v>3</v>
      </c>
      <c r="Y55" s="229" t="str">
        <f>IF(OR(AND(S54=S55,R54=R55,Q54=Q55),AND(S56=S55,S55=S54,R56=R55,R55=R54,Q56=Q55,Q55=Q54)),P55,0)</f>
        <v>Algeria</v>
      </c>
      <c r="Z55" s="229">
        <f>SUMIF($AY$4:$AY$60,$Y55,$AX$4:$AX$60)+SUMIF($BB$4:$BB$60,$Y55,$AX$4:$AX$60)</f>
        <v>0</v>
      </c>
      <c r="AA55" s="229">
        <f>SUMIF($AZ$4:$AZ$60,$Y55,$AX$4:$AX$60)+SUMIF($BC$4:$BC$60,$Y55,$AX$4:$AX$60)</f>
        <v>0</v>
      </c>
      <c r="AB55" s="229">
        <f>SUMIF($BA$4:$BA$60,$Y55,$AX$4:$AX$60)+SUMIF($BD$4:$BD$60,$Y55,$AX$4:$AX$60)</f>
        <v>0</v>
      </c>
      <c r="AC55" s="229">
        <f>SUMIF(AY$4:AY$60,Y55,AS$4:AS$60)+SUMIF(BB$4:BB$60,Y55,AW$4:AW$60)+SUMIF(AZ$4:AZ$60,Y55,AS$4:AS$60)+SUMIF(BC$4:BC$60,Y55,AW$4:AW$60)</f>
        <v>0</v>
      </c>
      <c r="AD55" s="229">
        <f>SUMIF(BA$4:BA$60,Y55,AS$4:AS$60)+SUMIF(BD$4:BD$60,Y55,AW$4:AW$60)+SUMIF(AZ$4:AZ$60,Y55,AS$4:AS$60)+SUMIF(BC$4:BC$60,Y55,AW$4:AW$60)</f>
        <v>0</v>
      </c>
      <c r="AE55" s="229">
        <f>AC55-AD55+100</f>
        <v>100</v>
      </c>
      <c r="AF55" s="258">
        <f>IF(Y55&lt;&gt;0,Z55*3+AA55,"")</f>
        <v>0</v>
      </c>
      <c r="AG55" s="229">
        <f>IF(Y55&lt;&gt;0,RANK(AF55,AF$53:AF$56)-1,5)</f>
        <v>0</v>
      </c>
      <c r="AH55" s="229">
        <f>IF(Y55&lt;&gt;0,SUMPRODUCT((AF$53:AF$56=AF55)*(AE$53:AE$56&gt;AE55)),5)</f>
        <v>0</v>
      </c>
      <c r="AI55" s="229">
        <f>IF(Y55&lt;&gt;0,SUMPRODUCT((AF$53:AF$56=AF55)*(AE$53:AE$56=AE55)*(AC$53:AC$56&gt;AC55)),5)</f>
        <v>0</v>
      </c>
      <c r="AJ55" s="229">
        <f>IF(Y55&lt;&gt;0,SUMPRODUCT(($AF53:$AF56=AF55)*($AE53:$AE56=AE55)*($AC53:$AC56=AC55)*($AK53:$AK56&lt;AK55)),5)</f>
        <v>0</v>
      </c>
      <c r="AK55" s="229">
        <f>IF(AL55=0,0,VLOOKUP(Y55,Tournament!AJ$57:AK$60,2,FALSE))</f>
        <v>0</v>
      </c>
      <c r="AL55" s="229">
        <f>IF(Y55&lt;&gt;0,IF(OR(SUM(AG55:AI55)=SUM(AG54:AI54),SUM(AG55:AI55)=SUM(AG56:AI56)),1,0),0)</f>
        <v>1</v>
      </c>
      <c r="AM55" s="229">
        <f>IF(AN55&lt;&gt;0,AM54+1,AM54)</f>
        <v>3</v>
      </c>
      <c r="AN55" s="229" t="str">
        <f>IF(AL55=1,Y55,0)</f>
        <v>Algeria</v>
      </c>
    </row>
    <row r="56" spans="1:61">
      <c r="A56" s="229">
        <f>K56+L56+M56+N56</f>
        <v>4</v>
      </c>
      <c r="B56" s="229" t="str">
        <f>Tournament!N31</f>
        <v>South Korea</v>
      </c>
      <c r="C56" s="229">
        <f>SUMIF(AP$4:AP$60,B56,AX$4:AX$60)+SUMIF(AT$4:AT$60,B56,AX$4:AX$60)</f>
        <v>0</v>
      </c>
      <c r="D56" s="229">
        <f>SUMIF(AQ$4:AQ$60,B56,AX$4:AX$60)+SUMIF(AU$4:AU$60,B56,AX$4:AX$60)</f>
        <v>0</v>
      </c>
      <c r="E56" s="229">
        <f>SUMIF(AR$4:AR$60,B56,AX$4:AX$60)+SUMIF(AV$4:AV$60,B56,AX$4:AX$60)</f>
        <v>0</v>
      </c>
      <c r="F56" s="229">
        <f>SUMIF($BF$3:$BF$60,B56,$BG$3:$BG$60)+SUMIF($BI$3:$BI$60,B56,$BH$3:$BH$60)</f>
        <v>0</v>
      </c>
      <c r="G56" s="229">
        <f>SUMIF($BI$3:$BI$60,B56,$BG$3:$BG$60)+SUMIF($BF$3:$BF$60,B56,$BH$3:$BH$60)</f>
        <v>0</v>
      </c>
      <c r="H56" s="229">
        <f>F56-G56+100</f>
        <v>100</v>
      </c>
      <c r="I56" s="258">
        <f>C56*3+D56</f>
        <v>0</v>
      </c>
      <c r="J56" s="229">
        <v>30</v>
      </c>
      <c r="K56" s="229">
        <f>RANK(I56,I$53:I$56)</f>
        <v>1</v>
      </c>
      <c r="L56" s="229">
        <f>SUMPRODUCT((I$53:I$56=I56)*(H$53:H$56&gt;H56))</f>
        <v>0</v>
      </c>
      <c r="M56" s="229">
        <f>SUMPRODUCT((I$53:I$56=I56)*(H$53:H$56=H56)*(F$53:F$56&gt;F56))</f>
        <v>0</v>
      </c>
      <c r="N56" s="229">
        <f>SUMPRODUCT((I$53:I$56=I56)*(H$53:H$56=H56)*(F$53:F$56=F56)*(J$53:J$56&lt;J56))</f>
        <v>3</v>
      </c>
      <c r="O56" s="229">
        <f>IF(SUM(AG53:AI56)=0,IF(COUNTIF(AJ53:AJ56,0)&gt;1,4,AJ56+1),IF(X56=X55,IF(X56=3,4,X56),IF(X56=5,3,IF(X56=6,4,X56))))</f>
        <v>4</v>
      </c>
      <c r="P56" s="229" t="str">
        <f>VLOOKUP(4,A$53:B$56,2,FALSE)</f>
        <v>South Korea</v>
      </c>
      <c r="Q56" s="229">
        <f>SUMIF(B$4:B$60,P56,F$4:F$60)</f>
        <v>0</v>
      </c>
      <c r="R56" s="229">
        <f>SUMIF(B$4:B$60,P56,H$4:H$60)</f>
        <v>100</v>
      </c>
      <c r="S56" s="258">
        <f>SUMIF($B$4:$B$60,$P56,I$4:I$60)</f>
        <v>0</v>
      </c>
      <c r="T56" s="229">
        <f>SUMIF($B$4:$B$60,$P56,A$4:A$60)</f>
        <v>4</v>
      </c>
      <c r="U56" s="229">
        <f t="shared" si="13"/>
        <v>0</v>
      </c>
      <c r="V56" s="229">
        <f t="shared" si="13"/>
        <v>0</v>
      </c>
      <c r="W56" s="229">
        <f>SUMIF($B$4:$B$60,$P56,J$4:J$60)</f>
        <v>30</v>
      </c>
      <c r="X56" s="229">
        <f>IF(Y56=0,T56,T56+AG56+AH56+AI56)</f>
        <v>4</v>
      </c>
      <c r="Y56" s="229" t="str">
        <f>IF(AND(S55=S56,S55=S54,R55=R56,R55=R54,Q55=Q56,Q55=Q54),P56,0)</f>
        <v>South Korea</v>
      </c>
      <c r="Z56" s="229">
        <f>SUMIF($AY$4:$AY$60,$Y56,$AX$4:$AX$60)+SUMIF($BB$4:$BB$60,$Y56,$AX$4:$AX$60)</f>
        <v>0</v>
      </c>
      <c r="AA56" s="229">
        <f>SUMIF($AZ$4:$AZ$60,$Y56,$AX$4:$AX$60)+SUMIF($BC$4:$BC$60,$Y56,$AX$4:$AX$60)</f>
        <v>0</v>
      </c>
      <c r="AB56" s="229">
        <f>SUMIF($BA$4:$BA$60,$Y56,$AX$4:$AX$60)+SUMIF($BD$4:$BD$60,$Y56,$AX$4:$AX$60)</f>
        <v>0</v>
      </c>
      <c r="AC56" s="229">
        <f>SUMIF(AY$4:AY$60,Y56,AS$4:AS$60)+SUMIF(BB$4:BB$60,Y56,AW$4:AW$60)+SUMIF(AZ$4:AZ$60,Y56,AS$4:AS$60)+SUMIF(BC$4:BC$60,Y56,AW$4:AW$60)</f>
        <v>0</v>
      </c>
      <c r="AD56" s="229">
        <f>SUMIF(BA$4:BA$60,Y56,AS$4:AS$60)+SUMIF(BD$4:BD$60,Y56,AW$4:AW$60)+SUMIF(AZ$4:AZ$60,Y56,AS$4:AS$60)+SUMIF(BC$4:BC$60,Y56,AW$4:AW$60)</f>
        <v>0</v>
      </c>
      <c r="AE56" s="229">
        <f>AC56-AD56+100</f>
        <v>100</v>
      </c>
      <c r="AF56" s="258">
        <f>IF(Y56&lt;&gt;0,Z56*3+AA56,"")</f>
        <v>0</v>
      </c>
      <c r="AG56" s="229">
        <f>IF(Y56&lt;&gt;0,RANK(AF56,AF$53:AF$56)-1,5)</f>
        <v>0</v>
      </c>
      <c r="AH56" s="229">
        <f>IF(Y56&lt;&gt;0,SUMPRODUCT((AF$53:AF$56=AF56)*(AE$53:AE$56&gt;AE56)),5)</f>
        <v>0</v>
      </c>
      <c r="AI56" s="229">
        <f>IF(Y56&lt;&gt;0,SUMPRODUCT((AF$53:AF$56=AF56)*(AE$53:AE$56=AE56)*(AC$53:AC$56&gt;AC56)),5)</f>
        <v>0</v>
      </c>
      <c r="AJ56" s="229">
        <f>IF(Y56&lt;&gt;0,SUMPRODUCT(($AF53:$AF56=AF56)*($AE53:$AE56=AE56)*($AC53:$AC56=AC56)*($AK53:$AK56&lt;AK56)),5)</f>
        <v>0</v>
      </c>
      <c r="AK56" s="229">
        <f>IF(AL56=0,0,VLOOKUP(Y56,Tournament!AJ$57:AK$60,2,FALSE))</f>
        <v>0</v>
      </c>
      <c r="AL56" s="229">
        <f>IF(Y56&lt;&gt;0,IF(SUM(AG56:AI56)=SUM(AG55:AI55),1,0),0)</f>
        <v>1</v>
      </c>
      <c r="AM56" s="229">
        <f>IF(AN56&lt;&gt;0,AM55+1,AM55)</f>
        <v>4</v>
      </c>
      <c r="AN56" s="229" t="str">
        <f>IF(AL56=1,Y56,0)</f>
        <v>South Korea</v>
      </c>
    </row>
  </sheetData>
  <sheetProtection password="CEE2" sheet="1" objects="1" scenarios="1" selectLockedCells="1" selectUnlockedCells="1"/>
  <phoneticPr fontId="2" type="noConversion"/>
  <pageMargins left="0.75" right="0.75" top="1" bottom="1" header="0.5" footer="0.5"/>
  <pageSetup paperSize="9" orientation="portrait" horizontalDpi="300" verticalDpi="300"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111"/>
  <sheetViews>
    <sheetView showGridLines="0" workbookViewId="0">
      <pane xSplit="2" ySplit="2" topLeftCell="AP3" activePane="bottomRight" state="frozen"/>
      <selection pane="topRight" activeCell="C1" sqref="C1"/>
      <selection pane="bottomLeft" activeCell="A3" sqref="A3"/>
      <selection pane="bottomRight" activeCell="AU9" sqref="AU9"/>
    </sheetView>
  </sheetViews>
  <sheetFormatPr defaultColWidth="9.109375" defaultRowHeight="13.2"/>
  <cols>
    <col min="1" max="1" width="4" style="246" bestFit="1" customWidth="1"/>
    <col min="2" max="2" width="30.88671875" style="246" customWidth="1"/>
    <col min="3" max="46" width="12.6640625" style="246" customWidth="1"/>
    <col min="47" max="47" width="9.109375" style="246"/>
    <col min="48" max="48" width="9.109375" style="247"/>
    <col min="49" max="16384" width="9.109375" style="246"/>
  </cols>
  <sheetData>
    <row r="1" spans="1:47">
      <c r="A1" s="246">
        <v>1</v>
      </c>
      <c r="B1" s="246" t="s">
        <v>3316</v>
      </c>
      <c r="C1" s="246" t="s">
        <v>885</v>
      </c>
      <c r="D1" s="246" t="s">
        <v>3230</v>
      </c>
      <c r="E1" s="246" t="s">
        <v>1364</v>
      </c>
      <c r="F1" s="246" t="s">
        <v>3239</v>
      </c>
      <c r="G1" s="246" t="s">
        <v>3176</v>
      </c>
      <c r="H1" s="246" t="s">
        <v>3143</v>
      </c>
      <c r="I1" s="246" t="s">
        <v>3144</v>
      </c>
      <c r="J1" s="246" t="s">
        <v>1346</v>
      </c>
      <c r="K1" s="246" t="s">
        <v>3200</v>
      </c>
      <c r="L1" s="246" t="s">
        <v>3195</v>
      </c>
      <c r="M1" s="246" t="s">
        <v>3109</v>
      </c>
      <c r="N1" s="246" t="s">
        <v>3220</v>
      </c>
      <c r="O1" s="246" t="s">
        <v>3138</v>
      </c>
      <c r="P1" s="246" t="s">
        <v>3145</v>
      </c>
      <c r="Q1" s="246" t="s">
        <v>628</v>
      </c>
      <c r="R1" s="246" t="s">
        <v>3246</v>
      </c>
      <c r="S1" s="246" t="s">
        <v>1616</v>
      </c>
      <c r="T1" s="246" t="s">
        <v>3185</v>
      </c>
      <c r="U1" s="246" t="s">
        <v>3275</v>
      </c>
      <c r="V1" s="246" t="s">
        <v>319</v>
      </c>
      <c r="W1" s="246" t="s">
        <v>3149</v>
      </c>
      <c r="X1" s="246" t="s">
        <v>3376</v>
      </c>
      <c r="Y1" s="246" t="s">
        <v>3377</v>
      </c>
      <c r="Z1" s="246" t="s">
        <v>3163</v>
      </c>
      <c r="AA1" s="246" t="s">
        <v>4194</v>
      </c>
      <c r="AB1" s="246" t="s">
        <v>1357</v>
      </c>
      <c r="AC1" s="246" t="s">
        <v>3206</v>
      </c>
      <c r="AD1" s="246" t="s">
        <v>629</v>
      </c>
      <c r="AE1" s="246" t="s">
        <v>630</v>
      </c>
      <c r="AF1" s="246" t="s">
        <v>3162</v>
      </c>
      <c r="AG1" s="246" t="s">
        <v>3141</v>
      </c>
      <c r="AH1" s="246" t="s">
        <v>3142</v>
      </c>
      <c r="AI1" s="246" t="s">
        <v>3187</v>
      </c>
      <c r="AJ1" s="246" t="s">
        <v>3248</v>
      </c>
      <c r="AK1" s="246" t="s">
        <v>3229</v>
      </c>
      <c r="AL1" s="246" t="s">
        <v>631</v>
      </c>
      <c r="AM1" s="246" t="s">
        <v>3213</v>
      </c>
      <c r="AN1" s="246" t="s">
        <v>3135</v>
      </c>
      <c r="AO1" s="246" t="s">
        <v>3140</v>
      </c>
      <c r="AP1" s="246" t="s">
        <v>608</v>
      </c>
      <c r="AQ1" s="246" t="s">
        <v>1927</v>
      </c>
      <c r="AR1" s="246" t="s">
        <v>1340</v>
      </c>
      <c r="AS1" s="246" t="s">
        <v>3139</v>
      </c>
      <c r="AT1" s="247" t="s">
        <v>1353</v>
      </c>
      <c r="AU1" s="247"/>
    </row>
    <row r="2" spans="1:47">
      <c r="A2" s="246">
        <v>1</v>
      </c>
      <c r="B2" s="246">
        <v>2</v>
      </c>
      <c r="C2" s="246">
        <v>3</v>
      </c>
      <c r="D2" s="246">
        <v>4</v>
      </c>
      <c r="E2" s="246">
        <v>5</v>
      </c>
      <c r="F2" s="246">
        <v>6</v>
      </c>
      <c r="G2" s="246">
        <v>7</v>
      </c>
      <c r="H2" s="246">
        <v>8</v>
      </c>
      <c r="I2" s="246">
        <v>9</v>
      </c>
      <c r="J2" s="246">
        <v>10</v>
      </c>
      <c r="K2" s="246">
        <v>11</v>
      </c>
      <c r="L2" s="246">
        <v>12</v>
      </c>
      <c r="M2" s="246">
        <v>13</v>
      </c>
      <c r="N2" s="246">
        <v>14</v>
      </c>
      <c r="O2" s="246">
        <v>15</v>
      </c>
      <c r="P2" s="246">
        <v>16</v>
      </c>
      <c r="Q2" s="246">
        <v>17</v>
      </c>
      <c r="R2" s="246">
        <v>18</v>
      </c>
      <c r="S2" s="246">
        <v>19</v>
      </c>
      <c r="T2" s="246">
        <v>20</v>
      </c>
      <c r="U2" s="246">
        <v>21</v>
      </c>
      <c r="V2" s="246">
        <v>22</v>
      </c>
      <c r="W2" s="246">
        <v>23</v>
      </c>
      <c r="X2" s="246">
        <v>24</v>
      </c>
      <c r="Y2" s="246">
        <v>25</v>
      </c>
      <c r="Z2" s="246">
        <v>26</v>
      </c>
      <c r="AB2" s="246">
        <v>27</v>
      </c>
      <c r="AC2" s="246">
        <v>28</v>
      </c>
      <c r="AD2" s="246">
        <v>30</v>
      </c>
      <c r="AE2" s="246">
        <v>31</v>
      </c>
      <c r="AF2" s="246">
        <v>32</v>
      </c>
      <c r="AG2" s="246">
        <v>33</v>
      </c>
      <c r="AH2" s="246">
        <v>34</v>
      </c>
      <c r="AI2" s="246">
        <v>35</v>
      </c>
      <c r="AJ2" s="246">
        <v>36</v>
      </c>
      <c r="AK2" s="246">
        <v>37</v>
      </c>
      <c r="AL2" s="246">
        <v>38</v>
      </c>
      <c r="AM2" s="246">
        <v>39</v>
      </c>
      <c r="AN2" s="246">
        <v>40</v>
      </c>
      <c r="AO2" s="246">
        <v>41</v>
      </c>
      <c r="AP2" s="246">
        <v>42</v>
      </c>
      <c r="AQ2" s="246">
        <v>43</v>
      </c>
      <c r="AR2" s="246">
        <v>44</v>
      </c>
      <c r="AS2" s="246">
        <v>45</v>
      </c>
      <c r="AT2" s="247">
        <v>46</v>
      </c>
      <c r="AU2" s="247"/>
    </row>
    <row r="3" spans="1:47">
      <c r="A3" s="246">
        <v>2</v>
      </c>
      <c r="B3" s="246" t="s">
        <v>836</v>
      </c>
      <c r="C3" s="246" t="s">
        <v>896</v>
      </c>
      <c r="D3" s="246" t="s">
        <v>919</v>
      </c>
      <c r="E3" s="247" t="s">
        <v>935</v>
      </c>
      <c r="F3" s="246" t="s">
        <v>962</v>
      </c>
      <c r="G3" s="246" t="s">
        <v>846</v>
      </c>
      <c r="H3" s="248" t="s">
        <v>945</v>
      </c>
      <c r="I3" s="246" t="s">
        <v>945</v>
      </c>
      <c r="J3" s="246" t="s">
        <v>836</v>
      </c>
      <c r="K3" s="247" t="s">
        <v>2935</v>
      </c>
      <c r="L3" s="247" t="s">
        <v>2945</v>
      </c>
      <c r="M3" s="246" t="s">
        <v>836</v>
      </c>
      <c r="N3" s="247" t="s">
        <v>1398</v>
      </c>
      <c r="O3" s="247" t="s">
        <v>1739</v>
      </c>
      <c r="P3" s="247" t="s">
        <v>2592</v>
      </c>
      <c r="Q3" s="247" t="s">
        <v>2935</v>
      </c>
      <c r="R3" s="247" t="s">
        <v>1772</v>
      </c>
      <c r="S3" s="247" t="s">
        <v>1634</v>
      </c>
      <c r="T3" s="247" t="s">
        <v>1791</v>
      </c>
      <c r="U3" s="246" t="s">
        <v>846</v>
      </c>
      <c r="V3" s="247" t="s">
        <v>331</v>
      </c>
      <c r="W3" s="247" t="s">
        <v>1801</v>
      </c>
      <c r="X3" s="246" t="s">
        <v>2013</v>
      </c>
      <c r="Y3" s="246" t="s">
        <v>3348</v>
      </c>
      <c r="Z3" s="246" t="s">
        <v>1818</v>
      </c>
      <c r="AA3" s="247" t="s">
        <v>2157</v>
      </c>
      <c r="AB3" s="246" t="s">
        <v>836</v>
      </c>
      <c r="AC3" s="247" t="s">
        <v>511</v>
      </c>
      <c r="AD3" s="247" t="s">
        <v>846</v>
      </c>
      <c r="AE3" s="247" t="s">
        <v>2392</v>
      </c>
      <c r="AF3" s="247" t="s">
        <v>531</v>
      </c>
      <c r="AG3" s="247" t="s">
        <v>846</v>
      </c>
      <c r="AH3" s="246" t="s">
        <v>846</v>
      </c>
      <c r="AI3" s="246" t="s">
        <v>548</v>
      </c>
      <c r="AJ3" s="247" t="s">
        <v>962</v>
      </c>
      <c r="AK3" s="246" t="s">
        <v>573</v>
      </c>
      <c r="AL3" s="249" t="s">
        <v>1791</v>
      </c>
      <c r="AM3" s="246" t="s">
        <v>1818</v>
      </c>
      <c r="AN3" s="247" t="s">
        <v>846</v>
      </c>
      <c r="AO3" s="247" t="s">
        <v>846</v>
      </c>
      <c r="AP3" s="247" t="s">
        <v>2935</v>
      </c>
      <c r="AQ3" s="247" t="s">
        <v>1199</v>
      </c>
      <c r="AR3" s="247" t="s">
        <v>1950</v>
      </c>
      <c r="AS3" s="246" t="s">
        <v>2968</v>
      </c>
      <c r="AT3" s="247" t="s">
        <v>1867</v>
      </c>
      <c r="AU3" s="247"/>
    </row>
    <row r="4" spans="1:47">
      <c r="A4" s="246">
        <v>3</v>
      </c>
      <c r="B4" s="246" t="s">
        <v>3557</v>
      </c>
      <c r="C4" s="246" t="s">
        <v>3565</v>
      </c>
      <c r="D4" s="246" t="s">
        <v>3566</v>
      </c>
      <c r="E4" s="247" t="s">
        <v>3567</v>
      </c>
      <c r="F4" s="246" t="s">
        <v>3568</v>
      </c>
      <c r="G4" s="246" t="s">
        <v>3569</v>
      </c>
      <c r="H4" s="248" t="s">
        <v>3570</v>
      </c>
      <c r="I4" s="246" t="s">
        <v>3571</v>
      </c>
      <c r="J4" s="246" t="s">
        <v>3572</v>
      </c>
      <c r="K4" s="247" t="s">
        <v>3573</v>
      </c>
      <c r="L4" s="247" t="s">
        <v>3574</v>
      </c>
      <c r="M4" s="246" t="s">
        <v>3557</v>
      </c>
      <c r="N4" s="247" t="s">
        <v>3575</v>
      </c>
      <c r="O4" s="247" t="s">
        <v>3576</v>
      </c>
      <c r="P4" s="247" t="s">
        <v>3577</v>
      </c>
      <c r="Q4" s="247" t="s">
        <v>3573</v>
      </c>
      <c r="R4" s="247" t="s">
        <v>3578</v>
      </c>
      <c r="S4" s="247" t="s">
        <v>3579</v>
      </c>
      <c r="T4" s="247" t="s">
        <v>3580</v>
      </c>
      <c r="U4" s="246" t="s">
        <v>3581</v>
      </c>
      <c r="V4" s="247" t="s">
        <v>3582</v>
      </c>
      <c r="W4" s="247" t="s">
        <v>3583</v>
      </c>
      <c r="X4" s="246" t="s">
        <v>3584</v>
      </c>
      <c r="Y4" s="246" t="s">
        <v>3585</v>
      </c>
      <c r="Z4" s="246" t="s">
        <v>3586</v>
      </c>
      <c r="AA4" s="247" t="s">
        <v>3587</v>
      </c>
      <c r="AB4" s="246" t="s">
        <v>3557</v>
      </c>
      <c r="AC4" s="247" t="s">
        <v>3588</v>
      </c>
      <c r="AD4" s="247" t="s">
        <v>3575</v>
      </c>
      <c r="AE4" s="247" t="s">
        <v>3589</v>
      </c>
      <c r="AF4" s="247" t="s">
        <v>3590</v>
      </c>
      <c r="AG4" s="247" t="s">
        <v>3591</v>
      </c>
      <c r="AH4" s="246" t="s">
        <v>3591</v>
      </c>
      <c r="AI4" s="246" t="s">
        <v>3557</v>
      </c>
      <c r="AJ4" s="247" t="s">
        <v>3592</v>
      </c>
      <c r="AK4" s="246" t="s">
        <v>3587</v>
      </c>
      <c r="AL4" s="249" t="s">
        <v>3593</v>
      </c>
      <c r="AM4" s="246" t="s">
        <v>3594</v>
      </c>
      <c r="AN4" s="247" t="s">
        <v>3595</v>
      </c>
      <c r="AO4" s="247" t="s">
        <v>3595</v>
      </c>
      <c r="AP4" s="247" t="s">
        <v>3596</v>
      </c>
      <c r="AQ4" s="247" t="s">
        <v>3597</v>
      </c>
      <c r="AR4" s="247" t="s">
        <v>3598</v>
      </c>
      <c r="AS4" s="246" t="s">
        <v>3599</v>
      </c>
      <c r="AT4" s="247" t="s">
        <v>3557</v>
      </c>
      <c r="AU4" s="247"/>
    </row>
    <row r="5" spans="1:47">
      <c r="A5" s="246">
        <v>4</v>
      </c>
      <c r="B5" s="246" t="s">
        <v>824</v>
      </c>
      <c r="C5" s="246" t="s">
        <v>839</v>
      </c>
      <c r="D5" s="246" t="s">
        <v>839</v>
      </c>
      <c r="E5" s="247" t="s">
        <v>927</v>
      </c>
      <c r="F5" s="246" t="s">
        <v>950</v>
      </c>
      <c r="G5" s="246" t="s">
        <v>987</v>
      </c>
      <c r="H5" s="248" t="s">
        <v>942</v>
      </c>
      <c r="I5" s="246" t="s">
        <v>942</v>
      </c>
      <c r="J5" s="246" t="s">
        <v>839</v>
      </c>
      <c r="K5" s="246" t="s">
        <v>824</v>
      </c>
      <c r="L5" s="246" t="s">
        <v>824</v>
      </c>
      <c r="M5" s="246" t="s">
        <v>824</v>
      </c>
      <c r="N5" s="247" t="s">
        <v>839</v>
      </c>
      <c r="O5" s="247" t="s">
        <v>1732</v>
      </c>
      <c r="P5" s="247" t="s">
        <v>2575</v>
      </c>
      <c r="Q5" s="247" t="s">
        <v>1750</v>
      </c>
      <c r="R5" s="247" t="s">
        <v>1760</v>
      </c>
      <c r="S5" s="247" t="s">
        <v>1617</v>
      </c>
      <c r="T5" s="247" t="s">
        <v>1785</v>
      </c>
      <c r="U5" s="246" t="s">
        <v>839</v>
      </c>
      <c r="V5" s="247" t="s">
        <v>320</v>
      </c>
      <c r="W5" s="247" t="s">
        <v>1797</v>
      </c>
      <c r="X5" s="246" t="s">
        <v>1997</v>
      </c>
      <c r="Y5" s="246" t="s">
        <v>3331</v>
      </c>
      <c r="Z5" s="246" t="s">
        <v>1809</v>
      </c>
      <c r="AA5" s="247" t="s">
        <v>950</v>
      </c>
      <c r="AB5" s="246" t="s">
        <v>824</v>
      </c>
      <c r="AC5" s="247" t="s">
        <v>502</v>
      </c>
      <c r="AD5" s="247" t="s">
        <v>824</v>
      </c>
      <c r="AE5" s="247" t="s">
        <v>2375</v>
      </c>
      <c r="AF5" s="247" t="s">
        <v>527</v>
      </c>
      <c r="AG5" s="247" t="s">
        <v>535</v>
      </c>
      <c r="AH5" s="246" t="s">
        <v>535</v>
      </c>
      <c r="AI5" s="246" t="s">
        <v>546</v>
      </c>
      <c r="AJ5" s="247" t="s">
        <v>551</v>
      </c>
      <c r="AK5" s="246" t="s">
        <v>950</v>
      </c>
      <c r="AL5" s="249" t="s">
        <v>1750</v>
      </c>
      <c r="AM5" s="246" t="s">
        <v>3965</v>
      </c>
      <c r="AN5" s="246" t="s">
        <v>535</v>
      </c>
      <c r="AO5" s="247" t="s">
        <v>535</v>
      </c>
      <c r="AP5" s="247" t="s">
        <v>1750</v>
      </c>
      <c r="AQ5" s="247" t="s">
        <v>1189</v>
      </c>
      <c r="AR5" s="246" t="s">
        <v>1809</v>
      </c>
      <c r="AS5" s="246" t="s">
        <v>551</v>
      </c>
      <c r="AT5" s="247" t="s">
        <v>1860</v>
      </c>
      <c r="AU5" s="247"/>
    </row>
    <row r="6" spans="1:47">
      <c r="A6" s="246">
        <v>5</v>
      </c>
      <c r="B6" s="246" t="s">
        <v>835</v>
      </c>
      <c r="C6" s="246" t="s">
        <v>895</v>
      </c>
      <c r="D6" s="246" t="s">
        <v>3600</v>
      </c>
      <c r="E6" s="247" t="s">
        <v>934</v>
      </c>
      <c r="F6" s="246" t="s">
        <v>961</v>
      </c>
      <c r="G6" s="246" t="s">
        <v>996</v>
      </c>
      <c r="H6" s="248" t="s">
        <v>1581</v>
      </c>
      <c r="I6" s="246" t="s">
        <v>2877</v>
      </c>
      <c r="J6" s="246" t="s">
        <v>845</v>
      </c>
      <c r="K6" s="247" t="s">
        <v>835</v>
      </c>
      <c r="L6" s="246" t="s">
        <v>895</v>
      </c>
      <c r="M6" s="246" t="s">
        <v>835</v>
      </c>
      <c r="N6" s="247" t="s">
        <v>845</v>
      </c>
      <c r="O6" s="247" t="s">
        <v>2934</v>
      </c>
      <c r="P6" s="247" t="s">
        <v>2590</v>
      </c>
      <c r="Q6" s="247" t="s">
        <v>845</v>
      </c>
      <c r="R6" s="247" t="s">
        <v>1771</v>
      </c>
      <c r="S6" s="247" t="s">
        <v>1632</v>
      </c>
      <c r="T6" s="247" t="s">
        <v>845</v>
      </c>
      <c r="U6" s="246" t="s">
        <v>845</v>
      </c>
      <c r="V6" s="247" t="s">
        <v>329</v>
      </c>
      <c r="W6" s="247" t="s">
        <v>996</v>
      </c>
      <c r="X6" s="246" t="s">
        <v>2011</v>
      </c>
      <c r="Y6" s="246" t="s">
        <v>3346</v>
      </c>
      <c r="Z6" s="246" t="s">
        <v>1817</v>
      </c>
      <c r="AA6" s="247" t="s">
        <v>961</v>
      </c>
      <c r="AB6" s="246" t="s">
        <v>835</v>
      </c>
      <c r="AC6" s="247" t="s">
        <v>845</v>
      </c>
      <c r="AD6" s="247" t="s">
        <v>845</v>
      </c>
      <c r="AE6" s="247" t="s">
        <v>2390</v>
      </c>
      <c r="AF6" s="247" t="s">
        <v>845</v>
      </c>
      <c r="AG6" s="247" t="s">
        <v>542</v>
      </c>
      <c r="AH6" s="246" t="s">
        <v>542</v>
      </c>
      <c r="AI6" s="246" t="s">
        <v>996</v>
      </c>
      <c r="AJ6" s="247" t="s">
        <v>961</v>
      </c>
      <c r="AK6" s="246" t="s">
        <v>961</v>
      </c>
      <c r="AL6" s="249" t="s">
        <v>845</v>
      </c>
      <c r="AM6" s="246" t="s">
        <v>845</v>
      </c>
      <c r="AN6" s="247" t="s">
        <v>1931</v>
      </c>
      <c r="AO6" s="247" t="s">
        <v>1931</v>
      </c>
      <c r="AP6" s="247" t="s">
        <v>845</v>
      </c>
      <c r="AQ6" s="247" t="s">
        <v>1197</v>
      </c>
      <c r="AR6" s="247" t="s">
        <v>845</v>
      </c>
      <c r="AS6" s="246" t="s">
        <v>961</v>
      </c>
      <c r="AT6" s="247" t="s">
        <v>1866</v>
      </c>
      <c r="AU6" s="247"/>
    </row>
    <row r="7" spans="1:47">
      <c r="A7" s="246">
        <v>6</v>
      </c>
      <c r="B7" s="246" t="s">
        <v>3093</v>
      </c>
      <c r="C7" s="246" t="s">
        <v>3194</v>
      </c>
      <c r="D7" s="246" t="s">
        <v>3205</v>
      </c>
      <c r="E7" s="247" t="s">
        <v>2794</v>
      </c>
      <c r="F7" s="246" t="s">
        <v>3238</v>
      </c>
      <c r="G7" s="246" t="s">
        <v>3175</v>
      </c>
      <c r="H7" s="248" t="s">
        <v>1368</v>
      </c>
      <c r="I7" s="246" t="s">
        <v>1368</v>
      </c>
      <c r="J7" s="246" t="s">
        <v>1345</v>
      </c>
      <c r="K7" s="247" t="s">
        <v>3128</v>
      </c>
      <c r="L7" s="246" t="s">
        <v>3194</v>
      </c>
      <c r="M7" s="246" t="s">
        <v>3093</v>
      </c>
      <c r="N7" s="247" t="s">
        <v>3219</v>
      </c>
      <c r="O7" s="247" t="s">
        <v>3122</v>
      </c>
      <c r="P7" s="247" t="s">
        <v>2595</v>
      </c>
      <c r="Q7" s="247" t="s">
        <v>3128</v>
      </c>
      <c r="R7" s="247" t="s">
        <v>3245</v>
      </c>
      <c r="S7" s="247" t="s">
        <v>1637</v>
      </c>
      <c r="T7" s="247" t="s">
        <v>3184</v>
      </c>
      <c r="U7" s="246" t="s">
        <v>3114</v>
      </c>
      <c r="V7" s="247" t="s">
        <v>334</v>
      </c>
      <c r="W7" s="247" t="s">
        <v>3148</v>
      </c>
      <c r="X7" s="246" t="s">
        <v>2016</v>
      </c>
      <c r="Y7" s="246" t="s">
        <v>3351</v>
      </c>
      <c r="Z7" s="246" t="s">
        <v>3170</v>
      </c>
      <c r="AA7" s="247" t="s">
        <v>3228</v>
      </c>
      <c r="AB7" s="246" t="s">
        <v>1356</v>
      </c>
      <c r="AC7" s="247" t="s">
        <v>3205</v>
      </c>
      <c r="AD7" s="247" t="s">
        <v>3186</v>
      </c>
      <c r="AE7" s="247" t="s">
        <v>2395</v>
      </c>
      <c r="AF7" s="247" t="s">
        <v>3161</v>
      </c>
      <c r="AG7" s="247" t="s">
        <v>3154</v>
      </c>
      <c r="AH7" s="246" t="s">
        <v>3154</v>
      </c>
      <c r="AI7" s="246" t="s">
        <v>3186</v>
      </c>
      <c r="AJ7" s="247" t="s">
        <v>3238</v>
      </c>
      <c r="AK7" s="246" t="s">
        <v>3228</v>
      </c>
      <c r="AL7" s="249" t="s">
        <v>3457</v>
      </c>
      <c r="AM7" s="246" t="s">
        <v>3212</v>
      </c>
      <c r="AN7" s="246" t="s">
        <v>3134</v>
      </c>
      <c r="AO7" s="247" t="s">
        <v>3134</v>
      </c>
      <c r="AP7" s="247" t="s">
        <v>3128</v>
      </c>
      <c r="AQ7" s="247" t="s">
        <v>1202</v>
      </c>
      <c r="AR7" s="247" t="s">
        <v>1339</v>
      </c>
      <c r="AS7" s="246" t="s">
        <v>2971</v>
      </c>
      <c r="AT7" s="247" t="s">
        <v>1352</v>
      </c>
      <c r="AU7" s="247"/>
    </row>
    <row r="8" spans="1:47">
      <c r="A8" s="246">
        <v>7</v>
      </c>
      <c r="B8" s="246" t="s">
        <v>3092</v>
      </c>
      <c r="C8" s="246" t="s">
        <v>3191</v>
      </c>
      <c r="D8" s="246" t="s">
        <v>3131</v>
      </c>
      <c r="E8" s="247" t="s">
        <v>1361</v>
      </c>
      <c r="F8" s="246" t="s">
        <v>3235</v>
      </c>
      <c r="G8" s="246" t="s">
        <v>994</v>
      </c>
      <c r="H8" s="248" t="s">
        <v>1580</v>
      </c>
      <c r="I8" s="246" t="s">
        <v>2876</v>
      </c>
      <c r="J8" s="246" t="s">
        <v>3210</v>
      </c>
      <c r="K8" s="247" t="s">
        <v>3197</v>
      </c>
      <c r="L8" s="246" t="s">
        <v>3191</v>
      </c>
      <c r="M8" s="246" t="s">
        <v>3092</v>
      </c>
      <c r="N8" s="247" t="s">
        <v>2952</v>
      </c>
      <c r="O8" s="247" t="s">
        <v>3120</v>
      </c>
      <c r="P8" s="247" t="s">
        <v>2588</v>
      </c>
      <c r="Q8" s="247" t="s">
        <v>1753</v>
      </c>
      <c r="R8" s="247" t="s">
        <v>3243</v>
      </c>
      <c r="S8" s="247" t="s">
        <v>1630</v>
      </c>
      <c r="T8" s="247" t="s">
        <v>3181</v>
      </c>
      <c r="U8" s="246" t="s">
        <v>3111</v>
      </c>
      <c r="V8" s="247" t="s">
        <v>3197</v>
      </c>
      <c r="W8" s="247" t="s">
        <v>3147</v>
      </c>
      <c r="X8" s="246" t="s">
        <v>2010</v>
      </c>
      <c r="Y8" s="246" t="s">
        <v>3344</v>
      </c>
      <c r="Z8" s="246" t="s">
        <v>1815</v>
      </c>
      <c r="AA8" s="247" t="s">
        <v>3225</v>
      </c>
      <c r="AB8" s="246" t="s">
        <v>3111</v>
      </c>
      <c r="AC8" s="247" t="s">
        <v>3147</v>
      </c>
      <c r="AD8" s="247" t="s">
        <v>3191</v>
      </c>
      <c r="AE8" s="247" t="s">
        <v>2388</v>
      </c>
      <c r="AF8" s="247" t="s">
        <v>3158</v>
      </c>
      <c r="AG8" s="247" t="s">
        <v>3131</v>
      </c>
      <c r="AH8" s="246" t="s">
        <v>3131</v>
      </c>
      <c r="AI8" s="246" t="s">
        <v>3147</v>
      </c>
      <c r="AJ8" s="247" t="s">
        <v>555</v>
      </c>
      <c r="AK8" s="246" t="s">
        <v>3225</v>
      </c>
      <c r="AL8" s="249" t="s">
        <v>3452</v>
      </c>
      <c r="AM8" s="246" t="s">
        <v>3210</v>
      </c>
      <c r="AN8" s="246" t="s">
        <v>1929</v>
      </c>
      <c r="AO8" s="247" t="s">
        <v>3131</v>
      </c>
      <c r="AP8" s="247" t="s">
        <v>611</v>
      </c>
      <c r="AQ8" s="247" t="s">
        <v>1920</v>
      </c>
      <c r="AR8" s="247" t="s">
        <v>1336</v>
      </c>
      <c r="AS8" s="246" t="s">
        <v>2965</v>
      </c>
      <c r="AT8" s="247" t="s">
        <v>1349</v>
      </c>
      <c r="AU8" s="247"/>
    </row>
    <row r="9" spans="1:47">
      <c r="A9" s="246">
        <v>8</v>
      </c>
      <c r="B9" s="246" t="s">
        <v>838</v>
      </c>
      <c r="C9" s="246" t="s">
        <v>899</v>
      </c>
      <c r="D9" s="246" t="s">
        <v>920</v>
      </c>
      <c r="E9" s="247" t="s">
        <v>2795</v>
      </c>
      <c r="F9" s="246" t="s">
        <v>965</v>
      </c>
      <c r="G9" s="246" t="s">
        <v>999</v>
      </c>
      <c r="H9" s="248" t="s">
        <v>947</v>
      </c>
      <c r="I9" s="246" t="s">
        <v>947</v>
      </c>
      <c r="J9" s="246" t="s">
        <v>2905</v>
      </c>
      <c r="K9" s="247" t="s">
        <v>838</v>
      </c>
      <c r="L9" s="246" t="s">
        <v>899</v>
      </c>
      <c r="M9" s="246" t="s">
        <v>838</v>
      </c>
      <c r="N9" s="247" t="s">
        <v>838</v>
      </c>
      <c r="O9" s="247" t="s">
        <v>899</v>
      </c>
      <c r="P9" s="247" t="s">
        <v>2598</v>
      </c>
      <c r="Q9" s="247" t="s">
        <v>838</v>
      </c>
      <c r="R9" s="247" t="s">
        <v>1776</v>
      </c>
      <c r="S9" s="247" t="s">
        <v>1640</v>
      </c>
      <c r="T9" s="247" t="s">
        <v>838</v>
      </c>
      <c r="U9" s="246" t="s">
        <v>838</v>
      </c>
      <c r="V9" s="247" t="s">
        <v>838</v>
      </c>
      <c r="W9" s="247" t="s">
        <v>1803</v>
      </c>
      <c r="X9" s="246" t="s">
        <v>2019</v>
      </c>
      <c r="Y9" s="246" t="s">
        <v>3354</v>
      </c>
      <c r="Z9" s="246" t="s">
        <v>1821</v>
      </c>
      <c r="AA9" s="247" t="s">
        <v>576</v>
      </c>
      <c r="AB9" s="246" t="s">
        <v>838</v>
      </c>
      <c r="AC9" s="247" t="s">
        <v>515</v>
      </c>
      <c r="AD9" s="247" t="s">
        <v>838</v>
      </c>
      <c r="AE9" s="247" t="s">
        <v>2397</v>
      </c>
      <c r="AF9" s="247" t="s">
        <v>838</v>
      </c>
      <c r="AG9" s="247" t="s">
        <v>838</v>
      </c>
      <c r="AH9" s="246" t="s">
        <v>838</v>
      </c>
      <c r="AI9" s="246" t="s">
        <v>838</v>
      </c>
      <c r="AJ9" s="247" t="s">
        <v>965</v>
      </c>
      <c r="AK9" s="246" t="s">
        <v>576</v>
      </c>
      <c r="AL9" s="249" t="s">
        <v>2905</v>
      </c>
      <c r="AM9" s="246" t="s">
        <v>2905</v>
      </c>
      <c r="AN9" s="247" t="s">
        <v>838</v>
      </c>
      <c r="AO9" s="247" t="s">
        <v>838</v>
      </c>
      <c r="AP9" s="247" t="s">
        <v>838</v>
      </c>
      <c r="AQ9" s="247" t="s">
        <v>1204</v>
      </c>
      <c r="AR9" s="247" t="s">
        <v>1951</v>
      </c>
      <c r="AS9" s="246" t="s">
        <v>2973</v>
      </c>
      <c r="AT9" s="247" t="s">
        <v>1870</v>
      </c>
      <c r="AU9" s="247"/>
    </row>
    <row r="10" spans="1:47">
      <c r="A10" s="246">
        <v>9</v>
      </c>
      <c r="B10" s="246" t="s">
        <v>832</v>
      </c>
      <c r="C10" s="246" t="s">
        <v>894</v>
      </c>
      <c r="D10" s="246" t="s">
        <v>832</v>
      </c>
      <c r="E10" s="247" t="s">
        <v>2792</v>
      </c>
      <c r="F10" s="246" t="s">
        <v>958</v>
      </c>
      <c r="G10" s="246" t="s">
        <v>832</v>
      </c>
      <c r="H10" s="248" t="s">
        <v>1578</v>
      </c>
      <c r="I10" s="246" t="s">
        <v>632</v>
      </c>
      <c r="J10" s="246" t="s">
        <v>2902</v>
      </c>
      <c r="K10" s="247" t="s">
        <v>2933</v>
      </c>
      <c r="L10" s="246" t="s">
        <v>894</v>
      </c>
      <c r="M10" s="246" t="s">
        <v>832</v>
      </c>
      <c r="N10" s="247" t="s">
        <v>832</v>
      </c>
      <c r="O10" s="247" t="s">
        <v>1737</v>
      </c>
      <c r="P10" s="247" t="s">
        <v>2586</v>
      </c>
      <c r="Q10" s="247" t="s">
        <v>2933</v>
      </c>
      <c r="R10" s="247" t="s">
        <v>1768</v>
      </c>
      <c r="S10" s="247" t="s">
        <v>1628</v>
      </c>
      <c r="T10" s="247" t="s">
        <v>1788</v>
      </c>
      <c r="U10" s="246" t="s">
        <v>832</v>
      </c>
      <c r="V10" s="247" t="s">
        <v>328</v>
      </c>
      <c r="W10" s="247" t="s">
        <v>918</v>
      </c>
      <c r="X10" s="246" t="s">
        <v>2008</v>
      </c>
      <c r="Y10" s="246" t="s">
        <v>3342</v>
      </c>
      <c r="Z10" s="246" t="s">
        <v>2902</v>
      </c>
      <c r="AA10" s="247" t="s">
        <v>3601</v>
      </c>
      <c r="AB10" s="246" t="s">
        <v>832</v>
      </c>
      <c r="AC10" s="247" t="s">
        <v>509</v>
      </c>
      <c r="AD10" s="247" t="s">
        <v>832</v>
      </c>
      <c r="AE10" s="247" t="s">
        <v>2386</v>
      </c>
      <c r="AF10" s="247" t="s">
        <v>832</v>
      </c>
      <c r="AG10" s="247" t="s">
        <v>540</v>
      </c>
      <c r="AH10" s="246" t="s">
        <v>284</v>
      </c>
      <c r="AI10" s="246" t="s">
        <v>832</v>
      </c>
      <c r="AJ10" s="247" t="s">
        <v>958</v>
      </c>
      <c r="AK10" s="246" t="s">
        <v>571</v>
      </c>
      <c r="AL10" s="249" t="s">
        <v>540</v>
      </c>
      <c r="AM10" s="246" t="s">
        <v>596</v>
      </c>
      <c r="AN10" s="247" t="s">
        <v>832</v>
      </c>
      <c r="AO10" s="247" t="s">
        <v>832</v>
      </c>
      <c r="AP10" s="247" t="s">
        <v>2933</v>
      </c>
      <c r="AQ10" s="247" t="s">
        <v>1918</v>
      </c>
      <c r="AR10" s="247" t="s">
        <v>1948</v>
      </c>
      <c r="AS10" s="246" t="s">
        <v>2964</v>
      </c>
      <c r="AT10" s="247" t="s">
        <v>1961</v>
      </c>
      <c r="AU10" s="247"/>
    </row>
    <row r="11" spans="1:47">
      <c r="A11" s="246">
        <v>10</v>
      </c>
      <c r="B11" s="246" t="s">
        <v>3558</v>
      </c>
      <c r="C11" s="246" t="s">
        <v>3558</v>
      </c>
      <c r="D11" s="246" t="s">
        <v>3602</v>
      </c>
      <c r="E11" s="247" t="s">
        <v>3603</v>
      </c>
      <c r="F11" s="246" t="s">
        <v>3604</v>
      </c>
      <c r="G11" s="246" t="s">
        <v>3605</v>
      </c>
      <c r="H11" s="248" t="s">
        <v>3606</v>
      </c>
      <c r="I11" s="246" t="s">
        <v>3607</v>
      </c>
      <c r="J11" s="246" t="s">
        <v>3608</v>
      </c>
      <c r="K11" s="247" t="s">
        <v>3558</v>
      </c>
      <c r="L11" s="246" t="s">
        <v>3558</v>
      </c>
      <c r="M11" s="246" t="s">
        <v>3558</v>
      </c>
      <c r="N11" s="247" t="s">
        <v>3609</v>
      </c>
      <c r="O11" s="247" t="s">
        <v>3610</v>
      </c>
      <c r="P11" s="247" t="s">
        <v>3611</v>
      </c>
      <c r="Q11" s="247" t="s">
        <v>3612</v>
      </c>
      <c r="R11" s="247" t="s">
        <v>3613</v>
      </c>
      <c r="S11" s="247" t="s">
        <v>3614</v>
      </c>
      <c r="T11" s="247" t="s">
        <v>3558</v>
      </c>
      <c r="U11" s="246" t="s">
        <v>3609</v>
      </c>
      <c r="V11" s="247" t="s">
        <v>3615</v>
      </c>
      <c r="W11" s="247" t="s">
        <v>3558</v>
      </c>
      <c r="X11" s="246" t="s">
        <v>3616</v>
      </c>
      <c r="Y11" s="246" t="s">
        <v>3617</v>
      </c>
      <c r="Z11" s="246" t="s">
        <v>3608</v>
      </c>
      <c r="AA11" s="247" t="s">
        <v>3618</v>
      </c>
      <c r="AB11" s="246" t="s">
        <v>3558</v>
      </c>
      <c r="AC11" s="247" t="s">
        <v>3619</v>
      </c>
      <c r="AD11" s="247" t="s">
        <v>3558</v>
      </c>
      <c r="AE11" s="247" t="s">
        <v>3620</v>
      </c>
      <c r="AF11" s="247" t="s">
        <v>3609</v>
      </c>
      <c r="AG11" s="247" t="s">
        <v>3621</v>
      </c>
      <c r="AH11" s="246" t="s">
        <v>3621</v>
      </c>
      <c r="AI11" s="246" t="s">
        <v>3622</v>
      </c>
      <c r="AJ11" s="247" t="s">
        <v>3604</v>
      </c>
      <c r="AK11" s="246" t="s">
        <v>3618</v>
      </c>
      <c r="AL11" s="249" t="s">
        <v>3623</v>
      </c>
      <c r="AM11" s="246" t="s">
        <v>3608</v>
      </c>
      <c r="AN11" s="246" t="s">
        <v>3558</v>
      </c>
      <c r="AO11" s="247" t="s">
        <v>3558</v>
      </c>
      <c r="AP11" s="247" t="s">
        <v>3558</v>
      </c>
      <c r="AQ11" s="247" t="s">
        <v>3624</v>
      </c>
      <c r="AR11" s="247" t="s">
        <v>3625</v>
      </c>
      <c r="AS11" s="246" t="s">
        <v>3626</v>
      </c>
      <c r="AT11" s="247" t="s">
        <v>3558</v>
      </c>
      <c r="AU11" s="247"/>
    </row>
    <row r="12" spans="1:47">
      <c r="A12" s="246">
        <v>11</v>
      </c>
      <c r="B12" s="246" t="s">
        <v>3094</v>
      </c>
      <c r="C12" s="246" t="s">
        <v>890</v>
      </c>
      <c r="D12" s="246" t="s">
        <v>3627</v>
      </c>
      <c r="E12" s="247" t="s">
        <v>1363</v>
      </c>
      <c r="F12" s="246" t="s">
        <v>3237</v>
      </c>
      <c r="G12" s="246" t="s">
        <v>3174</v>
      </c>
      <c r="H12" s="248" t="s">
        <v>1573</v>
      </c>
      <c r="I12" s="246" t="s">
        <v>2870</v>
      </c>
      <c r="J12" s="246" t="s">
        <v>1344</v>
      </c>
      <c r="K12" s="247" t="s">
        <v>3199</v>
      </c>
      <c r="L12" s="246" t="s">
        <v>3193</v>
      </c>
      <c r="M12" s="246" t="s">
        <v>3094</v>
      </c>
      <c r="N12" s="247" t="s">
        <v>3218</v>
      </c>
      <c r="O12" s="247" t="s">
        <v>3121</v>
      </c>
      <c r="P12" s="247" t="s">
        <v>2581</v>
      </c>
      <c r="Q12" s="247" t="s">
        <v>3127</v>
      </c>
      <c r="R12" s="247" t="s">
        <v>1764</v>
      </c>
      <c r="S12" s="247" t="s">
        <v>1623</v>
      </c>
      <c r="T12" s="247" t="s">
        <v>3183</v>
      </c>
      <c r="U12" s="246" t="s">
        <v>3115</v>
      </c>
      <c r="V12" s="247" t="s">
        <v>325</v>
      </c>
      <c r="W12" s="247" t="s">
        <v>3133</v>
      </c>
      <c r="X12" s="246" t="s">
        <v>2003</v>
      </c>
      <c r="Y12" s="246" t="s">
        <v>3337</v>
      </c>
      <c r="Z12" s="246" t="s">
        <v>3169</v>
      </c>
      <c r="AA12" s="247" t="s">
        <v>3628</v>
      </c>
      <c r="AB12" s="246" t="s">
        <v>3094</v>
      </c>
      <c r="AC12" s="247" t="s">
        <v>3204</v>
      </c>
      <c r="AD12" s="247" t="s">
        <v>3515</v>
      </c>
      <c r="AE12" s="247" t="s">
        <v>2381</v>
      </c>
      <c r="AF12" s="247" t="s">
        <v>3160</v>
      </c>
      <c r="AG12" s="247" t="s">
        <v>3153</v>
      </c>
      <c r="AH12" s="246" t="s">
        <v>3153</v>
      </c>
      <c r="AI12" s="246" t="s">
        <v>3133</v>
      </c>
      <c r="AJ12" s="247" t="s">
        <v>3247</v>
      </c>
      <c r="AK12" s="246" t="s">
        <v>3227</v>
      </c>
      <c r="AL12" s="249" t="s">
        <v>3448</v>
      </c>
      <c r="AM12" s="246" t="s">
        <v>3211</v>
      </c>
      <c r="AN12" s="246" t="s">
        <v>3133</v>
      </c>
      <c r="AO12" s="247" t="s">
        <v>3133</v>
      </c>
      <c r="AP12" s="247" t="s">
        <v>610</v>
      </c>
      <c r="AQ12" s="247" t="s">
        <v>1192</v>
      </c>
      <c r="AR12" s="247" t="s">
        <v>1338</v>
      </c>
      <c r="AS12" s="246" t="s">
        <v>2961</v>
      </c>
      <c r="AT12" s="247" t="s">
        <v>1351</v>
      </c>
      <c r="AU12" s="247"/>
    </row>
    <row r="13" spans="1:47">
      <c r="A13" s="246">
        <v>12</v>
      </c>
      <c r="B13" s="246" t="s">
        <v>3380</v>
      </c>
      <c r="C13" s="246" t="s">
        <v>897</v>
      </c>
      <c r="D13" s="246" t="s">
        <v>3629</v>
      </c>
      <c r="E13" s="247" t="s">
        <v>936</v>
      </c>
      <c r="F13" s="246" t="s">
        <v>963</v>
      </c>
      <c r="G13" s="246" t="s">
        <v>997</v>
      </c>
      <c r="H13" s="248" t="s">
        <v>1582</v>
      </c>
      <c r="I13" s="246" t="s">
        <v>1582</v>
      </c>
      <c r="J13" s="246" t="s">
        <v>2904</v>
      </c>
      <c r="K13" s="247" t="s">
        <v>2936</v>
      </c>
      <c r="L13" s="246" t="s">
        <v>2946</v>
      </c>
      <c r="M13" s="246" t="s">
        <v>3380</v>
      </c>
      <c r="N13" s="247" t="s">
        <v>2954</v>
      </c>
      <c r="O13" s="247" t="s">
        <v>1740</v>
      </c>
      <c r="P13" s="247" t="s">
        <v>2593</v>
      </c>
      <c r="Q13" s="247" t="s">
        <v>61</v>
      </c>
      <c r="R13" s="247" t="s">
        <v>1773</v>
      </c>
      <c r="S13" s="247" t="s">
        <v>1635</v>
      </c>
      <c r="T13" s="247" t="s">
        <v>1792</v>
      </c>
      <c r="U13" s="246" t="s">
        <v>847</v>
      </c>
      <c r="V13" s="247" t="s">
        <v>332</v>
      </c>
      <c r="W13" s="247" t="s">
        <v>1802</v>
      </c>
      <c r="X13" s="246" t="s">
        <v>2014</v>
      </c>
      <c r="Y13" s="246" t="s">
        <v>3349</v>
      </c>
      <c r="Z13" s="246" t="s">
        <v>1819</v>
      </c>
      <c r="AA13" s="247" t="s">
        <v>3630</v>
      </c>
      <c r="AB13" s="246" t="s">
        <v>3380</v>
      </c>
      <c r="AC13" s="247" t="s">
        <v>512</v>
      </c>
      <c r="AD13" s="247" t="s">
        <v>2936</v>
      </c>
      <c r="AE13" s="247" t="s">
        <v>2393</v>
      </c>
      <c r="AF13" s="247" t="s">
        <v>106</v>
      </c>
      <c r="AG13" s="246" t="s">
        <v>543</v>
      </c>
      <c r="AH13" s="246" t="s">
        <v>543</v>
      </c>
      <c r="AI13" s="246" t="s">
        <v>1010</v>
      </c>
      <c r="AJ13" s="247" t="s">
        <v>556</v>
      </c>
      <c r="AK13" s="246" t="s">
        <v>574</v>
      </c>
      <c r="AL13" s="249" t="s">
        <v>3455</v>
      </c>
      <c r="AM13" s="246" t="s">
        <v>3966</v>
      </c>
      <c r="AN13" s="247" t="s">
        <v>1932</v>
      </c>
      <c r="AO13" s="247" t="s">
        <v>1932</v>
      </c>
      <c r="AP13" s="247" t="s">
        <v>612</v>
      </c>
      <c r="AQ13" s="247" t="s">
        <v>1200</v>
      </c>
      <c r="AR13" s="247" t="s">
        <v>1712</v>
      </c>
      <c r="AS13" s="246" t="s">
        <v>2969</v>
      </c>
      <c r="AT13" s="247" t="s">
        <v>1964</v>
      </c>
      <c r="AU13" s="247"/>
    </row>
    <row r="14" spans="1:47">
      <c r="A14" s="246">
        <v>13</v>
      </c>
      <c r="B14" s="246" t="s">
        <v>834</v>
      </c>
      <c r="C14" s="246" t="s">
        <v>834</v>
      </c>
      <c r="D14" s="246" t="s">
        <v>530</v>
      </c>
      <c r="E14" s="247" t="s">
        <v>933</v>
      </c>
      <c r="F14" s="246" t="s">
        <v>960</v>
      </c>
      <c r="G14" s="246" t="s">
        <v>995</v>
      </c>
      <c r="H14" s="248" t="s">
        <v>944</v>
      </c>
      <c r="I14" s="246" t="s">
        <v>944</v>
      </c>
      <c r="J14" s="246" t="s">
        <v>834</v>
      </c>
      <c r="K14" s="247" t="s">
        <v>834</v>
      </c>
      <c r="L14" s="246" t="s">
        <v>834</v>
      </c>
      <c r="M14" s="246" t="s">
        <v>834</v>
      </c>
      <c r="N14" s="247" t="s">
        <v>2953</v>
      </c>
      <c r="O14" s="247" t="s">
        <v>1738</v>
      </c>
      <c r="P14" s="247" t="s">
        <v>2589</v>
      </c>
      <c r="Q14" s="247" t="s">
        <v>834</v>
      </c>
      <c r="R14" s="247" t="s">
        <v>1770</v>
      </c>
      <c r="S14" s="247" t="s">
        <v>1631</v>
      </c>
      <c r="T14" s="247" t="s">
        <v>1790</v>
      </c>
      <c r="U14" s="246" t="s">
        <v>844</v>
      </c>
      <c r="V14" s="247" t="s">
        <v>834</v>
      </c>
      <c r="W14" s="247" t="s">
        <v>1800</v>
      </c>
      <c r="X14" s="246" t="s">
        <v>944</v>
      </c>
      <c r="Y14" s="246" t="s">
        <v>3345</v>
      </c>
      <c r="Z14" s="246" t="s">
        <v>1816</v>
      </c>
      <c r="AA14" s="247" t="s">
        <v>3631</v>
      </c>
      <c r="AB14" s="246" t="s">
        <v>500</v>
      </c>
      <c r="AC14" s="247" t="s">
        <v>510</v>
      </c>
      <c r="AD14" s="247" t="s">
        <v>834</v>
      </c>
      <c r="AE14" s="247" t="s">
        <v>2389</v>
      </c>
      <c r="AF14" s="247" t="s">
        <v>530</v>
      </c>
      <c r="AG14" s="246" t="s">
        <v>541</v>
      </c>
      <c r="AH14" s="246" t="s">
        <v>541</v>
      </c>
      <c r="AI14" s="246" t="s">
        <v>530</v>
      </c>
      <c r="AJ14" s="247" t="s">
        <v>960</v>
      </c>
      <c r="AK14" s="246" t="s">
        <v>572</v>
      </c>
      <c r="AL14" s="249" t="s">
        <v>3453</v>
      </c>
      <c r="AM14" s="246" t="s">
        <v>597</v>
      </c>
      <c r="AN14" s="247" t="s">
        <v>1930</v>
      </c>
      <c r="AO14" s="247" t="s">
        <v>1930</v>
      </c>
      <c r="AP14" s="247" t="s">
        <v>834</v>
      </c>
      <c r="AQ14" s="247" t="s">
        <v>1196</v>
      </c>
      <c r="AR14" s="247" t="s">
        <v>1949</v>
      </c>
      <c r="AS14" s="246" t="s">
        <v>2966</v>
      </c>
      <c r="AT14" s="247" t="s">
        <v>1962</v>
      </c>
      <c r="AU14" s="247"/>
    </row>
    <row r="15" spans="1:47">
      <c r="A15" s="246">
        <v>14</v>
      </c>
      <c r="B15" s="246" t="s">
        <v>825</v>
      </c>
      <c r="C15" s="246" t="s">
        <v>825</v>
      </c>
      <c r="D15" s="246" t="s">
        <v>988</v>
      </c>
      <c r="E15" s="247" t="s">
        <v>2789</v>
      </c>
      <c r="F15" s="246" t="s">
        <v>951</v>
      </c>
      <c r="G15" s="246" t="s">
        <v>988</v>
      </c>
      <c r="H15" s="248" t="s">
        <v>1569</v>
      </c>
      <c r="I15" s="246" t="s">
        <v>2866</v>
      </c>
      <c r="J15" s="246" t="s">
        <v>2897</v>
      </c>
      <c r="K15" s="247" t="s">
        <v>825</v>
      </c>
      <c r="L15" s="246" t="s">
        <v>825</v>
      </c>
      <c r="M15" s="246" t="s">
        <v>825</v>
      </c>
      <c r="N15" s="247" t="s">
        <v>825</v>
      </c>
      <c r="O15" s="247" t="s">
        <v>825</v>
      </c>
      <c r="P15" s="247" t="s">
        <v>2576</v>
      </c>
      <c r="Q15" s="247" t="s">
        <v>825</v>
      </c>
      <c r="R15" s="247" t="s">
        <v>1761</v>
      </c>
      <c r="S15" s="247" t="s">
        <v>1618</v>
      </c>
      <c r="T15" s="247" t="s">
        <v>917</v>
      </c>
      <c r="U15" s="246" t="s">
        <v>825</v>
      </c>
      <c r="V15" s="247" t="s">
        <v>321</v>
      </c>
      <c r="W15" s="247" t="s">
        <v>825</v>
      </c>
      <c r="X15" s="246" t="s">
        <v>1998</v>
      </c>
      <c r="Y15" s="246" t="s">
        <v>3332</v>
      </c>
      <c r="Z15" s="246" t="s">
        <v>1810</v>
      </c>
      <c r="AA15" s="247" t="s">
        <v>565</v>
      </c>
      <c r="AB15" s="246" t="s">
        <v>825</v>
      </c>
      <c r="AC15" s="247" t="s">
        <v>503</v>
      </c>
      <c r="AD15" s="247" t="s">
        <v>825</v>
      </c>
      <c r="AE15" s="247" t="s">
        <v>2376</v>
      </c>
      <c r="AF15" s="247" t="s">
        <v>102</v>
      </c>
      <c r="AG15" s="246" t="s">
        <v>988</v>
      </c>
      <c r="AH15" s="246" t="s">
        <v>988</v>
      </c>
      <c r="AI15" s="246" t="s">
        <v>825</v>
      </c>
      <c r="AJ15" s="247" t="s">
        <v>951</v>
      </c>
      <c r="AK15" s="246" t="s">
        <v>565</v>
      </c>
      <c r="AL15" s="249" t="s">
        <v>917</v>
      </c>
      <c r="AM15" s="246" t="s">
        <v>2897</v>
      </c>
      <c r="AN15" s="247" t="s">
        <v>825</v>
      </c>
      <c r="AO15" s="247" t="s">
        <v>825</v>
      </c>
      <c r="AP15" s="247" t="s">
        <v>825</v>
      </c>
      <c r="AQ15" s="247" t="s">
        <v>1190</v>
      </c>
      <c r="AR15" s="247" t="s">
        <v>825</v>
      </c>
      <c r="AS15" s="246" t="s">
        <v>951</v>
      </c>
      <c r="AT15" s="247" t="s">
        <v>825</v>
      </c>
      <c r="AU15" s="247"/>
    </row>
    <row r="16" spans="1:47">
      <c r="A16" s="246">
        <v>15</v>
      </c>
      <c r="B16" s="246" t="s">
        <v>3559</v>
      </c>
      <c r="C16" s="246" t="s">
        <v>3559</v>
      </c>
      <c r="D16" s="246" t="s">
        <v>3632</v>
      </c>
      <c r="E16" s="247" t="s">
        <v>3633</v>
      </c>
      <c r="F16" s="246" t="s">
        <v>3559</v>
      </c>
      <c r="G16" s="246" t="s">
        <v>3559</v>
      </c>
      <c r="H16" s="248" t="s">
        <v>3634</v>
      </c>
      <c r="I16" s="247" t="s">
        <v>3635</v>
      </c>
      <c r="J16" s="246" t="s">
        <v>3636</v>
      </c>
      <c r="K16" s="247" t="s">
        <v>3559</v>
      </c>
      <c r="L16" s="246" t="s">
        <v>3559</v>
      </c>
      <c r="M16" s="246" t="s">
        <v>3559</v>
      </c>
      <c r="N16" s="247" t="s">
        <v>3559</v>
      </c>
      <c r="O16" s="247" t="s">
        <v>3559</v>
      </c>
      <c r="P16" s="247" t="s">
        <v>3637</v>
      </c>
      <c r="Q16" s="247" t="s">
        <v>3559</v>
      </c>
      <c r="R16" s="247" t="s">
        <v>3638</v>
      </c>
      <c r="S16" s="247" t="s">
        <v>3639</v>
      </c>
      <c r="T16" s="247" t="s">
        <v>3559</v>
      </c>
      <c r="U16" s="246" t="s">
        <v>3632</v>
      </c>
      <c r="V16" s="247" t="s">
        <v>3559</v>
      </c>
      <c r="W16" s="247" t="s">
        <v>3559</v>
      </c>
      <c r="X16" s="246" t="s">
        <v>3640</v>
      </c>
      <c r="Y16" s="246" t="s">
        <v>3641</v>
      </c>
      <c r="Z16" s="246" t="s">
        <v>3632</v>
      </c>
      <c r="AA16" s="247" t="s">
        <v>3642</v>
      </c>
      <c r="AB16" s="246" t="s">
        <v>3559</v>
      </c>
      <c r="AC16" s="247" t="s">
        <v>3559</v>
      </c>
      <c r="AD16" s="247" t="s">
        <v>3559</v>
      </c>
      <c r="AE16" s="247" t="s">
        <v>3643</v>
      </c>
      <c r="AF16" s="247" t="s">
        <v>3644</v>
      </c>
      <c r="AG16" s="246" t="s">
        <v>3559</v>
      </c>
      <c r="AH16" s="246" t="s">
        <v>3559</v>
      </c>
      <c r="AI16" s="246" t="s">
        <v>3559</v>
      </c>
      <c r="AJ16" s="247" t="s">
        <v>3645</v>
      </c>
      <c r="AK16" s="246" t="s">
        <v>3642</v>
      </c>
      <c r="AL16" s="249" t="s">
        <v>3636</v>
      </c>
      <c r="AM16" s="246" t="s">
        <v>3559</v>
      </c>
      <c r="AN16" s="246" t="s">
        <v>3559</v>
      </c>
      <c r="AO16" s="247" t="s">
        <v>3559</v>
      </c>
      <c r="AP16" s="247" t="s">
        <v>3646</v>
      </c>
      <c r="AQ16" s="247" t="s">
        <v>3647</v>
      </c>
      <c r="AR16" s="247" t="s">
        <v>3636</v>
      </c>
      <c r="AS16" s="246" t="s">
        <v>3648</v>
      </c>
      <c r="AT16" s="247" t="s">
        <v>3559</v>
      </c>
      <c r="AU16" s="247"/>
    </row>
    <row r="17" spans="1:47">
      <c r="A17" s="246">
        <v>16</v>
      </c>
      <c r="B17" s="246" t="s">
        <v>829</v>
      </c>
      <c r="C17" s="246" t="s">
        <v>891</v>
      </c>
      <c r="D17" s="246" t="s">
        <v>529</v>
      </c>
      <c r="E17" s="247" t="s">
        <v>2790</v>
      </c>
      <c r="F17" s="246" t="s">
        <v>955</v>
      </c>
      <c r="G17" s="246" t="s">
        <v>991</v>
      </c>
      <c r="H17" s="248" t="s">
        <v>1574</v>
      </c>
      <c r="I17" s="246" t="s">
        <v>2871</v>
      </c>
      <c r="J17" s="246" t="s">
        <v>2900</v>
      </c>
      <c r="K17" s="247" t="s">
        <v>829</v>
      </c>
      <c r="L17" s="246" t="s">
        <v>891</v>
      </c>
      <c r="M17" s="246" t="s">
        <v>829</v>
      </c>
      <c r="N17" s="247" t="s">
        <v>2951</v>
      </c>
      <c r="O17" s="247" t="s">
        <v>1735</v>
      </c>
      <c r="P17" s="247" t="s">
        <v>2582</v>
      </c>
      <c r="Q17" s="247" t="s">
        <v>829</v>
      </c>
      <c r="R17" s="247" t="s">
        <v>1765</v>
      </c>
      <c r="S17" s="247" t="s">
        <v>1624</v>
      </c>
      <c r="T17" s="247" t="s">
        <v>529</v>
      </c>
      <c r="U17" s="246" t="s">
        <v>841</v>
      </c>
      <c r="V17" s="247" t="s">
        <v>829</v>
      </c>
      <c r="W17" s="247" t="s">
        <v>1798</v>
      </c>
      <c r="X17" s="246" t="s">
        <v>2004</v>
      </c>
      <c r="Y17" s="246" t="s">
        <v>3338</v>
      </c>
      <c r="Z17" s="246" t="s">
        <v>1812</v>
      </c>
      <c r="AA17" s="247" t="s">
        <v>3649</v>
      </c>
      <c r="AB17" s="246" t="s">
        <v>829</v>
      </c>
      <c r="AC17" s="247" t="s">
        <v>507</v>
      </c>
      <c r="AD17" s="247" t="s">
        <v>829</v>
      </c>
      <c r="AE17" s="247" t="s">
        <v>2382</v>
      </c>
      <c r="AF17" s="247" t="s">
        <v>529</v>
      </c>
      <c r="AG17" s="246" t="s">
        <v>537</v>
      </c>
      <c r="AH17" s="246" t="s">
        <v>537</v>
      </c>
      <c r="AI17" s="246" t="s">
        <v>529</v>
      </c>
      <c r="AJ17" s="247" t="s">
        <v>955</v>
      </c>
      <c r="AK17" s="246" t="s">
        <v>569</v>
      </c>
      <c r="AL17" s="249" t="s">
        <v>3449</v>
      </c>
      <c r="AM17" s="246" t="s">
        <v>1812</v>
      </c>
      <c r="AN17" s="247" t="s">
        <v>537</v>
      </c>
      <c r="AO17" s="247" t="s">
        <v>537</v>
      </c>
      <c r="AP17" s="247" t="s">
        <v>829</v>
      </c>
      <c r="AQ17" s="247" t="s">
        <v>1193</v>
      </c>
      <c r="AR17" s="247" t="s">
        <v>1711</v>
      </c>
      <c r="AS17" s="246" t="s">
        <v>2962</v>
      </c>
      <c r="AT17" s="247" t="s">
        <v>1959</v>
      </c>
      <c r="AU17" s="247"/>
    </row>
    <row r="18" spans="1:47">
      <c r="A18" s="246">
        <v>17</v>
      </c>
      <c r="B18" s="246" t="s">
        <v>3095</v>
      </c>
      <c r="C18" s="246" t="s">
        <v>3190</v>
      </c>
      <c r="D18" s="246" t="s">
        <v>3112</v>
      </c>
      <c r="E18" s="247" t="s">
        <v>2793</v>
      </c>
      <c r="F18" s="246" t="s">
        <v>3234</v>
      </c>
      <c r="G18" s="246" t="s">
        <v>3173</v>
      </c>
      <c r="H18" s="248" t="s">
        <v>1367</v>
      </c>
      <c r="I18" s="246" t="s">
        <v>1367</v>
      </c>
      <c r="J18" s="246" t="s">
        <v>3167</v>
      </c>
      <c r="K18" s="247" t="s">
        <v>3125</v>
      </c>
      <c r="L18" s="246" t="s">
        <v>3190</v>
      </c>
      <c r="M18" s="246" t="s">
        <v>3095</v>
      </c>
      <c r="N18" s="247" t="s">
        <v>3112</v>
      </c>
      <c r="O18" s="247" t="s">
        <v>3119</v>
      </c>
      <c r="P18" s="247" t="s">
        <v>2591</v>
      </c>
      <c r="Q18" s="247" t="s">
        <v>3125</v>
      </c>
      <c r="R18" s="247" t="s">
        <v>3242</v>
      </c>
      <c r="S18" s="247" t="s">
        <v>1633</v>
      </c>
      <c r="T18" s="247" t="s">
        <v>3180</v>
      </c>
      <c r="U18" s="246" t="s">
        <v>1354</v>
      </c>
      <c r="V18" s="247" t="s">
        <v>330</v>
      </c>
      <c r="W18" s="247" t="s">
        <v>3112</v>
      </c>
      <c r="X18" s="246" t="s">
        <v>2012</v>
      </c>
      <c r="Y18" s="246" t="s">
        <v>3347</v>
      </c>
      <c r="Z18" s="246" t="s">
        <v>3167</v>
      </c>
      <c r="AA18" s="247" t="s">
        <v>3224</v>
      </c>
      <c r="AB18" s="246" t="s">
        <v>1354</v>
      </c>
      <c r="AC18" s="247" t="s">
        <v>3202</v>
      </c>
      <c r="AD18" s="247" t="s">
        <v>3112</v>
      </c>
      <c r="AE18" s="247" t="s">
        <v>2391</v>
      </c>
      <c r="AF18" s="247" t="s">
        <v>105</v>
      </c>
      <c r="AG18" s="246" t="s">
        <v>3151</v>
      </c>
      <c r="AH18" s="246" t="s">
        <v>3151</v>
      </c>
      <c r="AI18" s="246" t="s">
        <v>3112</v>
      </c>
      <c r="AJ18" s="247" t="s">
        <v>3234</v>
      </c>
      <c r="AK18" s="246" t="s">
        <v>3224</v>
      </c>
      <c r="AL18" s="249" t="s">
        <v>3454</v>
      </c>
      <c r="AM18" s="246" t="s">
        <v>3167</v>
      </c>
      <c r="AN18" s="246" t="s">
        <v>3112</v>
      </c>
      <c r="AO18" s="247" t="s">
        <v>3112</v>
      </c>
      <c r="AP18" s="247" t="s">
        <v>3125</v>
      </c>
      <c r="AQ18" s="247" t="s">
        <v>1198</v>
      </c>
      <c r="AR18" s="247" t="s">
        <v>3252</v>
      </c>
      <c r="AS18" s="246" t="s">
        <v>2967</v>
      </c>
      <c r="AT18" s="247" t="s">
        <v>1963</v>
      </c>
      <c r="AU18" s="247"/>
    </row>
    <row r="19" spans="1:47">
      <c r="A19" s="246">
        <v>18</v>
      </c>
      <c r="B19" s="246" t="s">
        <v>3089</v>
      </c>
      <c r="C19" s="246" t="s">
        <v>898</v>
      </c>
      <c r="D19" s="246" t="s">
        <v>3650</v>
      </c>
      <c r="E19" s="247" t="s">
        <v>1358</v>
      </c>
      <c r="F19" s="246" t="s">
        <v>3231</v>
      </c>
      <c r="G19" s="246" t="s">
        <v>3171</v>
      </c>
      <c r="H19" s="248" t="s">
        <v>1365</v>
      </c>
      <c r="I19" s="246" t="s">
        <v>1365</v>
      </c>
      <c r="J19" s="246" t="s">
        <v>1341</v>
      </c>
      <c r="K19" s="247" t="s">
        <v>3123</v>
      </c>
      <c r="L19" s="246" t="s">
        <v>3188</v>
      </c>
      <c r="M19" s="246" t="s">
        <v>3089</v>
      </c>
      <c r="N19" s="247" t="s">
        <v>3214</v>
      </c>
      <c r="O19" s="247" t="s">
        <v>3117</v>
      </c>
      <c r="P19" s="247" t="s">
        <v>2596</v>
      </c>
      <c r="Q19" s="247" t="s">
        <v>3123</v>
      </c>
      <c r="R19" s="247" t="s">
        <v>3240</v>
      </c>
      <c r="S19" s="247" t="s">
        <v>1638</v>
      </c>
      <c r="T19" s="247" t="s">
        <v>3177</v>
      </c>
      <c r="U19" s="246" t="s">
        <v>3108</v>
      </c>
      <c r="V19" s="247" t="s">
        <v>335</v>
      </c>
      <c r="W19" s="247" t="s">
        <v>3136</v>
      </c>
      <c r="X19" s="246" t="s">
        <v>2017</v>
      </c>
      <c r="Y19" s="246" t="s">
        <v>3352</v>
      </c>
      <c r="Z19" s="246" t="s">
        <v>3164</v>
      </c>
      <c r="AA19" s="247" t="s">
        <v>3651</v>
      </c>
      <c r="AB19" s="246" t="s">
        <v>3089</v>
      </c>
      <c r="AC19" s="247" t="s">
        <v>3136</v>
      </c>
      <c r="AD19" s="247" t="s">
        <v>3516</v>
      </c>
      <c r="AE19" s="247" t="s">
        <v>2396</v>
      </c>
      <c r="AF19" s="247" t="s">
        <v>3155</v>
      </c>
      <c r="AG19" s="247" t="s">
        <v>1517</v>
      </c>
      <c r="AH19" s="246" t="s">
        <v>1517</v>
      </c>
      <c r="AI19" s="246" t="s">
        <v>1011</v>
      </c>
      <c r="AJ19" s="247" t="s">
        <v>3231</v>
      </c>
      <c r="AK19" s="246" t="s">
        <v>3221</v>
      </c>
      <c r="AL19" s="249" t="s">
        <v>3458</v>
      </c>
      <c r="AM19" s="246" t="s">
        <v>3207</v>
      </c>
      <c r="AN19" s="247" t="s">
        <v>3129</v>
      </c>
      <c r="AO19" s="247" t="s">
        <v>3129</v>
      </c>
      <c r="AP19" s="247" t="s">
        <v>3123</v>
      </c>
      <c r="AQ19" s="247" t="s">
        <v>1203</v>
      </c>
      <c r="AR19" s="250" t="s">
        <v>3249</v>
      </c>
      <c r="AS19" s="246" t="s">
        <v>2972</v>
      </c>
      <c r="AT19" s="247" t="s">
        <v>1868</v>
      </c>
      <c r="AU19" s="247"/>
    </row>
    <row r="20" spans="1:47">
      <c r="A20" s="246">
        <v>19</v>
      </c>
      <c r="B20" s="246" t="s">
        <v>3560</v>
      </c>
      <c r="C20" s="246" t="s">
        <v>3560</v>
      </c>
      <c r="D20" s="246" t="s">
        <v>3652</v>
      </c>
      <c r="E20" s="247" t="s">
        <v>3653</v>
      </c>
      <c r="F20" s="246" t="s">
        <v>3654</v>
      </c>
      <c r="G20" s="246" t="s">
        <v>3655</v>
      </c>
      <c r="H20" s="248" t="s">
        <v>3656</v>
      </c>
      <c r="I20" s="246" t="s">
        <v>3657</v>
      </c>
      <c r="J20" s="246" t="s">
        <v>3658</v>
      </c>
      <c r="K20" s="247" t="s">
        <v>3560</v>
      </c>
      <c r="L20" s="246" t="s">
        <v>3560</v>
      </c>
      <c r="M20" s="246" t="s">
        <v>3560</v>
      </c>
      <c r="N20" s="247" t="s">
        <v>3560</v>
      </c>
      <c r="O20" s="247" t="s">
        <v>3659</v>
      </c>
      <c r="P20" s="247" t="s">
        <v>3660</v>
      </c>
      <c r="Q20" s="247" t="s">
        <v>3560</v>
      </c>
      <c r="R20" s="247" t="s">
        <v>3661</v>
      </c>
      <c r="S20" s="247" t="s">
        <v>3662</v>
      </c>
      <c r="T20" s="247" t="s">
        <v>3560</v>
      </c>
      <c r="U20" s="246" t="s">
        <v>3652</v>
      </c>
      <c r="V20" s="247" t="s">
        <v>3560</v>
      </c>
      <c r="W20" s="247" t="s">
        <v>3560</v>
      </c>
      <c r="X20" s="246" t="s">
        <v>3663</v>
      </c>
      <c r="Y20" s="246" t="s">
        <v>3664</v>
      </c>
      <c r="Z20" s="246" t="s">
        <v>3665</v>
      </c>
      <c r="AA20" s="247" t="s">
        <v>3654</v>
      </c>
      <c r="AB20" s="246" t="s">
        <v>3560</v>
      </c>
      <c r="AC20" s="247" t="s">
        <v>3666</v>
      </c>
      <c r="AD20" s="247" t="s">
        <v>3560</v>
      </c>
      <c r="AE20" s="247" t="s">
        <v>3667</v>
      </c>
      <c r="AF20" s="247" t="s">
        <v>3666</v>
      </c>
      <c r="AG20" s="247" t="s">
        <v>3668</v>
      </c>
      <c r="AH20" s="246" t="s">
        <v>3668</v>
      </c>
      <c r="AI20" s="246" t="s">
        <v>3560</v>
      </c>
      <c r="AJ20" s="247" t="s">
        <v>3669</v>
      </c>
      <c r="AK20" s="246" t="s">
        <v>3654</v>
      </c>
      <c r="AL20" s="249" t="s">
        <v>3670</v>
      </c>
      <c r="AM20" s="246" t="s">
        <v>3658</v>
      </c>
      <c r="AN20" s="247" t="s">
        <v>3560</v>
      </c>
      <c r="AO20" s="247" t="s">
        <v>3560</v>
      </c>
      <c r="AP20" s="247" t="s">
        <v>3560</v>
      </c>
      <c r="AQ20" s="247" t="s">
        <v>3671</v>
      </c>
      <c r="AR20" s="247" t="s">
        <v>3658</v>
      </c>
      <c r="AS20" s="246" t="s">
        <v>3654</v>
      </c>
      <c r="AT20" s="247" t="s">
        <v>3560</v>
      </c>
      <c r="AU20" s="247"/>
    </row>
    <row r="21" spans="1:47">
      <c r="A21" s="246">
        <v>20</v>
      </c>
      <c r="B21" s="246" t="s">
        <v>3096</v>
      </c>
      <c r="C21" s="246" t="s">
        <v>886</v>
      </c>
      <c r="D21" s="246" t="s">
        <v>3672</v>
      </c>
      <c r="E21" s="247" t="s">
        <v>1362</v>
      </c>
      <c r="F21" s="246" t="s">
        <v>3236</v>
      </c>
      <c r="G21" s="246" t="s">
        <v>3152</v>
      </c>
      <c r="H21" s="248" t="s">
        <v>1570</v>
      </c>
      <c r="I21" s="246" t="s">
        <v>2867</v>
      </c>
      <c r="J21" s="246" t="s">
        <v>1343</v>
      </c>
      <c r="K21" s="247" t="s">
        <v>3198</v>
      </c>
      <c r="L21" s="246" t="s">
        <v>3192</v>
      </c>
      <c r="M21" s="246" t="s">
        <v>3096</v>
      </c>
      <c r="N21" s="247" t="s">
        <v>3217</v>
      </c>
      <c r="O21" s="247" t="s">
        <v>3096</v>
      </c>
      <c r="P21" s="247" t="s">
        <v>2577</v>
      </c>
      <c r="Q21" s="247" t="s">
        <v>3126</v>
      </c>
      <c r="R21" s="247" t="s">
        <v>3244</v>
      </c>
      <c r="S21" s="247" t="s">
        <v>1619</v>
      </c>
      <c r="T21" s="247" t="s">
        <v>3182</v>
      </c>
      <c r="U21" s="246" t="s">
        <v>3113</v>
      </c>
      <c r="V21" s="247" t="s">
        <v>322</v>
      </c>
      <c r="W21" s="247" t="s">
        <v>3132</v>
      </c>
      <c r="X21" s="246" t="s">
        <v>1999</v>
      </c>
      <c r="Y21" s="246" t="s">
        <v>3333</v>
      </c>
      <c r="Z21" s="246" t="s">
        <v>3168</v>
      </c>
      <c r="AA21" s="247" t="s">
        <v>3673</v>
      </c>
      <c r="AB21" s="246" t="s">
        <v>3113</v>
      </c>
      <c r="AC21" s="247" t="s">
        <v>3203</v>
      </c>
      <c r="AD21" s="247" t="s">
        <v>609</v>
      </c>
      <c r="AE21" s="247" t="s">
        <v>2377</v>
      </c>
      <c r="AF21" s="247" t="s">
        <v>3159</v>
      </c>
      <c r="AG21" s="247" t="s">
        <v>3152</v>
      </c>
      <c r="AH21" s="246" t="s">
        <v>3152</v>
      </c>
      <c r="AI21" s="246" t="s">
        <v>1008</v>
      </c>
      <c r="AJ21" s="247" t="s">
        <v>3236</v>
      </c>
      <c r="AK21" s="246" t="s">
        <v>3226</v>
      </c>
      <c r="AL21" s="249" t="s">
        <v>3446</v>
      </c>
      <c r="AM21" s="246" t="s">
        <v>3096</v>
      </c>
      <c r="AN21" s="246" t="s">
        <v>3132</v>
      </c>
      <c r="AO21" s="247" t="s">
        <v>3132</v>
      </c>
      <c r="AP21" s="247" t="s">
        <v>609</v>
      </c>
      <c r="AQ21" s="247" t="s">
        <v>1191</v>
      </c>
      <c r="AR21" s="247" t="s">
        <v>1337</v>
      </c>
      <c r="AS21" s="246" t="s">
        <v>2958</v>
      </c>
      <c r="AT21" s="247" t="s">
        <v>1350</v>
      </c>
      <c r="AU21" s="247"/>
    </row>
    <row r="22" spans="1:47">
      <c r="A22" s="246">
        <v>21</v>
      </c>
      <c r="B22" s="246" t="s">
        <v>837</v>
      </c>
      <c r="C22" s="246" t="s">
        <v>837</v>
      </c>
      <c r="D22" s="246" t="s">
        <v>3674</v>
      </c>
      <c r="E22" s="247" t="s">
        <v>937</v>
      </c>
      <c r="F22" s="246" t="s">
        <v>964</v>
      </c>
      <c r="G22" s="246" t="s">
        <v>998</v>
      </c>
      <c r="H22" s="248" t="s">
        <v>946</v>
      </c>
      <c r="I22" s="246" t="s">
        <v>946</v>
      </c>
      <c r="J22" s="246" t="s">
        <v>837</v>
      </c>
      <c r="K22" s="246" t="s">
        <v>837</v>
      </c>
      <c r="L22" s="246" t="s">
        <v>837</v>
      </c>
      <c r="M22" s="246" t="s">
        <v>837</v>
      </c>
      <c r="N22" s="247" t="s">
        <v>837</v>
      </c>
      <c r="O22" s="247" t="s">
        <v>837</v>
      </c>
      <c r="P22" s="247" t="s">
        <v>2597</v>
      </c>
      <c r="Q22" s="247" t="s">
        <v>837</v>
      </c>
      <c r="R22" s="247" t="s">
        <v>1775</v>
      </c>
      <c r="S22" s="247" t="s">
        <v>1639</v>
      </c>
      <c r="T22" s="247" t="s">
        <v>2338</v>
      </c>
      <c r="U22" s="246" t="s">
        <v>837</v>
      </c>
      <c r="V22" s="247" t="s">
        <v>336</v>
      </c>
      <c r="W22" s="247" t="s">
        <v>837</v>
      </c>
      <c r="X22" s="246" t="s">
        <v>2018</v>
      </c>
      <c r="Y22" s="246" t="s">
        <v>3353</v>
      </c>
      <c r="Z22" s="246" t="s">
        <v>1820</v>
      </c>
      <c r="AA22" s="247" t="s">
        <v>964</v>
      </c>
      <c r="AB22" s="246" t="s">
        <v>837</v>
      </c>
      <c r="AC22" s="247" t="s">
        <v>514</v>
      </c>
      <c r="AD22" s="247" t="s">
        <v>837</v>
      </c>
      <c r="AE22" s="247" t="s">
        <v>937</v>
      </c>
      <c r="AF22" s="247" t="s">
        <v>837</v>
      </c>
      <c r="AG22" s="247" t="s">
        <v>837</v>
      </c>
      <c r="AH22" s="246" t="s">
        <v>837</v>
      </c>
      <c r="AI22" s="246" t="s">
        <v>837</v>
      </c>
      <c r="AJ22" s="247" t="s">
        <v>557</v>
      </c>
      <c r="AK22" s="246" t="s">
        <v>575</v>
      </c>
      <c r="AL22" s="249" t="s">
        <v>837</v>
      </c>
      <c r="AM22" s="246" t="s">
        <v>837</v>
      </c>
      <c r="AN22" s="247" t="s">
        <v>837</v>
      </c>
      <c r="AO22" s="247" t="s">
        <v>837</v>
      </c>
      <c r="AP22" s="247" t="s">
        <v>837</v>
      </c>
      <c r="AQ22" s="247" t="s">
        <v>1921</v>
      </c>
      <c r="AR22" s="247" t="s">
        <v>837</v>
      </c>
      <c r="AS22" s="246" t="s">
        <v>557</v>
      </c>
      <c r="AT22" s="247" t="s">
        <v>1869</v>
      </c>
      <c r="AU22" s="247"/>
    </row>
    <row r="23" spans="1:47">
      <c r="A23" s="246">
        <v>22</v>
      </c>
      <c r="B23" s="246" t="s">
        <v>826</v>
      </c>
      <c r="C23" s="246" t="s">
        <v>887</v>
      </c>
      <c r="D23" s="246" t="s">
        <v>3675</v>
      </c>
      <c r="E23" s="247" t="s">
        <v>928</v>
      </c>
      <c r="F23" s="246" t="s">
        <v>952</v>
      </c>
      <c r="G23" s="246" t="s">
        <v>826</v>
      </c>
      <c r="H23" s="248" t="s">
        <v>943</v>
      </c>
      <c r="I23" s="246" t="s">
        <v>943</v>
      </c>
      <c r="J23" s="246" t="s">
        <v>826</v>
      </c>
      <c r="K23" s="247" t="s">
        <v>826</v>
      </c>
      <c r="L23" s="246" t="s">
        <v>887</v>
      </c>
      <c r="M23" s="246" t="s">
        <v>826</v>
      </c>
      <c r="N23" s="247" t="s">
        <v>2949</v>
      </c>
      <c r="O23" s="247" t="s">
        <v>1733</v>
      </c>
      <c r="P23" s="247" t="s">
        <v>2578</v>
      </c>
      <c r="Q23" s="247" t="s">
        <v>1751</v>
      </c>
      <c r="R23" s="247" t="s">
        <v>1762</v>
      </c>
      <c r="S23" s="247" t="s">
        <v>1620</v>
      </c>
      <c r="T23" s="247" t="s">
        <v>1786</v>
      </c>
      <c r="U23" s="246" t="s">
        <v>826</v>
      </c>
      <c r="V23" s="247" t="s">
        <v>1786</v>
      </c>
      <c r="W23" s="247" t="s">
        <v>826</v>
      </c>
      <c r="X23" s="246" t="s">
        <v>2000</v>
      </c>
      <c r="Y23" s="246" t="s">
        <v>3334</v>
      </c>
      <c r="Z23" s="246" t="s">
        <v>826</v>
      </c>
      <c r="AA23" s="247" t="s">
        <v>552</v>
      </c>
      <c r="AB23" s="246" t="s">
        <v>826</v>
      </c>
      <c r="AC23" s="247" t="s">
        <v>504</v>
      </c>
      <c r="AD23" s="247" t="s">
        <v>826</v>
      </c>
      <c r="AE23" s="247" t="s">
        <v>2378</v>
      </c>
      <c r="AF23" s="247" t="s">
        <v>528</v>
      </c>
      <c r="AG23" s="247" t="s">
        <v>826</v>
      </c>
      <c r="AH23" s="246" t="s">
        <v>826</v>
      </c>
      <c r="AI23" s="246" t="s">
        <v>826</v>
      </c>
      <c r="AJ23" s="247" t="s">
        <v>552</v>
      </c>
      <c r="AK23" s="246" t="s">
        <v>566</v>
      </c>
      <c r="AL23" s="249" t="s">
        <v>1786</v>
      </c>
      <c r="AM23" s="246" t="s">
        <v>826</v>
      </c>
      <c r="AN23" s="247" t="s">
        <v>826</v>
      </c>
      <c r="AO23" s="247" t="s">
        <v>826</v>
      </c>
      <c r="AP23" s="247" t="s">
        <v>826</v>
      </c>
      <c r="AQ23" s="247" t="s">
        <v>1914</v>
      </c>
      <c r="AR23" s="247" t="s">
        <v>1943</v>
      </c>
      <c r="AS23" s="246" t="s">
        <v>552</v>
      </c>
      <c r="AT23" s="247" t="s">
        <v>1861</v>
      </c>
      <c r="AU23" s="247"/>
    </row>
    <row r="24" spans="1:47">
      <c r="A24" s="246">
        <v>23</v>
      </c>
      <c r="B24" s="246" t="s">
        <v>3561</v>
      </c>
      <c r="C24" s="246" t="s">
        <v>3676</v>
      </c>
      <c r="D24" s="246" t="s">
        <v>3677</v>
      </c>
      <c r="E24" s="247" t="s">
        <v>3678</v>
      </c>
      <c r="F24" s="246" t="s">
        <v>3679</v>
      </c>
      <c r="G24" s="246" t="s">
        <v>3680</v>
      </c>
      <c r="H24" s="248" t="s">
        <v>3681</v>
      </c>
      <c r="I24" s="246" t="s">
        <v>3682</v>
      </c>
      <c r="J24" s="246" t="s">
        <v>3683</v>
      </c>
      <c r="K24" s="246" t="s">
        <v>3684</v>
      </c>
      <c r="L24" s="246" t="s">
        <v>3685</v>
      </c>
      <c r="M24" s="246" t="s">
        <v>3561</v>
      </c>
      <c r="N24" s="247" t="s">
        <v>3686</v>
      </c>
      <c r="O24" s="247" t="s">
        <v>3687</v>
      </c>
      <c r="P24" s="247" t="s">
        <v>3688</v>
      </c>
      <c r="Q24" s="247" t="s">
        <v>3689</v>
      </c>
      <c r="R24" s="247" t="s">
        <v>3690</v>
      </c>
      <c r="S24" s="247" t="s">
        <v>3691</v>
      </c>
      <c r="T24" s="247" t="s">
        <v>3692</v>
      </c>
      <c r="U24" s="246" t="s">
        <v>3561</v>
      </c>
      <c r="V24" s="247" t="s">
        <v>3693</v>
      </c>
      <c r="W24" s="247" t="s">
        <v>3694</v>
      </c>
      <c r="X24" s="246" t="s">
        <v>3695</v>
      </c>
      <c r="Y24" s="246" t="s">
        <v>3696</v>
      </c>
      <c r="Z24" s="246" t="s">
        <v>3697</v>
      </c>
      <c r="AA24" s="247" t="s">
        <v>3679</v>
      </c>
      <c r="AB24" s="246" t="s">
        <v>3561</v>
      </c>
      <c r="AC24" s="247" t="s">
        <v>3561</v>
      </c>
      <c r="AD24" s="247" t="s">
        <v>3698</v>
      </c>
      <c r="AE24" s="247" t="s">
        <v>3699</v>
      </c>
      <c r="AF24" s="247" t="s">
        <v>3700</v>
      </c>
      <c r="AG24" s="246" t="s">
        <v>3701</v>
      </c>
      <c r="AH24" s="246" t="s">
        <v>3701</v>
      </c>
      <c r="AI24" s="246" t="s">
        <v>3702</v>
      </c>
      <c r="AJ24" s="247" t="s">
        <v>3703</v>
      </c>
      <c r="AK24" s="246" t="s">
        <v>3679</v>
      </c>
      <c r="AL24" s="249" t="s">
        <v>3704</v>
      </c>
      <c r="AM24" s="246" t="s">
        <v>3705</v>
      </c>
      <c r="AN24" s="246" t="s">
        <v>3561</v>
      </c>
      <c r="AO24" s="247" t="s">
        <v>3561</v>
      </c>
      <c r="AP24" s="246" t="s">
        <v>3706</v>
      </c>
      <c r="AQ24" s="247" t="s">
        <v>3707</v>
      </c>
      <c r="AR24" s="247" t="s">
        <v>3708</v>
      </c>
      <c r="AS24" s="246" t="s">
        <v>3709</v>
      </c>
      <c r="AT24" s="247" t="s">
        <v>3561</v>
      </c>
      <c r="AU24" s="247"/>
    </row>
    <row r="25" spans="1:47">
      <c r="A25" s="246">
        <v>24</v>
      </c>
      <c r="B25" s="246" t="s">
        <v>3562</v>
      </c>
      <c r="C25" s="246" t="s">
        <v>3562</v>
      </c>
      <c r="D25" s="246" t="s">
        <v>3562</v>
      </c>
      <c r="E25" s="247" t="s">
        <v>3710</v>
      </c>
      <c r="F25" s="246" t="s">
        <v>3711</v>
      </c>
      <c r="G25" s="246" t="s">
        <v>3562</v>
      </c>
      <c r="H25" s="248" t="s">
        <v>3712</v>
      </c>
      <c r="I25" s="246" t="s">
        <v>3712</v>
      </c>
      <c r="J25" s="246" t="s">
        <v>3562</v>
      </c>
      <c r="K25" s="247" t="s">
        <v>3562</v>
      </c>
      <c r="L25" s="246" t="s">
        <v>3562</v>
      </c>
      <c r="M25" s="246" t="s">
        <v>3562</v>
      </c>
      <c r="N25" s="247" t="s">
        <v>3562</v>
      </c>
      <c r="O25" s="247" t="s">
        <v>3562</v>
      </c>
      <c r="P25" s="247" t="s">
        <v>3713</v>
      </c>
      <c r="Q25" s="247" t="s">
        <v>3562</v>
      </c>
      <c r="R25" s="247" t="s">
        <v>3714</v>
      </c>
      <c r="S25" s="247" t="s">
        <v>3715</v>
      </c>
      <c r="T25" s="247" t="s">
        <v>3716</v>
      </c>
      <c r="U25" s="246" t="s">
        <v>3562</v>
      </c>
      <c r="V25" s="247" t="s">
        <v>3717</v>
      </c>
      <c r="W25" s="247" t="s">
        <v>3562</v>
      </c>
      <c r="X25" s="246" t="s">
        <v>3718</v>
      </c>
      <c r="Y25" s="246" t="s">
        <v>3719</v>
      </c>
      <c r="Z25" s="246" t="s">
        <v>3720</v>
      </c>
      <c r="AA25" s="247" t="s">
        <v>3711</v>
      </c>
      <c r="AB25" s="246" t="s">
        <v>3562</v>
      </c>
      <c r="AC25" s="247" t="s">
        <v>3562</v>
      </c>
      <c r="AD25" s="247" t="s">
        <v>3562</v>
      </c>
      <c r="AE25" s="247" t="s">
        <v>3721</v>
      </c>
      <c r="AF25" s="247" t="s">
        <v>3562</v>
      </c>
      <c r="AG25" s="247" t="s">
        <v>3722</v>
      </c>
      <c r="AH25" s="246" t="s">
        <v>3722</v>
      </c>
      <c r="AI25" s="246" t="s">
        <v>3562</v>
      </c>
      <c r="AJ25" s="247" t="s">
        <v>3711</v>
      </c>
      <c r="AK25" s="246" t="s">
        <v>3711</v>
      </c>
      <c r="AL25" s="249" t="s">
        <v>3716</v>
      </c>
      <c r="AM25" s="246" t="s">
        <v>3562</v>
      </c>
      <c r="AN25" s="247" t="s">
        <v>3716</v>
      </c>
      <c r="AO25" s="247" t="s">
        <v>3716</v>
      </c>
      <c r="AP25" s="247" t="s">
        <v>3562</v>
      </c>
      <c r="AQ25" s="247" t="s">
        <v>3723</v>
      </c>
      <c r="AR25" s="247" t="s">
        <v>3724</v>
      </c>
      <c r="AS25" s="246" t="s">
        <v>3725</v>
      </c>
      <c r="AT25" s="247" t="s">
        <v>3562</v>
      </c>
      <c r="AU25" s="247"/>
    </row>
    <row r="26" spans="1:47">
      <c r="A26" s="246">
        <v>25</v>
      </c>
      <c r="B26" s="246" t="s">
        <v>827</v>
      </c>
      <c r="C26" s="246" t="s">
        <v>888</v>
      </c>
      <c r="D26" s="246" t="s">
        <v>827</v>
      </c>
      <c r="E26" s="247" t="s">
        <v>929</v>
      </c>
      <c r="F26" s="246" t="s">
        <v>953</v>
      </c>
      <c r="G26" s="246" t="s">
        <v>989</v>
      </c>
      <c r="H26" s="248" t="s">
        <v>1571</v>
      </c>
      <c r="I26" s="246" t="s">
        <v>2868</v>
      </c>
      <c r="J26" s="246" t="s">
        <v>2898</v>
      </c>
      <c r="K26" s="247" t="s">
        <v>827</v>
      </c>
      <c r="L26" s="246" t="s">
        <v>827</v>
      </c>
      <c r="M26" s="246" t="s">
        <v>827</v>
      </c>
      <c r="N26" s="247" t="s">
        <v>827</v>
      </c>
      <c r="O26" s="247" t="s">
        <v>1734</v>
      </c>
      <c r="P26" s="247" t="s">
        <v>2579</v>
      </c>
      <c r="Q26" s="247" t="s">
        <v>827</v>
      </c>
      <c r="R26" s="247" t="s">
        <v>1763</v>
      </c>
      <c r="S26" s="247" t="s">
        <v>1621</v>
      </c>
      <c r="T26" s="247" t="s">
        <v>1734</v>
      </c>
      <c r="U26" s="246" t="s">
        <v>827</v>
      </c>
      <c r="V26" s="247" t="s">
        <v>323</v>
      </c>
      <c r="W26" s="247" t="s">
        <v>827</v>
      </c>
      <c r="X26" s="246" t="s">
        <v>2001</v>
      </c>
      <c r="Y26" s="246" t="s">
        <v>3335</v>
      </c>
      <c r="Z26" s="246" t="s">
        <v>2898</v>
      </c>
      <c r="AA26" s="247" t="s">
        <v>3726</v>
      </c>
      <c r="AB26" s="246" t="s">
        <v>827</v>
      </c>
      <c r="AC26" s="247" t="s">
        <v>505</v>
      </c>
      <c r="AD26" s="247" t="s">
        <v>827</v>
      </c>
      <c r="AE26" s="247" t="s">
        <v>2379</v>
      </c>
      <c r="AF26" s="247" t="s">
        <v>827</v>
      </c>
      <c r="AG26" s="247" t="s">
        <v>1734</v>
      </c>
      <c r="AH26" s="246" t="s">
        <v>1734</v>
      </c>
      <c r="AI26" s="246" t="s">
        <v>827</v>
      </c>
      <c r="AJ26" s="247" t="s">
        <v>953</v>
      </c>
      <c r="AK26" s="246" t="s">
        <v>567</v>
      </c>
      <c r="AL26" s="249" t="s">
        <v>1734</v>
      </c>
      <c r="AM26" s="246" t="s">
        <v>2898</v>
      </c>
      <c r="AN26" s="247" t="s">
        <v>827</v>
      </c>
      <c r="AO26" s="247" t="s">
        <v>827</v>
      </c>
      <c r="AP26" s="247" t="s">
        <v>827</v>
      </c>
      <c r="AQ26" s="247" t="s">
        <v>1915</v>
      </c>
      <c r="AR26" s="247" t="s">
        <v>1944</v>
      </c>
      <c r="AS26" s="246" t="s">
        <v>2959</v>
      </c>
      <c r="AT26" s="247" t="s">
        <v>1862</v>
      </c>
      <c r="AU26" s="247"/>
    </row>
    <row r="27" spans="1:47">
      <c r="A27" s="246">
        <v>26</v>
      </c>
      <c r="B27" s="246" t="s">
        <v>3091</v>
      </c>
      <c r="C27" s="246" t="s">
        <v>3189</v>
      </c>
      <c r="D27" s="246" t="s">
        <v>3727</v>
      </c>
      <c r="E27" s="247" t="s">
        <v>1360</v>
      </c>
      <c r="F27" s="246" t="s">
        <v>3233</v>
      </c>
      <c r="G27" s="246" t="s">
        <v>3172</v>
      </c>
      <c r="H27" s="248" t="s">
        <v>1577</v>
      </c>
      <c r="I27" s="246" t="s">
        <v>2874</v>
      </c>
      <c r="J27" s="246" t="s">
        <v>1342</v>
      </c>
      <c r="K27" s="247" t="s">
        <v>3196</v>
      </c>
      <c r="L27" s="246" t="s">
        <v>3189</v>
      </c>
      <c r="M27" s="246" t="s">
        <v>3091</v>
      </c>
      <c r="N27" s="247" t="s">
        <v>3216</v>
      </c>
      <c r="O27" s="247" t="s">
        <v>3118</v>
      </c>
      <c r="P27" s="247" t="s">
        <v>2585</v>
      </c>
      <c r="Q27" s="247" t="s">
        <v>3124</v>
      </c>
      <c r="R27" s="247" t="s">
        <v>3241</v>
      </c>
      <c r="S27" s="247" t="s">
        <v>1627</v>
      </c>
      <c r="T27" s="247" t="s">
        <v>3179</v>
      </c>
      <c r="U27" s="246" t="s">
        <v>3110</v>
      </c>
      <c r="V27" s="247" t="s">
        <v>327</v>
      </c>
      <c r="W27" s="247" t="s">
        <v>3146</v>
      </c>
      <c r="X27" s="246" t="s">
        <v>2007</v>
      </c>
      <c r="Y27" s="246" t="s">
        <v>3341</v>
      </c>
      <c r="Z27" s="246" t="s">
        <v>3166</v>
      </c>
      <c r="AA27" s="247" t="s">
        <v>3728</v>
      </c>
      <c r="AB27" s="246" t="s">
        <v>3110</v>
      </c>
      <c r="AC27" s="247" t="s">
        <v>3201</v>
      </c>
      <c r="AD27" s="247" t="s">
        <v>3196</v>
      </c>
      <c r="AE27" s="247" t="s">
        <v>2385</v>
      </c>
      <c r="AF27" s="247" t="s">
        <v>3157</v>
      </c>
      <c r="AG27" s="247" t="s">
        <v>3150</v>
      </c>
      <c r="AH27" s="246" t="s">
        <v>3150</v>
      </c>
      <c r="AI27" s="246" t="s">
        <v>3146</v>
      </c>
      <c r="AJ27" s="247" t="s">
        <v>3233</v>
      </c>
      <c r="AK27" s="246" t="s">
        <v>3223</v>
      </c>
      <c r="AL27" s="249" t="s">
        <v>3451</v>
      </c>
      <c r="AM27" s="246" t="s">
        <v>3209</v>
      </c>
      <c r="AN27" s="247" t="s">
        <v>3130</v>
      </c>
      <c r="AO27" s="247" t="s">
        <v>3130</v>
      </c>
      <c r="AP27" s="247" t="s">
        <v>3196</v>
      </c>
      <c r="AQ27" s="247" t="s">
        <v>1195</v>
      </c>
      <c r="AR27" s="247" t="s">
        <v>3251</v>
      </c>
      <c r="AS27" s="246" t="s">
        <v>2963</v>
      </c>
      <c r="AT27" s="247" t="s">
        <v>1348</v>
      </c>
      <c r="AU27" s="247"/>
    </row>
    <row r="28" spans="1:47">
      <c r="A28" s="246">
        <v>27</v>
      </c>
      <c r="B28" s="246" t="s">
        <v>3090</v>
      </c>
      <c r="C28" s="246" t="s">
        <v>3090</v>
      </c>
      <c r="D28" s="246" t="s">
        <v>3156</v>
      </c>
      <c r="E28" s="247" t="s">
        <v>1359</v>
      </c>
      <c r="F28" s="246" t="s">
        <v>3232</v>
      </c>
      <c r="G28" s="246" t="s">
        <v>3090</v>
      </c>
      <c r="H28" s="248" t="s">
        <v>1366</v>
      </c>
      <c r="I28" s="247" t="s">
        <v>1366</v>
      </c>
      <c r="J28" s="246" t="s">
        <v>3090</v>
      </c>
      <c r="K28" s="247" t="s">
        <v>3090</v>
      </c>
      <c r="L28" s="246" t="s">
        <v>3090</v>
      </c>
      <c r="M28" s="246" t="s">
        <v>3090</v>
      </c>
      <c r="N28" s="247" t="s">
        <v>3215</v>
      </c>
      <c r="O28" s="247" t="s">
        <v>3090</v>
      </c>
      <c r="P28" s="247" t="s">
        <v>2594</v>
      </c>
      <c r="Q28" s="247" t="s">
        <v>3090</v>
      </c>
      <c r="R28" s="247" t="s">
        <v>1774</v>
      </c>
      <c r="S28" s="247" t="s">
        <v>1636</v>
      </c>
      <c r="T28" s="247" t="s">
        <v>3178</v>
      </c>
      <c r="U28" s="246" t="s">
        <v>3090</v>
      </c>
      <c r="V28" s="247" t="s">
        <v>333</v>
      </c>
      <c r="W28" s="247" t="s">
        <v>3137</v>
      </c>
      <c r="X28" s="246" t="s">
        <v>2015</v>
      </c>
      <c r="Y28" s="246" t="s">
        <v>3350</v>
      </c>
      <c r="Z28" s="246" t="s">
        <v>3165</v>
      </c>
      <c r="AA28" s="247" t="s">
        <v>3222</v>
      </c>
      <c r="AB28" s="246" t="s">
        <v>3090</v>
      </c>
      <c r="AC28" s="247" t="s">
        <v>513</v>
      </c>
      <c r="AD28" s="247" t="s">
        <v>3090</v>
      </c>
      <c r="AE28" s="247" t="s">
        <v>2394</v>
      </c>
      <c r="AF28" s="247" t="s">
        <v>3156</v>
      </c>
      <c r="AG28" s="247" t="s">
        <v>3090</v>
      </c>
      <c r="AH28" s="247" t="s">
        <v>3090</v>
      </c>
      <c r="AI28" s="246" t="s">
        <v>3156</v>
      </c>
      <c r="AJ28" s="247" t="s">
        <v>3232</v>
      </c>
      <c r="AK28" s="246" t="s">
        <v>3222</v>
      </c>
      <c r="AL28" s="249" t="s">
        <v>3456</v>
      </c>
      <c r="AM28" s="246" t="s">
        <v>3208</v>
      </c>
      <c r="AN28" s="247" t="s">
        <v>3090</v>
      </c>
      <c r="AO28" s="247" t="s">
        <v>3090</v>
      </c>
      <c r="AP28" s="247" t="s">
        <v>3090</v>
      </c>
      <c r="AQ28" s="247" t="s">
        <v>1201</v>
      </c>
      <c r="AR28" s="247" t="s">
        <v>3250</v>
      </c>
      <c r="AS28" s="246" t="s">
        <v>2970</v>
      </c>
      <c r="AT28" s="247" t="s">
        <v>1347</v>
      </c>
      <c r="AU28" s="247"/>
    </row>
    <row r="29" spans="1:47">
      <c r="A29" s="246">
        <v>28</v>
      </c>
      <c r="B29" s="246" t="s">
        <v>833</v>
      </c>
      <c r="C29" s="246" t="s">
        <v>833</v>
      </c>
      <c r="D29" s="246" t="s">
        <v>2903</v>
      </c>
      <c r="E29" s="247" t="s">
        <v>932</v>
      </c>
      <c r="F29" s="246" t="s">
        <v>959</v>
      </c>
      <c r="G29" s="246" t="s">
        <v>833</v>
      </c>
      <c r="H29" s="248" t="s">
        <v>1579</v>
      </c>
      <c r="I29" s="247" t="s">
        <v>2875</v>
      </c>
      <c r="J29" s="246" t="s">
        <v>2903</v>
      </c>
      <c r="K29" s="247" t="s">
        <v>833</v>
      </c>
      <c r="L29" s="246" t="s">
        <v>833</v>
      </c>
      <c r="M29" s="246" t="s">
        <v>833</v>
      </c>
      <c r="N29" s="247" t="s">
        <v>833</v>
      </c>
      <c r="O29" s="247" t="s">
        <v>833</v>
      </c>
      <c r="P29" s="247" t="s">
        <v>2587</v>
      </c>
      <c r="Q29" s="247" t="s">
        <v>833</v>
      </c>
      <c r="R29" s="247" t="s">
        <v>1769</v>
      </c>
      <c r="S29" s="247" t="s">
        <v>1629</v>
      </c>
      <c r="T29" s="247" t="s">
        <v>1789</v>
      </c>
      <c r="U29" s="246" t="s">
        <v>833</v>
      </c>
      <c r="V29" s="247" t="s">
        <v>2903</v>
      </c>
      <c r="W29" s="247" t="s">
        <v>833</v>
      </c>
      <c r="X29" s="246" t="s">
        <v>2009</v>
      </c>
      <c r="Y29" s="246" t="s">
        <v>3343</v>
      </c>
      <c r="Z29" s="246" t="s">
        <v>2903</v>
      </c>
      <c r="AA29" s="247" t="s">
        <v>959</v>
      </c>
      <c r="AB29" s="246" t="s">
        <v>833</v>
      </c>
      <c r="AC29" s="247" t="s">
        <v>2903</v>
      </c>
      <c r="AD29" s="247" t="s">
        <v>833</v>
      </c>
      <c r="AE29" s="247" t="s">
        <v>2387</v>
      </c>
      <c r="AF29" s="247" t="s">
        <v>833</v>
      </c>
      <c r="AG29" s="247" t="s">
        <v>2903</v>
      </c>
      <c r="AH29" s="246" t="s">
        <v>2903</v>
      </c>
      <c r="AI29" s="246" t="s">
        <v>833</v>
      </c>
      <c r="AJ29" s="247" t="s">
        <v>959</v>
      </c>
      <c r="AK29" s="246" t="s">
        <v>959</v>
      </c>
      <c r="AL29" s="249" t="s">
        <v>833</v>
      </c>
      <c r="AM29" s="246" t="s">
        <v>2903</v>
      </c>
      <c r="AN29" s="247" t="s">
        <v>833</v>
      </c>
      <c r="AO29" s="251" t="s">
        <v>833</v>
      </c>
      <c r="AP29" s="247" t="s">
        <v>833</v>
      </c>
      <c r="AQ29" s="247" t="s">
        <v>1919</v>
      </c>
      <c r="AR29" s="247" t="s">
        <v>2903</v>
      </c>
      <c r="AS29" s="246" t="s">
        <v>959</v>
      </c>
      <c r="AT29" s="247" t="s">
        <v>1865</v>
      </c>
      <c r="AU29" s="247"/>
    </row>
    <row r="30" spans="1:47">
      <c r="A30" s="246">
        <v>29</v>
      </c>
      <c r="B30" s="246" t="s">
        <v>830</v>
      </c>
      <c r="C30" s="246" t="s">
        <v>892</v>
      </c>
      <c r="D30" s="246" t="s">
        <v>3729</v>
      </c>
      <c r="E30" s="247" t="s">
        <v>2791</v>
      </c>
      <c r="F30" s="246" t="s">
        <v>956</v>
      </c>
      <c r="G30" s="246" t="s">
        <v>992</v>
      </c>
      <c r="H30" s="248" t="s">
        <v>1575</v>
      </c>
      <c r="I30" s="246" t="s">
        <v>2872</v>
      </c>
      <c r="J30" s="246" t="s">
        <v>830</v>
      </c>
      <c r="K30" s="247" t="s">
        <v>830</v>
      </c>
      <c r="L30" s="246" t="s">
        <v>830</v>
      </c>
      <c r="M30" s="246" t="s">
        <v>830</v>
      </c>
      <c r="N30" s="247" t="s">
        <v>1335</v>
      </c>
      <c r="O30" s="247" t="s">
        <v>2525</v>
      </c>
      <c r="P30" s="247" t="s">
        <v>2583</v>
      </c>
      <c r="Q30" s="247" t="s">
        <v>830</v>
      </c>
      <c r="R30" s="247" t="s">
        <v>1766</v>
      </c>
      <c r="S30" s="247" t="s">
        <v>1625</v>
      </c>
      <c r="T30" s="247" t="s">
        <v>2337</v>
      </c>
      <c r="U30" s="246" t="s">
        <v>842</v>
      </c>
      <c r="V30" s="247" t="s">
        <v>830</v>
      </c>
      <c r="W30" s="247" t="s">
        <v>1799</v>
      </c>
      <c r="X30" s="246" t="s">
        <v>2005</v>
      </c>
      <c r="Y30" s="246" t="s">
        <v>3339</v>
      </c>
      <c r="Z30" s="246" t="s">
        <v>1813</v>
      </c>
      <c r="AA30" s="247" t="s">
        <v>570</v>
      </c>
      <c r="AB30" s="246" t="s">
        <v>3379</v>
      </c>
      <c r="AC30" s="247" t="s">
        <v>830</v>
      </c>
      <c r="AD30" s="247" t="s">
        <v>830</v>
      </c>
      <c r="AE30" s="247" t="s">
        <v>2383</v>
      </c>
      <c r="AF30" s="247" t="s">
        <v>830</v>
      </c>
      <c r="AG30" s="247" t="s">
        <v>538</v>
      </c>
      <c r="AH30" s="246" t="s">
        <v>65</v>
      </c>
      <c r="AI30" s="246" t="s">
        <v>1009</v>
      </c>
      <c r="AJ30" s="247" t="s">
        <v>554</v>
      </c>
      <c r="AK30" s="246" t="s">
        <v>570</v>
      </c>
      <c r="AL30" s="249" t="s">
        <v>830</v>
      </c>
      <c r="AM30" s="246" t="s">
        <v>3967</v>
      </c>
      <c r="AN30" s="246" t="s">
        <v>65</v>
      </c>
      <c r="AO30" s="247" t="s">
        <v>1100</v>
      </c>
      <c r="AP30" s="247" t="s">
        <v>830</v>
      </c>
      <c r="AQ30" s="247" t="s">
        <v>1194</v>
      </c>
      <c r="AR30" s="247" t="s">
        <v>1946</v>
      </c>
      <c r="AS30" s="246" t="s">
        <v>554</v>
      </c>
      <c r="AT30" s="247" t="s">
        <v>1864</v>
      </c>
      <c r="AU30" s="247"/>
    </row>
    <row r="31" spans="1:47">
      <c r="A31" s="246">
        <v>30</v>
      </c>
      <c r="B31" s="246" t="s">
        <v>3564</v>
      </c>
      <c r="C31" s="246" t="s">
        <v>3730</v>
      </c>
      <c r="D31" s="246" t="s">
        <v>3731</v>
      </c>
      <c r="E31" s="247" t="s">
        <v>3732</v>
      </c>
      <c r="F31" s="246" t="s">
        <v>3733</v>
      </c>
      <c r="G31" s="246" t="s">
        <v>3734</v>
      </c>
      <c r="H31" s="248" t="s">
        <v>3735</v>
      </c>
      <c r="I31" s="246" t="s">
        <v>3736</v>
      </c>
      <c r="J31" s="246" t="s">
        <v>3737</v>
      </c>
      <c r="K31" s="247" t="s">
        <v>3738</v>
      </c>
      <c r="L31" s="246" t="s">
        <v>3730</v>
      </c>
      <c r="M31" s="246" t="s">
        <v>3564</v>
      </c>
      <c r="N31" s="247" t="s">
        <v>3739</v>
      </c>
      <c r="O31" s="247" t="s">
        <v>3740</v>
      </c>
      <c r="P31" s="247" t="s">
        <v>3741</v>
      </c>
      <c r="Q31" s="247" t="s">
        <v>3738</v>
      </c>
      <c r="R31" s="247" t="s">
        <v>3742</v>
      </c>
      <c r="S31" s="247" t="s">
        <v>3743</v>
      </c>
      <c r="T31" s="247" t="s">
        <v>3564</v>
      </c>
      <c r="U31" s="246" t="s">
        <v>3739</v>
      </c>
      <c r="V31" s="247" t="s">
        <v>3744</v>
      </c>
      <c r="W31" s="247" t="s">
        <v>3745</v>
      </c>
      <c r="X31" s="246" t="s">
        <v>3746</v>
      </c>
      <c r="Y31" s="246" t="s">
        <v>3747</v>
      </c>
      <c r="Z31" s="246" t="s">
        <v>3737</v>
      </c>
      <c r="AA31" s="247" t="s">
        <v>3748</v>
      </c>
      <c r="AB31" s="246" t="s">
        <v>3564</v>
      </c>
      <c r="AC31" s="247" t="s">
        <v>3749</v>
      </c>
      <c r="AD31" s="247" t="s">
        <v>3739</v>
      </c>
      <c r="AE31" s="247" t="s">
        <v>3750</v>
      </c>
      <c r="AF31" s="247" t="s">
        <v>3739</v>
      </c>
      <c r="AG31" s="247" t="s">
        <v>3751</v>
      </c>
      <c r="AH31" s="246" t="s">
        <v>3751</v>
      </c>
      <c r="AI31" s="246" t="s">
        <v>3739</v>
      </c>
      <c r="AJ31" s="247" t="s">
        <v>3752</v>
      </c>
      <c r="AK31" s="246" t="s">
        <v>3748</v>
      </c>
      <c r="AL31" s="249" t="s">
        <v>3753</v>
      </c>
      <c r="AM31" s="246" t="s">
        <v>3737</v>
      </c>
      <c r="AN31" s="247" t="s">
        <v>3751</v>
      </c>
      <c r="AO31" s="247" t="s">
        <v>3751</v>
      </c>
      <c r="AP31" s="247" t="s">
        <v>3738</v>
      </c>
      <c r="AQ31" s="247" t="s">
        <v>3754</v>
      </c>
      <c r="AR31" s="247" t="s">
        <v>3755</v>
      </c>
      <c r="AS31" s="246" t="s">
        <v>3756</v>
      </c>
      <c r="AT31" s="247" t="s">
        <v>3757</v>
      </c>
      <c r="AU31" s="247"/>
    </row>
    <row r="32" spans="1:47">
      <c r="A32" s="246">
        <v>31</v>
      </c>
      <c r="B32" s="246" t="s">
        <v>831</v>
      </c>
      <c r="C32" s="246" t="s">
        <v>893</v>
      </c>
      <c r="D32" s="246" t="s">
        <v>3758</v>
      </c>
      <c r="E32" s="247" t="s">
        <v>931</v>
      </c>
      <c r="F32" s="246" t="s">
        <v>957</v>
      </c>
      <c r="G32" s="246" t="s">
        <v>993</v>
      </c>
      <c r="H32" s="248" t="s">
        <v>1576</v>
      </c>
      <c r="I32" s="246" t="s">
        <v>2873</v>
      </c>
      <c r="J32" s="246" t="s">
        <v>2901</v>
      </c>
      <c r="K32" s="247" t="s">
        <v>2917</v>
      </c>
      <c r="L32" s="246" t="s">
        <v>2944</v>
      </c>
      <c r="M32" s="246" t="s">
        <v>831</v>
      </c>
      <c r="N32" s="247" t="s">
        <v>831</v>
      </c>
      <c r="O32" s="247" t="s">
        <v>1736</v>
      </c>
      <c r="P32" s="247" t="s">
        <v>2584</v>
      </c>
      <c r="Q32" s="247" t="s">
        <v>1752</v>
      </c>
      <c r="R32" s="247" t="s">
        <v>1767</v>
      </c>
      <c r="S32" s="247" t="s">
        <v>1626</v>
      </c>
      <c r="T32" s="247" t="s">
        <v>1787</v>
      </c>
      <c r="U32" s="246" t="s">
        <v>843</v>
      </c>
      <c r="V32" s="247" t="s">
        <v>326</v>
      </c>
      <c r="W32" s="247" t="s">
        <v>831</v>
      </c>
      <c r="X32" s="246" t="s">
        <v>2006</v>
      </c>
      <c r="Y32" s="246" t="s">
        <v>3340</v>
      </c>
      <c r="Z32" s="246" t="s">
        <v>1814</v>
      </c>
      <c r="AA32" s="247" t="s">
        <v>957</v>
      </c>
      <c r="AB32" s="246" t="s">
        <v>831</v>
      </c>
      <c r="AC32" s="247" t="s">
        <v>508</v>
      </c>
      <c r="AD32" s="247" t="s">
        <v>831</v>
      </c>
      <c r="AE32" s="247" t="s">
        <v>2384</v>
      </c>
      <c r="AF32" s="247" t="s">
        <v>104</v>
      </c>
      <c r="AG32" s="247" t="s">
        <v>539</v>
      </c>
      <c r="AH32" s="246" t="s">
        <v>1787</v>
      </c>
      <c r="AI32" s="246" t="s">
        <v>831</v>
      </c>
      <c r="AJ32" s="247" t="s">
        <v>957</v>
      </c>
      <c r="AK32" s="246" t="s">
        <v>957</v>
      </c>
      <c r="AL32" s="249" t="s">
        <v>3450</v>
      </c>
      <c r="AM32" s="246" t="s">
        <v>595</v>
      </c>
      <c r="AN32" s="247" t="s">
        <v>1928</v>
      </c>
      <c r="AO32" s="247" t="s">
        <v>1928</v>
      </c>
      <c r="AP32" s="247" t="s">
        <v>2917</v>
      </c>
      <c r="AQ32" s="247" t="s">
        <v>1917</v>
      </c>
      <c r="AR32" s="247" t="s">
        <v>1947</v>
      </c>
      <c r="AS32" s="246" t="s">
        <v>957</v>
      </c>
      <c r="AT32" s="247" t="s">
        <v>1960</v>
      </c>
      <c r="AU32" s="247"/>
    </row>
    <row r="33" spans="1:47">
      <c r="A33" s="246">
        <v>32</v>
      </c>
      <c r="B33" s="246" t="s">
        <v>3563</v>
      </c>
      <c r="C33" s="246" t="s">
        <v>3759</v>
      </c>
      <c r="D33" s="246" t="s">
        <v>3760</v>
      </c>
      <c r="E33" s="247" t="s">
        <v>3761</v>
      </c>
      <c r="F33" s="246" t="s">
        <v>3762</v>
      </c>
      <c r="G33" s="246" t="s">
        <v>3763</v>
      </c>
      <c r="H33" s="248" t="s">
        <v>3764</v>
      </c>
      <c r="I33" s="246" t="s">
        <v>3765</v>
      </c>
      <c r="J33" s="246" t="s">
        <v>3766</v>
      </c>
      <c r="K33" s="246" t="s">
        <v>3759</v>
      </c>
      <c r="L33" s="246" t="s">
        <v>3759</v>
      </c>
      <c r="M33" s="246" t="s">
        <v>3563</v>
      </c>
      <c r="N33" s="247" t="s">
        <v>3767</v>
      </c>
      <c r="O33" s="247" t="s">
        <v>3768</v>
      </c>
      <c r="P33" s="247" t="s">
        <v>3769</v>
      </c>
      <c r="Q33" s="247" t="s">
        <v>3770</v>
      </c>
      <c r="R33" s="247" t="s">
        <v>3771</v>
      </c>
      <c r="S33" s="247" t="s">
        <v>3772</v>
      </c>
      <c r="T33" s="247" t="s">
        <v>3773</v>
      </c>
      <c r="U33" s="246" t="s">
        <v>3774</v>
      </c>
      <c r="V33" s="247" t="s">
        <v>3775</v>
      </c>
      <c r="W33" s="247" t="s">
        <v>3563</v>
      </c>
      <c r="X33" s="246" t="s">
        <v>3776</v>
      </c>
      <c r="Y33" s="246" t="s">
        <v>3777</v>
      </c>
      <c r="Z33" s="246" t="s">
        <v>3766</v>
      </c>
      <c r="AA33" s="247" t="s">
        <v>3778</v>
      </c>
      <c r="AB33" s="246" t="s">
        <v>3774</v>
      </c>
      <c r="AC33" s="247" t="s">
        <v>3779</v>
      </c>
      <c r="AD33" s="247" t="s">
        <v>3770</v>
      </c>
      <c r="AE33" s="247" t="s">
        <v>3780</v>
      </c>
      <c r="AF33" s="247" t="s">
        <v>3781</v>
      </c>
      <c r="AG33" s="247" t="s">
        <v>3763</v>
      </c>
      <c r="AH33" s="246" t="s">
        <v>3763</v>
      </c>
      <c r="AI33" s="246" t="s">
        <v>3774</v>
      </c>
      <c r="AJ33" s="247" t="s">
        <v>3782</v>
      </c>
      <c r="AK33" s="246" t="s">
        <v>3778</v>
      </c>
      <c r="AL33" s="249" t="s">
        <v>3783</v>
      </c>
      <c r="AM33" s="246" t="s">
        <v>3766</v>
      </c>
      <c r="AN33" s="246" t="s">
        <v>3774</v>
      </c>
      <c r="AO33" s="247" t="s">
        <v>3774</v>
      </c>
      <c r="AP33" s="247" t="s">
        <v>3784</v>
      </c>
      <c r="AQ33" s="247" t="s">
        <v>3785</v>
      </c>
      <c r="AR33" s="247" t="s">
        <v>3786</v>
      </c>
      <c r="AS33" s="246" t="s">
        <v>3787</v>
      </c>
      <c r="AT33" s="247" t="s">
        <v>3788</v>
      </c>
      <c r="AU33" s="247"/>
    </row>
    <row r="34" spans="1:47">
      <c r="A34" s="246">
        <v>33</v>
      </c>
      <c r="B34" s="246" t="s">
        <v>828</v>
      </c>
      <c r="C34" s="246" t="s">
        <v>889</v>
      </c>
      <c r="D34" s="246" t="s">
        <v>3789</v>
      </c>
      <c r="E34" s="247" t="s">
        <v>930</v>
      </c>
      <c r="F34" s="246" t="s">
        <v>954</v>
      </c>
      <c r="G34" s="246" t="s">
        <v>990</v>
      </c>
      <c r="H34" s="248" t="s">
        <v>1572</v>
      </c>
      <c r="I34" s="246" t="s">
        <v>2869</v>
      </c>
      <c r="J34" s="246" t="s">
        <v>2899</v>
      </c>
      <c r="K34" s="247" t="s">
        <v>2916</v>
      </c>
      <c r="L34" s="246" t="s">
        <v>3433</v>
      </c>
      <c r="M34" s="246" t="s">
        <v>828</v>
      </c>
      <c r="N34" s="247" t="s">
        <v>2950</v>
      </c>
      <c r="O34" s="247" t="s">
        <v>2524</v>
      </c>
      <c r="P34" s="247" t="s">
        <v>2580</v>
      </c>
      <c r="Q34" s="247" t="s">
        <v>161</v>
      </c>
      <c r="R34" s="247" t="s">
        <v>2148</v>
      </c>
      <c r="S34" s="247" t="s">
        <v>1622</v>
      </c>
      <c r="T34" s="247" t="s">
        <v>2336</v>
      </c>
      <c r="U34" s="246" t="s">
        <v>840</v>
      </c>
      <c r="V34" s="247" t="s">
        <v>324</v>
      </c>
      <c r="W34" s="247" t="s">
        <v>990</v>
      </c>
      <c r="X34" s="246" t="s">
        <v>2002</v>
      </c>
      <c r="Y34" s="246" t="s">
        <v>3336</v>
      </c>
      <c r="Z34" s="246" t="s">
        <v>1811</v>
      </c>
      <c r="AA34" s="247" t="s">
        <v>568</v>
      </c>
      <c r="AB34" s="246" t="s">
        <v>840</v>
      </c>
      <c r="AC34" s="247" t="s">
        <v>506</v>
      </c>
      <c r="AD34" s="247" t="s">
        <v>3514</v>
      </c>
      <c r="AE34" s="247" t="s">
        <v>2380</v>
      </c>
      <c r="AF34" s="247" t="s">
        <v>103</v>
      </c>
      <c r="AG34" s="247" t="s">
        <v>536</v>
      </c>
      <c r="AH34" s="246" t="s">
        <v>283</v>
      </c>
      <c r="AI34" s="246" t="s">
        <v>547</v>
      </c>
      <c r="AJ34" s="247" t="s">
        <v>553</v>
      </c>
      <c r="AK34" s="246" t="s">
        <v>568</v>
      </c>
      <c r="AL34" s="249" t="s">
        <v>3447</v>
      </c>
      <c r="AM34" s="246" t="s">
        <v>2899</v>
      </c>
      <c r="AN34" s="246" t="s">
        <v>2083</v>
      </c>
      <c r="AO34" s="247" t="s">
        <v>2083</v>
      </c>
      <c r="AP34" s="247" t="s">
        <v>2916</v>
      </c>
      <c r="AQ34" s="247" t="s">
        <v>1916</v>
      </c>
      <c r="AR34" s="247" t="s">
        <v>1945</v>
      </c>
      <c r="AS34" s="246" t="s">
        <v>2960</v>
      </c>
      <c r="AT34" s="247" t="s">
        <v>1863</v>
      </c>
      <c r="AU34" s="247"/>
    </row>
    <row r="35" spans="1:47">
      <c r="A35" s="246">
        <v>34</v>
      </c>
      <c r="B35" s="246" t="s">
        <v>858</v>
      </c>
      <c r="C35" s="246" t="s">
        <v>900</v>
      </c>
      <c r="D35" s="246" t="s">
        <v>921</v>
      </c>
      <c r="E35" s="247" t="s">
        <v>2796</v>
      </c>
      <c r="F35" s="246" t="s">
        <v>966</v>
      </c>
      <c r="G35" s="246" t="s">
        <v>1000</v>
      </c>
      <c r="H35" s="248" t="s">
        <v>1583</v>
      </c>
      <c r="I35" s="246" t="s">
        <v>2878</v>
      </c>
      <c r="J35" s="246" t="s">
        <v>2906</v>
      </c>
      <c r="K35" s="247" t="s">
        <v>2937</v>
      </c>
      <c r="L35" s="246" t="s">
        <v>900</v>
      </c>
      <c r="M35" s="246" t="s">
        <v>858</v>
      </c>
      <c r="N35" s="247" t="s">
        <v>2955</v>
      </c>
      <c r="O35" s="247" t="s">
        <v>1741</v>
      </c>
      <c r="P35" s="247" t="s">
        <v>2599</v>
      </c>
      <c r="Q35" s="247" t="s">
        <v>1754</v>
      </c>
      <c r="R35" s="247" t="s">
        <v>1777</v>
      </c>
      <c r="S35" s="247" t="s">
        <v>1641</v>
      </c>
      <c r="T35" s="247" t="s">
        <v>1793</v>
      </c>
      <c r="U35" s="246" t="s">
        <v>1355</v>
      </c>
      <c r="V35" s="247" t="s">
        <v>337</v>
      </c>
      <c r="W35" s="247" t="s">
        <v>728</v>
      </c>
      <c r="X35" s="246" t="s">
        <v>2020</v>
      </c>
      <c r="Y35" s="246" t="s">
        <v>3355</v>
      </c>
      <c r="Z35" s="246" t="s">
        <v>1822</v>
      </c>
      <c r="AA35" s="247" t="s">
        <v>3968</v>
      </c>
      <c r="AB35" s="246" t="s">
        <v>1355</v>
      </c>
      <c r="AC35" s="247" t="s">
        <v>516</v>
      </c>
      <c r="AD35" s="247" t="s">
        <v>613</v>
      </c>
      <c r="AE35" s="247" t="s">
        <v>2398</v>
      </c>
      <c r="AF35" s="247" t="s">
        <v>107</v>
      </c>
      <c r="AG35" s="247" t="s">
        <v>1000</v>
      </c>
      <c r="AH35" s="246" t="s">
        <v>1000</v>
      </c>
      <c r="AI35" s="246" t="s">
        <v>1012</v>
      </c>
      <c r="AJ35" s="247" t="s">
        <v>558</v>
      </c>
      <c r="AK35" s="246" t="s">
        <v>577</v>
      </c>
      <c r="AL35" s="249" t="s">
        <v>3459</v>
      </c>
      <c r="AM35" s="246" t="s">
        <v>2906</v>
      </c>
      <c r="AN35" s="247" t="s">
        <v>1000</v>
      </c>
      <c r="AO35" s="247" t="s">
        <v>1000</v>
      </c>
      <c r="AP35" s="247" t="s">
        <v>613</v>
      </c>
      <c r="AQ35" s="247" t="s">
        <v>1922</v>
      </c>
      <c r="AR35" s="247" t="s">
        <v>1952</v>
      </c>
      <c r="AS35" s="246" t="s">
        <v>2974</v>
      </c>
      <c r="AT35" s="247" t="s">
        <v>1965</v>
      </c>
      <c r="AU35" s="247"/>
    </row>
    <row r="36" spans="1:47">
      <c r="A36" s="246">
        <v>35</v>
      </c>
      <c r="B36" s="246" t="s">
        <v>859</v>
      </c>
      <c r="C36" s="246" t="s">
        <v>901</v>
      </c>
      <c r="D36" s="246" t="s">
        <v>3969</v>
      </c>
      <c r="E36" s="247" t="s">
        <v>2797</v>
      </c>
      <c r="F36" s="246" t="s">
        <v>967</v>
      </c>
      <c r="G36" s="246" t="s">
        <v>1001</v>
      </c>
      <c r="H36" s="248" t="s">
        <v>1584</v>
      </c>
      <c r="I36" s="246" t="s">
        <v>2879</v>
      </c>
      <c r="J36" s="246" t="s">
        <v>2907</v>
      </c>
      <c r="K36" s="247" t="s">
        <v>2938</v>
      </c>
      <c r="L36" s="246" t="s">
        <v>3434</v>
      </c>
      <c r="M36" s="246" t="s">
        <v>859</v>
      </c>
      <c r="N36" s="247" t="s">
        <v>1263</v>
      </c>
      <c r="O36" s="247" t="s">
        <v>1742</v>
      </c>
      <c r="P36" s="247" t="s">
        <v>2600</v>
      </c>
      <c r="Q36" s="247" t="s">
        <v>1755</v>
      </c>
      <c r="R36" s="247" t="s">
        <v>686</v>
      </c>
      <c r="S36" s="247" t="s">
        <v>1642</v>
      </c>
      <c r="T36" s="247" t="s">
        <v>2311</v>
      </c>
      <c r="U36" s="246" t="s">
        <v>872</v>
      </c>
      <c r="V36" s="247" t="s">
        <v>338</v>
      </c>
      <c r="W36" s="247" t="s">
        <v>729</v>
      </c>
      <c r="X36" s="246" t="s">
        <v>2021</v>
      </c>
      <c r="Y36" s="246" t="s">
        <v>3356</v>
      </c>
      <c r="Z36" s="246" t="s">
        <v>859</v>
      </c>
      <c r="AA36" s="247" t="s">
        <v>3970</v>
      </c>
      <c r="AB36" s="246" t="s">
        <v>3381</v>
      </c>
      <c r="AC36" s="247" t="s">
        <v>859</v>
      </c>
      <c r="AD36" s="247" t="s">
        <v>3517</v>
      </c>
      <c r="AE36" s="247" t="s">
        <v>2399</v>
      </c>
      <c r="AF36" s="247" t="s">
        <v>108</v>
      </c>
      <c r="AG36" s="247" t="s">
        <v>1518</v>
      </c>
      <c r="AH36" s="246" t="s">
        <v>1518</v>
      </c>
      <c r="AI36" s="246" t="s">
        <v>1013</v>
      </c>
      <c r="AJ36" s="247" t="s">
        <v>559</v>
      </c>
      <c r="AK36" s="246" t="s">
        <v>578</v>
      </c>
      <c r="AL36" s="249" t="s">
        <v>3460</v>
      </c>
      <c r="AM36" s="246" t="s">
        <v>859</v>
      </c>
      <c r="AN36" s="247" t="s">
        <v>1933</v>
      </c>
      <c r="AO36" s="247" t="s">
        <v>1101</v>
      </c>
      <c r="AP36" s="247" t="s">
        <v>614</v>
      </c>
      <c r="AQ36" s="247" t="s">
        <v>1205</v>
      </c>
      <c r="AR36" s="247" t="s">
        <v>1713</v>
      </c>
      <c r="AS36" s="246" t="s">
        <v>2975</v>
      </c>
      <c r="AT36" s="247" t="s">
        <v>1966</v>
      </c>
      <c r="AU36" s="247"/>
    </row>
    <row r="37" spans="1:47">
      <c r="A37" s="246">
        <v>36</v>
      </c>
      <c r="B37" s="246" t="s">
        <v>860</v>
      </c>
      <c r="C37" s="246" t="s">
        <v>902</v>
      </c>
      <c r="D37" s="246" t="s">
        <v>3971</v>
      </c>
      <c r="E37" s="247" t="s">
        <v>2798</v>
      </c>
      <c r="F37" s="246" t="s">
        <v>968</v>
      </c>
      <c r="G37" s="246" t="s">
        <v>1002</v>
      </c>
      <c r="H37" s="248" t="s">
        <v>1585</v>
      </c>
      <c r="I37" s="247" t="s">
        <v>633</v>
      </c>
      <c r="J37" s="246" t="s">
        <v>2908</v>
      </c>
      <c r="K37" s="247" t="s">
        <v>3253</v>
      </c>
      <c r="L37" s="246" t="s">
        <v>3435</v>
      </c>
      <c r="M37" s="246" t="s">
        <v>860</v>
      </c>
      <c r="N37" s="247" t="s">
        <v>1264</v>
      </c>
      <c r="O37" s="247" t="s">
        <v>2526</v>
      </c>
      <c r="P37" s="247" t="s">
        <v>2601</v>
      </c>
      <c r="Q37" s="247" t="s">
        <v>59</v>
      </c>
      <c r="R37" s="247" t="s">
        <v>2149</v>
      </c>
      <c r="S37" s="247" t="s">
        <v>1643</v>
      </c>
      <c r="T37" s="247" t="s">
        <v>2339</v>
      </c>
      <c r="U37" s="246" t="s">
        <v>3509</v>
      </c>
      <c r="V37" s="247" t="s">
        <v>2301</v>
      </c>
      <c r="W37" s="247" t="s">
        <v>730</v>
      </c>
      <c r="X37" s="246" t="s">
        <v>2022</v>
      </c>
      <c r="Y37" s="246" t="s">
        <v>3357</v>
      </c>
      <c r="Z37" s="246" t="s">
        <v>1823</v>
      </c>
      <c r="AA37" s="247" t="s">
        <v>3972</v>
      </c>
      <c r="AB37" s="246" t="s">
        <v>3382</v>
      </c>
      <c r="AC37" s="247" t="s">
        <v>517</v>
      </c>
      <c r="AD37" s="247" t="s">
        <v>3518</v>
      </c>
      <c r="AE37" s="247" t="s">
        <v>2400</v>
      </c>
      <c r="AF37" s="247" t="s">
        <v>109</v>
      </c>
      <c r="AG37" s="247" t="s">
        <v>1519</v>
      </c>
      <c r="AH37" s="247" t="s">
        <v>286</v>
      </c>
      <c r="AI37" s="246" t="s">
        <v>1014</v>
      </c>
      <c r="AJ37" s="247" t="s">
        <v>1072</v>
      </c>
      <c r="AK37" s="246" t="s">
        <v>579</v>
      </c>
      <c r="AL37" s="249" t="s">
        <v>3461</v>
      </c>
      <c r="AM37" s="246" t="s">
        <v>3973</v>
      </c>
      <c r="AN37" s="247" t="s">
        <v>1934</v>
      </c>
      <c r="AO37" s="247" t="s">
        <v>1102</v>
      </c>
      <c r="AP37" s="247" t="s">
        <v>2088</v>
      </c>
      <c r="AQ37" s="247" t="s">
        <v>3974</v>
      </c>
      <c r="AR37" s="247" t="s">
        <v>1714</v>
      </c>
      <c r="AS37" s="246" t="s">
        <v>2976</v>
      </c>
      <c r="AT37" s="247" t="s">
        <v>1871</v>
      </c>
      <c r="AU37" s="247"/>
    </row>
    <row r="38" spans="1:47">
      <c r="A38" s="246">
        <v>37</v>
      </c>
      <c r="B38" s="246" t="s">
        <v>861</v>
      </c>
      <c r="C38" s="246" t="s">
        <v>903</v>
      </c>
      <c r="D38" s="246" t="s">
        <v>3975</v>
      </c>
      <c r="E38" s="247" t="s">
        <v>2799</v>
      </c>
      <c r="F38" s="246" t="s">
        <v>969</v>
      </c>
      <c r="G38" s="246" t="s">
        <v>1003</v>
      </c>
      <c r="H38" s="248" t="s">
        <v>1586</v>
      </c>
      <c r="I38" s="247" t="s">
        <v>634</v>
      </c>
      <c r="J38" s="246" t="s">
        <v>2909</v>
      </c>
      <c r="K38" s="247" t="s">
        <v>3254</v>
      </c>
      <c r="L38" s="246" t="s">
        <v>3436</v>
      </c>
      <c r="M38" s="246" t="s">
        <v>861</v>
      </c>
      <c r="N38" s="247" t="s">
        <v>1265</v>
      </c>
      <c r="O38" s="247" t="s">
        <v>2527</v>
      </c>
      <c r="P38" s="247" t="s">
        <v>2602</v>
      </c>
      <c r="Q38" s="247" t="s">
        <v>1756</v>
      </c>
      <c r="R38" s="247" t="s">
        <v>687</v>
      </c>
      <c r="S38" s="247" t="s">
        <v>1644</v>
      </c>
      <c r="T38" s="247" t="s">
        <v>2340</v>
      </c>
      <c r="U38" s="246" t="s">
        <v>873</v>
      </c>
      <c r="V38" s="247" t="s">
        <v>2302</v>
      </c>
      <c r="W38" s="247" t="s">
        <v>1804</v>
      </c>
      <c r="X38" s="246" t="s">
        <v>2023</v>
      </c>
      <c r="Y38" s="246" t="s">
        <v>3358</v>
      </c>
      <c r="Z38" s="246" t="s">
        <v>1824</v>
      </c>
      <c r="AA38" s="247" t="s">
        <v>3976</v>
      </c>
      <c r="AB38" s="246" t="s">
        <v>3383</v>
      </c>
      <c r="AC38" s="247" t="s">
        <v>518</v>
      </c>
      <c r="AD38" s="247" t="s">
        <v>3519</v>
      </c>
      <c r="AE38" s="247" t="s">
        <v>2401</v>
      </c>
      <c r="AF38" s="247" t="s">
        <v>110</v>
      </c>
      <c r="AG38" s="247" t="s">
        <v>1520</v>
      </c>
      <c r="AH38" s="247" t="s">
        <v>1520</v>
      </c>
      <c r="AI38" s="246" t="s">
        <v>1015</v>
      </c>
      <c r="AJ38" s="247" t="s">
        <v>1073</v>
      </c>
      <c r="AK38" s="246" t="s">
        <v>580</v>
      </c>
      <c r="AL38" s="249" t="s">
        <v>3462</v>
      </c>
      <c r="AM38" s="246" t="s">
        <v>3977</v>
      </c>
      <c r="AN38" s="247" t="s">
        <v>1935</v>
      </c>
      <c r="AO38" s="247" t="s">
        <v>1935</v>
      </c>
      <c r="AP38" s="247" t="s">
        <v>615</v>
      </c>
      <c r="AQ38" s="247" t="s">
        <v>3978</v>
      </c>
      <c r="AR38" s="247" t="s">
        <v>1953</v>
      </c>
      <c r="AS38" s="246" t="s">
        <v>2977</v>
      </c>
      <c r="AT38" s="247" t="s">
        <v>1872</v>
      </c>
      <c r="AU38" s="247"/>
    </row>
    <row r="39" spans="1:47">
      <c r="A39" s="246">
        <v>38</v>
      </c>
      <c r="B39" s="246" t="s">
        <v>862</v>
      </c>
      <c r="C39" s="246" t="s">
        <v>862</v>
      </c>
      <c r="D39" s="246" t="s">
        <v>3979</v>
      </c>
      <c r="E39" s="247" t="s">
        <v>2800</v>
      </c>
      <c r="F39" s="246" t="s">
        <v>970</v>
      </c>
      <c r="G39" s="246" t="s">
        <v>1004</v>
      </c>
      <c r="H39" s="248" t="s">
        <v>1587</v>
      </c>
      <c r="I39" s="247" t="s">
        <v>635</v>
      </c>
      <c r="J39" s="246" t="s">
        <v>862</v>
      </c>
      <c r="K39" s="247" t="s">
        <v>3255</v>
      </c>
      <c r="L39" s="246" t="s">
        <v>3437</v>
      </c>
      <c r="M39" s="246" t="s">
        <v>862</v>
      </c>
      <c r="N39" s="247" t="s">
        <v>1266</v>
      </c>
      <c r="O39" s="247" t="s">
        <v>1743</v>
      </c>
      <c r="P39" s="247" t="s">
        <v>2603</v>
      </c>
      <c r="Q39" s="247" t="s">
        <v>162</v>
      </c>
      <c r="R39" s="247" t="s">
        <v>2150</v>
      </c>
      <c r="S39" s="247" t="s">
        <v>1645</v>
      </c>
      <c r="T39" s="247" t="s">
        <v>2341</v>
      </c>
      <c r="U39" s="246" t="s">
        <v>874</v>
      </c>
      <c r="V39" s="252" t="s">
        <v>2303</v>
      </c>
      <c r="W39" s="247" t="s">
        <v>731</v>
      </c>
      <c r="X39" s="246" t="s">
        <v>2024</v>
      </c>
      <c r="Y39" s="246" t="s">
        <v>3359</v>
      </c>
      <c r="Z39" s="246" t="s">
        <v>1825</v>
      </c>
      <c r="AA39" s="247" t="s">
        <v>3980</v>
      </c>
      <c r="AB39" s="246" t="s">
        <v>3384</v>
      </c>
      <c r="AC39" s="247" t="s">
        <v>862</v>
      </c>
      <c r="AD39" s="247" t="s">
        <v>238</v>
      </c>
      <c r="AE39" s="247" t="s">
        <v>2402</v>
      </c>
      <c r="AF39" s="247" t="s">
        <v>111</v>
      </c>
      <c r="AG39" s="247" t="s">
        <v>1521</v>
      </c>
      <c r="AH39" s="247" t="s">
        <v>287</v>
      </c>
      <c r="AI39" s="246" t="s">
        <v>1016</v>
      </c>
      <c r="AJ39" s="247" t="s">
        <v>1074</v>
      </c>
      <c r="AK39" s="246" t="s">
        <v>581</v>
      </c>
      <c r="AL39" s="249" t="s">
        <v>3463</v>
      </c>
      <c r="AM39" s="246" t="s">
        <v>3981</v>
      </c>
      <c r="AN39" s="247" t="s">
        <v>1936</v>
      </c>
      <c r="AO39" s="247" t="s">
        <v>1103</v>
      </c>
      <c r="AP39" s="247" t="s">
        <v>2089</v>
      </c>
      <c r="AQ39" s="247" t="s">
        <v>3982</v>
      </c>
      <c r="AR39" s="247" t="s">
        <v>1715</v>
      </c>
      <c r="AS39" s="246" t="s">
        <v>2978</v>
      </c>
      <c r="AT39" s="247" t="s">
        <v>1873</v>
      </c>
      <c r="AU39" s="247"/>
    </row>
    <row r="40" spans="1:47">
      <c r="A40" s="246">
        <v>39</v>
      </c>
      <c r="B40" s="246" t="s">
        <v>848</v>
      </c>
      <c r="C40" s="246" t="s">
        <v>904</v>
      </c>
      <c r="D40" s="246" t="s">
        <v>3983</v>
      </c>
      <c r="E40" s="247" t="s">
        <v>938</v>
      </c>
      <c r="F40" s="246" t="s">
        <v>971</v>
      </c>
      <c r="G40" s="246" t="s">
        <v>875</v>
      </c>
      <c r="H40" s="248" t="s">
        <v>1588</v>
      </c>
      <c r="I40" s="247" t="s">
        <v>636</v>
      </c>
      <c r="J40" s="246" t="s">
        <v>2910</v>
      </c>
      <c r="K40" s="247" t="s">
        <v>1757</v>
      </c>
      <c r="L40" s="246" t="s">
        <v>904</v>
      </c>
      <c r="M40" s="246" t="s">
        <v>848</v>
      </c>
      <c r="N40" s="247" t="s">
        <v>1267</v>
      </c>
      <c r="O40" s="247" t="s">
        <v>1744</v>
      </c>
      <c r="P40" s="247" t="s">
        <v>2604</v>
      </c>
      <c r="Q40" s="247" t="s">
        <v>1757</v>
      </c>
      <c r="R40" s="247" t="s">
        <v>2151</v>
      </c>
      <c r="S40" s="247" t="s">
        <v>1646</v>
      </c>
      <c r="T40" s="247" t="s">
        <v>2312</v>
      </c>
      <c r="U40" s="246" t="s">
        <v>875</v>
      </c>
      <c r="V40" s="247" t="s">
        <v>2304</v>
      </c>
      <c r="W40" s="247" t="s">
        <v>1805</v>
      </c>
      <c r="X40" s="246" t="s">
        <v>2025</v>
      </c>
      <c r="Y40" s="246" t="s">
        <v>3360</v>
      </c>
      <c r="Z40" s="246" t="s">
        <v>1826</v>
      </c>
      <c r="AA40" s="247" t="s">
        <v>971</v>
      </c>
      <c r="AB40" s="246" t="s">
        <v>3385</v>
      </c>
      <c r="AC40" s="247" t="s">
        <v>519</v>
      </c>
      <c r="AD40" s="247" t="s">
        <v>1757</v>
      </c>
      <c r="AE40" s="247" t="s">
        <v>2403</v>
      </c>
      <c r="AF40" s="247" t="s">
        <v>2910</v>
      </c>
      <c r="AG40" s="247" t="s">
        <v>544</v>
      </c>
      <c r="AH40" s="247" t="s">
        <v>544</v>
      </c>
      <c r="AI40" s="246" t="s">
        <v>2910</v>
      </c>
      <c r="AJ40" s="247" t="s">
        <v>560</v>
      </c>
      <c r="AK40" s="246" t="s">
        <v>971</v>
      </c>
      <c r="AL40" s="249" t="s">
        <v>1910</v>
      </c>
      <c r="AM40" s="246" t="s">
        <v>3984</v>
      </c>
      <c r="AN40" s="247" t="s">
        <v>544</v>
      </c>
      <c r="AO40" s="247" t="s">
        <v>544</v>
      </c>
      <c r="AP40" s="247" t="s">
        <v>519</v>
      </c>
      <c r="AQ40" s="247" t="s">
        <v>1923</v>
      </c>
      <c r="AR40" s="247" t="s">
        <v>875</v>
      </c>
      <c r="AS40" s="246" t="s">
        <v>971</v>
      </c>
      <c r="AT40" s="247" t="s">
        <v>1874</v>
      </c>
      <c r="AU40" s="247"/>
    </row>
    <row r="41" spans="1:47">
      <c r="A41" s="246">
        <v>40</v>
      </c>
      <c r="B41" s="246" t="s">
        <v>3086</v>
      </c>
      <c r="C41" s="246" t="s">
        <v>905</v>
      </c>
      <c r="D41" s="246" t="s">
        <v>922</v>
      </c>
      <c r="E41" s="247" t="s">
        <v>2801</v>
      </c>
      <c r="F41" s="246" t="s">
        <v>972</v>
      </c>
      <c r="G41" s="246" t="s">
        <v>922</v>
      </c>
      <c r="H41" s="248" t="s">
        <v>948</v>
      </c>
      <c r="I41" s="246" t="s">
        <v>948</v>
      </c>
      <c r="J41" s="246" t="s">
        <v>905</v>
      </c>
      <c r="K41" s="247" t="s">
        <v>2939</v>
      </c>
      <c r="L41" s="246" t="s">
        <v>905</v>
      </c>
      <c r="M41" s="246" t="s">
        <v>3086</v>
      </c>
      <c r="N41" s="247" t="s">
        <v>1268</v>
      </c>
      <c r="O41" s="247" t="s">
        <v>3086</v>
      </c>
      <c r="P41" s="247" t="s">
        <v>2605</v>
      </c>
      <c r="Q41" s="247" t="s">
        <v>905</v>
      </c>
      <c r="R41" s="247" t="s">
        <v>1778</v>
      </c>
      <c r="S41" s="247" t="s">
        <v>1647</v>
      </c>
      <c r="T41" s="247" t="s">
        <v>1794</v>
      </c>
      <c r="U41" s="246" t="s">
        <v>876</v>
      </c>
      <c r="V41" s="247" t="s">
        <v>2305</v>
      </c>
      <c r="W41" s="247" t="s">
        <v>922</v>
      </c>
      <c r="X41" s="246" t="s">
        <v>2026</v>
      </c>
      <c r="Y41" s="246" t="s">
        <v>3361</v>
      </c>
      <c r="Z41" s="246" t="s">
        <v>922</v>
      </c>
      <c r="AA41" s="247" t="s">
        <v>972</v>
      </c>
      <c r="AB41" s="246" t="s">
        <v>501</v>
      </c>
      <c r="AC41" s="247" t="s">
        <v>922</v>
      </c>
      <c r="AD41" s="247" t="s">
        <v>2939</v>
      </c>
      <c r="AE41" s="247" t="s">
        <v>2404</v>
      </c>
      <c r="AF41" s="247" t="s">
        <v>922</v>
      </c>
      <c r="AG41" s="247" t="s">
        <v>922</v>
      </c>
      <c r="AH41" s="247" t="s">
        <v>922</v>
      </c>
      <c r="AI41" s="246" t="s">
        <v>922</v>
      </c>
      <c r="AJ41" s="247" t="s">
        <v>972</v>
      </c>
      <c r="AK41" s="246" t="s">
        <v>582</v>
      </c>
      <c r="AL41" s="249" t="s">
        <v>1794</v>
      </c>
      <c r="AM41" s="246" t="s">
        <v>905</v>
      </c>
      <c r="AN41" s="247" t="s">
        <v>1937</v>
      </c>
      <c r="AO41" s="247" t="s">
        <v>1937</v>
      </c>
      <c r="AP41" s="247" t="s">
        <v>905</v>
      </c>
      <c r="AQ41" s="247" t="s">
        <v>1206</v>
      </c>
      <c r="AR41" s="247" t="s">
        <v>1954</v>
      </c>
      <c r="AS41" s="246" t="s">
        <v>972</v>
      </c>
      <c r="AT41" s="247" t="s">
        <v>1967</v>
      </c>
      <c r="AU41" s="247"/>
    </row>
    <row r="42" spans="1:47">
      <c r="A42" s="246">
        <v>41</v>
      </c>
      <c r="B42" s="246" t="s">
        <v>3107</v>
      </c>
      <c r="C42" s="246" t="s">
        <v>906</v>
      </c>
      <c r="D42" s="246" t="s">
        <v>923</v>
      </c>
      <c r="E42" s="247" t="s">
        <v>2802</v>
      </c>
      <c r="F42" s="246" t="s">
        <v>973</v>
      </c>
      <c r="G42" s="246" t="s">
        <v>2857</v>
      </c>
      <c r="H42" s="248" t="s">
        <v>1589</v>
      </c>
      <c r="I42" s="246" t="s">
        <v>2880</v>
      </c>
      <c r="J42" s="246" t="s">
        <v>2911</v>
      </c>
      <c r="K42" s="247" t="s">
        <v>906</v>
      </c>
      <c r="L42" s="246" t="s">
        <v>906</v>
      </c>
      <c r="M42" s="246" t="s">
        <v>3107</v>
      </c>
      <c r="N42" s="247" t="s">
        <v>1269</v>
      </c>
      <c r="O42" s="247" t="s">
        <v>1745</v>
      </c>
      <c r="P42" s="247" t="s">
        <v>2606</v>
      </c>
      <c r="Q42" s="247" t="s">
        <v>906</v>
      </c>
      <c r="R42" s="247" t="s">
        <v>1779</v>
      </c>
      <c r="S42" s="247" t="s">
        <v>1648</v>
      </c>
      <c r="T42" s="247" t="s">
        <v>1795</v>
      </c>
      <c r="U42" s="246" t="s">
        <v>877</v>
      </c>
      <c r="V42" s="247" t="s">
        <v>906</v>
      </c>
      <c r="W42" s="247" t="s">
        <v>732</v>
      </c>
      <c r="X42" s="246" t="s">
        <v>3317</v>
      </c>
      <c r="Y42" s="246" t="s">
        <v>3362</v>
      </c>
      <c r="Z42" s="246" t="s">
        <v>1827</v>
      </c>
      <c r="AA42" s="247" t="s">
        <v>3985</v>
      </c>
      <c r="AB42" s="246" t="s">
        <v>877</v>
      </c>
      <c r="AC42" s="247" t="s">
        <v>520</v>
      </c>
      <c r="AD42" s="247" t="s">
        <v>906</v>
      </c>
      <c r="AE42" s="247" t="s">
        <v>2405</v>
      </c>
      <c r="AF42" s="247" t="s">
        <v>532</v>
      </c>
      <c r="AG42" s="247" t="s">
        <v>2857</v>
      </c>
      <c r="AH42" s="247" t="s">
        <v>2857</v>
      </c>
      <c r="AI42" s="246" t="s">
        <v>1017</v>
      </c>
      <c r="AJ42" s="247" t="s">
        <v>1075</v>
      </c>
      <c r="AK42" s="246" t="s">
        <v>583</v>
      </c>
      <c r="AL42" s="249" t="s">
        <v>3464</v>
      </c>
      <c r="AM42" s="246" t="s">
        <v>2911</v>
      </c>
      <c r="AN42" s="247" t="s">
        <v>2857</v>
      </c>
      <c r="AO42" s="247" t="s">
        <v>2857</v>
      </c>
      <c r="AP42" s="247" t="s">
        <v>906</v>
      </c>
      <c r="AQ42" s="247" t="s">
        <v>1924</v>
      </c>
      <c r="AR42" s="247" t="s">
        <v>1955</v>
      </c>
      <c r="AS42" s="246" t="s">
        <v>2979</v>
      </c>
      <c r="AT42" s="247" t="s">
        <v>1875</v>
      </c>
      <c r="AU42" s="247"/>
    </row>
    <row r="43" spans="1:47">
      <c r="A43" s="246">
        <v>42</v>
      </c>
      <c r="B43" s="246" t="s">
        <v>863</v>
      </c>
      <c r="C43" s="246" t="s">
        <v>907</v>
      </c>
      <c r="D43" s="246" t="s">
        <v>2912</v>
      </c>
      <c r="E43" s="247" t="s">
        <v>939</v>
      </c>
      <c r="F43" s="246" t="s">
        <v>974</v>
      </c>
      <c r="G43" s="246" t="s">
        <v>2858</v>
      </c>
      <c r="H43" s="248" t="s">
        <v>1590</v>
      </c>
      <c r="I43" s="247" t="s">
        <v>637</v>
      </c>
      <c r="J43" s="246" t="s">
        <v>2912</v>
      </c>
      <c r="K43" s="247" t="s">
        <v>863</v>
      </c>
      <c r="L43" s="247" t="s">
        <v>1331</v>
      </c>
      <c r="M43" s="246" t="s">
        <v>863</v>
      </c>
      <c r="N43" s="247" t="s">
        <v>1270</v>
      </c>
      <c r="O43" s="247" t="s">
        <v>863</v>
      </c>
      <c r="P43" s="247" t="s">
        <v>2607</v>
      </c>
      <c r="Q43" s="247" t="s">
        <v>1758</v>
      </c>
      <c r="R43" s="247" t="s">
        <v>1780</v>
      </c>
      <c r="S43" s="247" t="s">
        <v>1649</v>
      </c>
      <c r="T43" s="247" t="s">
        <v>2342</v>
      </c>
      <c r="U43" s="246" t="s">
        <v>878</v>
      </c>
      <c r="V43" s="247" t="s">
        <v>2303</v>
      </c>
      <c r="W43" s="247" t="s">
        <v>733</v>
      </c>
      <c r="X43" s="246" t="s">
        <v>3318</v>
      </c>
      <c r="Y43" s="246" t="s">
        <v>3363</v>
      </c>
      <c r="Z43" s="246" t="s">
        <v>1828</v>
      </c>
      <c r="AA43" s="247" t="s">
        <v>974</v>
      </c>
      <c r="AB43" s="246" t="s">
        <v>3386</v>
      </c>
      <c r="AC43" s="247" t="s">
        <v>863</v>
      </c>
      <c r="AD43" s="247" t="s">
        <v>2090</v>
      </c>
      <c r="AE43" s="247" t="s">
        <v>2406</v>
      </c>
      <c r="AF43" s="247" t="s">
        <v>112</v>
      </c>
      <c r="AG43" s="247" t="s">
        <v>72</v>
      </c>
      <c r="AH43" s="247" t="s">
        <v>72</v>
      </c>
      <c r="AI43" s="246" t="s">
        <v>1018</v>
      </c>
      <c r="AJ43" s="247" t="s">
        <v>1076</v>
      </c>
      <c r="AK43" s="246" t="s">
        <v>584</v>
      </c>
      <c r="AL43" s="249" t="s">
        <v>3465</v>
      </c>
      <c r="AM43" s="246" t="s">
        <v>3986</v>
      </c>
      <c r="AN43" s="247" t="s">
        <v>72</v>
      </c>
      <c r="AO43" s="247" t="s">
        <v>72</v>
      </c>
      <c r="AP43" s="247" t="s">
        <v>2090</v>
      </c>
      <c r="AQ43" s="247" t="s">
        <v>1207</v>
      </c>
      <c r="AR43" s="247" t="s">
        <v>1716</v>
      </c>
      <c r="AS43" s="246" t="s">
        <v>2980</v>
      </c>
      <c r="AT43" s="247" t="s">
        <v>1876</v>
      </c>
      <c r="AU43" s="247"/>
    </row>
    <row r="44" spans="1:47">
      <c r="A44" s="246">
        <v>43</v>
      </c>
      <c r="B44" s="246" t="s">
        <v>3087</v>
      </c>
      <c r="C44" s="246" t="s">
        <v>908</v>
      </c>
      <c r="D44" s="246" t="s">
        <v>924</v>
      </c>
      <c r="E44" s="247" t="s">
        <v>2803</v>
      </c>
      <c r="F44" s="246" t="s">
        <v>975</v>
      </c>
      <c r="G44" s="246" t="s">
        <v>2859</v>
      </c>
      <c r="H44" s="248" t="s">
        <v>1591</v>
      </c>
      <c r="I44" s="246" t="s">
        <v>3319</v>
      </c>
      <c r="J44" s="246" t="s">
        <v>2913</v>
      </c>
      <c r="K44" s="247" t="s">
        <v>3256</v>
      </c>
      <c r="L44" s="247" t="s">
        <v>2947</v>
      </c>
      <c r="M44" s="246" t="s">
        <v>3087</v>
      </c>
      <c r="N44" s="247" t="s">
        <v>1271</v>
      </c>
      <c r="O44" s="247" t="s">
        <v>1746</v>
      </c>
      <c r="P44" s="247" t="s">
        <v>2608</v>
      </c>
      <c r="Q44" s="247" t="s">
        <v>60</v>
      </c>
      <c r="R44" s="247" t="s">
        <v>2152</v>
      </c>
      <c r="S44" s="247" t="s">
        <v>1650</v>
      </c>
      <c r="T44" s="247" t="s">
        <v>2313</v>
      </c>
      <c r="U44" s="246" t="s">
        <v>879</v>
      </c>
      <c r="V44" s="247" t="s">
        <v>2306</v>
      </c>
      <c r="W44" s="247" t="s">
        <v>734</v>
      </c>
      <c r="X44" s="246" t="s">
        <v>3319</v>
      </c>
      <c r="Y44" s="246" t="s">
        <v>3364</v>
      </c>
      <c r="Z44" s="246" t="s">
        <v>1829</v>
      </c>
      <c r="AA44" s="247" t="s">
        <v>975</v>
      </c>
      <c r="AB44" s="246" t="s">
        <v>3387</v>
      </c>
      <c r="AC44" s="247" t="s">
        <v>521</v>
      </c>
      <c r="AD44" s="247" t="s">
        <v>2940</v>
      </c>
      <c r="AE44" s="247" t="s">
        <v>2407</v>
      </c>
      <c r="AF44" s="247" t="s">
        <v>533</v>
      </c>
      <c r="AG44" s="247" t="s">
        <v>1522</v>
      </c>
      <c r="AH44" s="246" t="s">
        <v>1806</v>
      </c>
      <c r="AI44" s="246" t="s">
        <v>549</v>
      </c>
      <c r="AJ44" s="247" t="s">
        <v>561</v>
      </c>
      <c r="AK44" s="246" t="s">
        <v>975</v>
      </c>
      <c r="AL44" s="249" t="s">
        <v>1911</v>
      </c>
      <c r="AM44" s="246" t="s">
        <v>3987</v>
      </c>
      <c r="AN44" s="247" t="s">
        <v>2049</v>
      </c>
      <c r="AO44" s="247" t="s">
        <v>1104</v>
      </c>
      <c r="AP44" s="247" t="s">
        <v>2940</v>
      </c>
      <c r="AQ44" s="247" t="s">
        <v>1925</v>
      </c>
      <c r="AR44" s="247" t="s">
        <v>1717</v>
      </c>
      <c r="AS44" s="246" t="s">
        <v>2981</v>
      </c>
      <c r="AT44" s="247" t="s">
        <v>1968</v>
      </c>
      <c r="AU44" s="247"/>
    </row>
    <row r="45" spans="1:47">
      <c r="A45" s="246">
        <v>44</v>
      </c>
      <c r="B45" s="246" t="s">
        <v>864</v>
      </c>
      <c r="C45" s="246" t="s">
        <v>909</v>
      </c>
      <c r="D45" s="246" t="s">
        <v>3988</v>
      </c>
      <c r="E45" s="247" t="s">
        <v>2804</v>
      </c>
      <c r="F45" s="246" t="s">
        <v>976</v>
      </c>
      <c r="G45" s="246" t="s">
        <v>2860</v>
      </c>
      <c r="H45" s="247" t="s">
        <v>4158</v>
      </c>
      <c r="I45" s="247" t="s">
        <v>638</v>
      </c>
      <c r="J45" s="246" t="s">
        <v>925</v>
      </c>
      <c r="K45" s="247" t="s">
        <v>3257</v>
      </c>
      <c r="L45" s="247" t="s">
        <v>1332</v>
      </c>
      <c r="M45" s="246" t="s">
        <v>864</v>
      </c>
      <c r="N45" s="247" t="s">
        <v>1272</v>
      </c>
      <c r="O45" s="247" t="s">
        <v>2528</v>
      </c>
      <c r="P45" s="247" t="s">
        <v>2609</v>
      </c>
      <c r="Q45" s="247" t="s">
        <v>62</v>
      </c>
      <c r="R45" s="247" t="s">
        <v>1781</v>
      </c>
      <c r="S45" s="247" t="s">
        <v>1651</v>
      </c>
      <c r="T45" s="247" t="s">
        <v>1796</v>
      </c>
      <c r="U45" s="246" t="s">
        <v>3510</v>
      </c>
      <c r="V45" s="252" t="s">
        <v>2307</v>
      </c>
      <c r="W45" s="247" t="s">
        <v>3989</v>
      </c>
      <c r="X45" s="246" t="s">
        <v>3320</v>
      </c>
      <c r="Y45" s="246" t="s">
        <v>3365</v>
      </c>
      <c r="Z45" s="246" t="s">
        <v>925</v>
      </c>
      <c r="AA45" s="247" t="s">
        <v>3990</v>
      </c>
      <c r="AB45" s="246" t="s">
        <v>3388</v>
      </c>
      <c r="AC45" s="247" t="s">
        <v>522</v>
      </c>
      <c r="AD45" s="247" t="s">
        <v>239</v>
      </c>
      <c r="AE45" s="247" t="s">
        <v>2408</v>
      </c>
      <c r="AF45" s="247" t="s">
        <v>113</v>
      </c>
      <c r="AG45" s="247" t="s">
        <v>1523</v>
      </c>
      <c r="AH45" s="247" t="s">
        <v>3991</v>
      </c>
      <c r="AI45" s="246" t="s">
        <v>1019</v>
      </c>
      <c r="AJ45" s="247" t="s">
        <v>1077</v>
      </c>
      <c r="AK45" s="246" t="s">
        <v>585</v>
      </c>
      <c r="AL45" s="249" t="s">
        <v>3466</v>
      </c>
      <c r="AM45" s="246" t="s">
        <v>3992</v>
      </c>
      <c r="AN45" s="247" t="s">
        <v>73</v>
      </c>
      <c r="AO45" s="247" t="s">
        <v>73</v>
      </c>
      <c r="AP45" s="247" t="s">
        <v>2091</v>
      </c>
      <c r="AQ45" s="253" t="s">
        <v>1208</v>
      </c>
      <c r="AR45" s="247" t="s">
        <v>1718</v>
      </c>
      <c r="AS45" s="246" t="s">
        <v>2982</v>
      </c>
      <c r="AT45" s="247" t="s">
        <v>1877</v>
      </c>
      <c r="AU45" s="247"/>
    </row>
    <row r="46" spans="1:47">
      <c r="A46" s="246">
        <v>45</v>
      </c>
      <c r="B46" s="246" t="s">
        <v>865</v>
      </c>
      <c r="C46" s="246" t="s">
        <v>910</v>
      </c>
      <c r="D46" s="246" t="s">
        <v>3993</v>
      </c>
      <c r="E46" s="247" t="s">
        <v>2805</v>
      </c>
      <c r="F46" s="246" t="s">
        <v>977</v>
      </c>
      <c r="G46" s="246" t="s">
        <v>2861</v>
      </c>
      <c r="H46" s="248" t="s">
        <v>1592</v>
      </c>
      <c r="I46" s="247" t="s">
        <v>639</v>
      </c>
      <c r="J46" s="246" t="s">
        <v>865</v>
      </c>
      <c r="K46" s="247" t="s">
        <v>2941</v>
      </c>
      <c r="L46" s="247" t="s">
        <v>1333</v>
      </c>
      <c r="M46" s="246" t="s">
        <v>865</v>
      </c>
      <c r="N46" s="247" t="s">
        <v>1273</v>
      </c>
      <c r="O46" s="247" t="s">
        <v>2529</v>
      </c>
      <c r="P46" s="247" t="s">
        <v>2610</v>
      </c>
      <c r="Q46" s="247" t="s">
        <v>1759</v>
      </c>
      <c r="R46" s="247" t="s">
        <v>2153</v>
      </c>
      <c r="S46" s="247" t="s">
        <v>1652</v>
      </c>
      <c r="T46" s="247" t="s">
        <v>2343</v>
      </c>
      <c r="U46" s="246" t="s">
        <v>3511</v>
      </c>
      <c r="V46" s="247" t="s">
        <v>2308</v>
      </c>
      <c r="W46" s="247" t="s">
        <v>1807</v>
      </c>
      <c r="X46" s="246" t="s">
        <v>3321</v>
      </c>
      <c r="Y46" s="246" t="s">
        <v>3366</v>
      </c>
      <c r="Z46" s="246" t="s">
        <v>865</v>
      </c>
      <c r="AA46" s="247" t="s">
        <v>3994</v>
      </c>
      <c r="AB46" s="246" t="s">
        <v>3389</v>
      </c>
      <c r="AC46" s="247" t="s">
        <v>865</v>
      </c>
      <c r="AD46" s="247" t="s">
        <v>2941</v>
      </c>
      <c r="AE46" s="247" t="s">
        <v>2409</v>
      </c>
      <c r="AF46" s="247" t="s">
        <v>114</v>
      </c>
      <c r="AG46" s="247" t="s">
        <v>1524</v>
      </c>
      <c r="AH46" s="247" t="s">
        <v>288</v>
      </c>
      <c r="AI46" s="246" t="s">
        <v>1020</v>
      </c>
      <c r="AJ46" s="247" t="s">
        <v>1078</v>
      </c>
      <c r="AK46" s="246" t="s">
        <v>586</v>
      </c>
      <c r="AL46" s="249" t="s">
        <v>3467</v>
      </c>
      <c r="AM46" s="246" t="s">
        <v>3995</v>
      </c>
      <c r="AN46" s="247" t="s">
        <v>1938</v>
      </c>
      <c r="AO46" s="247" t="s">
        <v>1938</v>
      </c>
      <c r="AP46" s="247" t="s">
        <v>616</v>
      </c>
      <c r="AQ46" s="247" t="s">
        <v>3996</v>
      </c>
      <c r="AR46" s="247" t="s">
        <v>1957</v>
      </c>
      <c r="AS46" s="246" t="s">
        <v>2983</v>
      </c>
      <c r="AT46" s="247" t="s">
        <v>1878</v>
      </c>
      <c r="AU46" s="247"/>
    </row>
    <row r="47" spans="1:47">
      <c r="A47" s="246">
        <v>46</v>
      </c>
      <c r="B47" s="246" t="s">
        <v>866</v>
      </c>
      <c r="C47" s="246" t="s">
        <v>866</v>
      </c>
      <c r="D47" s="246" t="s">
        <v>3997</v>
      </c>
      <c r="E47" s="247" t="s">
        <v>2806</v>
      </c>
      <c r="F47" s="246" t="s">
        <v>978</v>
      </c>
      <c r="G47" s="246" t="s">
        <v>2862</v>
      </c>
      <c r="H47" s="248" t="s">
        <v>1593</v>
      </c>
      <c r="I47" s="247" t="s">
        <v>640</v>
      </c>
      <c r="J47" s="246" t="s">
        <v>866</v>
      </c>
      <c r="K47" s="247" t="s">
        <v>617</v>
      </c>
      <c r="L47" s="247" t="s">
        <v>1334</v>
      </c>
      <c r="M47" s="246" t="s">
        <v>866</v>
      </c>
      <c r="N47" s="250" t="s">
        <v>1274</v>
      </c>
      <c r="O47" s="247" t="s">
        <v>1747</v>
      </c>
      <c r="P47" s="247" t="s">
        <v>2611</v>
      </c>
      <c r="Q47" s="247" t="s">
        <v>63</v>
      </c>
      <c r="R47" s="247" t="s">
        <v>2154</v>
      </c>
      <c r="S47" s="247" t="s">
        <v>1653</v>
      </c>
      <c r="T47" s="247" t="s">
        <v>2344</v>
      </c>
      <c r="U47" s="246" t="s">
        <v>3512</v>
      </c>
      <c r="V47" s="247" t="s">
        <v>2309</v>
      </c>
      <c r="W47" s="247" t="s">
        <v>2942</v>
      </c>
      <c r="X47" s="246" t="s">
        <v>3322</v>
      </c>
      <c r="Y47" s="246" t="s">
        <v>3367</v>
      </c>
      <c r="Z47" s="246" t="s">
        <v>493</v>
      </c>
      <c r="AA47" s="247" t="s">
        <v>586</v>
      </c>
      <c r="AB47" s="246" t="s">
        <v>3390</v>
      </c>
      <c r="AC47" s="247" t="s">
        <v>866</v>
      </c>
      <c r="AD47" s="247" t="s">
        <v>617</v>
      </c>
      <c r="AE47" s="247" t="s">
        <v>2410</v>
      </c>
      <c r="AF47" s="247" t="s">
        <v>115</v>
      </c>
      <c r="AG47" s="247" t="s">
        <v>1525</v>
      </c>
      <c r="AH47" s="247" t="s">
        <v>3998</v>
      </c>
      <c r="AI47" s="246" t="s">
        <v>1021</v>
      </c>
      <c r="AJ47" s="247" t="s">
        <v>1079</v>
      </c>
      <c r="AK47" s="246" t="s">
        <v>587</v>
      </c>
      <c r="AL47" s="249" t="s">
        <v>3468</v>
      </c>
      <c r="AM47" s="246" t="s">
        <v>3999</v>
      </c>
      <c r="AN47" s="247" t="s">
        <v>1939</v>
      </c>
      <c r="AO47" s="247" t="s">
        <v>1939</v>
      </c>
      <c r="AP47" s="247" t="s">
        <v>617</v>
      </c>
      <c r="AQ47" s="247" t="s">
        <v>1209</v>
      </c>
      <c r="AR47" s="247" t="s">
        <v>1719</v>
      </c>
      <c r="AS47" s="246" t="s">
        <v>2984</v>
      </c>
      <c r="AT47" s="247" t="s">
        <v>1879</v>
      </c>
      <c r="AU47" s="247"/>
    </row>
    <row r="48" spans="1:47">
      <c r="A48" s="246">
        <v>47</v>
      </c>
      <c r="B48" s="246" t="s">
        <v>867</v>
      </c>
      <c r="C48" s="246" t="s">
        <v>911</v>
      </c>
      <c r="D48" s="246" t="s">
        <v>4000</v>
      </c>
      <c r="E48" s="247" t="s">
        <v>2807</v>
      </c>
      <c r="F48" s="246" t="s">
        <v>979</v>
      </c>
      <c r="G48" s="246" t="s">
        <v>2863</v>
      </c>
      <c r="H48" s="248" t="s">
        <v>1594</v>
      </c>
      <c r="I48" s="247" t="s">
        <v>641</v>
      </c>
      <c r="J48" s="246" t="s">
        <v>2914</v>
      </c>
      <c r="K48" s="247" t="s">
        <v>3258</v>
      </c>
      <c r="L48" s="246" t="s">
        <v>3438</v>
      </c>
      <c r="M48" s="246" t="s">
        <v>867</v>
      </c>
      <c r="N48" s="247" t="s">
        <v>1275</v>
      </c>
      <c r="O48" s="247" t="s">
        <v>1748</v>
      </c>
      <c r="P48" s="247" t="s">
        <v>2612</v>
      </c>
      <c r="Q48" s="247" t="s">
        <v>163</v>
      </c>
      <c r="R48" s="247" t="s">
        <v>2155</v>
      </c>
      <c r="S48" s="247" t="s">
        <v>1654</v>
      </c>
      <c r="T48" s="247" t="s">
        <v>2345</v>
      </c>
      <c r="U48" s="246" t="s">
        <v>3513</v>
      </c>
      <c r="V48" s="247" t="s">
        <v>2310</v>
      </c>
      <c r="W48" s="247" t="s">
        <v>735</v>
      </c>
      <c r="X48" s="246" t="s">
        <v>3323</v>
      </c>
      <c r="Y48" s="246" t="s">
        <v>3368</v>
      </c>
      <c r="Z48" s="246" t="s">
        <v>494</v>
      </c>
      <c r="AA48" s="247" t="s">
        <v>4001</v>
      </c>
      <c r="AB48" s="246" t="s">
        <v>3391</v>
      </c>
      <c r="AC48" s="247" t="s">
        <v>523</v>
      </c>
      <c r="AD48" s="247" t="s">
        <v>240</v>
      </c>
      <c r="AE48" s="247" t="s">
        <v>2411</v>
      </c>
      <c r="AF48" s="247" t="s">
        <v>116</v>
      </c>
      <c r="AG48" s="247" t="s">
        <v>1526</v>
      </c>
      <c r="AH48" s="247" t="s">
        <v>4002</v>
      </c>
      <c r="AI48" s="246" t="s">
        <v>1022</v>
      </c>
      <c r="AJ48" s="247" t="s">
        <v>1080</v>
      </c>
      <c r="AK48" s="246" t="s">
        <v>588</v>
      </c>
      <c r="AL48" s="249" t="s">
        <v>3469</v>
      </c>
      <c r="AM48" s="246" t="s">
        <v>1912</v>
      </c>
      <c r="AN48" s="247" t="s">
        <v>74</v>
      </c>
      <c r="AO48" s="247" t="s">
        <v>1105</v>
      </c>
      <c r="AP48" s="247" t="s">
        <v>2092</v>
      </c>
      <c r="AQ48" s="247" t="s">
        <v>1210</v>
      </c>
      <c r="AR48" s="247" t="s">
        <v>1720</v>
      </c>
      <c r="AS48" s="246" t="s">
        <v>2985</v>
      </c>
      <c r="AT48" s="247" t="s">
        <v>1880</v>
      </c>
      <c r="AU48" s="247"/>
    </row>
    <row r="49" spans="1:47">
      <c r="A49" s="246">
        <v>48</v>
      </c>
      <c r="B49" s="246" t="s">
        <v>868</v>
      </c>
      <c r="C49" s="246" t="s">
        <v>912</v>
      </c>
      <c r="D49" s="246" t="s">
        <v>4003</v>
      </c>
      <c r="E49" s="247" t="s">
        <v>940</v>
      </c>
      <c r="F49" s="246" t="s">
        <v>980</v>
      </c>
      <c r="G49" s="246" t="s">
        <v>868</v>
      </c>
      <c r="H49" s="248" t="s">
        <v>1595</v>
      </c>
      <c r="I49" s="246" t="s">
        <v>2881</v>
      </c>
      <c r="J49" s="246" t="s">
        <v>868</v>
      </c>
      <c r="K49" s="247" t="s">
        <v>912</v>
      </c>
      <c r="L49" s="246" t="s">
        <v>912</v>
      </c>
      <c r="M49" s="246" t="s">
        <v>868</v>
      </c>
      <c r="N49" s="247" t="s">
        <v>1276</v>
      </c>
      <c r="O49" s="247" t="s">
        <v>912</v>
      </c>
      <c r="P49" s="247" t="s">
        <v>2613</v>
      </c>
      <c r="Q49" s="247" t="s">
        <v>912</v>
      </c>
      <c r="R49" s="247" t="s">
        <v>688</v>
      </c>
      <c r="S49" s="247" t="s">
        <v>1655</v>
      </c>
      <c r="T49" s="247" t="s">
        <v>2314</v>
      </c>
      <c r="U49" s="246" t="s">
        <v>868</v>
      </c>
      <c r="V49" s="247" t="s">
        <v>1242</v>
      </c>
      <c r="W49" s="247" t="s">
        <v>912</v>
      </c>
      <c r="X49" s="246" t="s">
        <v>3324</v>
      </c>
      <c r="Y49" s="246" t="s">
        <v>3369</v>
      </c>
      <c r="Z49" s="246" t="s">
        <v>495</v>
      </c>
      <c r="AA49" s="247" t="s">
        <v>4004</v>
      </c>
      <c r="AB49" s="246" t="s">
        <v>3392</v>
      </c>
      <c r="AC49" s="247" t="s">
        <v>524</v>
      </c>
      <c r="AD49" s="247" t="s">
        <v>912</v>
      </c>
      <c r="AE49" s="247" t="s">
        <v>2412</v>
      </c>
      <c r="AF49" s="247" t="s">
        <v>868</v>
      </c>
      <c r="AG49" s="247" t="s">
        <v>868</v>
      </c>
      <c r="AH49" s="247" t="s">
        <v>868</v>
      </c>
      <c r="AI49" s="246" t="s">
        <v>1023</v>
      </c>
      <c r="AJ49" s="247" t="s">
        <v>1081</v>
      </c>
      <c r="AK49" s="246" t="s">
        <v>589</v>
      </c>
      <c r="AL49" s="249" t="s">
        <v>3470</v>
      </c>
      <c r="AM49" s="246" t="s">
        <v>4005</v>
      </c>
      <c r="AN49" s="247" t="s">
        <v>868</v>
      </c>
      <c r="AO49" s="247" t="s">
        <v>868</v>
      </c>
      <c r="AP49" s="247" t="s">
        <v>868</v>
      </c>
      <c r="AQ49" s="247" t="s">
        <v>1211</v>
      </c>
      <c r="AR49" s="247" t="s">
        <v>868</v>
      </c>
      <c r="AS49" s="246" t="s">
        <v>2986</v>
      </c>
      <c r="AT49" s="247" t="s">
        <v>1881</v>
      </c>
      <c r="AU49" s="247"/>
    </row>
    <row r="50" spans="1:47">
      <c r="A50" s="246">
        <v>49</v>
      </c>
      <c r="B50" s="246" t="s">
        <v>869</v>
      </c>
      <c r="C50" s="246" t="s">
        <v>913</v>
      </c>
      <c r="D50" s="246" t="s">
        <v>4006</v>
      </c>
      <c r="E50" s="247" t="s">
        <v>2808</v>
      </c>
      <c r="F50" s="246" t="s">
        <v>981</v>
      </c>
      <c r="G50" s="246" t="s">
        <v>2864</v>
      </c>
      <c r="H50" s="248" t="s">
        <v>1596</v>
      </c>
      <c r="I50" s="246" t="s">
        <v>2882</v>
      </c>
      <c r="J50" s="246" t="s">
        <v>869</v>
      </c>
      <c r="K50" s="247" t="s">
        <v>2943</v>
      </c>
      <c r="L50" s="246" t="s">
        <v>2948</v>
      </c>
      <c r="M50" s="246" t="s">
        <v>869</v>
      </c>
      <c r="N50" s="247" t="s">
        <v>1277</v>
      </c>
      <c r="O50" s="247" t="s">
        <v>1749</v>
      </c>
      <c r="P50" s="247" t="s">
        <v>2614</v>
      </c>
      <c r="Q50" s="247" t="s">
        <v>164</v>
      </c>
      <c r="R50" s="247" t="s">
        <v>1782</v>
      </c>
      <c r="S50" s="247" t="s">
        <v>1656</v>
      </c>
      <c r="T50" s="247" t="s">
        <v>2346</v>
      </c>
      <c r="U50" s="246" t="s">
        <v>880</v>
      </c>
      <c r="V50" s="247" t="s">
        <v>1243</v>
      </c>
      <c r="W50" s="247" t="s">
        <v>1808</v>
      </c>
      <c r="X50" s="246" t="s">
        <v>3325</v>
      </c>
      <c r="Y50" s="246" t="s">
        <v>3370</v>
      </c>
      <c r="Z50" s="246" t="s">
        <v>496</v>
      </c>
      <c r="AA50" s="247" t="s">
        <v>590</v>
      </c>
      <c r="AB50" s="246" t="s">
        <v>3393</v>
      </c>
      <c r="AC50" s="247" t="s">
        <v>869</v>
      </c>
      <c r="AD50" s="247" t="s">
        <v>241</v>
      </c>
      <c r="AE50" s="247" t="s">
        <v>2413</v>
      </c>
      <c r="AF50" s="247" t="s">
        <v>117</v>
      </c>
      <c r="AG50" s="247" t="s">
        <v>1527</v>
      </c>
      <c r="AH50" s="247" t="s">
        <v>1527</v>
      </c>
      <c r="AI50" s="246" t="s">
        <v>1024</v>
      </c>
      <c r="AJ50" s="247" t="s">
        <v>562</v>
      </c>
      <c r="AK50" s="246" t="s">
        <v>590</v>
      </c>
      <c r="AL50" s="249" t="s">
        <v>3471</v>
      </c>
      <c r="AM50" s="246" t="s">
        <v>1913</v>
      </c>
      <c r="AN50" s="247" t="s">
        <v>1940</v>
      </c>
      <c r="AO50" s="247" t="s">
        <v>1940</v>
      </c>
      <c r="AP50" s="247" t="s">
        <v>618</v>
      </c>
      <c r="AQ50" s="247" t="s">
        <v>1212</v>
      </c>
      <c r="AR50" s="247" t="s">
        <v>1721</v>
      </c>
      <c r="AS50" s="246" t="s">
        <v>2987</v>
      </c>
      <c r="AT50" s="247" t="s">
        <v>1882</v>
      </c>
      <c r="AU50" s="247"/>
    </row>
    <row r="51" spans="1:47">
      <c r="A51" s="246">
        <v>50</v>
      </c>
      <c r="B51" s="246" t="s">
        <v>870</v>
      </c>
      <c r="C51" s="246" t="s">
        <v>870</v>
      </c>
      <c r="D51" s="246" t="s">
        <v>1459</v>
      </c>
      <c r="E51" s="247" t="s">
        <v>2809</v>
      </c>
      <c r="F51" s="246" t="s">
        <v>982</v>
      </c>
      <c r="G51" s="246" t="s">
        <v>2865</v>
      </c>
      <c r="H51" s="248" t="s">
        <v>1597</v>
      </c>
      <c r="I51" s="246" t="s">
        <v>2883</v>
      </c>
      <c r="J51" s="246" t="s">
        <v>870</v>
      </c>
      <c r="K51" s="247" t="s">
        <v>3259</v>
      </c>
      <c r="L51" s="246" t="s">
        <v>3439</v>
      </c>
      <c r="M51" s="246" t="s">
        <v>870</v>
      </c>
      <c r="N51" s="247" t="s">
        <v>1278</v>
      </c>
      <c r="O51" s="247" t="s">
        <v>2530</v>
      </c>
      <c r="P51" s="247" t="s">
        <v>2615</v>
      </c>
      <c r="Q51" s="247" t="s">
        <v>165</v>
      </c>
      <c r="R51" s="247" t="s">
        <v>689</v>
      </c>
      <c r="S51" s="247" t="s">
        <v>1657</v>
      </c>
      <c r="T51" s="247" t="s">
        <v>2347</v>
      </c>
      <c r="U51" s="246" t="s">
        <v>870</v>
      </c>
      <c r="V51" s="252" t="s">
        <v>1244</v>
      </c>
      <c r="W51" s="247" t="s">
        <v>736</v>
      </c>
      <c r="X51" s="246" t="s">
        <v>3326</v>
      </c>
      <c r="Y51" s="246" t="s">
        <v>3371</v>
      </c>
      <c r="Z51" s="246" t="s">
        <v>497</v>
      </c>
      <c r="AA51" s="247" t="s">
        <v>4007</v>
      </c>
      <c r="AB51" s="246" t="s">
        <v>3394</v>
      </c>
      <c r="AC51" s="247" t="s">
        <v>870</v>
      </c>
      <c r="AD51" s="247" t="s">
        <v>242</v>
      </c>
      <c r="AE51" s="247" t="s">
        <v>2414</v>
      </c>
      <c r="AF51" s="247" t="s">
        <v>118</v>
      </c>
      <c r="AG51" s="247" t="s">
        <v>1528</v>
      </c>
      <c r="AH51" s="247" t="s">
        <v>289</v>
      </c>
      <c r="AI51" s="246" t="s">
        <v>1025</v>
      </c>
      <c r="AJ51" s="247" t="s">
        <v>2247</v>
      </c>
      <c r="AK51" s="246" t="s">
        <v>591</v>
      </c>
      <c r="AL51" s="249" t="s">
        <v>3472</v>
      </c>
      <c r="AM51" s="246" t="s">
        <v>4008</v>
      </c>
      <c r="AN51" s="247" t="s">
        <v>1941</v>
      </c>
      <c r="AO51" s="247" t="s">
        <v>1941</v>
      </c>
      <c r="AP51" s="247" t="s">
        <v>619</v>
      </c>
      <c r="AQ51" s="247" t="s">
        <v>1213</v>
      </c>
      <c r="AR51" s="247" t="s">
        <v>1722</v>
      </c>
      <c r="AS51" s="246" t="s">
        <v>2988</v>
      </c>
      <c r="AT51" s="247" t="s">
        <v>1883</v>
      </c>
      <c r="AU51" s="247"/>
    </row>
    <row r="52" spans="1:47">
      <c r="A52" s="246">
        <v>51</v>
      </c>
      <c r="B52" s="246" t="s">
        <v>1369</v>
      </c>
      <c r="C52" s="246" t="s">
        <v>914</v>
      </c>
      <c r="D52" s="246" t="s">
        <v>4009</v>
      </c>
      <c r="E52" s="247" t="s">
        <v>2810</v>
      </c>
      <c r="F52" s="246" t="s">
        <v>983</v>
      </c>
      <c r="G52" s="246" t="s">
        <v>1369</v>
      </c>
      <c r="H52" s="247" t="s">
        <v>4159</v>
      </c>
      <c r="I52" s="247" t="s">
        <v>642</v>
      </c>
      <c r="J52" s="246" t="s">
        <v>2915</v>
      </c>
      <c r="K52" s="247" t="s">
        <v>3260</v>
      </c>
      <c r="L52" s="246" t="s">
        <v>3440</v>
      </c>
      <c r="M52" s="246" t="s">
        <v>1369</v>
      </c>
      <c r="N52" s="247" t="s">
        <v>1279</v>
      </c>
      <c r="O52" s="247" t="s">
        <v>2531</v>
      </c>
      <c r="P52" s="247" t="s">
        <v>2616</v>
      </c>
      <c r="Q52" s="247" t="s">
        <v>166</v>
      </c>
      <c r="R52" s="247" t="s">
        <v>690</v>
      </c>
      <c r="S52" s="247" t="s">
        <v>1658</v>
      </c>
      <c r="T52" s="247" t="s">
        <v>2315</v>
      </c>
      <c r="U52" s="246" t="s">
        <v>881</v>
      </c>
      <c r="V52" s="247" t="s">
        <v>1245</v>
      </c>
      <c r="W52" s="247" t="s">
        <v>737</v>
      </c>
      <c r="X52" s="246" t="s">
        <v>3327</v>
      </c>
      <c r="Y52" s="246" t="s">
        <v>3372</v>
      </c>
      <c r="Z52" s="246" t="s">
        <v>498</v>
      </c>
      <c r="AA52" s="247" t="s">
        <v>4010</v>
      </c>
      <c r="AB52" s="246" t="s">
        <v>3387</v>
      </c>
      <c r="AC52" s="247" t="s">
        <v>525</v>
      </c>
      <c r="AD52" s="247" t="s">
        <v>243</v>
      </c>
      <c r="AE52" s="247" t="s">
        <v>2415</v>
      </c>
      <c r="AF52" s="247" t="s">
        <v>534</v>
      </c>
      <c r="AG52" s="247" t="s">
        <v>1529</v>
      </c>
      <c r="AH52" s="247" t="s">
        <v>290</v>
      </c>
      <c r="AI52" s="246" t="s">
        <v>1026</v>
      </c>
      <c r="AJ52" s="247" t="s">
        <v>1082</v>
      </c>
      <c r="AK52" s="246" t="s">
        <v>592</v>
      </c>
      <c r="AL52" s="249" t="s">
        <v>3473</v>
      </c>
      <c r="AM52" s="246" t="s">
        <v>4011</v>
      </c>
      <c r="AN52" s="247" t="s">
        <v>2050</v>
      </c>
      <c r="AO52" s="247" t="s">
        <v>1106</v>
      </c>
      <c r="AP52" s="247" t="s">
        <v>2093</v>
      </c>
      <c r="AQ52" s="247" t="s">
        <v>1214</v>
      </c>
      <c r="AR52" s="247" t="s">
        <v>1723</v>
      </c>
      <c r="AS52" s="246" t="s">
        <v>2989</v>
      </c>
      <c r="AT52" s="247" t="s">
        <v>1884</v>
      </c>
      <c r="AU52" s="247"/>
    </row>
    <row r="53" spans="1:47">
      <c r="A53" s="246">
        <v>52</v>
      </c>
      <c r="B53" s="246" t="s">
        <v>1370</v>
      </c>
      <c r="C53" s="246" t="s">
        <v>1370</v>
      </c>
      <c r="D53" s="246" t="s">
        <v>4012</v>
      </c>
      <c r="E53" s="247" t="s">
        <v>2811</v>
      </c>
      <c r="F53" s="246" t="s">
        <v>984</v>
      </c>
      <c r="G53" s="246" t="s">
        <v>2895</v>
      </c>
      <c r="H53" s="248" t="s">
        <v>1598</v>
      </c>
      <c r="I53" s="247" t="s">
        <v>643</v>
      </c>
      <c r="J53" s="246" t="s">
        <v>1370</v>
      </c>
      <c r="K53" s="247" t="s">
        <v>3261</v>
      </c>
      <c r="L53" s="246" t="s">
        <v>3441</v>
      </c>
      <c r="M53" s="246" t="s">
        <v>1370</v>
      </c>
      <c r="N53" s="247" t="s">
        <v>1280</v>
      </c>
      <c r="O53" s="247" t="s">
        <v>2532</v>
      </c>
      <c r="P53" s="247" t="s">
        <v>2617</v>
      </c>
      <c r="Q53" s="247" t="s">
        <v>167</v>
      </c>
      <c r="R53" s="247" t="s">
        <v>1783</v>
      </c>
      <c r="S53" s="247" t="s">
        <v>1659</v>
      </c>
      <c r="T53" s="247" t="s">
        <v>2316</v>
      </c>
      <c r="U53" s="246" t="s">
        <v>882</v>
      </c>
      <c r="V53" s="247" t="s">
        <v>1246</v>
      </c>
      <c r="W53" s="247" t="s">
        <v>738</v>
      </c>
      <c r="X53" s="246" t="s">
        <v>3328</v>
      </c>
      <c r="Y53" s="246" t="s">
        <v>3373</v>
      </c>
      <c r="Z53" s="246" t="s">
        <v>1370</v>
      </c>
      <c r="AA53" s="247" t="s">
        <v>4013</v>
      </c>
      <c r="AB53" s="246" t="s">
        <v>3395</v>
      </c>
      <c r="AC53" s="247" t="s">
        <v>1370</v>
      </c>
      <c r="AD53" s="247" t="s">
        <v>244</v>
      </c>
      <c r="AE53" s="247" t="s">
        <v>2416</v>
      </c>
      <c r="AF53" s="247" t="s">
        <v>119</v>
      </c>
      <c r="AG53" s="247" t="s">
        <v>1530</v>
      </c>
      <c r="AH53" s="247" t="s">
        <v>291</v>
      </c>
      <c r="AI53" s="246" t="s">
        <v>1027</v>
      </c>
      <c r="AJ53" s="247" t="s">
        <v>563</v>
      </c>
      <c r="AK53" s="246" t="s">
        <v>593</v>
      </c>
      <c r="AL53" s="249" t="s">
        <v>3474</v>
      </c>
      <c r="AM53" s="246" t="s">
        <v>4014</v>
      </c>
      <c r="AN53" s="247" t="s">
        <v>2051</v>
      </c>
      <c r="AO53" s="247" t="s">
        <v>1107</v>
      </c>
      <c r="AP53" s="247" t="s">
        <v>620</v>
      </c>
      <c r="AQ53" s="247" t="s">
        <v>1215</v>
      </c>
      <c r="AR53" s="247" t="s">
        <v>1724</v>
      </c>
      <c r="AS53" s="246" t="s">
        <v>2990</v>
      </c>
      <c r="AT53" s="247" t="s">
        <v>1885</v>
      </c>
      <c r="AU53" s="247"/>
    </row>
    <row r="54" spans="1:47">
      <c r="A54" s="246">
        <v>53</v>
      </c>
      <c r="B54" s="246" t="s">
        <v>1371</v>
      </c>
      <c r="C54" s="246" t="s">
        <v>915</v>
      </c>
      <c r="D54" s="246" t="s">
        <v>4015</v>
      </c>
      <c r="E54" s="247" t="s">
        <v>941</v>
      </c>
      <c r="F54" s="246" t="s">
        <v>985</v>
      </c>
      <c r="G54" s="246" t="s">
        <v>1371</v>
      </c>
      <c r="H54" s="248" t="s">
        <v>1599</v>
      </c>
      <c r="I54" s="247" t="s">
        <v>644</v>
      </c>
      <c r="J54" s="246" t="s">
        <v>1371</v>
      </c>
      <c r="K54" s="247" t="s">
        <v>3262</v>
      </c>
      <c r="L54" s="246" t="s">
        <v>1487</v>
      </c>
      <c r="M54" s="246" t="s">
        <v>1371</v>
      </c>
      <c r="N54" s="247" t="s">
        <v>1281</v>
      </c>
      <c r="O54" s="247" t="s">
        <v>2533</v>
      </c>
      <c r="P54" s="247" t="s">
        <v>2618</v>
      </c>
      <c r="Q54" s="247" t="s">
        <v>168</v>
      </c>
      <c r="R54" s="247" t="s">
        <v>2156</v>
      </c>
      <c r="S54" s="247" t="s">
        <v>1660</v>
      </c>
      <c r="T54" s="247" t="s">
        <v>2348</v>
      </c>
      <c r="U54" s="246" t="s">
        <v>883</v>
      </c>
      <c r="V54" s="247" t="s">
        <v>1247</v>
      </c>
      <c r="W54" s="247" t="s">
        <v>739</v>
      </c>
      <c r="X54" s="246" t="s">
        <v>3329</v>
      </c>
      <c r="Y54" s="246" t="s">
        <v>3374</v>
      </c>
      <c r="Z54" s="246" t="s">
        <v>499</v>
      </c>
      <c r="AA54" s="247" t="s">
        <v>4016</v>
      </c>
      <c r="AB54" s="246" t="s">
        <v>3396</v>
      </c>
      <c r="AC54" s="247" t="s">
        <v>526</v>
      </c>
      <c r="AD54" s="247" t="s">
        <v>245</v>
      </c>
      <c r="AE54" s="247" t="s">
        <v>2417</v>
      </c>
      <c r="AF54" s="247" t="s">
        <v>120</v>
      </c>
      <c r="AG54" s="247" t="s">
        <v>1531</v>
      </c>
      <c r="AH54" s="246" t="s">
        <v>4017</v>
      </c>
      <c r="AI54" s="246" t="s">
        <v>1028</v>
      </c>
      <c r="AJ54" s="247" t="s">
        <v>564</v>
      </c>
      <c r="AK54" s="246" t="s">
        <v>594</v>
      </c>
      <c r="AL54" s="249" t="s">
        <v>3475</v>
      </c>
      <c r="AM54" s="246" t="s">
        <v>4018</v>
      </c>
      <c r="AN54" s="247" t="s">
        <v>2052</v>
      </c>
      <c r="AO54" s="247" t="s">
        <v>1108</v>
      </c>
      <c r="AP54" s="247" t="s">
        <v>2094</v>
      </c>
      <c r="AQ54" s="247" t="s">
        <v>1216</v>
      </c>
      <c r="AR54" s="247" t="s">
        <v>1725</v>
      </c>
      <c r="AS54" s="246" t="s">
        <v>2991</v>
      </c>
      <c r="AT54" s="247" t="s">
        <v>1886</v>
      </c>
      <c r="AU54" s="247"/>
    </row>
    <row r="55" spans="1:47">
      <c r="A55" s="246">
        <v>54</v>
      </c>
      <c r="B55" s="246" t="s">
        <v>871</v>
      </c>
      <c r="C55" s="246" t="s">
        <v>916</v>
      </c>
      <c r="D55" s="246" t="s">
        <v>926</v>
      </c>
      <c r="E55" s="247" t="s">
        <v>2812</v>
      </c>
      <c r="F55" s="246" t="s">
        <v>986</v>
      </c>
      <c r="G55" s="246" t="s">
        <v>2896</v>
      </c>
      <c r="H55" s="248" t="s">
        <v>1600</v>
      </c>
      <c r="I55" s="246" t="s">
        <v>2884</v>
      </c>
      <c r="J55" s="246" t="s">
        <v>871</v>
      </c>
      <c r="K55" s="247" t="s">
        <v>2943</v>
      </c>
      <c r="L55" s="246" t="s">
        <v>916</v>
      </c>
      <c r="M55" s="246" t="s">
        <v>871</v>
      </c>
      <c r="N55" s="247" t="s">
        <v>1282</v>
      </c>
      <c r="O55" s="247" t="s">
        <v>871</v>
      </c>
      <c r="P55" s="247" t="s">
        <v>2619</v>
      </c>
      <c r="Q55" s="247" t="s">
        <v>169</v>
      </c>
      <c r="R55" s="247" t="s">
        <v>1784</v>
      </c>
      <c r="S55" s="247" t="s">
        <v>1661</v>
      </c>
      <c r="T55" s="247" t="s">
        <v>2349</v>
      </c>
      <c r="U55" s="246" t="s">
        <v>884</v>
      </c>
      <c r="V55" s="247" t="s">
        <v>1248</v>
      </c>
      <c r="W55" s="247" t="s">
        <v>740</v>
      </c>
      <c r="X55" s="246" t="s">
        <v>3330</v>
      </c>
      <c r="Y55" s="246" t="s">
        <v>3375</v>
      </c>
      <c r="Z55" s="246" t="s">
        <v>871</v>
      </c>
      <c r="AA55" s="247" t="s">
        <v>986</v>
      </c>
      <c r="AB55" s="246" t="s">
        <v>3393</v>
      </c>
      <c r="AC55" s="247" t="s">
        <v>871</v>
      </c>
      <c r="AD55" s="247" t="s">
        <v>241</v>
      </c>
      <c r="AE55" s="247" t="s">
        <v>2418</v>
      </c>
      <c r="AF55" s="247" t="s">
        <v>121</v>
      </c>
      <c r="AG55" s="247" t="s">
        <v>545</v>
      </c>
      <c r="AH55" s="247" t="s">
        <v>545</v>
      </c>
      <c r="AI55" s="246" t="s">
        <v>550</v>
      </c>
      <c r="AJ55" s="247" t="s">
        <v>1083</v>
      </c>
      <c r="AK55" s="246" t="s">
        <v>986</v>
      </c>
      <c r="AL55" s="249" t="s">
        <v>3471</v>
      </c>
      <c r="AM55" s="246" t="s">
        <v>4019</v>
      </c>
      <c r="AN55" s="247" t="s">
        <v>1942</v>
      </c>
      <c r="AO55" s="247" t="s">
        <v>1942</v>
      </c>
      <c r="AP55" s="247" t="s">
        <v>2095</v>
      </c>
      <c r="AQ55" s="247" t="s">
        <v>1926</v>
      </c>
      <c r="AR55" s="247" t="s">
        <v>1958</v>
      </c>
      <c r="AS55" s="246" t="s">
        <v>2992</v>
      </c>
      <c r="AT55" s="247" t="s">
        <v>1887</v>
      </c>
      <c r="AU55" s="247"/>
    </row>
    <row r="56" spans="1:47">
      <c r="A56" s="246">
        <v>55</v>
      </c>
      <c r="B56" s="246" t="s">
        <v>3378</v>
      </c>
      <c r="C56" s="246" t="s">
        <v>3279</v>
      </c>
      <c r="D56" s="246" t="s">
        <v>4020</v>
      </c>
      <c r="E56" s="247" t="s">
        <v>2813</v>
      </c>
      <c r="F56" s="246" t="s">
        <v>1477</v>
      </c>
      <c r="G56" s="246" t="s">
        <v>3378</v>
      </c>
      <c r="H56" s="248" t="s">
        <v>1601</v>
      </c>
      <c r="I56" s="247" t="s">
        <v>645</v>
      </c>
      <c r="J56" s="246" t="s">
        <v>2722</v>
      </c>
      <c r="K56" s="247" t="s">
        <v>246</v>
      </c>
      <c r="L56" s="246" t="s">
        <v>1488</v>
      </c>
      <c r="M56" s="246" t="s">
        <v>3378</v>
      </c>
      <c r="N56" s="247" t="s">
        <v>1283</v>
      </c>
      <c r="O56" s="247" t="s">
        <v>3378</v>
      </c>
      <c r="P56" s="247" t="s">
        <v>2620</v>
      </c>
      <c r="Q56" s="247" t="s">
        <v>64</v>
      </c>
      <c r="R56" s="247" t="s">
        <v>691</v>
      </c>
      <c r="S56" s="247" t="s">
        <v>1662</v>
      </c>
      <c r="T56" s="247" t="s">
        <v>2350</v>
      </c>
      <c r="U56" s="246" t="s">
        <v>3041</v>
      </c>
      <c r="V56" s="247" t="s">
        <v>1249</v>
      </c>
      <c r="W56" s="247" t="s">
        <v>741</v>
      </c>
      <c r="X56" s="246" t="s">
        <v>404</v>
      </c>
      <c r="Y56" s="246" t="s">
        <v>448</v>
      </c>
      <c r="Z56" s="246" t="s">
        <v>2450</v>
      </c>
      <c r="AA56" s="247" t="s">
        <v>4021</v>
      </c>
      <c r="AB56" s="246" t="s">
        <v>3397</v>
      </c>
      <c r="AC56" s="247" t="s">
        <v>3378</v>
      </c>
      <c r="AD56" s="247" t="s">
        <v>246</v>
      </c>
      <c r="AE56" s="247" t="s">
        <v>2419</v>
      </c>
      <c r="AF56" s="247" t="s">
        <v>122</v>
      </c>
      <c r="AG56" s="247" t="s">
        <v>1532</v>
      </c>
      <c r="AH56" s="246" t="s">
        <v>1532</v>
      </c>
      <c r="AI56" s="246" t="s">
        <v>1029</v>
      </c>
      <c r="AJ56" s="247" t="s">
        <v>2227</v>
      </c>
      <c r="AK56" s="246" t="s">
        <v>2256</v>
      </c>
      <c r="AL56" s="249" t="s">
        <v>3476</v>
      </c>
      <c r="AM56" s="246" t="s">
        <v>3378</v>
      </c>
      <c r="AN56" s="247" t="s">
        <v>71</v>
      </c>
      <c r="AO56" s="247" t="s">
        <v>71</v>
      </c>
      <c r="AP56" s="247" t="s">
        <v>2096</v>
      </c>
      <c r="AQ56" s="247" t="s">
        <v>1217</v>
      </c>
      <c r="AR56" s="247" t="s">
        <v>1726</v>
      </c>
      <c r="AS56" s="246" t="s">
        <v>2993</v>
      </c>
      <c r="AT56" s="247" t="s">
        <v>1888</v>
      </c>
      <c r="AU56" s="247"/>
    </row>
    <row r="57" spans="1:47">
      <c r="A57" s="246">
        <v>56</v>
      </c>
      <c r="B57" s="246" t="s">
        <v>1969</v>
      </c>
      <c r="C57" s="246" t="s">
        <v>3280</v>
      </c>
      <c r="D57" s="246" t="s">
        <v>4022</v>
      </c>
      <c r="E57" s="247" t="s">
        <v>2814</v>
      </c>
      <c r="F57" s="246" t="s">
        <v>1478</v>
      </c>
      <c r="G57" s="246" t="s">
        <v>2677</v>
      </c>
      <c r="H57" s="247" t="s">
        <v>4160</v>
      </c>
      <c r="I57" s="247" t="s">
        <v>646</v>
      </c>
      <c r="J57" s="246" t="s">
        <v>2723</v>
      </c>
      <c r="K57" s="246" t="s">
        <v>3263</v>
      </c>
      <c r="L57" s="246" t="s">
        <v>1489</v>
      </c>
      <c r="M57" s="246" t="s">
        <v>1969</v>
      </c>
      <c r="N57" s="247" t="s">
        <v>1284</v>
      </c>
      <c r="O57" s="247" t="s">
        <v>2534</v>
      </c>
      <c r="P57" s="247" t="s">
        <v>2621</v>
      </c>
      <c r="Q57" s="247" t="s">
        <v>170</v>
      </c>
      <c r="R57" s="247" t="s">
        <v>2027</v>
      </c>
      <c r="S57" s="247" t="s">
        <v>1663</v>
      </c>
      <c r="T57" s="247" t="s">
        <v>2317</v>
      </c>
      <c r="U57" s="246" t="s">
        <v>3042</v>
      </c>
      <c r="V57" s="247" t="s">
        <v>1250</v>
      </c>
      <c r="W57" s="247" t="s">
        <v>742</v>
      </c>
      <c r="X57" s="246" t="s">
        <v>405</v>
      </c>
      <c r="Y57" s="246" t="s">
        <v>449</v>
      </c>
      <c r="Z57" s="246" t="s">
        <v>2451</v>
      </c>
      <c r="AA57" s="247" t="s">
        <v>4023</v>
      </c>
      <c r="AB57" s="246" t="s">
        <v>3398</v>
      </c>
      <c r="AC57" s="247" t="s">
        <v>2492</v>
      </c>
      <c r="AD57" s="247" t="s">
        <v>247</v>
      </c>
      <c r="AE57" s="247" t="s">
        <v>2420</v>
      </c>
      <c r="AF57" s="247" t="s">
        <v>123</v>
      </c>
      <c r="AG57" s="247" t="s">
        <v>1533</v>
      </c>
      <c r="AH57" s="246" t="s">
        <v>292</v>
      </c>
      <c r="AI57" s="246" t="s">
        <v>1030</v>
      </c>
      <c r="AJ57" s="247" t="s">
        <v>4024</v>
      </c>
      <c r="AK57" s="246" t="s">
        <v>2257</v>
      </c>
      <c r="AL57" s="249" t="s">
        <v>3477</v>
      </c>
      <c r="AM57" s="246" t="s">
        <v>4025</v>
      </c>
      <c r="AN57" s="247" t="s">
        <v>2084</v>
      </c>
      <c r="AO57" s="247" t="s">
        <v>1109</v>
      </c>
      <c r="AP57" s="247" t="s">
        <v>2097</v>
      </c>
      <c r="AQ57" s="247" t="s">
        <v>1218</v>
      </c>
      <c r="AR57" s="247" t="s">
        <v>1727</v>
      </c>
      <c r="AS57" s="246" t="s">
        <v>2994</v>
      </c>
      <c r="AT57" s="247" t="s">
        <v>1889</v>
      </c>
      <c r="AU57" s="247"/>
    </row>
    <row r="58" spans="1:47">
      <c r="A58" s="246">
        <v>57</v>
      </c>
      <c r="B58" s="246" t="s">
        <v>1970</v>
      </c>
      <c r="C58" s="246" t="s">
        <v>3281</v>
      </c>
      <c r="D58" s="246" t="s">
        <v>4026</v>
      </c>
      <c r="E58" s="247" t="s">
        <v>2815</v>
      </c>
      <c r="F58" s="246" t="s">
        <v>1479</v>
      </c>
      <c r="G58" s="246" t="s">
        <v>2678</v>
      </c>
      <c r="H58" s="247" t="s">
        <v>4161</v>
      </c>
      <c r="I58" s="247" t="s">
        <v>647</v>
      </c>
      <c r="J58" s="246" t="s">
        <v>2724</v>
      </c>
      <c r="K58" s="246" t="s">
        <v>2764</v>
      </c>
      <c r="L58" s="246" t="s">
        <v>3281</v>
      </c>
      <c r="M58" s="246" t="s">
        <v>1970</v>
      </c>
      <c r="N58" s="247" t="s">
        <v>1285</v>
      </c>
      <c r="O58" s="247" t="s">
        <v>2535</v>
      </c>
      <c r="P58" s="247" t="s">
        <v>2622</v>
      </c>
      <c r="Q58" s="247" t="s">
        <v>171</v>
      </c>
      <c r="R58" s="247" t="s">
        <v>2028</v>
      </c>
      <c r="S58" s="247" t="s">
        <v>1664</v>
      </c>
      <c r="T58" s="247" t="s">
        <v>2318</v>
      </c>
      <c r="U58" s="246" t="s">
        <v>3043</v>
      </c>
      <c r="V58" s="247" t="s">
        <v>1251</v>
      </c>
      <c r="W58" s="247" t="s">
        <v>743</v>
      </c>
      <c r="X58" s="246" t="s">
        <v>406</v>
      </c>
      <c r="Y58" s="246" t="s">
        <v>450</v>
      </c>
      <c r="Z58" s="246" t="s">
        <v>2452</v>
      </c>
      <c r="AA58" s="247" t="s">
        <v>4027</v>
      </c>
      <c r="AB58" s="246" t="s">
        <v>3399</v>
      </c>
      <c r="AC58" s="247" t="s">
        <v>2493</v>
      </c>
      <c r="AD58" s="247" t="s">
        <v>248</v>
      </c>
      <c r="AE58" s="247" t="s">
        <v>2421</v>
      </c>
      <c r="AF58" s="247" t="s">
        <v>124</v>
      </c>
      <c r="AG58" s="247" t="s">
        <v>624</v>
      </c>
      <c r="AH58" s="246" t="s">
        <v>293</v>
      </c>
      <c r="AI58" s="246" t="s">
        <v>1031</v>
      </c>
      <c r="AJ58" s="247" t="s">
        <v>2228</v>
      </c>
      <c r="AK58" s="246" t="s">
        <v>2258</v>
      </c>
      <c r="AL58" s="249" t="s">
        <v>3477</v>
      </c>
      <c r="AM58" s="246" t="s">
        <v>4028</v>
      </c>
      <c r="AN58" s="247" t="s">
        <v>2085</v>
      </c>
      <c r="AO58" s="247" t="s">
        <v>1110</v>
      </c>
      <c r="AP58" s="247" t="s">
        <v>2098</v>
      </c>
      <c r="AQ58" s="247" t="s">
        <v>1219</v>
      </c>
      <c r="AR58" s="247" t="s">
        <v>1728</v>
      </c>
      <c r="AS58" s="246" t="s">
        <v>2995</v>
      </c>
      <c r="AT58" s="247" t="s">
        <v>1890</v>
      </c>
      <c r="AU58" s="247"/>
    </row>
    <row r="59" spans="1:47">
      <c r="A59" s="246">
        <v>58</v>
      </c>
      <c r="B59" s="246" t="s">
        <v>1971</v>
      </c>
      <c r="C59" s="246" t="s">
        <v>3282</v>
      </c>
      <c r="D59" s="246" t="s">
        <v>4029</v>
      </c>
      <c r="E59" s="247" t="s">
        <v>2816</v>
      </c>
      <c r="F59" s="246" t="s">
        <v>1480</v>
      </c>
      <c r="G59" s="246" t="s">
        <v>2679</v>
      </c>
      <c r="H59" s="247" t="s">
        <v>4162</v>
      </c>
      <c r="I59" s="247" t="s">
        <v>648</v>
      </c>
      <c r="J59" s="246" t="s">
        <v>2725</v>
      </c>
      <c r="K59" s="246" t="s">
        <v>2765</v>
      </c>
      <c r="L59" s="246" t="s">
        <v>3282</v>
      </c>
      <c r="M59" s="246" t="s">
        <v>1971</v>
      </c>
      <c r="N59" s="247" t="s">
        <v>1286</v>
      </c>
      <c r="O59" s="247" t="s">
        <v>2536</v>
      </c>
      <c r="P59" s="247" t="s">
        <v>2623</v>
      </c>
      <c r="Q59" s="247" t="s">
        <v>367</v>
      </c>
      <c r="R59" s="247" t="s">
        <v>2029</v>
      </c>
      <c r="S59" s="247" t="s">
        <v>1665</v>
      </c>
      <c r="T59" s="247" t="s">
        <v>2319</v>
      </c>
      <c r="U59" s="246" t="s">
        <v>3044</v>
      </c>
      <c r="V59" s="247" t="s">
        <v>1252</v>
      </c>
      <c r="W59" s="247" t="s">
        <v>744</v>
      </c>
      <c r="X59" s="246" t="s">
        <v>407</v>
      </c>
      <c r="Y59" s="246" t="s">
        <v>451</v>
      </c>
      <c r="Z59" s="246" t="s">
        <v>2453</v>
      </c>
      <c r="AA59" s="247" t="s">
        <v>4030</v>
      </c>
      <c r="AB59" s="246" t="s">
        <v>3400</v>
      </c>
      <c r="AC59" s="247" t="s">
        <v>2494</v>
      </c>
      <c r="AD59" s="247" t="s">
        <v>249</v>
      </c>
      <c r="AE59" s="247" t="s">
        <v>2422</v>
      </c>
      <c r="AF59" s="247" t="s">
        <v>125</v>
      </c>
      <c r="AG59" s="247" t="s">
        <v>1534</v>
      </c>
      <c r="AH59" s="246" t="s">
        <v>625</v>
      </c>
      <c r="AI59" s="246" t="s">
        <v>1032</v>
      </c>
      <c r="AJ59" s="247" t="s">
        <v>2229</v>
      </c>
      <c r="AK59" s="246" t="s">
        <v>2259</v>
      </c>
      <c r="AL59" s="249" t="s">
        <v>3477</v>
      </c>
      <c r="AM59" s="246" t="s">
        <v>4031</v>
      </c>
      <c r="AN59" s="247" t="s">
        <v>2086</v>
      </c>
      <c r="AO59" s="247" t="s">
        <v>1111</v>
      </c>
      <c r="AP59" s="247" t="s">
        <v>2099</v>
      </c>
      <c r="AQ59" s="247" t="s">
        <v>1220</v>
      </c>
      <c r="AR59" s="247" t="s">
        <v>1729</v>
      </c>
      <c r="AS59" s="246" t="s">
        <v>2996</v>
      </c>
      <c r="AT59" s="247" t="s">
        <v>1891</v>
      </c>
      <c r="AU59" s="247"/>
    </row>
    <row r="60" spans="1:47">
      <c r="A60" s="246">
        <v>59</v>
      </c>
      <c r="B60" s="246" t="s">
        <v>1972</v>
      </c>
      <c r="C60" s="246" t="s">
        <v>3283</v>
      </c>
      <c r="D60" s="246" t="s">
        <v>4032</v>
      </c>
      <c r="E60" s="247" t="s">
        <v>2817</v>
      </c>
      <c r="F60" s="246" t="s">
        <v>1481</v>
      </c>
      <c r="G60" s="246" t="s">
        <v>2680</v>
      </c>
      <c r="H60" s="247" t="s">
        <v>4163</v>
      </c>
      <c r="I60" s="247" t="s">
        <v>649</v>
      </c>
      <c r="J60" s="246" t="s">
        <v>2726</v>
      </c>
      <c r="K60" s="246" t="s">
        <v>2766</v>
      </c>
      <c r="L60" s="246" t="s">
        <v>3283</v>
      </c>
      <c r="M60" s="246" t="s">
        <v>1972</v>
      </c>
      <c r="N60" s="247" t="s">
        <v>1287</v>
      </c>
      <c r="O60" s="247" t="s">
        <v>2537</v>
      </c>
      <c r="P60" s="247" t="s">
        <v>2624</v>
      </c>
      <c r="Q60" s="247" t="s">
        <v>172</v>
      </c>
      <c r="R60" s="247" t="s">
        <v>2030</v>
      </c>
      <c r="S60" s="247" t="s">
        <v>1666</v>
      </c>
      <c r="T60" s="247" t="s">
        <v>382</v>
      </c>
      <c r="U60" s="246" t="s">
        <v>3045</v>
      </c>
      <c r="V60" s="247" t="s">
        <v>1253</v>
      </c>
      <c r="W60" s="247" t="s">
        <v>745</v>
      </c>
      <c r="X60" s="246" t="s">
        <v>408</v>
      </c>
      <c r="Y60" s="246" t="s">
        <v>452</v>
      </c>
      <c r="Z60" s="246" t="s">
        <v>2454</v>
      </c>
      <c r="AA60" s="247" t="s">
        <v>4033</v>
      </c>
      <c r="AB60" s="246" t="s">
        <v>3401</v>
      </c>
      <c r="AC60" s="247" t="s">
        <v>2495</v>
      </c>
      <c r="AD60" s="247" t="s">
        <v>250</v>
      </c>
      <c r="AE60" s="247" t="s">
        <v>2423</v>
      </c>
      <c r="AF60" s="247" t="s">
        <v>126</v>
      </c>
      <c r="AG60" s="247" t="s">
        <v>626</v>
      </c>
      <c r="AH60" s="246" t="s">
        <v>294</v>
      </c>
      <c r="AI60" s="246" t="s">
        <v>1033</v>
      </c>
      <c r="AJ60" s="247" t="s">
        <v>2230</v>
      </c>
      <c r="AK60" s="246" t="s">
        <v>2260</v>
      </c>
      <c r="AL60" s="249" t="s">
        <v>3477</v>
      </c>
      <c r="AM60" s="246" t="s">
        <v>2300</v>
      </c>
      <c r="AN60" s="247" t="s">
        <v>2053</v>
      </c>
      <c r="AO60" s="247" t="s">
        <v>1112</v>
      </c>
      <c r="AP60" s="247" t="s">
        <v>2100</v>
      </c>
      <c r="AQ60" s="247" t="s">
        <v>1221</v>
      </c>
      <c r="AR60" s="247" t="s">
        <v>1730</v>
      </c>
      <c r="AS60" s="246" t="s">
        <v>2997</v>
      </c>
      <c r="AT60" s="247" t="s">
        <v>1892</v>
      </c>
      <c r="AU60" s="247"/>
    </row>
    <row r="61" spans="1:47">
      <c r="A61" s="246">
        <v>60</v>
      </c>
      <c r="B61" s="246" t="s">
        <v>1973</v>
      </c>
      <c r="C61" s="246" t="s">
        <v>3284</v>
      </c>
      <c r="D61" s="246" t="s">
        <v>4034</v>
      </c>
      <c r="E61" s="247" t="s">
        <v>2818</v>
      </c>
      <c r="F61" s="246" t="s">
        <v>1482</v>
      </c>
      <c r="G61" s="246" t="s">
        <v>2681</v>
      </c>
      <c r="H61" s="247" t="s">
        <v>4164</v>
      </c>
      <c r="I61" s="247" t="s">
        <v>650</v>
      </c>
      <c r="J61" s="246" t="s">
        <v>2727</v>
      </c>
      <c r="K61" s="246" t="s">
        <v>2767</v>
      </c>
      <c r="L61" s="246" t="s">
        <v>3284</v>
      </c>
      <c r="M61" s="246" t="s">
        <v>1973</v>
      </c>
      <c r="N61" s="247" t="s">
        <v>1288</v>
      </c>
      <c r="O61" s="247" t="s">
        <v>2538</v>
      </c>
      <c r="P61" s="247" t="s">
        <v>2625</v>
      </c>
      <c r="Q61" s="247" t="s">
        <v>173</v>
      </c>
      <c r="R61" s="247" t="s">
        <v>2031</v>
      </c>
      <c r="S61" s="247" t="s">
        <v>1667</v>
      </c>
      <c r="T61" s="247" t="s">
        <v>383</v>
      </c>
      <c r="U61" s="246" t="s">
        <v>3049</v>
      </c>
      <c r="V61" s="247" t="s">
        <v>1254</v>
      </c>
      <c r="W61" s="247" t="s">
        <v>746</v>
      </c>
      <c r="X61" s="246" t="s">
        <v>409</v>
      </c>
      <c r="Y61" s="246" t="s">
        <v>453</v>
      </c>
      <c r="Z61" s="246" t="s">
        <v>2455</v>
      </c>
      <c r="AA61" s="247" t="s">
        <v>4035</v>
      </c>
      <c r="AB61" s="246" t="s">
        <v>3402</v>
      </c>
      <c r="AC61" s="247" t="s">
        <v>2496</v>
      </c>
      <c r="AD61" s="247" t="s">
        <v>251</v>
      </c>
      <c r="AE61" s="247" t="s">
        <v>2424</v>
      </c>
      <c r="AF61" s="247" t="s">
        <v>127</v>
      </c>
      <c r="AG61" s="247" t="s">
        <v>1535</v>
      </c>
      <c r="AH61" s="246" t="s">
        <v>627</v>
      </c>
      <c r="AI61" s="246" t="s">
        <v>1034</v>
      </c>
      <c r="AJ61" s="247" t="s">
        <v>2231</v>
      </c>
      <c r="AK61" s="246" t="s">
        <v>2261</v>
      </c>
      <c r="AL61" s="249" t="s">
        <v>3477</v>
      </c>
      <c r="AM61" s="246" t="s">
        <v>4036</v>
      </c>
      <c r="AN61" s="247" t="s">
        <v>2054</v>
      </c>
      <c r="AO61" s="247" t="s">
        <v>1113</v>
      </c>
      <c r="AP61" s="247" t="s">
        <v>2101</v>
      </c>
      <c r="AQ61" s="247" t="s">
        <v>1222</v>
      </c>
      <c r="AR61" s="247" t="s">
        <v>1731</v>
      </c>
      <c r="AS61" s="246" t="s">
        <v>2998</v>
      </c>
      <c r="AT61" s="247" t="s">
        <v>1893</v>
      </c>
      <c r="AU61" s="247"/>
    </row>
    <row r="62" spans="1:47">
      <c r="A62" s="246">
        <v>61</v>
      </c>
      <c r="B62" s="246" t="s">
        <v>1974</v>
      </c>
      <c r="C62" s="246" t="s">
        <v>3285</v>
      </c>
      <c r="D62" s="246" t="s">
        <v>4037</v>
      </c>
      <c r="E62" s="247" t="s">
        <v>2819</v>
      </c>
      <c r="F62" s="246" t="s">
        <v>1483</v>
      </c>
      <c r="G62" s="246" t="s">
        <v>2682</v>
      </c>
      <c r="H62" s="247" t="s">
        <v>4165</v>
      </c>
      <c r="I62" s="247" t="s">
        <v>651</v>
      </c>
      <c r="J62" s="246" t="s">
        <v>2728</v>
      </c>
      <c r="K62" s="246" t="s">
        <v>2768</v>
      </c>
      <c r="L62" s="246" t="s">
        <v>3285</v>
      </c>
      <c r="M62" s="246" t="s">
        <v>1974</v>
      </c>
      <c r="N62" s="247" t="s">
        <v>1289</v>
      </c>
      <c r="O62" s="247" t="s">
        <v>2539</v>
      </c>
      <c r="P62" s="247" t="s">
        <v>2626</v>
      </c>
      <c r="Q62" s="247" t="s">
        <v>174</v>
      </c>
      <c r="R62" s="247" t="s">
        <v>2032</v>
      </c>
      <c r="S62" s="247" t="s">
        <v>1668</v>
      </c>
      <c r="T62" s="247" t="s">
        <v>384</v>
      </c>
      <c r="U62" s="246" t="s">
        <v>3046</v>
      </c>
      <c r="V62" s="247" t="s">
        <v>1255</v>
      </c>
      <c r="W62" s="247" t="s">
        <v>747</v>
      </c>
      <c r="X62" s="246" t="s">
        <v>410</v>
      </c>
      <c r="Y62" s="246" t="s">
        <v>454</v>
      </c>
      <c r="Z62" s="246" t="s">
        <v>2456</v>
      </c>
      <c r="AA62" s="247" t="s">
        <v>4038</v>
      </c>
      <c r="AB62" s="246" t="s">
        <v>3403</v>
      </c>
      <c r="AC62" s="247" t="s">
        <v>2497</v>
      </c>
      <c r="AD62" s="247" t="s">
        <v>252</v>
      </c>
      <c r="AE62" s="247" t="s">
        <v>2425</v>
      </c>
      <c r="AF62" s="247" t="s">
        <v>128</v>
      </c>
      <c r="AG62" s="247" t="s">
        <v>2208</v>
      </c>
      <c r="AH62" s="246" t="s">
        <v>295</v>
      </c>
      <c r="AI62" s="246" t="s">
        <v>1035</v>
      </c>
      <c r="AJ62" s="247" t="s">
        <v>2232</v>
      </c>
      <c r="AK62" s="246" t="s">
        <v>2262</v>
      </c>
      <c r="AL62" s="249" t="s">
        <v>3477</v>
      </c>
      <c r="AM62" s="246" t="s">
        <v>4039</v>
      </c>
      <c r="AN62" s="247" t="s">
        <v>2055</v>
      </c>
      <c r="AO62" s="247" t="s">
        <v>1114</v>
      </c>
      <c r="AP62" s="247" t="s">
        <v>2102</v>
      </c>
      <c r="AQ62" s="247" t="s">
        <v>1223</v>
      </c>
      <c r="AR62" s="247" t="s">
        <v>1694</v>
      </c>
      <c r="AS62" s="246" t="s">
        <v>2999</v>
      </c>
      <c r="AT62" s="247" t="s">
        <v>1894</v>
      </c>
      <c r="AU62" s="247"/>
    </row>
    <row r="63" spans="1:47">
      <c r="A63" s="246">
        <v>62</v>
      </c>
      <c r="B63" s="246" t="s">
        <v>1975</v>
      </c>
      <c r="C63" s="246" t="s">
        <v>3286</v>
      </c>
      <c r="D63" s="246" t="s">
        <v>4040</v>
      </c>
      <c r="E63" s="247" t="s">
        <v>2820</v>
      </c>
      <c r="F63" s="246" t="s">
        <v>1484</v>
      </c>
      <c r="G63" s="246" t="s">
        <v>2683</v>
      </c>
      <c r="H63" s="247" t="s">
        <v>4166</v>
      </c>
      <c r="I63" s="247" t="s">
        <v>652</v>
      </c>
      <c r="J63" s="246" t="s">
        <v>2729</v>
      </c>
      <c r="K63" s="246" t="s">
        <v>2769</v>
      </c>
      <c r="L63" s="246" t="s">
        <v>3286</v>
      </c>
      <c r="M63" s="246" t="s">
        <v>1975</v>
      </c>
      <c r="N63" s="247" t="s">
        <v>1290</v>
      </c>
      <c r="O63" s="247" t="s">
        <v>2540</v>
      </c>
      <c r="P63" s="247" t="s">
        <v>2627</v>
      </c>
      <c r="Q63" s="247" t="s">
        <v>175</v>
      </c>
      <c r="R63" s="247" t="s">
        <v>2033</v>
      </c>
      <c r="S63" s="247" t="s">
        <v>1669</v>
      </c>
      <c r="T63" s="247" t="s">
        <v>385</v>
      </c>
      <c r="U63" s="246" t="s">
        <v>3047</v>
      </c>
      <c r="V63" s="247" t="s">
        <v>1256</v>
      </c>
      <c r="W63" s="247" t="s">
        <v>748</v>
      </c>
      <c r="X63" s="246" t="s">
        <v>411</v>
      </c>
      <c r="Y63" s="246" t="s">
        <v>455</v>
      </c>
      <c r="Z63" s="246" t="s">
        <v>2457</v>
      </c>
      <c r="AA63" s="247" t="s">
        <v>4041</v>
      </c>
      <c r="AB63" s="246" t="s">
        <v>3404</v>
      </c>
      <c r="AC63" s="247" t="s">
        <v>2498</v>
      </c>
      <c r="AD63" s="247" t="s">
        <v>253</v>
      </c>
      <c r="AE63" s="247" t="s">
        <v>2426</v>
      </c>
      <c r="AF63" s="247" t="s">
        <v>129</v>
      </c>
      <c r="AG63" s="247" t="s">
        <v>2209</v>
      </c>
      <c r="AH63" s="246" t="s">
        <v>296</v>
      </c>
      <c r="AI63" s="246" t="s">
        <v>1036</v>
      </c>
      <c r="AJ63" s="247" t="s">
        <v>4042</v>
      </c>
      <c r="AK63" s="246" t="s">
        <v>2263</v>
      </c>
      <c r="AL63" s="249" t="s">
        <v>3477</v>
      </c>
      <c r="AM63" s="246" t="s">
        <v>4043</v>
      </c>
      <c r="AN63" s="247" t="s">
        <v>2056</v>
      </c>
      <c r="AO63" s="247" t="s">
        <v>1115</v>
      </c>
      <c r="AP63" s="247" t="s">
        <v>2103</v>
      </c>
      <c r="AQ63" s="247" t="s">
        <v>1224</v>
      </c>
      <c r="AR63" s="247" t="s">
        <v>1695</v>
      </c>
      <c r="AS63" s="246" t="s">
        <v>3000</v>
      </c>
      <c r="AT63" s="247" t="s">
        <v>1895</v>
      </c>
      <c r="AU63" s="247"/>
    </row>
    <row r="64" spans="1:47">
      <c r="A64" s="246">
        <v>63</v>
      </c>
      <c r="B64" s="246" t="s">
        <v>1976</v>
      </c>
      <c r="C64" s="246" t="s">
        <v>3287</v>
      </c>
      <c r="D64" s="246" t="s">
        <v>4044</v>
      </c>
      <c r="E64" s="247" t="s">
        <v>2821</v>
      </c>
      <c r="F64" s="246" t="s">
        <v>1485</v>
      </c>
      <c r="G64" s="246" t="s">
        <v>2684</v>
      </c>
      <c r="H64" s="247" t="s">
        <v>4167</v>
      </c>
      <c r="I64" s="247" t="s">
        <v>653</v>
      </c>
      <c r="J64" s="246" t="s">
        <v>2730</v>
      </c>
      <c r="K64" s="246" t="s">
        <v>3264</v>
      </c>
      <c r="L64" s="246" t="s">
        <v>3287</v>
      </c>
      <c r="M64" s="246" t="s">
        <v>1976</v>
      </c>
      <c r="N64" s="247" t="s">
        <v>1291</v>
      </c>
      <c r="O64" s="247" t="s">
        <v>2541</v>
      </c>
      <c r="P64" s="247" t="s">
        <v>2628</v>
      </c>
      <c r="Q64" s="247" t="s">
        <v>176</v>
      </c>
      <c r="R64" s="247" t="s">
        <v>2034</v>
      </c>
      <c r="S64" s="247" t="s">
        <v>1670</v>
      </c>
      <c r="T64" s="247" t="s">
        <v>386</v>
      </c>
      <c r="U64" s="246" t="s">
        <v>3048</v>
      </c>
      <c r="V64" s="247" t="s">
        <v>1257</v>
      </c>
      <c r="W64" s="247" t="s">
        <v>749</v>
      </c>
      <c r="X64" s="246" t="s">
        <v>412</v>
      </c>
      <c r="Y64" s="246" t="s">
        <v>456</v>
      </c>
      <c r="Z64" s="246" t="s">
        <v>2458</v>
      </c>
      <c r="AA64" s="247" t="s">
        <v>4045</v>
      </c>
      <c r="AB64" s="246" t="s">
        <v>3405</v>
      </c>
      <c r="AC64" s="247" t="s">
        <v>2499</v>
      </c>
      <c r="AD64" s="247" t="s">
        <v>254</v>
      </c>
      <c r="AE64" s="247" t="s">
        <v>2427</v>
      </c>
      <c r="AF64" s="247" t="s">
        <v>130</v>
      </c>
      <c r="AG64" s="247" t="s">
        <v>2210</v>
      </c>
      <c r="AH64" s="246" t="s">
        <v>297</v>
      </c>
      <c r="AI64" s="246" t="s">
        <v>1037</v>
      </c>
      <c r="AJ64" s="247" t="s">
        <v>4046</v>
      </c>
      <c r="AK64" s="246" t="s">
        <v>2264</v>
      </c>
      <c r="AL64" s="249" t="s">
        <v>3477</v>
      </c>
      <c r="AM64" s="246" t="s">
        <v>4047</v>
      </c>
      <c r="AN64" s="247" t="s">
        <v>2057</v>
      </c>
      <c r="AO64" s="247" t="s">
        <v>1116</v>
      </c>
      <c r="AP64" s="247" t="s">
        <v>2104</v>
      </c>
      <c r="AQ64" s="247" t="s">
        <v>1225</v>
      </c>
      <c r="AR64" s="247" t="s">
        <v>1696</v>
      </c>
      <c r="AS64" s="246" t="s">
        <v>3001</v>
      </c>
      <c r="AT64" s="247" t="s">
        <v>1896</v>
      </c>
      <c r="AU64" s="247"/>
    </row>
    <row r="65" spans="1:47">
      <c r="A65" s="246">
        <v>64</v>
      </c>
      <c r="B65" s="246" t="s">
        <v>1977</v>
      </c>
      <c r="C65" s="246" t="s">
        <v>3288</v>
      </c>
      <c r="D65" s="246" t="s">
        <v>4048</v>
      </c>
      <c r="E65" s="247" t="s">
        <v>2822</v>
      </c>
      <c r="F65" s="246" t="s">
        <v>1486</v>
      </c>
      <c r="G65" s="246" t="s">
        <v>2685</v>
      </c>
      <c r="H65" s="247" t="s">
        <v>1602</v>
      </c>
      <c r="I65" s="247" t="s">
        <v>654</v>
      </c>
      <c r="J65" s="246" t="s">
        <v>2731</v>
      </c>
      <c r="K65" s="247" t="s">
        <v>3265</v>
      </c>
      <c r="L65" s="246" t="s">
        <v>1490</v>
      </c>
      <c r="M65" s="246" t="s">
        <v>1977</v>
      </c>
      <c r="N65" s="247" t="s">
        <v>1292</v>
      </c>
      <c r="O65" s="247" t="s">
        <v>2542</v>
      </c>
      <c r="P65" s="247" t="s">
        <v>2629</v>
      </c>
      <c r="Q65" s="247" t="s">
        <v>177</v>
      </c>
      <c r="R65" s="247" t="s">
        <v>77</v>
      </c>
      <c r="S65" s="247" t="s">
        <v>1671</v>
      </c>
      <c r="T65" s="247" t="s">
        <v>2351</v>
      </c>
      <c r="U65" s="246" t="s">
        <v>3050</v>
      </c>
      <c r="V65" s="247" t="s">
        <v>1258</v>
      </c>
      <c r="W65" s="247" t="s">
        <v>750</v>
      </c>
      <c r="X65" s="246" t="s">
        <v>413</v>
      </c>
      <c r="Y65" s="246" t="s">
        <v>457</v>
      </c>
      <c r="Z65" s="246" t="s">
        <v>2459</v>
      </c>
      <c r="AA65" s="247" t="s">
        <v>4049</v>
      </c>
      <c r="AB65" s="246" t="s">
        <v>3406</v>
      </c>
      <c r="AC65" s="247" t="s">
        <v>2500</v>
      </c>
      <c r="AD65" s="247" t="s">
        <v>255</v>
      </c>
      <c r="AE65" s="247" t="s">
        <v>2428</v>
      </c>
      <c r="AF65" s="247" t="s">
        <v>131</v>
      </c>
      <c r="AG65" s="247" t="s">
        <v>1536</v>
      </c>
      <c r="AH65" s="247" t="s">
        <v>298</v>
      </c>
      <c r="AI65" s="246" t="s">
        <v>1038</v>
      </c>
      <c r="AJ65" s="247" t="s">
        <v>1084</v>
      </c>
      <c r="AK65" s="246" t="s">
        <v>2265</v>
      </c>
      <c r="AL65" s="249" t="s">
        <v>3478</v>
      </c>
      <c r="AM65" s="246" t="s">
        <v>4050</v>
      </c>
      <c r="AN65" s="247" t="s">
        <v>2087</v>
      </c>
      <c r="AO65" s="247" t="s">
        <v>3011</v>
      </c>
      <c r="AP65" s="247" t="s">
        <v>2105</v>
      </c>
      <c r="AQ65" s="247" t="s">
        <v>1226</v>
      </c>
      <c r="AR65" s="247" t="s">
        <v>1697</v>
      </c>
      <c r="AS65" s="246" t="s">
        <v>3002</v>
      </c>
      <c r="AT65" s="247" t="s">
        <v>1897</v>
      </c>
      <c r="AU65" s="247"/>
    </row>
    <row r="66" spans="1:47">
      <c r="A66" s="246">
        <v>65</v>
      </c>
      <c r="B66" s="246" t="s">
        <v>1978</v>
      </c>
      <c r="C66" s="246" t="s">
        <v>3289</v>
      </c>
      <c r="D66" s="246" t="s">
        <v>4051</v>
      </c>
      <c r="E66" s="247" t="s">
        <v>2823</v>
      </c>
      <c r="F66" s="246" t="s">
        <v>2643</v>
      </c>
      <c r="G66" s="246" t="s">
        <v>2686</v>
      </c>
      <c r="H66" s="247" t="s">
        <v>1603</v>
      </c>
      <c r="I66" s="247" t="s">
        <v>655</v>
      </c>
      <c r="J66" s="246" t="s">
        <v>2732</v>
      </c>
      <c r="K66" s="247" t="s">
        <v>3266</v>
      </c>
      <c r="L66" s="246" t="s">
        <v>1491</v>
      </c>
      <c r="M66" s="246" t="s">
        <v>1978</v>
      </c>
      <c r="N66" s="247" t="s">
        <v>1293</v>
      </c>
      <c r="O66" s="247" t="s">
        <v>2543</v>
      </c>
      <c r="P66" s="247" t="s">
        <v>2630</v>
      </c>
      <c r="Q66" s="247" t="s">
        <v>178</v>
      </c>
      <c r="R66" s="247" t="s">
        <v>78</v>
      </c>
      <c r="S66" s="247" t="s">
        <v>1672</v>
      </c>
      <c r="T66" s="247" t="s">
        <v>2352</v>
      </c>
      <c r="U66" s="246" t="s">
        <v>3051</v>
      </c>
      <c r="V66" s="247" t="s">
        <v>1259</v>
      </c>
      <c r="W66" s="247" t="s">
        <v>751</v>
      </c>
      <c r="X66" s="246" t="s">
        <v>414</v>
      </c>
      <c r="Y66" s="246" t="s">
        <v>458</v>
      </c>
      <c r="Z66" s="246" t="s">
        <v>2460</v>
      </c>
      <c r="AA66" s="247" t="s">
        <v>4052</v>
      </c>
      <c r="AB66" s="246" t="s">
        <v>3407</v>
      </c>
      <c r="AC66" s="247" t="s">
        <v>2501</v>
      </c>
      <c r="AD66" s="247" t="s">
        <v>256</v>
      </c>
      <c r="AE66" s="247" t="s">
        <v>2429</v>
      </c>
      <c r="AF66" s="247" t="s">
        <v>132</v>
      </c>
      <c r="AG66" s="247" t="s">
        <v>1537</v>
      </c>
      <c r="AH66" s="247" t="s">
        <v>299</v>
      </c>
      <c r="AI66" s="246" t="s">
        <v>1039</v>
      </c>
      <c r="AJ66" s="247" t="s">
        <v>1085</v>
      </c>
      <c r="AK66" s="246" t="s">
        <v>2266</v>
      </c>
      <c r="AL66" s="249" t="s">
        <v>3479</v>
      </c>
      <c r="AM66" s="246" t="s">
        <v>1117</v>
      </c>
      <c r="AN66" s="247" t="s">
        <v>2058</v>
      </c>
      <c r="AO66" s="247" t="s">
        <v>3012</v>
      </c>
      <c r="AP66" s="247" t="s">
        <v>2106</v>
      </c>
      <c r="AQ66" s="247" t="s">
        <v>1227</v>
      </c>
      <c r="AR66" s="247" t="s">
        <v>1698</v>
      </c>
      <c r="AS66" s="246" t="s">
        <v>3003</v>
      </c>
      <c r="AT66" s="247" t="s">
        <v>1898</v>
      </c>
      <c r="AU66" s="247"/>
    </row>
    <row r="67" spans="1:47">
      <c r="A67" s="246">
        <v>66</v>
      </c>
      <c r="B67" s="246" t="s">
        <v>1979</v>
      </c>
      <c r="C67" s="246" t="s">
        <v>3290</v>
      </c>
      <c r="D67" s="246" t="s">
        <v>4053</v>
      </c>
      <c r="E67" s="247" t="s">
        <v>2824</v>
      </c>
      <c r="F67" s="246" t="s">
        <v>2644</v>
      </c>
      <c r="G67" s="246" t="s">
        <v>2687</v>
      </c>
      <c r="H67" s="247" t="s">
        <v>1604</v>
      </c>
      <c r="I67" s="247" t="s">
        <v>656</v>
      </c>
      <c r="J67" s="246" t="s">
        <v>2733</v>
      </c>
      <c r="K67" s="247" t="s">
        <v>3267</v>
      </c>
      <c r="L67" s="246" t="s">
        <v>1492</v>
      </c>
      <c r="M67" s="246" t="s">
        <v>1979</v>
      </c>
      <c r="N67" s="247" t="s">
        <v>1294</v>
      </c>
      <c r="O67" s="247" t="s">
        <v>2544</v>
      </c>
      <c r="P67" s="247" t="s">
        <v>2631</v>
      </c>
      <c r="Q67" s="247" t="s">
        <v>179</v>
      </c>
      <c r="R67" s="247" t="s">
        <v>79</v>
      </c>
      <c r="S67" s="247" t="s">
        <v>1673</v>
      </c>
      <c r="T67" s="247" t="s">
        <v>2353</v>
      </c>
      <c r="U67" s="246" t="s">
        <v>3052</v>
      </c>
      <c r="V67" s="247" t="s">
        <v>1260</v>
      </c>
      <c r="W67" s="247" t="s">
        <v>752</v>
      </c>
      <c r="X67" s="246" t="s">
        <v>415</v>
      </c>
      <c r="Y67" s="246" t="s">
        <v>459</v>
      </c>
      <c r="Z67" s="246" t="s">
        <v>2461</v>
      </c>
      <c r="AA67" s="247" t="s">
        <v>4054</v>
      </c>
      <c r="AB67" s="246" t="s">
        <v>3408</v>
      </c>
      <c r="AC67" s="247" t="s">
        <v>2502</v>
      </c>
      <c r="AD67" s="247" t="s">
        <v>257</v>
      </c>
      <c r="AE67" s="247" t="s">
        <v>2430</v>
      </c>
      <c r="AF67" s="247" t="s">
        <v>133</v>
      </c>
      <c r="AG67" s="247" t="s">
        <v>1538</v>
      </c>
      <c r="AH67" s="247" t="s">
        <v>2194</v>
      </c>
      <c r="AI67" s="246" t="s">
        <v>1040</v>
      </c>
      <c r="AJ67" s="247" t="s">
        <v>1086</v>
      </c>
      <c r="AK67" s="246" t="s">
        <v>2267</v>
      </c>
      <c r="AL67" s="249" t="s">
        <v>3480</v>
      </c>
      <c r="AM67" s="246" t="s">
        <v>1118</v>
      </c>
      <c r="AN67" s="247" t="s">
        <v>2059</v>
      </c>
      <c r="AO67" s="247" t="s">
        <v>3011</v>
      </c>
      <c r="AP67" s="247" t="s">
        <v>2107</v>
      </c>
      <c r="AQ67" s="247" t="s">
        <v>1228</v>
      </c>
      <c r="AR67" s="247" t="s">
        <v>1699</v>
      </c>
      <c r="AS67" s="246" t="s">
        <v>3004</v>
      </c>
      <c r="AT67" s="247" t="s">
        <v>1899</v>
      </c>
      <c r="AU67" s="247"/>
    </row>
    <row r="68" spans="1:47">
      <c r="A68" s="246">
        <v>67</v>
      </c>
      <c r="B68" s="246" t="s">
        <v>1980</v>
      </c>
      <c r="C68" s="246" t="s">
        <v>3291</v>
      </c>
      <c r="D68" s="246" t="s">
        <v>4055</v>
      </c>
      <c r="E68" s="247" t="s">
        <v>2825</v>
      </c>
      <c r="F68" s="246" t="s">
        <v>2645</v>
      </c>
      <c r="G68" s="246" t="s">
        <v>2688</v>
      </c>
      <c r="H68" s="247" t="s">
        <v>1605</v>
      </c>
      <c r="I68" s="247" t="s">
        <v>657</v>
      </c>
      <c r="J68" s="246" t="s">
        <v>2734</v>
      </c>
      <c r="K68" s="247" t="s">
        <v>3268</v>
      </c>
      <c r="L68" s="246" t="s">
        <v>1493</v>
      </c>
      <c r="M68" s="246" t="s">
        <v>1980</v>
      </c>
      <c r="N68" s="247" t="s">
        <v>1295</v>
      </c>
      <c r="O68" s="247" t="s">
        <v>2545</v>
      </c>
      <c r="P68" s="247" t="s">
        <v>2632</v>
      </c>
      <c r="Q68" s="247" t="s">
        <v>180</v>
      </c>
      <c r="R68" s="247" t="s">
        <v>80</v>
      </c>
      <c r="S68" s="247" t="s">
        <v>1674</v>
      </c>
      <c r="T68" s="247" t="s">
        <v>2354</v>
      </c>
      <c r="U68" s="246" t="s">
        <v>3053</v>
      </c>
      <c r="V68" s="247" t="s">
        <v>1261</v>
      </c>
      <c r="W68" s="247" t="s">
        <v>753</v>
      </c>
      <c r="X68" s="246" t="s">
        <v>416</v>
      </c>
      <c r="Y68" s="246" t="s">
        <v>460</v>
      </c>
      <c r="Z68" s="246" t="s">
        <v>2462</v>
      </c>
      <c r="AA68" s="247" t="s">
        <v>4056</v>
      </c>
      <c r="AB68" s="246" t="s">
        <v>3409</v>
      </c>
      <c r="AC68" s="247" t="s">
        <v>2503</v>
      </c>
      <c r="AD68" s="247" t="s">
        <v>258</v>
      </c>
      <c r="AE68" s="247" t="s">
        <v>2431</v>
      </c>
      <c r="AF68" s="247" t="s">
        <v>134</v>
      </c>
      <c r="AG68" s="247" t="s">
        <v>1539</v>
      </c>
      <c r="AH68" s="247" t="s">
        <v>2195</v>
      </c>
      <c r="AI68" s="246" t="s">
        <v>1041</v>
      </c>
      <c r="AJ68" s="247" t="s">
        <v>1087</v>
      </c>
      <c r="AK68" s="246" t="s">
        <v>2268</v>
      </c>
      <c r="AL68" s="249" t="s">
        <v>3481</v>
      </c>
      <c r="AM68" s="246" t="s">
        <v>1119</v>
      </c>
      <c r="AN68" s="247" t="s">
        <v>2060</v>
      </c>
      <c r="AO68" s="247" t="s">
        <v>3012</v>
      </c>
      <c r="AP68" s="247" t="s">
        <v>2108</v>
      </c>
      <c r="AQ68" s="247" t="s">
        <v>1229</v>
      </c>
      <c r="AR68" s="247" t="s">
        <v>1700</v>
      </c>
      <c r="AS68" s="246" t="s">
        <v>3005</v>
      </c>
      <c r="AT68" s="247" t="s">
        <v>1900</v>
      </c>
      <c r="AU68" s="247"/>
    </row>
    <row r="69" spans="1:47">
      <c r="A69" s="246">
        <v>68</v>
      </c>
      <c r="B69" s="246" t="s">
        <v>1981</v>
      </c>
      <c r="C69" s="246" t="s">
        <v>3292</v>
      </c>
      <c r="D69" s="246" t="s">
        <v>4057</v>
      </c>
      <c r="E69" s="247" t="s">
        <v>2826</v>
      </c>
      <c r="F69" s="246" t="s">
        <v>2646</v>
      </c>
      <c r="G69" s="246" t="s">
        <v>2689</v>
      </c>
      <c r="H69" s="247" t="s">
        <v>1606</v>
      </c>
      <c r="I69" s="247" t="s">
        <v>658</v>
      </c>
      <c r="J69" s="246" t="s">
        <v>2735</v>
      </c>
      <c r="K69" s="247" t="s">
        <v>3269</v>
      </c>
      <c r="L69" s="246" t="s">
        <v>1494</v>
      </c>
      <c r="M69" s="246" t="s">
        <v>1981</v>
      </c>
      <c r="N69" s="247" t="s">
        <v>1296</v>
      </c>
      <c r="O69" s="247" t="s">
        <v>2546</v>
      </c>
      <c r="P69" s="247" t="s">
        <v>2633</v>
      </c>
      <c r="Q69" s="247" t="s">
        <v>181</v>
      </c>
      <c r="R69" s="247" t="s">
        <v>81</v>
      </c>
      <c r="S69" s="247" t="s">
        <v>1675</v>
      </c>
      <c r="T69" s="247" t="s">
        <v>2355</v>
      </c>
      <c r="U69" s="246" t="s">
        <v>3054</v>
      </c>
      <c r="V69" s="247" t="s">
        <v>1262</v>
      </c>
      <c r="W69" s="247" t="s">
        <v>754</v>
      </c>
      <c r="X69" s="246" t="s">
        <v>417</v>
      </c>
      <c r="Y69" s="246" t="s">
        <v>461</v>
      </c>
      <c r="Z69" s="246" t="s">
        <v>2463</v>
      </c>
      <c r="AA69" s="247" t="s">
        <v>4058</v>
      </c>
      <c r="AB69" s="246" t="s">
        <v>3410</v>
      </c>
      <c r="AC69" s="247" t="s">
        <v>2504</v>
      </c>
      <c r="AD69" s="247" t="s">
        <v>259</v>
      </c>
      <c r="AE69" s="247" t="s">
        <v>2432</v>
      </c>
      <c r="AF69" s="247" t="s">
        <v>135</v>
      </c>
      <c r="AG69" s="247" t="s">
        <v>1540</v>
      </c>
      <c r="AH69" s="247" t="s">
        <v>2196</v>
      </c>
      <c r="AI69" s="246" t="s">
        <v>1042</v>
      </c>
      <c r="AJ69" s="247" t="s">
        <v>1088</v>
      </c>
      <c r="AK69" s="246" t="s">
        <v>2269</v>
      </c>
      <c r="AL69" s="249" t="s">
        <v>3482</v>
      </c>
      <c r="AM69" s="246" t="s">
        <v>1120</v>
      </c>
      <c r="AN69" s="247" t="s">
        <v>2061</v>
      </c>
      <c r="AO69" s="247" t="s">
        <v>3011</v>
      </c>
      <c r="AP69" s="247" t="s">
        <v>2109</v>
      </c>
      <c r="AQ69" s="247" t="s">
        <v>1230</v>
      </c>
      <c r="AR69" s="247" t="s">
        <v>1701</v>
      </c>
      <c r="AS69" s="246" t="s">
        <v>3006</v>
      </c>
      <c r="AT69" s="247" t="s">
        <v>1901</v>
      </c>
      <c r="AU69" s="247"/>
    </row>
    <row r="70" spans="1:47">
      <c r="A70" s="246">
        <v>69</v>
      </c>
      <c r="B70" s="246" t="s">
        <v>1982</v>
      </c>
      <c r="C70" s="246" t="s">
        <v>3293</v>
      </c>
      <c r="D70" s="246" t="s">
        <v>4059</v>
      </c>
      <c r="E70" s="247" t="s">
        <v>2827</v>
      </c>
      <c r="F70" s="246" t="s">
        <v>2647</v>
      </c>
      <c r="G70" s="246" t="s">
        <v>2690</v>
      </c>
      <c r="H70" s="247" t="s">
        <v>1607</v>
      </c>
      <c r="I70" s="247" t="s">
        <v>659</v>
      </c>
      <c r="J70" s="246" t="s">
        <v>2736</v>
      </c>
      <c r="K70" s="247" t="s">
        <v>3270</v>
      </c>
      <c r="L70" s="246" t="s">
        <v>1495</v>
      </c>
      <c r="M70" s="246" t="s">
        <v>1982</v>
      </c>
      <c r="N70" s="247" t="s">
        <v>1297</v>
      </c>
      <c r="O70" s="247" t="s">
        <v>2547</v>
      </c>
      <c r="P70" s="247" t="s">
        <v>2634</v>
      </c>
      <c r="Q70" s="247" t="s">
        <v>182</v>
      </c>
      <c r="R70" s="247" t="s">
        <v>82</v>
      </c>
      <c r="S70" s="247" t="s">
        <v>1676</v>
      </c>
      <c r="T70" s="247" t="s">
        <v>2356</v>
      </c>
      <c r="U70" s="246" t="s">
        <v>3055</v>
      </c>
      <c r="V70" s="247" t="s">
        <v>692</v>
      </c>
      <c r="W70" s="247" t="s">
        <v>755</v>
      </c>
      <c r="X70" s="246" t="s">
        <v>418</v>
      </c>
      <c r="Y70" s="246" t="s">
        <v>462</v>
      </c>
      <c r="Z70" s="246" t="s">
        <v>2464</v>
      </c>
      <c r="AA70" s="247" t="s">
        <v>4060</v>
      </c>
      <c r="AB70" s="246" t="s">
        <v>3411</v>
      </c>
      <c r="AC70" s="247" t="s">
        <v>2505</v>
      </c>
      <c r="AD70" s="247" t="s">
        <v>260</v>
      </c>
      <c r="AE70" s="247" t="s">
        <v>2433</v>
      </c>
      <c r="AF70" s="247" t="s">
        <v>136</v>
      </c>
      <c r="AG70" s="247" t="s">
        <v>1541</v>
      </c>
      <c r="AH70" s="247" t="s">
        <v>2197</v>
      </c>
      <c r="AI70" s="246" t="s">
        <v>1043</v>
      </c>
      <c r="AJ70" s="247" t="s">
        <v>1089</v>
      </c>
      <c r="AK70" s="246" t="s">
        <v>2270</v>
      </c>
      <c r="AL70" s="249" t="s">
        <v>3483</v>
      </c>
      <c r="AM70" s="246" t="s">
        <v>1121</v>
      </c>
      <c r="AN70" s="247" t="s">
        <v>2062</v>
      </c>
      <c r="AO70" s="247" t="s">
        <v>3012</v>
      </c>
      <c r="AP70" s="247" t="s">
        <v>2110</v>
      </c>
      <c r="AQ70" s="247" t="s">
        <v>1231</v>
      </c>
      <c r="AR70" s="247" t="s">
        <v>1702</v>
      </c>
      <c r="AS70" s="246" t="s">
        <v>3007</v>
      </c>
      <c r="AT70" s="247" t="s">
        <v>1902</v>
      </c>
      <c r="AU70" s="247"/>
    </row>
    <row r="71" spans="1:47">
      <c r="A71" s="246">
        <v>70</v>
      </c>
      <c r="B71" s="246" t="s">
        <v>1983</v>
      </c>
      <c r="C71" s="246" t="s">
        <v>3294</v>
      </c>
      <c r="D71" s="246" t="s">
        <v>4061</v>
      </c>
      <c r="E71" s="247" t="s">
        <v>2828</v>
      </c>
      <c r="F71" s="246" t="s">
        <v>2648</v>
      </c>
      <c r="G71" s="246" t="s">
        <v>2691</v>
      </c>
      <c r="H71" s="247" t="s">
        <v>1608</v>
      </c>
      <c r="I71" s="247" t="s">
        <v>660</v>
      </c>
      <c r="J71" s="246" t="s">
        <v>2737</v>
      </c>
      <c r="K71" s="247" t="s">
        <v>3271</v>
      </c>
      <c r="L71" s="246" t="s">
        <v>1496</v>
      </c>
      <c r="M71" s="246" t="s">
        <v>1983</v>
      </c>
      <c r="N71" s="247" t="s">
        <v>1298</v>
      </c>
      <c r="O71" s="247" t="s">
        <v>2548</v>
      </c>
      <c r="P71" s="247" t="s">
        <v>2635</v>
      </c>
      <c r="Q71" s="247" t="s">
        <v>183</v>
      </c>
      <c r="R71" s="247" t="s">
        <v>83</v>
      </c>
      <c r="S71" s="247" t="s">
        <v>1677</v>
      </c>
      <c r="T71" s="247" t="s">
        <v>2357</v>
      </c>
      <c r="U71" s="246" t="s">
        <v>3056</v>
      </c>
      <c r="V71" s="247" t="s">
        <v>693</v>
      </c>
      <c r="W71" s="247" t="s">
        <v>756</v>
      </c>
      <c r="X71" s="246" t="s">
        <v>419</v>
      </c>
      <c r="Y71" s="246" t="s">
        <v>476</v>
      </c>
      <c r="Z71" s="246" t="s">
        <v>2465</v>
      </c>
      <c r="AA71" s="247" t="s">
        <v>4062</v>
      </c>
      <c r="AB71" s="246" t="s">
        <v>3412</v>
      </c>
      <c r="AC71" s="247" t="s">
        <v>2506</v>
      </c>
      <c r="AD71" s="247" t="s">
        <v>261</v>
      </c>
      <c r="AE71" s="247" t="s">
        <v>1153</v>
      </c>
      <c r="AF71" s="247" t="s">
        <v>137</v>
      </c>
      <c r="AG71" s="247" t="s">
        <v>1542</v>
      </c>
      <c r="AH71" s="247" t="s">
        <v>2198</v>
      </c>
      <c r="AI71" s="246" t="s">
        <v>1044</v>
      </c>
      <c r="AJ71" s="247" t="s">
        <v>1090</v>
      </c>
      <c r="AK71" s="246" t="s">
        <v>2271</v>
      </c>
      <c r="AL71" s="249" t="s">
        <v>3484</v>
      </c>
      <c r="AM71" s="246" t="s">
        <v>1122</v>
      </c>
      <c r="AN71" s="247" t="s">
        <v>2063</v>
      </c>
      <c r="AO71" s="247" t="s">
        <v>3011</v>
      </c>
      <c r="AP71" s="247" t="s">
        <v>2111</v>
      </c>
      <c r="AQ71" s="247" t="s">
        <v>1232</v>
      </c>
      <c r="AR71" s="247" t="s">
        <v>1703</v>
      </c>
      <c r="AS71" s="246" t="s">
        <v>3008</v>
      </c>
      <c r="AT71" s="247" t="s">
        <v>1903</v>
      </c>
      <c r="AU71" s="247"/>
    </row>
    <row r="72" spans="1:47">
      <c r="A72" s="246">
        <v>71</v>
      </c>
      <c r="B72" s="246" t="s">
        <v>1984</v>
      </c>
      <c r="C72" s="246" t="s">
        <v>3295</v>
      </c>
      <c r="D72" s="246" t="s">
        <v>4063</v>
      </c>
      <c r="E72" s="247" t="s">
        <v>2829</v>
      </c>
      <c r="F72" s="246" t="s">
        <v>2649</v>
      </c>
      <c r="G72" s="246" t="s">
        <v>2692</v>
      </c>
      <c r="H72" s="247" t="s">
        <v>1609</v>
      </c>
      <c r="I72" s="247" t="s">
        <v>661</v>
      </c>
      <c r="J72" s="246" t="s">
        <v>2738</v>
      </c>
      <c r="K72" s="247" t="s">
        <v>3272</v>
      </c>
      <c r="L72" s="246" t="s">
        <v>1497</v>
      </c>
      <c r="M72" s="246" t="s">
        <v>1984</v>
      </c>
      <c r="N72" s="247" t="s">
        <v>1299</v>
      </c>
      <c r="O72" s="247" t="s">
        <v>2549</v>
      </c>
      <c r="P72" s="247" t="s">
        <v>2636</v>
      </c>
      <c r="Q72" s="247" t="s">
        <v>184</v>
      </c>
      <c r="R72" s="247" t="s">
        <v>84</v>
      </c>
      <c r="S72" s="247" t="s">
        <v>1678</v>
      </c>
      <c r="T72" s="247" t="s">
        <v>2358</v>
      </c>
      <c r="U72" s="246" t="s">
        <v>3057</v>
      </c>
      <c r="V72" s="247" t="s">
        <v>694</v>
      </c>
      <c r="W72" s="247" t="s">
        <v>757</v>
      </c>
      <c r="X72" s="246" t="s">
        <v>420</v>
      </c>
      <c r="Y72" s="246" t="s">
        <v>477</v>
      </c>
      <c r="Z72" s="246" t="s">
        <v>2466</v>
      </c>
      <c r="AA72" s="247" t="s">
        <v>4064</v>
      </c>
      <c r="AB72" s="246" t="s">
        <v>3413</v>
      </c>
      <c r="AC72" s="247" t="s">
        <v>2507</v>
      </c>
      <c r="AD72" s="247" t="s">
        <v>262</v>
      </c>
      <c r="AE72" s="247" t="s">
        <v>1154</v>
      </c>
      <c r="AF72" s="247" t="s">
        <v>138</v>
      </c>
      <c r="AG72" s="247" t="s">
        <v>1543</v>
      </c>
      <c r="AH72" s="247" t="s">
        <v>2199</v>
      </c>
      <c r="AI72" s="246" t="s">
        <v>1045</v>
      </c>
      <c r="AJ72" s="247" t="s">
        <v>1091</v>
      </c>
      <c r="AK72" s="246" t="s">
        <v>2272</v>
      </c>
      <c r="AL72" s="249" t="s">
        <v>3485</v>
      </c>
      <c r="AM72" s="246" t="s">
        <v>1123</v>
      </c>
      <c r="AN72" s="247" t="s">
        <v>2064</v>
      </c>
      <c r="AO72" s="247" t="s">
        <v>3012</v>
      </c>
      <c r="AP72" s="247" t="s">
        <v>2112</v>
      </c>
      <c r="AQ72" s="247" t="s">
        <v>1233</v>
      </c>
      <c r="AR72" s="247" t="s">
        <v>339</v>
      </c>
      <c r="AS72" s="246" t="s">
        <v>3009</v>
      </c>
      <c r="AT72" s="247" t="s">
        <v>1904</v>
      </c>
      <c r="AU72" s="247"/>
    </row>
    <row r="73" spans="1:47">
      <c r="A73" s="246">
        <v>72</v>
      </c>
      <c r="B73" s="246" t="s">
        <v>1985</v>
      </c>
      <c r="C73" s="246" t="s">
        <v>3296</v>
      </c>
      <c r="D73" s="246" t="s">
        <v>4065</v>
      </c>
      <c r="E73" s="247" t="s">
        <v>2830</v>
      </c>
      <c r="F73" s="246" t="s">
        <v>2650</v>
      </c>
      <c r="G73" s="246" t="s">
        <v>2693</v>
      </c>
      <c r="H73" s="247" t="s">
        <v>4168</v>
      </c>
      <c r="I73" s="247" t="s">
        <v>662</v>
      </c>
      <c r="J73" s="246" t="s">
        <v>2739</v>
      </c>
      <c r="K73" s="247" t="s">
        <v>3273</v>
      </c>
      <c r="L73" s="246" t="s">
        <v>1498</v>
      </c>
      <c r="M73" s="246" t="s">
        <v>1985</v>
      </c>
      <c r="N73" s="247" t="s">
        <v>2782</v>
      </c>
      <c r="O73" s="247" t="s">
        <v>2550</v>
      </c>
      <c r="P73" s="246" t="s">
        <v>2637</v>
      </c>
      <c r="Q73" s="247" t="s">
        <v>185</v>
      </c>
      <c r="R73" s="247" t="s">
        <v>369</v>
      </c>
      <c r="S73" s="247" t="s">
        <v>1679</v>
      </c>
      <c r="T73" s="247" t="s">
        <v>2359</v>
      </c>
      <c r="U73" s="246" t="s">
        <v>3058</v>
      </c>
      <c r="V73" s="247" t="s">
        <v>695</v>
      </c>
      <c r="W73" s="247" t="s">
        <v>758</v>
      </c>
      <c r="X73" s="246" t="s">
        <v>421</v>
      </c>
      <c r="Y73" s="246" t="s">
        <v>478</v>
      </c>
      <c r="Z73" s="246" t="s">
        <v>1985</v>
      </c>
      <c r="AA73" s="247" t="s">
        <v>4066</v>
      </c>
      <c r="AB73" s="246" t="s">
        <v>3414</v>
      </c>
      <c r="AC73" s="247" t="s">
        <v>2508</v>
      </c>
      <c r="AD73" s="247" t="s">
        <v>263</v>
      </c>
      <c r="AE73" s="247" t="s">
        <v>1155</v>
      </c>
      <c r="AF73" s="247" t="s">
        <v>139</v>
      </c>
      <c r="AG73" s="247" t="s">
        <v>1544</v>
      </c>
      <c r="AH73" s="246" t="s">
        <v>2211</v>
      </c>
      <c r="AI73" s="246" t="s">
        <v>1046</v>
      </c>
      <c r="AJ73" s="247" t="s">
        <v>2233</v>
      </c>
      <c r="AK73" s="246" t="s">
        <v>2273</v>
      </c>
      <c r="AL73" s="249" t="s">
        <v>3486</v>
      </c>
      <c r="AM73" s="246" t="s">
        <v>1985</v>
      </c>
      <c r="AN73" s="247" t="s">
        <v>2065</v>
      </c>
      <c r="AO73" s="247" t="s">
        <v>3013</v>
      </c>
      <c r="AP73" s="247" t="s">
        <v>2113</v>
      </c>
      <c r="AQ73" s="247" t="s">
        <v>4067</v>
      </c>
      <c r="AR73" s="247" t="s">
        <v>1136</v>
      </c>
      <c r="AS73" s="246" t="s">
        <v>3010</v>
      </c>
      <c r="AT73" s="247" t="s">
        <v>1905</v>
      </c>
      <c r="AU73" s="247"/>
    </row>
    <row r="74" spans="1:47">
      <c r="A74" s="246">
        <v>73</v>
      </c>
      <c r="B74" s="246" t="s">
        <v>1986</v>
      </c>
      <c r="C74" s="246" t="s">
        <v>3297</v>
      </c>
      <c r="D74" s="246" t="s">
        <v>4068</v>
      </c>
      <c r="E74" s="247" t="s">
        <v>2831</v>
      </c>
      <c r="F74" s="246" t="s">
        <v>2651</v>
      </c>
      <c r="G74" s="246" t="s">
        <v>2694</v>
      </c>
      <c r="H74" s="247" t="s">
        <v>4169</v>
      </c>
      <c r="I74" s="247" t="s">
        <v>663</v>
      </c>
      <c r="J74" s="246" t="s">
        <v>2740</v>
      </c>
      <c r="K74" s="247" t="s">
        <v>3274</v>
      </c>
      <c r="L74" s="246" t="s">
        <v>1499</v>
      </c>
      <c r="M74" s="246" t="s">
        <v>1986</v>
      </c>
      <c r="N74" s="247" t="s">
        <v>2783</v>
      </c>
      <c r="O74" s="247" t="s">
        <v>2551</v>
      </c>
      <c r="P74" s="246" t="s">
        <v>2638</v>
      </c>
      <c r="Q74" s="247" t="s">
        <v>186</v>
      </c>
      <c r="R74" s="247" t="s">
        <v>370</v>
      </c>
      <c r="S74" s="247" t="s">
        <v>1680</v>
      </c>
      <c r="T74" s="247" t="s">
        <v>2360</v>
      </c>
      <c r="U74" s="246" t="s">
        <v>3059</v>
      </c>
      <c r="V74" s="247" t="s">
        <v>696</v>
      </c>
      <c r="W74" s="247" t="s">
        <v>759</v>
      </c>
      <c r="X74" s="246" t="s">
        <v>422</v>
      </c>
      <c r="Y74" s="246" t="s">
        <v>479</v>
      </c>
      <c r="Z74" s="246" t="s">
        <v>1986</v>
      </c>
      <c r="AA74" s="247" t="s">
        <v>4069</v>
      </c>
      <c r="AB74" s="246" t="s">
        <v>3415</v>
      </c>
      <c r="AC74" s="247" t="s">
        <v>2509</v>
      </c>
      <c r="AD74" s="247" t="s">
        <v>264</v>
      </c>
      <c r="AE74" s="247" t="s">
        <v>1156</v>
      </c>
      <c r="AF74" s="247" t="s">
        <v>140</v>
      </c>
      <c r="AG74" s="247" t="s">
        <v>1545</v>
      </c>
      <c r="AH74" s="246" t="s">
        <v>2212</v>
      </c>
      <c r="AI74" s="246" t="s">
        <v>1047</v>
      </c>
      <c r="AJ74" s="247" t="s">
        <v>2234</v>
      </c>
      <c r="AK74" s="246" t="s">
        <v>2274</v>
      </c>
      <c r="AL74" s="249" t="s">
        <v>3487</v>
      </c>
      <c r="AM74" s="246" t="s">
        <v>1986</v>
      </c>
      <c r="AN74" s="247" t="s">
        <v>2066</v>
      </c>
      <c r="AO74" s="247" t="s">
        <v>3014</v>
      </c>
      <c r="AP74" s="247" t="s">
        <v>2114</v>
      </c>
      <c r="AQ74" s="247" t="s">
        <v>4070</v>
      </c>
      <c r="AR74" s="247" t="s">
        <v>1137</v>
      </c>
      <c r="AS74" s="246" t="s">
        <v>1834</v>
      </c>
      <c r="AT74" s="247" t="s">
        <v>1906</v>
      </c>
      <c r="AU74" s="247"/>
    </row>
    <row r="75" spans="1:47">
      <c r="A75" s="246">
        <v>74</v>
      </c>
      <c r="B75" s="246" t="s">
        <v>1996</v>
      </c>
      <c r="C75" s="246" t="s">
        <v>3298</v>
      </c>
      <c r="D75" s="246" t="s">
        <v>4071</v>
      </c>
      <c r="E75" s="247" t="s">
        <v>2832</v>
      </c>
      <c r="F75" s="246" t="s">
        <v>2652</v>
      </c>
      <c r="G75" s="246" t="s">
        <v>2695</v>
      </c>
      <c r="H75" s="247" t="s">
        <v>4170</v>
      </c>
      <c r="I75" s="247" t="s">
        <v>664</v>
      </c>
      <c r="J75" s="246" t="s">
        <v>2741</v>
      </c>
      <c r="K75" s="247" t="s">
        <v>1312</v>
      </c>
      <c r="L75" s="246" t="s">
        <v>1500</v>
      </c>
      <c r="M75" s="246" t="s">
        <v>1996</v>
      </c>
      <c r="N75" s="247" t="s">
        <v>2784</v>
      </c>
      <c r="O75" s="247" t="s">
        <v>2552</v>
      </c>
      <c r="P75" s="246" t="s">
        <v>2639</v>
      </c>
      <c r="Q75" s="247" t="s">
        <v>187</v>
      </c>
      <c r="R75" s="247" t="s">
        <v>371</v>
      </c>
      <c r="S75" s="247" t="s">
        <v>1681</v>
      </c>
      <c r="T75" s="247" t="s">
        <v>2361</v>
      </c>
      <c r="U75" s="246" t="s">
        <v>3060</v>
      </c>
      <c r="V75" s="247" t="s">
        <v>697</v>
      </c>
      <c r="W75" s="247" t="s">
        <v>760</v>
      </c>
      <c r="X75" s="246" t="s">
        <v>423</v>
      </c>
      <c r="Y75" s="246" t="s">
        <v>480</v>
      </c>
      <c r="Z75" s="246" t="s">
        <v>1996</v>
      </c>
      <c r="AA75" s="247" t="s">
        <v>4072</v>
      </c>
      <c r="AB75" s="246" t="s">
        <v>3416</v>
      </c>
      <c r="AC75" s="247" t="s">
        <v>2510</v>
      </c>
      <c r="AD75" s="247" t="s">
        <v>265</v>
      </c>
      <c r="AE75" s="247" t="s">
        <v>1157</v>
      </c>
      <c r="AF75" s="247" t="s">
        <v>141</v>
      </c>
      <c r="AG75" s="247" t="s">
        <v>1546</v>
      </c>
      <c r="AH75" s="246" t="s">
        <v>2213</v>
      </c>
      <c r="AI75" s="246" t="s">
        <v>1048</v>
      </c>
      <c r="AJ75" s="247" t="s">
        <v>2235</v>
      </c>
      <c r="AK75" s="246" t="s">
        <v>2275</v>
      </c>
      <c r="AL75" s="249" t="s">
        <v>3488</v>
      </c>
      <c r="AM75" s="246" t="s">
        <v>1996</v>
      </c>
      <c r="AN75" s="247" t="s">
        <v>2067</v>
      </c>
      <c r="AO75" s="247" t="s">
        <v>3015</v>
      </c>
      <c r="AP75" s="247" t="s">
        <v>2115</v>
      </c>
      <c r="AQ75" s="247" t="s">
        <v>4073</v>
      </c>
      <c r="AR75" s="247" t="s">
        <v>1138</v>
      </c>
      <c r="AS75" s="246" t="s">
        <v>1835</v>
      </c>
      <c r="AT75" s="247" t="s">
        <v>1907</v>
      </c>
      <c r="AU75" s="247"/>
    </row>
    <row r="76" spans="1:47">
      <c r="A76" s="246">
        <v>75</v>
      </c>
      <c r="B76" s="246" t="s">
        <v>1987</v>
      </c>
      <c r="C76" s="246" t="s">
        <v>3299</v>
      </c>
      <c r="D76" s="246" t="s">
        <v>4074</v>
      </c>
      <c r="E76" s="247" t="s">
        <v>2833</v>
      </c>
      <c r="F76" s="246" t="s">
        <v>2653</v>
      </c>
      <c r="G76" s="246" t="s">
        <v>2696</v>
      </c>
      <c r="H76" s="247" t="s">
        <v>4171</v>
      </c>
      <c r="I76" s="247" t="s">
        <v>665</v>
      </c>
      <c r="J76" s="246" t="s">
        <v>2742</v>
      </c>
      <c r="K76" s="247" t="s">
        <v>1313</v>
      </c>
      <c r="L76" s="246" t="s">
        <v>1501</v>
      </c>
      <c r="M76" s="246" t="s">
        <v>1987</v>
      </c>
      <c r="N76" s="247" t="s">
        <v>2785</v>
      </c>
      <c r="O76" s="247" t="s">
        <v>2553</v>
      </c>
      <c r="P76" s="246" t="s">
        <v>2640</v>
      </c>
      <c r="Q76" s="247" t="s">
        <v>188</v>
      </c>
      <c r="R76" s="247" t="s">
        <v>372</v>
      </c>
      <c r="S76" s="247" t="s">
        <v>1682</v>
      </c>
      <c r="T76" s="247" t="s">
        <v>2362</v>
      </c>
      <c r="U76" s="246" t="s">
        <v>3061</v>
      </c>
      <c r="V76" s="247" t="s">
        <v>698</v>
      </c>
      <c r="W76" s="247" t="s">
        <v>761</v>
      </c>
      <c r="X76" s="246" t="s">
        <v>424</v>
      </c>
      <c r="Y76" s="246" t="s">
        <v>481</v>
      </c>
      <c r="Z76" s="246" t="s">
        <v>1987</v>
      </c>
      <c r="AA76" s="247" t="s">
        <v>4075</v>
      </c>
      <c r="AB76" s="246" t="s">
        <v>3417</v>
      </c>
      <c r="AC76" s="247" t="s">
        <v>2511</v>
      </c>
      <c r="AD76" s="247" t="s">
        <v>266</v>
      </c>
      <c r="AE76" s="247" t="s">
        <v>1158</v>
      </c>
      <c r="AF76" s="247" t="s">
        <v>142</v>
      </c>
      <c r="AG76" s="247" t="s">
        <v>1547</v>
      </c>
      <c r="AH76" s="246" t="s">
        <v>2214</v>
      </c>
      <c r="AI76" s="246" t="s">
        <v>1049</v>
      </c>
      <c r="AJ76" s="247" t="s">
        <v>2236</v>
      </c>
      <c r="AK76" s="246" t="s">
        <v>2276</v>
      </c>
      <c r="AL76" s="249" t="s">
        <v>3489</v>
      </c>
      <c r="AM76" s="246" t="s">
        <v>1987</v>
      </c>
      <c r="AN76" s="247" t="s">
        <v>2068</v>
      </c>
      <c r="AO76" s="247" t="s">
        <v>3016</v>
      </c>
      <c r="AP76" s="247" t="s">
        <v>2116</v>
      </c>
      <c r="AQ76" s="247" t="s">
        <v>4076</v>
      </c>
      <c r="AR76" s="247" t="s">
        <v>1139</v>
      </c>
      <c r="AS76" s="246" t="s">
        <v>1836</v>
      </c>
      <c r="AT76" s="247" t="s">
        <v>1908</v>
      </c>
      <c r="AU76" s="247"/>
    </row>
    <row r="77" spans="1:47">
      <c r="A77" s="246">
        <v>76</v>
      </c>
      <c r="B77" s="246" t="s">
        <v>1988</v>
      </c>
      <c r="C77" s="246" t="s">
        <v>3300</v>
      </c>
      <c r="D77" s="246" t="s">
        <v>4077</v>
      </c>
      <c r="E77" s="247" t="s">
        <v>2834</v>
      </c>
      <c r="F77" s="246" t="s">
        <v>2654</v>
      </c>
      <c r="G77" s="246" t="s">
        <v>2697</v>
      </c>
      <c r="H77" s="247" t="s">
        <v>4172</v>
      </c>
      <c r="I77" s="247" t="s">
        <v>666</v>
      </c>
      <c r="J77" s="246" t="s">
        <v>2743</v>
      </c>
      <c r="K77" s="247" t="s">
        <v>1314</v>
      </c>
      <c r="L77" s="246" t="s">
        <v>1502</v>
      </c>
      <c r="M77" s="246" t="s">
        <v>1988</v>
      </c>
      <c r="N77" s="247" t="s">
        <v>2786</v>
      </c>
      <c r="O77" s="247" t="s">
        <v>2554</v>
      </c>
      <c r="P77" s="246" t="s">
        <v>2641</v>
      </c>
      <c r="Q77" s="247" t="s">
        <v>189</v>
      </c>
      <c r="R77" s="247" t="s">
        <v>373</v>
      </c>
      <c r="S77" s="247" t="s">
        <v>1683</v>
      </c>
      <c r="T77" s="247" t="s">
        <v>2363</v>
      </c>
      <c r="U77" s="246" t="s">
        <v>3062</v>
      </c>
      <c r="V77" s="247" t="s">
        <v>699</v>
      </c>
      <c r="W77" s="247" t="s">
        <v>762</v>
      </c>
      <c r="X77" s="246" t="s">
        <v>425</v>
      </c>
      <c r="Y77" s="246" t="s">
        <v>482</v>
      </c>
      <c r="Z77" s="246" t="s">
        <v>1988</v>
      </c>
      <c r="AA77" s="247" t="s">
        <v>4078</v>
      </c>
      <c r="AB77" s="246" t="s">
        <v>3418</v>
      </c>
      <c r="AC77" s="247" t="s">
        <v>2512</v>
      </c>
      <c r="AD77" s="247" t="s">
        <v>267</v>
      </c>
      <c r="AE77" s="247" t="s">
        <v>1159</v>
      </c>
      <c r="AF77" s="247" t="s">
        <v>143</v>
      </c>
      <c r="AG77" s="247" t="s">
        <v>1548</v>
      </c>
      <c r="AH77" s="246" t="s">
        <v>2200</v>
      </c>
      <c r="AI77" s="246" t="s">
        <v>1050</v>
      </c>
      <c r="AJ77" s="247" t="s">
        <v>2237</v>
      </c>
      <c r="AK77" s="246" t="s">
        <v>2277</v>
      </c>
      <c r="AL77" s="249" t="s">
        <v>3490</v>
      </c>
      <c r="AM77" s="246" t="s">
        <v>1988</v>
      </c>
      <c r="AN77" s="247" t="s">
        <v>2069</v>
      </c>
      <c r="AO77" s="247" t="s">
        <v>3017</v>
      </c>
      <c r="AP77" s="247" t="s">
        <v>2117</v>
      </c>
      <c r="AQ77" s="247" t="s">
        <v>4079</v>
      </c>
      <c r="AR77" s="247" t="s">
        <v>1140</v>
      </c>
      <c r="AS77" s="246" t="s">
        <v>1837</v>
      </c>
      <c r="AT77" s="247" t="s">
        <v>1909</v>
      </c>
      <c r="AU77" s="247"/>
    </row>
    <row r="78" spans="1:47">
      <c r="A78" s="246">
        <v>77</v>
      </c>
      <c r="B78" s="246" t="s">
        <v>1989</v>
      </c>
      <c r="C78" s="246" t="s">
        <v>3301</v>
      </c>
      <c r="D78" s="246" t="s">
        <v>4080</v>
      </c>
      <c r="E78" s="247" t="s">
        <v>2835</v>
      </c>
      <c r="F78" s="246" t="s">
        <v>2655</v>
      </c>
      <c r="G78" s="246" t="s">
        <v>2698</v>
      </c>
      <c r="H78" s="247" t="s">
        <v>4173</v>
      </c>
      <c r="I78" s="247" t="s">
        <v>667</v>
      </c>
      <c r="J78" s="246" t="s">
        <v>2744</v>
      </c>
      <c r="K78" s="247" t="s">
        <v>1315</v>
      </c>
      <c r="L78" s="246" t="s">
        <v>1503</v>
      </c>
      <c r="M78" s="246" t="s">
        <v>1989</v>
      </c>
      <c r="N78" s="247" t="s">
        <v>2787</v>
      </c>
      <c r="O78" s="247" t="s">
        <v>2555</v>
      </c>
      <c r="P78" s="246" t="s">
        <v>2120</v>
      </c>
      <c r="Q78" s="247" t="s">
        <v>190</v>
      </c>
      <c r="R78" s="247" t="s">
        <v>374</v>
      </c>
      <c r="S78" s="247" t="s">
        <v>1684</v>
      </c>
      <c r="T78" s="247" t="s">
        <v>2364</v>
      </c>
      <c r="U78" s="246" t="s">
        <v>3063</v>
      </c>
      <c r="V78" s="247" t="s">
        <v>700</v>
      </c>
      <c r="W78" s="247" t="s">
        <v>763</v>
      </c>
      <c r="X78" s="246" t="s">
        <v>426</v>
      </c>
      <c r="Y78" s="246" t="s">
        <v>483</v>
      </c>
      <c r="Z78" s="246" t="s">
        <v>1989</v>
      </c>
      <c r="AA78" s="247" t="s">
        <v>4081</v>
      </c>
      <c r="AB78" s="246" t="s">
        <v>3419</v>
      </c>
      <c r="AC78" s="247" t="s">
        <v>2513</v>
      </c>
      <c r="AD78" s="247" t="s">
        <v>268</v>
      </c>
      <c r="AE78" s="247" t="s">
        <v>1160</v>
      </c>
      <c r="AF78" s="247" t="s">
        <v>144</v>
      </c>
      <c r="AG78" s="247" t="s">
        <v>1549</v>
      </c>
      <c r="AH78" s="246" t="s">
        <v>2201</v>
      </c>
      <c r="AI78" s="246" t="s">
        <v>1051</v>
      </c>
      <c r="AJ78" s="247" t="s">
        <v>2238</v>
      </c>
      <c r="AK78" s="246" t="s">
        <v>2278</v>
      </c>
      <c r="AL78" s="249" t="s">
        <v>3491</v>
      </c>
      <c r="AM78" s="246" t="s">
        <v>1989</v>
      </c>
      <c r="AN78" s="247" t="s">
        <v>2070</v>
      </c>
      <c r="AO78" s="247" t="s">
        <v>3018</v>
      </c>
      <c r="AP78" s="247" t="s">
        <v>2118</v>
      </c>
      <c r="AQ78" s="247" t="s">
        <v>4082</v>
      </c>
      <c r="AR78" s="247" t="s">
        <v>1141</v>
      </c>
      <c r="AS78" s="246" t="s">
        <v>1838</v>
      </c>
      <c r="AT78" s="247" t="s">
        <v>0</v>
      </c>
      <c r="AU78" s="247"/>
    </row>
    <row r="79" spans="1:47">
      <c r="A79" s="246">
        <v>78</v>
      </c>
      <c r="B79" s="246" t="s">
        <v>1995</v>
      </c>
      <c r="C79" s="246" t="s">
        <v>3302</v>
      </c>
      <c r="D79" s="246" t="s">
        <v>4083</v>
      </c>
      <c r="E79" s="247" t="s">
        <v>2836</v>
      </c>
      <c r="F79" s="246" t="s">
        <v>2656</v>
      </c>
      <c r="G79" s="246" t="s">
        <v>2699</v>
      </c>
      <c r="H79" s="247" t="s">
        <v>4174</v>
      </c>
      <c r="I79" s="247" t="s">
        <v>668</v>
      </c>
      <c r="J79" s="246" t="s">
        <v>2745</v>
      </c>
      <c r="K79" s="247" t="s">
        <v>1316</v>
      </c>
      <c r="L79" s="246" t="s">
        <v>1504</v>
      </c>
      <c r="M79" s="246" t="s">
        <v>1995</v>
      </c>
      <c r="N79" s="247" t="s">
        <v>2788</v>
      </c>
      <c r="O79" s="247" t="s">
        <v>2556</v>
      </c>
      <c r="P79" s="246" t="s">
        <v>2121</v>
      </c>
      <c r="Q79" s="247" t="s">
        <v>191</v>
      </c>
      <c r="R79" s="247" t="s">
        <v>375</v>
      </c>
      <c r="S79" s="247" t="s">
        <v>1685</v>
      </c>
      <c r="T79" s="247" t="s">
        <v>2365</v>
      </c>
      <c r="U79" s="246" t="s">
        <v>3064</v>
      </c>
      <c r="V79" s="247" t="s">
        <v>701</v>
      </c>
      <c r="W79" s="247" t="s">
        <v>764</v>
      </c>
      <c r="X79" s="246" t="s">
        <v>427</v>
      </c>
      <c r="Y79" s="246" t="s">
        <v>484</v>
      </c>
      <c r="Z79" s="246" t="s">
        <v>1995</v>
      </c>
      <c r="AA79" s="247" t="s">
        <v>4084</v>
      </c>
      <c r="AB79" s="246" t="s">
        <v>3420</v>
      </c>
      <c r="AC79" s="247" t="s">
        <v>2514</v>
      </c>
      <c r="AD79" s="247" t="s">
        <v>269</v>
      </c>
      <c r="AE79" s="247" t="s">
        <v>1161</v>
      </c>
      <c r="AF79" s="247" t="s">
        <v>145</v>
      </c>
      <c r="AG79" s="247" t="s">
        <v>1550</v>
      </c>
      <c r="AH79" s="246" t="s">
        <v>2202</v>
      </c>
      <c r="AI79" s="246" t="s">
        <v>1052</v>
      </c>
      <c r="AJ79" s="247" t="s">
        <v>2239</v>
      </c>
      <c r="AK79" s="246" t="s">
        <v>2279</v>
      </c>
      <c r="AL79" s="249" t="s">
        <v>3492</v>
      </c>
      <c r="AM79" s="246" t="s">
        <v>1995</v>
      </c>
      <c r="AN79" s="247" t="s">
        <v>2071</v>
      </c>
      <c r="AO79" s="247" t="s">
        <v>3019</v>
      </c>
      <c r="AP79" s="247" t="s">
        <v>2119</v>
      </c>
      <c r="AQ79" s="247" t="s">
        <v>4085</v>
      </c>
      <c r="AR79" s="247" t="s">
        <v>1142</v>
      </c>
      <c r="AS79" s="246" t="s">
        <v>1839</v>
      </c>
      <c r="AT79" s="247" t="s">
        <v>1</v>
      </c>
      <c r="AU79" s="247"/>
    </row>
    <row r="80" spans="1:47">
      <c r="A80" s="246">
        <v>79</v>
      </c>
      <c r="B80" s="246" t="s">
        <v>1994</v>
      </c>
      <c r="C80" s="246" t="s">
        <v>3303</v>
      </c>
      <c r="D80" s="246" t="s">
        <v>4086</v>
      </c>
      <c r="E80" s="247" t="s">
        <v>2837</v>
      </c>
      <c r="F80" s="246" t="s">
        <v>2657</v>
      </c>
      <c r="G80" s="246" t="s">
        <v>2700</v>
      </c>
      <c r="H80" s="247" t="s">
        <v>4175</v>
      </c>
      <c r="I80" s="247" t="s">
        <v>669</v>
      </c>
      <c r="J80" s="246" t="s">
        <v>2746</v>
      </c>
      <c r="K80" s="247" t="s">
        <v>1317</v>
      </c>
      <c r="L80" s="246" t="s">
        <v>1505</v>
      </c>
      <c r="M80" s="246" t="s">
        <v>1994</v>
      </c>
      <c r="N80" s="247" t="s">
        <v>348</v>
      </c>
      <c r="O80" s="247" t="s">
        <v>2557</v>
      </c>
      <c r="P80" s="246" t="s">
        <v>2122</v>
      </c>
      <c r="Q80" s="247" t="s">
        <v>192</v>
      </c>
      <c r="R80" s="247" t="s">
        <v>376</v>
      </c>
      <c r="S80" s="247" t="s">
        <v>1686</v>
      </c>
      <c r="T80" s="247" t="s">
        <v>2366</v>
      </c>
      <c r="U80" s="246" t="s">
        <v>3065</v>
      </c>
      <c r="V80" s="247" t="s">
        <v>702</v>
      </c>
      <c r="W80" s="247" t="s">
        <v>765</v>
      </c>
      <c r="X80" s="246" t="s">
        <v>428</v>
      </c>
      <c r="Y80" s="246" t="s">
        <v>485</v>
      </c>
      <c r="Z80" s="246" t="s">
        <v>1994</v>
      </c>
      <c r="AA80" s="247" t="s">
        <v>4087</v>
      </c>
      <c r="AB80" s="246" t="s">
        <v>3421</v>
      </c>
      <c r="AC80" s="247" t="s">
        <v>2515</v>
      </c>
      <c r="AD80" s="247" t="s">
        <v>270</v>
      </c>
      <c r="AE80" s="247" t="s">
        <v>1162</v>
      </c>
      <c r="AF80" s="247" t="s">
        <v>146</v>
      </c>
      <c r="AG80" s="247" t="s">
        <v>1551</v>
      </c>
      <c r="AH80" s="246" t="s">
        <v>2203</v>
      </c>
      <c r="AI80" s="246" t="s">
        <v>1053</v>
      </c>
      <c r="AJ80" s="247" t="s">
        <v>2240</v>
      </c>
      <c r="AK80" s="246" t="s">
        <v>2280</v>
      </c>
      <c r="AL80" s="249" t="s">
        <v>3493</v>
      </c>
      <c r="AM80" s="246" t="s">
        <v>1994</v>
      </c>
      <c r="AN80" s="247" t="s">
        <v>2072</v>
      </c>
      <c r="AO80" s="247" t="s">
        <v>3020</v>
      </c>
      <c r="AP80" s="247" t="s">
        <v>200</v>
      </c>
      <c r="AQ80" s="247" t="s">
        <v>4088</v>
      </c>
      <c r="AR80" s="247" t="s">
        <v>1143</v>
      </c>
      <c r="AS80" s="246" t="s">
        <v>1840</v>
      </c>
      <c r="AT80" s="247" t="s">
        <v>2</v>
      </c>
      <c r="AU80" s="247"/>
    </row>
    <row r="81" spans="1:47">
      <c r="A81" s="246">
        <v>80</v>
      </c>
      <c r="B81" s="246" t="s">
        <v>1990</v>
      </c>
      <c r="C81" s="246" t="s">
        <v>3304</v>
      </c>
      <c r="D81" s="246" t="s">
        <v>4089</v>
      </c>
      <c r="E81" s="247" t="s">
        <v>2838</v>
      </c>
      <c r="F81" s="246" t="s">
        <v>2658</v>
      </c>
      <c r="G81" s="246" t="s">
        <v>2701</v>
      </c>
      <c r="H81" s="247" t="s">
        <v>4176</v>
      </c>
      <c r="I81" s="247" t="s">
        <v>670</v>
      </c>
      <c r="J81" s="246" t="s">
        <v>2747</v>
      </c>
      <c r="K81" s="247" t="s">
        <v>1318</v>
      </c>
      <c r="L81" s="246" t="s">
        <v>1506</v>
      </c>
      <c r="M81" s="246" t="s">
        <v>1990</v>
      </c>
      <c r="N81" s="247" t="s">
        <v>349</v>
      </c>
      <c r="O81" s="247" t="s">
        <v>2558</v>
      </c>
      <c r="P81" s="246" t="s">
        <v>2123</v>
      </c>
      <c r="Q81" s="247" t="s">
        <v>193</v>
      </c>
      <c r="R81" s="247" t="s">
        <v>377</v>
      </c>
      <c r="S81" s="247" t="s">
        <v>1687</v>
      </c>
      <c r="T81" s="247" t="s">
        <v>2367</v>
      </c>
      <c r="U81" s="246" t="s">
        <v>3066</v>
      </c>
      <c r="V81" s="247" t="s">
        <v>703</v>
      </c>
      <c r="W81" s="247" t="s">
        <v>766</v>
      </c>
      <c r="X81" s="246" t="s">
        <v>429</v>
      </c>
      <c r="Y81" s="246" t="s">
        <v>486</v>
      </c>
      <c r="Z81" s="246" t="s">
        <v>1990</v>
      </c>
      <c r="AA81" s="247" t="s">
        <v>4090</v>
      </c>
      <c r="AB81" s="246" t="s">
        <v>3422</v>
      </c>
      <c r="AC81" s="247" t="s">
        <v>2516</v>
      </c>
      <c r="AD81" s="247" t="s">
        <v>271</v>
      </c>
      <c r="AE81" s="247" t="s">
        <v>1163</v>
      </c>
      <c r="AF81" s="247" t="s">
        <v>147</v>
      </c>
      <c r="AG81" s="247" t="s">
        <v>1552</v>
      </c>
      <c r="AH81" s="246" t="s">
        <v>2204</v>
      </c>
      <c r="AI81" s="246" t="s">
        <v>1054</v>
      </c>
      <c r="AJ81" s="247" t="s">
        <v>2241</v>
      </c>
      <c r="AK81" s="246" t="s">
        <v>2281</v>
      </c>
      <c r="AL81" s="249" t="s">
        <v>3494</v>
      </c>
      <c r="AM81" s="246" t="s">
        <v>1990</v>
      </c>
      <c r="AN81" s="247" t="s">
        <v>2073</v>
      </c>
      <c r="AO81" s="247" t="s">
        <v>3021</v>
      </c>
      <c r="AP81" s="247" t="s">
        <v>201</v>
      </c>
      <c r="AQ81" s="247" t="s">
        <v>4091</v>
      </c>
      <c r="AR81" s="247" t="s">
        <v>1144</v>
      </c>
      <c r="AS81" s="246" t="s">
        <v>1841</v>
      </c>
      <c r="AT81" s="247" t="s">
        <v>3</v>
      </c>
      <c r="AU81" s="247"/>
    </row>
    <row r="82" spans="1:47">
      <c r="A82" s="246">
        <v>81</v>
      </c>
      <c r="B82" s="246" t="s">
        <v>1991</v>
      </c>
      <c r="C82" s="246" t="s">
        <v>3305</v>
      </c>
      <c r="D82" s="246" t="s">
        <v>4092</v>
      </c>
      <c r="E82" s="247" t="s">
        <v>2839</v>
      </c>
      <c r="F82" s="246" t="s">
        <v>2659</v>
      </c>
      <c r="G82" s="246" t="s">
        <v>2702</v>
      </c>
      <c r="H82" s="247" t="s">
        <v>4177</v>
      </c>
      <c r="I82" s="247" t="s">
        <v>671</v>
      </c>
      <c r="J82" s="246" t="s">
        <v>2748</v>
      </c>
      <c r="K82" s="247" t="s">
        <v>1319</v>
      </c>
      <c r="L82" s="246" t="s">
        <v>1507</v>
      </c>
      <c r="M82" s="246" t="s">
        <v>1991</v>
      </c>
      <c r="N82" s="247" t="s">
        <v>350</v>
      </c>
      <c r="O82" s="247" t="s">
        <v>2559</v>
      </c>
      <c r="P82" s="246" t="s">
        <v>2124</v>
      </c>
      <c r="Q82" s="247" t="s">
        <v>194</v>
      </c>
      <c r="R82" s="247" t="s">
        <v>378</v>
      </c>
      <c r="S82" s="247" t="s">
        <v>1688</v>
      </c>
      <c r="T82" s="247" t="s">
        <v>2368</v>
      </c>
      <c r="U82" s="246" t="s">
        <v>3067</v>
      </c>
      <c r="V82" s="247" t="s">
        <v>704</v>
      </c>
      <c r="W82" s="247" t="s">
        <v>767</v>
      </c>
      <c r="X82" s="246" t="s">
        <v>430</v>
      </c>
      <c r="Y82" s="246" t="s">
        <v>487</v>
      </c>
      <c r="Z82" s="246" t="s">
        <v>1991</v>
      </c>
      <c r="AA82" s="247" t="s">
        <v>4093</v>
      </c>
      <c r="AB82" s="246" t="s">
        <v>3423</v>
      </c>
      <c r="AC82" s="247" t="s">
        <v>2517</v>
      </c>
      <c r="AD82" s="247" t="s">
        <v>272</v>
      </c>
      <c r="AE82" s="247" t="s">
        <v>1164</v>
      </c>
      <c r="AF82" s="247" t="s">
        <v>148</v>
      </c>
      <c r="AG82" s="247" t="s">
        <v>1553</v>
      </c>
      <c r="AH82" s="246" t="s">
        <v>2205</v>
      </c>
      <c r="AI82" s="246" t="s">
        <v>1055</v>
      </c>
      <c r="AJ82" s="247" t="s">
        <v>2242</v>
      </c>
      <c r="AK82" s="246" t="s">
        <v>2282</v>
      </c>
      <c r="AL82" s="249" t="s">
        <v>3495</v>
      </c>
      <c r="AM82" s="246" t="s">
        <v>1991</v>
      </c>
      <c r="AN82" s="247" t="s">
        <v>2074</v>
      </c>
      <c r="AO82" s="247" t="s">
        <v>3022</v>
      </c>
      <c r="AP82" s="247" t="s">
        <v>202</v>
      </c>
      <c r="AQ82" s="247" t="s">
        <v>4094</v>
      </c>
      <c r="AR82" s="247" t="s">
        <v>1145</v>
      </c>
      <c r="AS82" s="246" t="s">
        <v>1842</v>
      </c>
      <c r="AT82" s="247" t="s">
        <v>4</v>
      </c>
      <c r="AU82" s="247"/>
    </row>
    <row r="83" spans="1:47">
      <c r="A83" s="246">
        <v>82</v>
      </c>
      <c r="B83" s="246" t="s">
        <v>1992</v>
      </c>
      <c r="C83" s="246" t="s">
        <v>3306</v>
      </c>
      <c r="D83" s="246" t="s">
        <v>4095</v>
      </c>
      <c r="E83" s="247" t="s">
        <v>2840</v>
      </c>
      <c r="F83" s="246" t="s">
        <v>2660</v>
      </c>
      <c r="G83" s="246" t="s">
        <v>2703</v>
      </c>
      <c r="H83" s="247" t="s">
        <v>4178</v>
      </c>
      <c r="I83" s="247" t="s">
        <v>672</v>
      </c>
      <c r="J83" s="246" t="s">
        <v>2749</v>
      </c>
      <c r="K83" s="247" t="s">
        <v>1320</v>
      </c>
      <c r="L83" s="246" t="s">
        <v>1508</v>
      </c>
      <c r="M83" s="246" t="s">
        <v>1992</v>
      </c>
      <c r="N83" s="247" t="s">
        <v>351</v>
      </c>
      <c r="O83" s="247" t="s">
        <v>2560</v>
      </c>
      <c r="P83" s="246" t="s">
        <v>2125</v>
      </c>
      <c r="Q83" s="247" t="s">
        <v>195</v>
      </c>
      <c r="R83" s="247" t="s">
        <v>379</v>
      </c>
      <c r="S83" s="247" t="s">
        <v>1689</v>
      </c>
      <c r="T83" s="247" t="s">
        <v>2369</v>
      </c>
      <c r="U83" s="246" t="s">
        <v>3068</v>
      </c>
      <c r="V83" s="247" t="s">
        <v>705</v>
      </c>
      <c r="W83" s="247" t="s">
        <v>768</v>
      </c>
      <c r="X83" s="246" t="s">
        <v>431</v>
      </c>
      <c r="Y83" s="246" t="s">
        <v>2435</v>
      </c>
      <c r="Z83" s="246" t="s">
        <v>1992</v>
      </c>
      <c r="AA83" s="247" t="s">
        <v>4096</v>
      </c>
      <c r="AB83" s="246" t="s">
        <v>3424</v>
      </c>
      <c r="AC83" s="247" t="s">
        <v>2518</v>
      </c>
      <c r="AD83" s="247" t="s">
        <v>273</v>
      </c>
      <c r="AE83" s="247" t="s">
        <v>1165</v>
      </c>
      <c r="AF83" s="247" t="s">
        <v>149</v>
      </c>
      <c r="AG83" s="247" t="s">
        <v>1554</v>
      </c>
      <c r="AH83" s="246" t="s">
        <v>2206</v>
      </c>
      <c r="AI83" s="246" t="s">
        <v>1056</v>
      </c>
      <c r="AJ83" s="247" t="s">
        <v>2243</v>
      </c>
      <c r="AK83" s="246" t="s">
        <v>2283</v>
      </c>
      <c r="AL83" s="249" t="s">
        <v>3496</v>
      </c>
      <c r="AM83" s="246" t="s">
        <v>1992</v>
      </c>
      <c r="AN83" s="247" t="s">
        <v>2075</v>
      </c>
      <c r="AO83" s="247" t="s">
        <v>3023</v>
      </c>
      <c r="AP83" s="247" t="s">
        <v>203</v>
      </c>
      <c r="AQ83" s="247" t="s">
        <v>4097</v>
      </c>
      <c r="AR83" s="247" t="s">
        <v>1146</v>
      </c>
      <c r="AS83" s="246" t="s">
        <v>1843</v>
      </c>
      <c r="AT83" s="247" t="s">
        <v>5</v>
      </c>
      <c r="AU83" s="247"/>
    </row>
    <row r="84" spans="1:47">
      <c r="A84" s="246">
        <v>83</v>
      </c>
      <c r="B84" s="246" t="s">
        <v>1993</v>
      </c>
      <c r="C84" s="246" t="s">
        <v>3307</v>
      </c>
      <c r="D84" s="246" t="s">
        <v>4098</v>
      </c>
      <c r="E84" s="247" t="s">
        <v>2841</v>
      </c>
      <c r="F84" s="246" t="s">
        <v>2661</v>
      </c>
      <c r="G84" s="246" t="s">
        <v>2704</v>
      </c>
      <c r="H84" s="247" t="s">
        <v>4179</v>
      </c>
      <c r="I84" s="247" t="s">
        <v>673</v>
      </c>
      <c r="J84" s="246" t="s">
        <v>2750</v>
      </c>
      <c r="K84" s="247" t="s">
        <v>1321</v>
      </c>
      <c r="L84" s="246" t="s">
        <v>1509</v>
      </c>
      <c r="M84" s="246" t="s">
        <v>1993</v>
      </c>
      <c r="N84" s="247" t="s">
        <v>352</v>
      </c>
      <c r="O84" s="247" t="s">
        <v>2561</v>
      </c>
      <c r="P84" s="246" t="s">
        <v>2126</v>
      </c>
      <c r="Q84" s="247" t="s">
        <v>196</v>
      </c>
      <c r="R84" s="247" t="s">
        <v>380</v>
      </c>
      <c r="S84" s="247" t="s">
        <v>1690</v>
      </c>
      <c r="T84" s="247" t="s">
        <v>2370</v>
      </c>
      <c r="U84" s="246" t="s">
        <v>3069</v>
      </c>
      <c r="V84" s="247" t="s">
        <v>706</v>
      </c>
      <c r="W84" s="247" t="s">
        <v>2035</v>
      </c>
      <c r="X84" s="246" t="s">
        <v>432</v>
      </c>
      <c r="Y84" s="246" t="s">
        <v>2436</v>
      </c>
      <c r="Z84" s="246" t="s">
        <v>1993</v>
      </c>
      <c r="AA84" s="247" t="s">
        <v>4099</v>
      </c>
      <c r="AB84" s="246" t="s">
        <v>3425</v>
      </c>
      <c r="AC84" s="247" t="s">
        <v>2519</v>
      </c>
      <c r="AD84" s="247" t="s">
        <v>274</v>
      </c>
      <c r="AE84" s="247" t="s">
        <v>1166</v>
      </c>
      <c r="AF84" s="247" t="s">
        <v>150</v>
      </c>
      <c r="AG84" s="247" t="s">
        <v>1555</v>
      </c>
      <c r="AH84" s="246" t="s">
        <v>2207</v>
      </c>
      <c r="AI84" s="246" t="s">
        <v>1057</v>
      </c>
      <c r="AJ84" s="247" t="s">
        <v>2244</v>
      </c>
      <c r="AK84" s="246" t="s">
        <v>2284</v>
      </c>
      <c r="AL84" s="249" t="s">
        <v>3497</v>
      </c>
      <c r="AM84" s="246" t="s">
        <v>1993</v>
      </c>
      <c r="AN84" s="247" t="s">
        <v>1134</v>
      </c>
      <c r="AO84" s="247" t="s">
        <v>1134</v>
      </c>
      <c r="AP84" s="247" t="s">
        <v>204</v>
      </c>
      <c r="AQ84" s="247" t="s">
        <v>4100</v>
      </c>
      <c r="AR84" s="247" t="s">
        <v>1147</v>
      </c>
      <c r="AS84" s="246" t="s">
        <v>1844</v>
      </c>
      <c r="AT84" s="247" t="s">
        <v>6</v>
      </c>
      <c r="AU84" s="247"/>
    </row>
    <row r="85" spans="1:47">
      <c r="A85" s="246">
        <v>84</v>
      </c>
      <c r="B85" s="246" t="s">
        <v>211</v>
      </c>
      <c r="C85" s="246" t="s">
        <v>3308</v>
      </c>
      <c r="D85" s="246" t="s">
        <v>1458</v>
      </c>
      <c r="E85" s="246" t="s">
        <v>1476</v>
      </c>
      <c r="F85" s="246" t="s">
        <v>2662</v>
      </c>
      <c r="G85" s="246" t="s">
        <v>2705</v>
      </c>
      <c r="H85" s="246" t="s">
        <v>2720</v>
      </c>
      <c r="I85" s="246" t="s">
        <v>2885</v>
      </c>
      <c r="J85" s="246" t="s">
        <v>2751</v>
      </c>
      <c r="K85" s="246" t="s">
        <v>2770</v>
      </c>
      <c r="L85" s="246" t="s">
        <v>2781</v>
      </c>
      <c r="M85" s="246" t="s">
        <v>211</v>
      </c>
      <c r="N85" s="246" t="s">
        <v>353</v>
      </c>
      <c r="O85" s="246" t="s">
        <v>358</v>
      </c>
      <c r="P85" s="246" t="s">
        <v>211</v>
      </c>
      <c r="Q85" s="246" t="s">
        <v>368</v>
      </c>
      <c r="R85" s="246" t="s">
        <v>381</v>
      </c>
      <c r="S85" s="246" t="s">
        <v>211</v>
      </c>
      <c r="T85" s="246" t="s">
        <v>387</v>
      </c>
      <c r="U85" s="246" t="s">
        <v>3070</v>
      </c>
      <c r="V85" s="246" t="s">
        <v>211</v>
      </c>
      <c r="W85" s="246" t="s">
        <v>394</v>
      </c>
      <c r="X85" s="246" t="s">
        <v>433</v>
      </c>
      <c r="Y85" s="246" t="s">
        <v>2437</v>
      </c>
      <c r="Z85" s="246" t="s">
        <v>2467</v>
      </c>
      <c r="AA85" s="246" t="s">
        <v>211</v>
      </c>
      <c r="AB85" s="246" t="s">
        <v>2482</v>
      </c>
      <c r="AC85" s="246" t="s">
        <v>2520</v>
      </c>
      <c r="AD85" s="246" t="s">
        <v>211</v>
      </c>
      <c r="AE85" s="246" t="s">
        <v>211</v>
      </c>
      <c r="AF85" s="246" t="s">
        <v>623</v>
      </c>
      <c r="AG85" s="246" t="s">
        <v>211</v>
      </c>
      <c r="AH85" s="246" t="s">
        <v>2215</v>
      </c>
      <c r="AI85" s="246" t="s">
        <v>2225</v>
      </c>
      <c r="AJ85" s="246" t="s">
        <v>2245</v>
      </c>
      <c r="AK85" s="246" t="s">
        <v>2285</v>
      </c>
      <c r="AL85" s="246" t="s">
        <v>211</v>
      </c>
      <c r="AM85" s="246" t="s">
        <v>1124</v>
      </c>
      <c r="AN85" s="247" t="s">
        <v>1135</v>
      </c>
      <c r="AO85" s="246" t="s">
        <v>1135</v>
      </c>
      <c r="AP85" s="246" t="s">
        <v>621</v>
      </c>
      <c r="AQ85" s="246" t="s">
        <v>1132</v>
      </c>
      <c r="AR85" s="246" t="s">
        <v>1148</v>
      </c>
      <c r="AS85" s="246" t="s">
        <v>211</v>
      </c>
      <c r="AT85" s="247" t="s">
        <v>3031</v>
      </c>
      <c r="AU85" s="247"/>
    </row>
    <row r="86" spans="1:47" ht="15">
      <c r="A86" s="246">
        <v>85</v>
      </c>
      <c r="B86" s="246" t="s">
        <v>212</v>
      </c>
      <c r="C86" s="246" t="s">
        <v>3309</v>
      </c>
      <c r="D86" s="246" t="s">
        <v>4101</v>
      </c>
      <c r="E86" s="247" t="s">
        <v>1704</v>
      </c>
      <c r="F86" s="246" t="s">
        <v>2663</v>
      </c>
      <c r="G86" s="246" t="s">
        <v>2706</v>
      </c>
      <c r="H86" s="248" t="s">
        <v>1601</v>
      </c>
      <c r="I86" s="247" t="s">
        <v>674</v>
      </c>
      <c r="J86" s="246" t="s">
        <v>212</v>
      </c>
      <c r="K86" s="247" t="s">
        <v>3254</v>
      </c>
      <c r="L86" s="246" t="s">
        <v>1510</v>
      </c>
      <c r="M86" s="246" t="s">
        <v>212</v>
      </c>
      <c r="N86" s="247" t="s">
        <v>1265</v>
      </c>
      <c r="O86" s="247" t="s">
        <v>2562</v>
      </c>
      <c r="P86" s="247" t="s">
        <v>2127</v>
      </c>
      <c r="Q86" s="247" t="s">
        <v>1756</v>
      </c>
      <c r="R86" s="247" t="s">
        <v>687</v>
      </c>
      <c r="S86" s="247" t="s">
        <v>1691</v>
      </c>
      <c r="T86" s="254" t="s">
        <v>2320</v>
      </c>
      <c r="U86" s="246" t="s">
        <v>3071</v>
      </c>
      <c r="V86" s="247" t="s">
        <v>2302</v>
      </c>
      <c r="W86" s="247" t="s">
        <v>2036</v>
      </c>
      <c r="X86" s="246" t="s">
        <v>434</v>
      </c>
      <c r="Y86" s="246" t="s">
        <v>2438</v>
      </c>
      <c r="Z86" s="246" t="s">
        <v>2468</v>
      </c>
      <c r="AA86" s="247" t="s">
        <v>4102</v>
      </c>
      <c r="AB86" s="246" t="s">
        <v>3383</v>
      </c>
      <c r="AC86" s="247" t="s">
        <v>212</v>
      </c>
      <c r="AD86" s="247" t="s">
        <v>2167</v>
      </c>
      <c r="AE86" s="247" t="s">
        <v>1167</v>
      </c>
      <c r="AF86" s="247" t="s">
        <v>2163</v>
      </c>
      <c r="AG86" s="247" t="s">
        <v>2216</v>
      </c>
      <c r="AH86" s="247" t="s">
        <v>1520</v>
      </c>
      <c r="AI86" s="246" t="s">
        <v>1058</v>
      </c>
      <c r="AJ86" s="247" t="s">
        <v>2246</v>
      </c>
      <c r="AK86" s="246" t="s">
        <v>2286</v>
      </c>
      <c r="AL86" s="249" t="s">
        <v>3462</v>
      </c>
      <c r="AM86" s="246" t="s">
        <v>4103</v>
      </c>
      <c r="AN86" s="247" t="s">
        <v>2076</v>
      </c>
      <c r="AO86" s="247" t="s">
        <v>2076</v>
      </c>
      <c r="AP86" s="247" t="s">
        <v>2927</v>
      </c>
      <c r="AQ86" s="247" t="s">
        <v>2182</v>
      </c>
      <c r="AR86" s="246" t="s">
        <v>340</v>
      </c>
      <c r="AS86" s="246" t="s">
        <v>1845</v>
      </c>
      <c r="AT86" s="247" t="s">
        <v>7</v>
      </c>
      <c r="AU86" s="247"/>
    </row>
    <row r="87" spans="1:47" ht="15">
      <c r="A87" s="246">
        <v>86</v>
      </c>
      <c r="B87" s="246" t="s">
        <v>3073</v>
      </c>
      <c r="C87" s="246" t="s">
        <v>3079</v>
      </c>
      <c r="D87" s="246" t="s">
        <v>4104</v>
      </c>
      <c r="E87" s="247" t="s">
        <v>1705</v>
      </c>
      <c r="F87" s="246" t="s">
        <v>3080</v>
      </c>
      <c r="G87" s="246" t="s">
        <v>3073</v>
      </c>
      <c r="H87" s="248" t="s">
        <v>1610</v>
      </c>
      <c r="I87" s="247" t="s">
        <v>675</v>
      </c>
      <c r="J87" s="246" t="s">
        <v>3081</v>
      </c>
      <c r="K87" s="247" t="s">
        <v>1322</v>
      </c>
      <c r="L87" s="246" t="s">
        <v>2918</v>
      </c>
      <c r="M87" s="246" t="s">
        <v>3073</v>
      </c>
      <c r="N87" s="247" t="s">
        <v>1300</v>
      </c>
      <c r="O87" s="247" t="s">
        <v>2563</v>
      </c>
      <c r="P87" s="247" t="s">
        <v>2128</v>
      </c>
      <c r="Q87" s="247" t="s">
        <v>2173</v>
      </c>
      <c r="R87" s="247" t="s">
        <v>85</v>
      </c>
      <c r="S87" s="247" t="s">
        <v>1692</v>
      </c>
      <c r="T87" s="254" t="s">
        <v>2321</v>
      </c>
      <c r="U87" s="246" t="s">
        <v>3072</v>
      </c>
      <c r="V87" s="247" t="s">
        <v>707</v>
      </c>
      <c r="W87" s="247" t="s">
        <v>2037</v>
      </c>
      <c r="X87" s="246" t="s">
        <v>3082</v>
      </c>
      <c r="Y87" s="246" t="s">
        <v>3083</v>
      </c>
      <c r="Z87" s="246" t="s">
        <v>3084</v>
      </c>
      <c r="AA87" s="247" t="s">
        <v>4105</v>
      </c>
      <c r="AB87" s="246" t="s">
        <v>3072</v>
      </c>
      <c r="AC87" s="247" t="s">
        <v>3073</v>
      </c>
      <c r="AD87" s="247" t="s">
        <v>2168</v>
      </c>
      <c r="AE87" s="247" t="s">
        <v>1168</v>
      </c>
      <c r="AF87" s="247" t="s">
        <v>2164</v>
      </c>
      <c r="AG87" s="247" t="s">
        <v>1556</v>
      </c>
      <c r="AH87" s="247" t="s">
        <v>2158</v>
      </c>
      <c r="AI87" s="246" t="s">
        <v>1059</v>
      </c>
      <c r="AJ87" s="247" t="s">
        <v>1092</v>
      </c>
      <c r="AK87" s="246" t="s">
        <v>3085</v>
      </c>
      <c r="AL87" s="249" t="s">
        <v>2179</v>
      </c>
      <c r="AM87" s="246" t="s">
        <v>4106</v>
      </c>
      <c r="AN87" s="247" t="s">
        <v>66</v>
      </c>
      <c r="AO87" s="247" t="s">
        <v>66</v>
      </c>
      <c r="AP87" s="247" t="s">
        <v>2926</v>
      </c>
      <c r="AQ87" s="247" t="s">
        <v>2183</v>
      </c>
      <c r="AR87" s="246" t="s">
        <v>341</v>
      </c>
      <c r="AS87" s="246" t="s">
        <v>1846</v>
      </c>
      <c r="AT87" s="247" t="s">
        <v>8</v>
      </c>
      <c r="AU87" s="247"/>
    </row>
    <row r="88" spans="1:47" ht="15">
      <c r="A88" s="246">
        <v>87</v>
      </c>
      <c r="B88" s="246" t="s">
        <v>213</v>
      </c>
      <c r="C88" s="246" t="s">
        <v>3310</v>
      </c>
      <c r="D88" s="246" t="s">
        <v>4107</v>
      </c>
      <c r="E88" s="247" t="s">
        <v>1706</v>
      </c>
      <c r="F88" s="246" t="s">
        <v>2664</v>
      </c>
      <c r="G88" s="246" t="s">
        <v>2707</v>
      </c>
      <c r="H88" s="248" t="s">
        <v>1611</v>
      </c>
      <c r="I88" s="247" t="s">
        <v>676</v>
      </c>
      <c r="J88" s="246" t="s">
        <v>2752</v>
      </c>
      <c r="K88" s="247" t="s">
        <v>1323</v>
      </c>
      <c r="L88" s="246" t="s">
        <v>2919</v>
      </c>
      <c r="M88" s="246" t="s">
        <v>213</v>
      </c>
      <c r="N88" s="247" t="s">
        <v>1301</v>
      </c>
      <c r="O88" s="247" t="s">
        <v>2564</v>
      </c>
      <c r="P88" s="247" t="s">
        <v>2129</v>
      </c>
      <c r="Q88" s="247" t="s">
        <v>2174</v>
      </c>
      <c r="R88" s="247" t="s">
        <v>86</v>
      </c>
      <c r="S88" s="247" t="s">
        <v>1693</v>
      </c>
      <c r="T88" s="254" t="s">
        <v>2322</v>
      </c>
      <c r="U88" s="246" t="s">
        <v>3074</v>
      </c>
      <c r="V88" s="247" t="s">
        <v>708</v>
      </c>
      <c r="W88" s="247" t="s">
        <v>2038</v>
      </c>
      <c r="X88" s="246" t="s">
        <v>435</v>
      </c>
      <c r="Y88" s="246" t="s">
        <v>2439</v>
      </c>
      <c r="Z88" s="246" t="s">
        <v>2469</v>
      </c>
      <c r="AA88" s="247" t="s">
        <v>4108</v>
      </c>
      <c r="AB88" s="246" t="s">
        <v>3074</v>
      </c>
      <c r="AC88" s="247" t="s">
        <v>2521</v>
      </c>
      <c r="AD88" s="247" t="s">
        <v>2169</v>
      </c>
      <c r="AE88" s="247" t="s">
        <v>1169</v>
      </c>
      <c r="AF88" s="247" t="s">
        <v>2165</v>
      </c>
      <c r="AG88" s="247" t="s">
        <v>1557</v>
      </c>
      <c r="AH88" s="247" t="s">
        <v>2159</v>
      </c>
      <c r="AI88" s="246" t="s">
        <v>1060</v>
      </c>
      <c r="AJ88" s="247" t="s">
        <v>1093</v>
      </c>
      <c r="AK88" s="246" t="s">
        <v>2287</v>
      </c>
      <c r="AL88" s="249" t="s">
        <v>2180</v>
      </c>
      <c r="AM88" s="246" t="s">
        <v>4109</v>
      </c>
      <c r="AN88" s="247" t="s">
        <v>67</v>
      </c>
      <c r="AO88" s="247" t="s">
        <v>67</v>
      </c>
      <c r="AP88" s="247" t="s">
        <v>2928</v>
      </c>
      <c r="AQ88" s="247" t="s">
        <v>2184</v>
      </c>
      <c r="AR88" s="246" t="s">
        <v>342</v>
      </c>
      <c r="AS88" s="246" t="s">
        <v>1847</v>
      </c>
      <c r="AT88" s="247" t="s">
        <v>9</v>
      </c>
      <c r="AU88" s="247"/>
    </row>
    <row r="89" spans="1:47" ht="15">
      <c r="A89" s="246">
        <v>88</v>
      </c>
      <c r="B89" s="246" t="s">
        <v>214</v>
      </c>
      <c r="C89" s="246" t="s">
        <v>3311</v>
      </c>
      <c r="D89" s="246" t="s">
        <v>4110</v>
      </c>
      <c r="E89" s="247" t="s">
        <v>1707</v>
      </c>
      <c r="F89" s="246" t="s">
        <v>2665</v>
      </c>
      <c r="G89" s="246" t="s">
        <v>2708</v>
      </c>
      <c r="H89" s="248" t="s">
        <v>1612</v>
      </c>
      <c r="I89" s="247" t="s">
        <v>677</v>
      </c>
      <c r="J89" s="246" t="s">
        <v>2753</v>
      </c>
      <c r="K89" s="247" t="s">
        <v>1324</v>
      </c>
      <c r="L89" s="246" t="s">
        <v>2920</v>
      </c>
      <c r="M89" s="246" t="s">
        <v>214</v>
      </c>
      <c r="N89" s="247" t="s">
        <v>1302</v>
      </c>
      <c r="O89" s="247" t="s">
        <v>2565</v>
      </c>
      <c r="P89" s="247" t="s">
        <v>2130</v>
      </c>
      <c r="Q89" s="247" t="s">
        <v>2175</v>
      </c>
      <c r="R89" s="247" t="s">
        <v>87</v>
      </c>
      <c r="S89" s="247" t="s">
        <v>300</v>
      </c>
      <c r="T89" s="254" t="s">
        <v>2323</v>
      </c>
      <c r="U89" s="246" t="s">
        <v>2483</v>
      </c>
      <c r="V89" s="247" t="s">
        <v>709</v>
      </c>
      <c r="W89" s="247" t="s">
        <v>2039</v>
      </c>
      <c r="X89" s="246" t="s">
        <v>436</v>
      </c>
      <c r="Y89" s="246" t="s">
        <v>2440</v>
      </c>
      <c r="Z89" s="246" t="s">
        <v>2470</v>
      </c>
      <c r="AA89" s="247" t="s">
        <v>4111</v>
      </c>
      <c r="AB89" s="246" t="s">
        <v>2483</v>
      </c>
      <c r="AC89" s="247" t="s">
        <v>2522</v>
      </c>
      <c r="AD89" s="247" t="s">
        <v>2170</v>
      </c>
      <c r="AE89" s="247" t="s">
        <v>1170</v>
      </c>
      <c r="AF89" s="247" t="s">
        <v>2166</v>
      </c>
      <c r="AG89" s="247" t="s">
        <v>1558</v>
      </c>
      <c r="AH89" s="247" t="s">
        <v>2160</v>
      </c>
      <c r="AI89" s="246" t="s">
        <v>1061</v>
      </c>
      <c r="AJ89" s="247" t="s">
        <v>1094</v>
      </c>
      <c r="AK89" s="246" t="s">
        <v>2288</v>
      </c>
      <c r="AL89" s="249" t="s">
        <v>2181</v>
      </c>
      <c r="AM89" s="246" t="s">
        <v>214</v>
      </c>
      <c r="AN89" s="247" t="s">
        <v>68</v>
      </c>
      <c r="AO89" s="247" t="s">
        <v>68</v>
      </c>
      <c r="AP89" s="247" t="s">
        <v>2929</v>
      </c>
      <c r="AQ89" s="247" t="s">
        <v>2185</v>
      </c>
      <c r="AR89" s="246" t="s">
        <v>343</v>
      </c>
      <c r="AS89" s="246" t="s">
        <v>1848</v>
      </c>
      <c r="AT89" s="247" t="s">
        <v>10</v>
      </c>
      <c r="AU89" s="247"/>
    </row>
    <row r="90" spans="1:47" ht="15">
      <c r="A90" s="246">
        <v>89</v>
      </c>
      <c r="B90" s="246" t="s">
        <v>215</v>
      </c>
      <c r="C90" s="246" t="s">
        <v>3312</v>
      </c>
      <c r="D90" s="246" t="s">
        <v>4112</v>
      </c>
      <c r="E90" s="247" t="s">
        <v>1708</v>
      </c>
      <c r="F90" s="246" t="s">
        <v>2666</v>
      </c>
      <c r="G90" s="246" t="s">
        <v>2709</v>
      </c>
      <c r="H90" s="248" t="s">
        <v>1613</v>
      </c>
      <c r="I90" s="247" t="s">
        <v>678</v>
      </c>
      <c r="J90" s="246" t="s">
        <v>2754</v>
      </c>
      <c r="K90" s="247" t="s">
        <v>2771</v>
      </c>
      <c r="L90" s="246" t="s">
        <v>2921</v>
      </c>
      <c r="M90" s="246" t="s">
        <v>215</v>
      </c>
      <c r="N90" s="247" t="s">
        <v>1303</v>
      </c>
      <c r="O90" s="247" t="s">
        <v>2566</v>
      </c>
      <c r="P90" s="247" t="s">
        <v>2131</v>
      </c>
      <c r="Q90" s="247" t="s">
        <v>2176</v>
      </c>
      <c r="R90" s="247" t="s">
        <v>88</v>
      </c>
      <c r="S90" s="247" t="s">
        <v>301</v>
      </c>
      <c r="T90" s="254" t="s">
        <v>2324</v>
      </c>
      <c r="U90" s="246" t="s">
        <v>3076</v>
      </c>
      <c r="V90" s="247" t="s">
        <v>710</v>
      </c>
      <c r="W90" s="247" t="s">
        <v>2040</v>
      </c>
      <c r="X90" s="246" t="s">
        <v>437</v>
      </c>
      <c r="Y90" s="246" t="s">
        <v>2441</v>
      </c>
      <c r="Z90" s="246" t="s">
        <v>2471</v>
      </c>
      <c r="AA90" s="247" t="s">
        <v>4113</v>
      </c>
      <c r="AB90" s="246" t="s">
        <v>2923</v>
      </c>
      <c r="AC90" s="247" t="s">
        <v>2523</v>
      </c>
      <c r="AD90" s="247" t="s">
        <v>2171</v>
      </c>
      <c r="AE90" s="247" t="s">
        <v>1171</v>
      </c>
      <c r="AF90" s="247" t="s">
        <v>151</v>
      </c>
      <c r="AG90" s="247" t="s">
        <v>1559</v>
      </c>
      <c r="AH90" s="247" t="s">
        <v>2161</v>
      </c>
      <c r="AI90" s="246" t="s">
        <v>1062</v>
      </c>
      <c r="AJ90" s="247" t="s">
        <v>1095</v>
      </c>
      <c r="AK90" s="246" t="s">
        <v>2289</v>
      </c>
      <c r="AL90" s="249" t="s">
        <v>3498</v>
      </c>
      <c r="AM90" s="246" t="s">
        <v>4114</v>
      </c>
      <c r="AN90" s="247" t="s">
        <v>69</v>
      </c>
      <c r="AO90" s="247" t="s">
        <v>69</v>
      </c>
      <c r="AP90" s="247" t="s">
        <v>2930</v>
      </c>
      <c r="AQ90" s="247" t="s">
        <v>1005</v>
      </c>
      <c r="AR90" s="246" t="s">
        <v>2957</v>
      </c>
      <c r="AS90" s="246" t="s">
        <v>1849</v>
      </c>
      <c r="AT90" s="247" t="s">
        <v>11</v>
      </c>
      <c r="AU90" s="247"/>
    </row>
    <row r="91" spans="1:47" ht="15">
      <c r="A91" s="246">
        <v>90</v>
      </c>
      <c r="B91" s="246" t="s">
        <v>3276</v>
      </c>
      <c r="C91" s="246" t="s">
        <v>3313</v>
      </c>
      <c r="D91" s="246" t="s">
        <v>4115</v>
      </c>
      <c r="E91" s="247" t="s">
        <v>1709</v>
      </c>
      <c r="F91" s="246" t="s">
        <v>2667</v>
      </c>
      <c r="G91" s="246" t="s">
        <v>2710</v>
      </c>
      <c r="H91" s="248" t="s">
        <v>1614</v>
      </c>
      <c r="I91" s="247" t="s">
        <v>1614</v>
      </c>
      <c r="J91" s="246" t="s">
        <v>2755</v>
      </c>
      <c r="K91" s="247" t="s">
        <v>2772</v>
      </c>
      <c r="L91" s="246" t="s">
        <v>2922</v>
      </c>
      <c r="M91" s="246" t="s">
        <v>3276</v>
      </c>
      <c r="N91" s="247" t="s">
        <v>1304</v>
      </c>
      <c r="O91" s="247" t="s">
        <v>2567</v>
      </c>
      <c r="P91" s="247" t="s">
        <v>2132</v>
      </c>
      <c r="Q91" s="247" t="s">
        <v>2177</v>
      </c>
      <c r="R91" s="247" t="s">
        <v>89</v>
      </c>
      <c r="S91" s="247" t="s">
        <v>302</v>
      </c>
      <c r="T91" s="254" t="s">
        <v>2325</v>
      </c>
      <c r="U91" s="246" t="s">
        <v>3075</v>
      </c>
      <c r="V91" s="247" t="s">
        <v>711</v>
      </c>
      <c r="W91" s="247" t="s">
        <v>2041</v>
      </c>
      <c r="X91" s="246" t="s">
        <v>438</v>
      </c>
      <c r="Y91" s="246" t="s">
        <v>2441</v>
      </c>
      <c r="Z91" s="246" t="s">
        <v>2472</v>
      </c>
      <c r="AA91" s="247" t="s">
        <v>4116</v>
      </c>
      <c r="AB91" s="246" t="s">
        <v>2924</v>
      </c>
      <c r="AC91" s="247" t="s">
        <v>598</v>
      </c>
      <c r="AD91" s="247" t="s">
        <v>2172</v>
      </c>
      <c r="AE91" s="247" t="s">
        <v>1172</v>
      </c>
      <c r="AF91" s="247" t="s">
        <v>152</v>
      </c>
      <c r="AG91" s="247" t="s">
        <v>1560</v>
      </c>
      <c r="AH91" s="247" t="s">
        <v>2162</v>
      </c>
      <c r="AI91" s="246" t="s">
        <v>1063</v>
      </c>
      <c r="AJ91" s="247" t="s">
        <v>1096</v>
      </c>
      <c r="AK91" s="246" t="s">
        <v>2290</v>
      </c>
      <c r="AL91" s="249" t="s">
        <v>3499</v>
      </c>
      <c r="AM91" s="246" t="s">
        <v>4117</v>
      </c>
      <c r="AN91" s="247" t="s">
        <v>70</v>
      </c>
      <c r="AO91" s="247" t="s">
        <v>70</v>
      </c>
      <c r="AP91" s="247" t="s">
        <v>2931</v>
      </c>
      <c r="AQ91" s="247" t="s">
        <v>1006</v>
      </c>
      <c r="AR91" s="246" t="s">
        <v>344</v>
      </c>
      <c r="AS91" s="246" t="s">
        <v>1850</v>
      </c>
      <c r="AT91" s="247" t="s">
        <v>12</v>
      </c>
      <c r="AU91" s="247"/>
    </row>
    <row r="92" spans="1:47" ht="15">
      <c r="A92" s="246">
        <v>91</v>
      </c>
      <c r="B92" s="246" t="s">
        <v>3277</v>
      </c>
      <c r="C92" s="246" t="s">
        <v>3314</v>
      </c>
      <c r="D92" s="246" t="s">
        <v>4118</v>
      </c>
      <c r="E92" s="247" t="s">
        <v>1710</v>
      </c>
      <c r="F92" s="246" t="s">
        <v>2668</v>
      </c>
      <c r="G92" s="246" t="s">
        <v>3314</v>
      </c>
      <c r="H92" s="248" t="s">
        <v>1615</v>
      </c>
      <c r="I92" s="247" t="s">
        <v>679</v>
      </c>
      <c r="J92" s="246" t="s">
        <v>3277</v>
      </c>
      <c r="K92" s="247" t="s">
        <v>3277</v>
      </c>
      <c r="L92" s="246" t="s">
        <v>3314</v>
      </c>
      <c r="M92" s="246" t="s">
        <v>3277</v>
      </c>
      <c r="N92" s="247" t="s">
        <v>2956</v>
      </c>
      <c r="O92" s="247" t="s">
        <v>3277</v>
      </c>
      <c r="P92" s="247" t="s">
        <v>2133</v>
      </c>
      <c r="Q92" s="247" t="s">
        <v>2178</v>
      </c>
      <c r="R92" s="247" t="s">
        <v>90</v>
      </c>
      <c r="S92" s="247" t="s">
        <v>303</v>
      </c>
      <c r="T92" s="254" t="s">
        <v>2326</v>
      </c>
      <c r="U92" s="246" t="s">
        <v>3077</v>
      </c>
      <c r="V92" s="247" t="s">
        <v>712</v>
      </c>
      <c r="W92" s="247" t="s">
        <v>2042</v>
      </c>
      <c r="X92" s="246" t="s">
        <v>439</v>
      </c>
      <c r="Y92" s="246" t="s">
        <v>3363</v>
      </c>
      <c r="Z92" s="246" t="s">
        <v>2473</v>
      </c>
      <c r="AA92" s="247" t="s">
        <v>4119</v>
      </c>
      <c r="AB92" s="246" t="s">
        <v>2925</v>
      </c>
      <c r="AC92" s="247" t="s">
        <v>3314</v>
      </c>
      <c r="AD92" s="247" t="s">
        <v>275</v>
      </c>
      <c r="AE92" s="247" t="s">
        <v>1173</v>
      </c>
      <c r="AF92" s="247" t="s">
        <v>153</v>
      </c>
      <c r="AG92" s="247" t="s">
        <v>1561</v>
      </c>
      <c r="AH92" s="247" t="s">
        <v>1561</v>
      </c>
      <c r="AI92" s="246" t="s">
        <v>1064</v>
      </c>
      <c r="AJ92" s="247" t="s">
        <v>1097</v>
      </c>
      <c r="AK92" s="246" t="s">
        <v>2291</v>
      </c>
      <c r="AL92" s="249" t="s">
        <v>3500</v>
      </c>
      <c r="AM92" s="246" t="s">
        <v>3277</v>
      </c>
      <c r="AN92" s="247" t="s">
        <v>2077</v>
      </c>
      <c r="AO92" s="247" t="s">
        <v>2077</v>
      </c>
      <c r="AP92" s="247" t="s">
        <v>2932</v>
      </c>
      <c r="AQ92" s="247" t="s">
        <v>1007</v>
      </c>
      <c r="AR92" s="246" t="s">
        <v>1956</v>
      </c>
      <c r="AS92" s="246" t="s">
        <v>1851</v>
      </c>
      <c r="AT92" s="247" t="s">
        <v>3032</v>
      </c>
      <c r="AU92" s="247"/>
    </row>
    <row r="93" spans="1:47" ht="15">
      <c r="A93" s="246">
        <v>92</v>
      </c>
      <c r="B93" s="246" t="s">
        <v>3278</v>
      </c>
      <c r="C93" s="246" t="s">
        <v>3315</v>
      </c>
      <c r="D93" s="246" t="s">
        <v>1459</v>
      </c>
      <c r="E93" s="247" t="s">
        <v>2842</v>
      </c>
      <c r="F93" s="246" t="s">
        <v>982</v>
      </c>
      <c r="G93" s="246" t="s">
        <v>2711</v>
      </c>
      <c r="H93" s="248" t="s">
        <v>949</v>
      </c>
      <c r="I93" s="246" t="s">
        <v>2721</v>
      </c>
      <c r="J93" s="246" t="s">
        <v>2756</v>
      </c>
      <c r="K93" s="247" t="s">
        <v>3259</v>
      </c>
      <c r="L93" s="246" t="s">
        <v>3439</v>
      </c>
      <c r="M93" s="246" t="s">
        <v>3278</v>
      </c>
      <c r="N93" s="247" t="s">
        <v>1305</v>
      </c>
      <c r="O93" s="247" t="s">
        <v>2568</v>
      </c>
      <c r="P93" s="247" t="s">
        <v>2615</v>
      </c>
      <c r="Q93" s="247" t="s">
        <v>197</v>
      </c>
      <c r="R93" s="247" t="s">
        <v>91</v>
      </c>
      <c r="S93" s="247" t="s">
        <v>304</v>
      </c>
      <c r="T93" s="254" t="s">
        <v>2327</v>
      </c>
      <c r="U93" s="246" t="s">
        <v>3078</v>
      </c>
      <c r="V93" s="247" t="s">
        <v>713</v>
      </c>
      <c r="W93" s="247" t="s">
        <v>395</v>
      </c>
      <c r="X93" s="246" t="s">
        <v>440</v>
      </c>
      <c r="Y93" s="246" t="s">
        <v>2442</v>
      </c>
      <c r="Z93" s="246" t="s">
        <v>2474</v>
      </c>
      <c r="AA93" s="247" t="s">
        <v>4007</v>
      </c>
      <c r="AB93" s="246" t="s">
        <v>3426</v>
      </c>
      <c r="AC93" s="247" t="s">
        <v>599</v>
      </c>
      <c r="AD93" s="247" t="s">
        <v>276</v>
      </c>
      <c r="AE93" s="247" t="s">
        <v>1174</v>
      </c>
      <c r="AF93" s="247" t="s">
        <v>154</v>
      </c>
      <c r="AG93" s="247" t="s">
        <v>1562</v>
      </c>
      <c r="AH93" s="247" t="s">
        <v>1562</v>
      </c>
      <c r="AI93" s="246" t="s">
        <v>1065</v>
      </c>
      <c r="AJ93" s="247" t="s">
        <v>2247</v>
      </c>
      <c r="AK93" s="246" t="s">
        <v>2292</v>
      </c>
      <c r="AL93" s="249" t="s">
        <v>3501</v>
      </c>
      <c r="AM93" s="246" t="s">
        <v>4120</v>
      </c>
      <c r="AN93" s="247" t="s">
        <v>2078</v>
      </c>
      <c r="AO93" s="247" t="s">
        <v>3024</v>
      </c>
      <c r="AP93" s="247" t="s">
        <v>600</v>
      </c>
      <c r="AQ93" s="247" t="s">
        <v>1234</v>
      </c>
      <c r="AR93" s="246" t="s">
        <v>345</v>
      </c>
      <c r="AS93" s="246" t="s">
        <v>2988</v>
      </c>
      <c r="AT93" s="247" t="s">
        <v>13</v>
      </c>
      <c r="AU93" s="247"/>
    </row>
    <row r="94" spans="1:47" ht="15">
      <c r="A94" s="246">
        <v>93</v>
      </c>
      <c r="B94" s="246" t="s">
        <v>3097</v>
      </c>
      <c r="C94" s="246" t="s">
        <v>1460</v>
      </c>
      <c r="D94" s="246" t="s">
        <v>1468</v>
      </c>
      <c r="E94" s="247" t="s">
        <v>2843</v>
      </c>
      <c r="F94" s="246" t="s">
        <v>2669</v>
      </c>
      <c r="G94" s="246" t="s">
        <v>2712</v>
      </c>
      <c r="H94" s="247" t="s">
        <v>4180</v>
      </c>
      <c r="I94" s="246" t="s">
        <v>2886</v>
      </c>
      <c r="J94" s="246" t="s">
        <v>2910</v>
      </c>
      <c r="K94" s="247" t="s">
        <v>2773</v>
      </c>
      <c r="L94" s="246" t="s">
        <v>1460</v>
      </c>
      <c r="M94" s="246" t="s">
        <v>3097</v>
      </c>
      <c r="N94" s="247" t="s">
        <v>1306</v>
      </c>
      <c r="O94" s="247" t="s">
        <v>359</v>
      </c>
      <c r="P94" s="247" t="s">
        <v>2134</v>
      </c>
      <c r="Q94" s="247" t="s">
        <v>2773</v>
      </c>
      <c r="R94" s="247" t="s">
        <v>92</v>
      </c>
      <c r="S94" s="247" t="s">
        <v>305</v>
      </c>
      <c r="T94" s="254" t="s">
        <v>2328</v>
      </c>
      <c r="U94" s="246" t="s">
        <v>2712</v>
      </c>
      <c r="V94" s="247" t="s">
        <v>714</v>
      </c>
      <c r="W94" s="247" t="s">
        <v>396</v>
      </c>
      <c r="X94" s="246" t="s">
        <v>2025</v>
      </c>
      <c r="Y94" s="246" t="s">
        <v>3360</v>
      </c>
      <c r="Z94" s="246" t="s">
        <v>1826</v>
      </c>
      <c r="AA94" s="247" t="s">
        <v>2669</v>
      </c>
      <c r="AB94" s="246" t="s">
        <v>2484</v>
      </c>
      <c r="AC94" s="247" t="s">
        <v>600</v>
      </c>
      <c r="AD94" s="247" t="s">
        <v>2773</v>
      </c>
      <c r="AE94" s="247" t="s">
        <v>1175</v>
      </c>
      <c r="AF94" s="247" t="s">
        <v>2226</v>
      </c>
      <c r="AG94" s="247" t="s">
        <v>2217</v>
      </c>
      <c r="AH94" s="246" t="s">
        <v>2217</v>
      </c>
      <c r="AI94" s="246" t="s">
        <v>2226</v>
      </c>
      <c r="AJ94" s="247" t="s">
        <v>2248</v>
      </c>
      <c r="AK94" s="246" t="s">
        <v>971</v>
      </c>
      <c r="AL94" s="249" t="s">
        <v>3502</v>
      </c>
      <c r="AM94" s="246" t="s">
        <v>3984</v>
      </c>
      <c r="AN94" s="247" t="s">
        <v>2217</v>
      </c>
      <c r="AO94" s="247" t="s">
        <v>2217</v>
      </c>
      <c r="AP94" s="247" t="s">
        <v>600</v>
      </c>
      <c r="AQ94" s="247" t="s">
        <v>1235</v>
      </c>
      <c r="AR94" s="246" t="s">
        <v>2712</v>
      </c>
      <c r="AS94" s="246" t="s">
        <v>2669</v>
      </c>
      <c r="AT94" s="247" t="s">
        <v>3033</v>
      </c>
      <c r="AU94" s="247"/>
    </row>
    <row r="95" spans="1:47" ht="15">
      <c r="A95" s="246">
        <v>94</v>
      </c>
      <c r="B95" s="246" t="s">
        <v>3102</v>
      </c>
      <c r="C95" s="246" t="s">
        <v>1461</v>
      </c>
      <c r="D95" s="246" t="s">
        <v>1469</v>
      </c>
      <c r="E95" s="247" t="s">
        <v>2844</v>
      </c>
      <c r="F95" s="246" t="s">
        <v>2670</v>
      </c>
      <c r="G95" s="246" t="s">
        <v>2713</v>
      </c>
      <c r="H95" s="247" t="s">
        <v>4181</v>
      </c>
      <c r="I95" s="246" t="s">
        <v>2887</v>
      </c>
      <c r="J95" s="246" t="s">
        <v>2757</v>
      </c>
      <c r="K95" s="247" t="s">
        <v>2774</v>
      </c>
      <c r="L95" s="246" t="s">
        <v>1461</v>
      </c>
      <c r="M95" s="246" t="s">
        <v>3102</v>
      </c>
      <c r="N95" s="247" t="s">
        <v>1307</v>
      </c>
      <c r="O95" s="247" t="s">
        <v>360</v>
      </c>
      <c r="P95" s="247" t="s">
        <v>2135</v>
      </c>
      <c r="Q95" s="247" t="s">
        <v>2774</v>
      </c>
      <c r="R95" s="247" t="s">
        <v>93</v>
      </c>
      <c r="S95" s="247" t="s">
        <v>306</v>
      </c>
      <c r="T95" s="254" t="s">
        <v>2329</v>
      </c>
      <c r="U95" s="246" t="s">
        <v>2713</v>
      </c>
      <c r="V95" s="247" t="s">
        <v>715</v>
      </c>
      <c r="W95" s="247" t="s">
        <v>397</v>
      </c>
      <c r="X95" s="246" t="s">
        <v>441</v>
      </c>
      <c r="Y95" s="246" t="s">
        <v>2443</v>
      </c>
      <c r="Z95" s="246" t="s">
        <v>2475</v>
      </c>
      <c r="AA95" s="247" t="s">
        <v>4121</v>
      </c>
      <c r="AB95" s="246" t="s">
        <v>2485</v>
      </c>
      <c r="AC95" s="247" t="s">
        <v>601</v>
      </c>
      <c r="AD95" s="247" t="s">
        <v>2774</v>
      </c>
      <c r="AE95" s="247" t="s">
        <v>1176</v>
      </c>
      <c r="AF95" s="247" t="s">
        <v>2757</v>
      </c>
      <c r="AG95" s="247" t="s">
        <v>2218</v>
      </c>
      <c r="AH95" s="246" t="s">
        <v>2218</v>
      </c>
      <c r="AI95" s="246" t="s">
        <v>2757</v>
      </c>
      <c r="AJ95" s="247" t="s">
        <v>2249</v>
      </c>
      <c r="AK95" s="246" t="s">
        <v>2293</v>
      </c>
      <c r="AL95" s="249" t="s">
        <v>1125</v>
      </c>
      <c r="AM95" s="246" t="s">
        <v>4122</v>
      </c>
      <c r="AN95" s="247" t="s">
        <v>2218</v>
      </c>
      <c r="AO95" s="247" t="s">
        <v>2218</v>
      </c>
      <c r="AP95" s="247" t="s">
        <v>601</v>
      </c>
      <c r="AQ95" s="247" t="s">
        <v>1236</v>
      </c>
      <c r="AR95" s="246" t="s">
        <v>2713</v>
      </c>
      <c r="AS95" s="246" t="s">
        <v>2670</v>
      </c>
      <c r="AT95" s="247" t="s">
        <v>3034</v>
      </c>
      <c r="AU95" s="247"/>
    </row>
    <row r="96" spans="1:47" ht="15">
      <c r="A96" s="246">
        <v>95</v>
      </c>
      <c r="B96" s="246" t="s">
        <v>3103</v>
      </c>
      <c r="C96" s="246" t="s">
        <v>1462</v>
      </c>
      <c r="D96" s="246" t="s">
        <v>1470</v>
      </c>
      <c r="E96" s="247" t="s">
        <v>2845</v>
      </c>
      <c r="F96" s="246" t="s">
        <v>2671</v>
      </c>
      <c r="G96" s="246" t="s">
        <v>2714</v>
      </c>
      <c r="H96" s="247" t="s">
        <v>4182</v>
      </c>
      <c r="I96" s="246" t="s">
        <v>2888</v>
      </c>
      <c r="J96" s="246" t="s">
        <v>2758</v>
      </c>
      <c r="K96" s="247" t="s">
        <v>2775</v>
      </c>
      <c r="L96" s="246" t="s">
        <v>1462</v>
      </c>
      <c r="M96" s="246" t="s">
        <v>3103</v>
      </c>
      <c r="N96" s="247" t="s">
        <v>1308</v>
      </c>
      <c r="O96" s="247" t="s">
        <v>361</v>
      </c>
      <c r="P96" s="247" t="s">
        <v>2136</v>
      </c>
      <c r="Q96" s="247" t="s">
        <v>2775</v>
      </c>
      <c r="R96" s="247" t="s">
        <v>94</v>
      </c>
      <c r="S96" s="247" t="s">
        <v>307</v>
      </c>
      <c r="T96" s="254" t="s">
        <v>388</v>
      </c>
      <c r="U96" s="246" t="s">
        <v>2714</v>
      </c>
      <c r="V96" s="247" t="s">
        <v>716</v>
      </c>
      <c r="W96" s="247" t="s">
        <v>398</v>
      </c>
      <c r="X96" s="246" t="s">
        <v>442</v>
      </c>
      <c r="Y96" s="246" t="s">
        <v>2444</v>
      </c>
      <c r="Z96" s="246" t="s">
        <v>2476</v>
      </c>
      <c r="AA96" s="247" t="s">
        <v>2671</v>
      </c>
      <c r="AB96" s="246" t="s">
        <v>2486</v>
      </c>
      <c r="AC96" s="247" t="s">
        <v>602</v>
      </c>
      <c r="AD96" s="247" t="s">
        <v>2775</v>
      </c>
      <c r="AE96" s="247" t="s">
        <v>1177</v>
      </c>
      <c r="AF96" s="247" t="s">
        <v>2758</v>
      </c>
      <c r="AG96" s="247" t="s">
        <v>2219</v>
      </c>
      <c r="AH96" s="246" t="s">
        <v>2219</v>
      </c>
      <c r="AI96" s="246" t="s">
        <v>2758</v>
      </c>
      <c r="AJ96" s="247" t="s">
        <v>2250</v>
      </c>
      <c r="AK96" s="246" t="s">
        <v>2294</v>
      </c>
      <c r="AL96" s="249" t="s">
        <v>1126</v>
      </c>
      <c r="AM96" s="246" t="s">
        <v>4123</v>
      </c>
      <c r="AN96" s="247" t="s">
        <v>2219</v>
      </c>
      <c r="AO96" s="247" t="s">
        <v>2219</v>
      </c>
      <c r="AP96" s="247" t="s">
        <v>622</v>
      </c>
      <c r="AQ96" s="247" t="s">
        <v>1237</v>
      </c>
      <c r="AR96" s="246" t="s">
        <v>2714</v>
      </c>
      <c r="AS96" s="246" t="s">
        <v>2671</v>
      </c>
      <c r="AT96" s="247" t="s">
        <v>3035</v>
      </c>
      <c r="AU96" s="247"/>
    </row>
    <row r="97" spans="1:47" ht="15">
      <c r="A97" s="246">
        <v>96</v>
      </c>
      <c r="B97" s="246" t="s">
        <v>3104</v>
      </c>
      <c r="C97" s="246" t="s">
        <v>1463</v>
      </c>
      <c r="D97" s="246" t="s">
        <v>1471</v>
      </c>
      <c r="E97" s="247" t="s">
        <v>2846</v>
      </c>
      <c r="F97" s="246" t="s">
        <v>2672</v>
      </c>
      <c r="G97" s="246" t="s">
        <v>2715</v>
      </c>
      <c r="H97" s="247" t="s">
        <v>4183</v>
      </c>
      <c r="I97" s="246" t="s">
        <v>2889</v>
      </c>
      <c r="J97" s="246" t="s">
        <v>2759</v>
      </c>
      <c r="K97" s="247" t="s">
        <v>2776</v>
      </c>
      <c r="L97" s="246" t="s">
        <v>1463</v>
      </c>
      <c r="M97" s="246" t="s">
        <v>3104</v>
      </c>
      <c r="N97" s="247" t="s">
        <v>1309</v>
      </c>
      <c r="O97" s="247" t="s">
        <v>362</v>
      </c>
      <c r="P97" s="247" t="s">
        <v>2137</v>
      </c>
      <c r="Q97" s="247" t="s">
        <v>2776</v>
      </c>
      <c r="R97" s="247" t="s">
        <v>95</v>
      </c>
      <c r="S97" s="247" t="s">
        <v>308</v>
      </c>
      <c r="T97" s="254" t="s">
        <v>389</v>
      </c>
      <c r="U97" s="246" t="s">
        <v>2715</v>
      </c>
      <c r="V97" s="247" t="s">
        <v>717</v>
      </c>
      <c r="W97" s="247" t="s">
        <v>399</v>
      </c>
      <c r="X97" s="246" t="s">
        <v>443</v>
      </c>
      <c r="Y97" s="246" t="s">
        <v>2445</v>
      </c>
      <c r="Z97" s="246" t="s">
        <v>2477</v>
      </c>
      <c r="AA97" s="247" t="s">
        <v>2672</v>
      </c>
      <c r="AB97" s="246" t="s">
        <v>2487</v>
      </c>
      <c r="AC97" s="247" t="s">
        <v>603</v>
      </c>
      <c r="AD97" s="247" t="s">
        <v>2776</v>
      </c>
      <c r="AE97" s="247" t="s">
        <v>1178</v>
      </c>
      <c r="AF97" s="247" t="s">
        <v>2759</v>
      </c>
      <c r="AG97" s="247" t="s">
        <v>2220</v>
      </c>
      <c r="AH97" s="246" t="s">
        <v>2220</v>
      </c>
      <c r="AI97" s="246" t="s">
        <v>2759</v>
      </c>
      <c r="AJ97" s="247" t="s">
        <v>2251</v>
      </c>
      <c r="AK97" s="246" t="s">
        <v>2295</v>
      </c>
      <c r="AL97" s="249" t="s">
        <v>1127</v>
      </c>
      <c r="AM97" s="246" t="s">
        <v>4124</v>
      </c>
      <c r="AN97" s="247" t="s">
        <v>2220</v>
      </c>
      <c r="AO97" s="247" t="s">
        <v>2220</v>
      </c>
      <c r="AP97" s="247" t="s">
        <v>603</v>
      </c>
      <c r="AQ97" s="247" t="s">
        <v>1238</v>
      </c>
      <c r="AR97" s="246" t="s">
        <v>2715</v>
      </c>
      <c r="AS97" s="246" t="s">
        <v>2672</v>
      </c>
      <c r="AT97" s="247" t="s">
        <v>3036</v>
      </c>
      <c r="AU97" s="247"/>
    </row>
    <row r="98" spans="1:47" ht="15">
      <c r="A98" s="246">
        <v>97</v>
      </c>
      <c r="B98" s="246" t="s">
        <v>854</v>
      </c>
      <c r="C98" s="246" t="s">
        <v>1464</v>
      </c>
      <c r="D98" s="246" t="s">
        <v>1472</v>
      </c>
      <c r="E98" s="247" t="s">
        <v>2847</v>
      </c>
      <c r="F98" s="246" t="s">
        <v>2673</v>
      </c>
      <c r="G98" s="246" t="s">
        <v>2716</v>
      </c>
      <c r="H98" s="247" t="s">
        <v>4184</v>
      </c>
      <c r="I98" s="246" t="s">
        <v>2890</v>
      </c>
      <c r="J98" s="246" t="s">
        <v>2760</v>
      </c>
      <c r="K98" s="247" t="s">
        <v>2777</v>
      </c>
      <c r="L98" s="246" t="s">
        <v>1464</v>
      </c>
      <c r="M98" s="246" t="s">
        <v>854</v>
      </c>
      <c r="N98" s="247" t="s">
        <v>354</v>
      </c>
      <c r="O98" s="247" t="s">
        <v>363</v>
      </c>
      <c r="P98" s="247" t="s">
        <v>2138</v>
      </c>
      <c r="Q98" s="247" t="s">
        <v>2777</v>
      </c>
      <c r="R98" s="247" t="s">
        <v>96</v>
      </c>
      <c r="S98" s="247" t="s">
        <v>309</v>
      </c>
      <c r="T98" s="254" t="s">
        <v>390</v>
      </c>
      <c r="U98" s="246" t="s">
        <v>2716</v>
      </c>
      <c r="V98" s="247" t="s">
        <v>718</v>
      </c>
      <c r="W98" s="247" t="s">
        <v>400</v>
      </c>
      <c r="X98" s="246" t="s">
        <v>444</v>
      </c>
      <c r="Y98" s="246" t="s">
        <v>2446</v>
      </c>
      <c r="Z98" s="246" t="s">
        <v>2478</v>
      </c>
      <c r="AA98" s="247" t="s">
        <v>2673</v>
      </c>
      <c r="AB98" s="246" t="s">
        <v>2488</v>
      </c>
      <c r="AC98" s="247" t="s">
        <v>604</v>
      </c>
      <c r="AD98" s="247" t="s">
        <v>2777</v>
      </c>
      <c r="AE98" s="247" t="s">
        <v>1179</v>
      </c>
      <c r="AF98" s="247" t="s">
        <v>2760</v>
      </c>
      <c r="AG98" s="247" t="s">
        <v>2221</v>
      </c>
      <c r="AH98" s="246" t="s">
        <v>2221</v>
      </c>
      <c r="AI98" s="246" t="s">
        <v>2760</v>
      </c>
      <c r="AJ98" s="247" t="s">
        <v>2252</v>
      </c>
      <c r="AK98" s="246" t="s">
        <v>2296</v>
      </c>
      <c r="AL98" s="249" t="s">
        <v>1128</v>
      </c>
      <c r="AM98" s="246" t="s">
        <v>4125</v>
      </c>
      <c r="AN98" s="247" t="s">
        <v>2221</v>
      </c>
      <c r="AO98" s="247" t="s">
        <v>2221</v>
      </c>
      <c r="AP98" s="247" t="s">
        <v>604</v>
      </c>
      <c r="AQ98" s="247" t="s">
        <v>1133</v>
      </c>
      <c r="AR98" s="246" t="s">
        <v>2716</v>
      </c>
      <c r="AS98" s="246" t="s">
        <v>2673</v>
      </c>
      <c r="AT98" s="247" t="s">
        <v>3037</v>
      </c>
      <c r="AU98" s="247"/>
    </row>
    <row r="99" spans="1:47" ht="15">
      <c r="A99" s="246">
        <v>98</v>
      </c>
      <c r="B99" s="246" t="s">
        <v>855</v>
      </c>
      <c r="C99" s="246" t="s">
        <v>1465</v>
      </c>
      <c r="D99" s="246" t="s">
        <v>1473</v>
      </c>
      <c r="E99" s="247" t="s">
        <v>2848</v>
      </c>
      <c r="F99" s="246" t="s">
        <v>2674</v>
      </c>
      <c r="G99" s="246" t="s">
        <v>2717</v>
      </c>
      <c r="H99" s="247" t="s">
        <v>4185</v>
      </c>
      <c r="I99" s="246" t="s">
        <v>2891</v>
      </c>
      <c r="J99" s="246" t="s">
        <v>2761</v>
      </c>
      <c r="K99" s="247" t="s">
        <v>2778</v>
      </c>
      <c r="L99" s="246" t="s">
        <v>1465</v>
      </c>
      <c r="M99" s="246" t="s">
        <v>855</v>
      </c>
      <c r="N99" s="247" t="s">
        <v>355</v>
      </c>
      <c r="O99" s="247" t="s">
        <v>364</v>
      </c>
      <c r="P99" s="247" t="s">
        <v>2139</v>
      </c>
      <c r="Q99" s="247" t="s">
        <v>2778</v>
      </c>
      <c r="R99" s="247" t="s">
        <v>97</v>
      </c>
      <c r="S99" s="247" t="s">
        <v>310</v>
      </c>
      <c r="T99" s="254" t="s">
        <v>391</v>
      </c>
      <c r="U99" s="246" t="s">
        <v>2717</v>
      </c>
      <c r="V99" s="247" t="s">
        <v>719</v>
      </c>
      <c r="W99" s="247" t="s">
        <v>401</v>
      </c>
      <c r="X99" s="246" t="s">
        <v>445</v>
      </c>
      <c r="Y99" s="246" t="s">
        <v>2447</v>
      </c>
      <c r="Z99" s="246" t="s">
        <v>2479</v>
      </c>
      <c r="AA99" s="247" t="s">
        <v>1852</v>
      </c>
      <c r="AB99" s="246" t="s">
        <v>2489</v>
      </c>
      <c r="AC99" s="247" t="s">
        <v>605</v>
      </c>
      <c r="AD99" s="247" t="s">
        <v>2778</v>
      </c>
      <c r="AE99" s="247" t="s">
        <v>1180</v>
      </c>
      <c r="AF99" s="247" t="s">
        <v>2761</v>
      </c>
      <c r="AG99" s="247" t="s">
        <v>2222</v>
      </c>
      <c r="AH99" s="246" t="s">
        <v>2222</v>
      </c>
      <c r="AI99" s="246" t="s">
        <v>2761</v>
      </c>
      <c r="AJ99" s="247" t="s">
        <v>2253</v>
      </c>
      <c r="AK99" s="246" t="s">
        <v>2297</v>
      </c>
      <c r="AL99" s="249" t="s">
        <v>1129</v>
      </c>
      <c r="AM99" s="246" t="s">
        <v>4126</v>
      </c>
      <c r="AN99" s="247" t="s">
        <v>2222</v>
      </c>
      <c r="AO99" s="247" t="s">
        <v>2222</v>
      </c>
      <c r="AP99" s="247" t="s">
        <v>605</v>
      </c>
      <c r="AQ99" s="247" t="s">
        <v>1239</v>
      </c>
      <c r="AR99" s="246" t="s">
        <v>2717</v>
      </c>
      <c r="AS99" s="246" t="s">
        <v>1852</v>
      </c>
      <c r="AT99" s="247" t="s">
        <v>3038</v>
      </c>
      <c r="AU99" s="247"/>
    </row>
    <row r="100" spans="1:47" ht="15">
      <c r="A100" s="246">
        <v>99</v>
      </c>
      <c r="B100" s="246" t="s">
        <v>856</v>
      </c>
      <c r="C100" s="246" t="s">
        <v>1466</v>
      </c>
      <c r="D100" s="246" t="s">
        <v>1474</v>
      </c>
      <c r="E100" s="247" t="s">
        <v>2849</v>
      </c>
      <c r="F100" s="246" t="s">
        <v>2675</v>
      </c>
      <c r="G100" s="246" t="s">
        <v>2718</v>
      </c>
      <c r="H100" s="247" t="s">
        <v>4186</v>
      </c>
      <c r="I100" s="246" t="s">
        <v>2892</v>
      </c>
      <c r="J100" s="246" t="s">
        <v>2762</v>
      </c>
      <c r="K100" s="247" t="s">
        <v>2779</v>
      </c>
      <c r="L100" s="246" t="s">
        <v>1466</v>
      </c>
      <c r="M100" s="246" t="s">
        <v>856</v>
      </c>
      <c r="N100" s="247" t="s">
        <v>356</v>
      </c>
      <c r="O100" s="247" t="s">
        <v>365</v>
      </c>
      <c r="P100" s="247" t="s">
        <v>2140</v>
      </c>
      <c r="Q100" s="247" t="s">
        <v>2779</v>
      </c>
      <c r="R100" s="247" t="s">
        <v>98</v>
      </c>
      <c r="S100" s="247" t="s">
        <v>311</v>
      </c>
      <c r="T100" s="254" t="s">
        <v>392</v>
      </c>
      <c r="U100" s="246" t="s">
        <v>2718</v>
      </c>
      <c r="V100" s="247" t="s">
        <v>720</v>
      </c>
      <c r="W100" s="247" t="s">
        <v>402</v>
      </c>
      <c r="X100" s="246" t="s">
        <v>446</v>
      </c>
      <c r="Y100" s="246" t="s">
        <v>2448</v>
      </c>
      <c r="Z100" s="246" t="s">
        <v>2480</v>
      </c>
      <c r="AA100" s="247" t="s">
        <v>1853</v>
      </c>
      <c r="AB100" s="246" t="s">
        <v>2490</v>
      </c>
      <c r="AC100" s="247" t="s">
        <v>606</v>
      </c>
      <c r="AD100" s="247" t="s">
        <v>2779</v>
      </c>
      <c r="AE100" s="247" t="s">
        <v>1181</v>
      </c>
      <c r="AF100" s="247" t="s">
        <v>2762</v>
      </c>
      <c r="AG100" s="247" t="s">
        <v>2223</v>
      </c>
      <c r="AH100" s="246" t="s">
        <v>2223</v>
      </c>
      <c r="AI100" s="246" t="s">
        <v>2762</v>
      </c>
      <c r="AJ100" s="247" t="s">
        <v>2254</v>
      </c>
      <c r="AK100" s="246" t="s">
        <v>2298</v>
      </c>
      <c r="AL100" s="249" t="s">
        <v>1130</v>
      </c>
      <c r="AM100" s="246" t="s">
        <v>4127</v>
      </c>
      <c r="AN100" s="247" t="s">
        <v>2223</v>
      </c>
      <c r="AO100" s="247" t="s">
        <v>2223</v>
      </c>
      <c r="AP100" s="247" t="s">
        <v>606</v>
      </c>
      <c r="AQ100" s="247" t="s">
        <v>1240</v>
      </c>
      <c r="AR100" s="246" t="s">
        <v>2718</v>
      </c>
      <c r="AS100" s="246" t="s">
        <v>1853</v>
      </c>
      <c r="AT100" s="247" t="s">
        <v>3039</v>
      </c>
      <c r="AU100" s="247"/>
    </row>
    <row r="101" spans="1:47" ht="15">
      <c r="A101" s="246">
        <v>100</v>
      </c>
      <c r="B101" s="246" t="s">
        <v>857</v>
      </c>
      <c r="C101" s="246" t="s">
        <v>1467</v>
      </c>
      <c r="D101" s="246" t="s">
        <v>1475</v>
      </c>
      <c r="E101" s="247" t="s">
        <v>2850</v>
      </c>
      <c r="F101" s="246" t="s">
        <v>2676</v>
      </c>
      <c r="G101" s="246" t="s">
        <v>2719</v>
      </c>
      <c r="H101" s="247" t="s">
        <v>4187</v>
      </c>
      <c r="I101" s="246" t="s">
        <v>2893</v>
      </c>
      <c r="J101" s="246" t="s">
        <v>2763</v>
      </c>
      <c r="K101" s="247" t="s">
        <v>2780</v>
      </c>
      <c r="L101" s="246" t="s">
        <v>1467</v>
      </c>
      <c r="M101" s="246" t="s">
        <v>857</v>
      </c>
      <c r="N101" s="247" t="s">
        <v>357</v>
      </c>
      <c r="O101" s="247" t="s">
        <v>366</v>
      </c>
      <c r="P101" s="247" t="s">
        <v>2141</v>
      </c>
      <c r="Q101" s="247" t="s">
        <v>2780</v>
      </c>
      <c r="R101" s="247" t="s">
        <v>99</v>
      </c>
      <c r="S101" s="247" t="s">
        <v>312</v>
      </c>
      <c r="T101" s="254" t="s">
        <v>393</v>
      </c>
      <c r="U101" s="246" t="s">
        <v>2719</v>
      </c>
      <c r="V101" s="247" t="s">
        <v>721</v>
      </c>
      <c r="W101" s="247" t="s">
        <v>403</v>
      </c>
      <c r="X101" s="246" t="s">
        <v>447</v>
      </c>
      <c r="Y101" s="246" t="s">
        <v>2449</v>
      </c>
      <c r="Z101" s="246" t="s">
        <v>2481</v>
      </c>
      <c r="AA101" s="247" t="s">
        <v>2676</v>
      </c>
      <c r="AB101" s="246" t="s">
        <v>2491</v>
      </c>
      <c r="AC101" s="247" t="s">
        <v>607</v>
      </c>
      <c r="AD101" s="247" t="s">
        <v>2780</v>
      </c>
      <c r="AE101" s="247" t="s">
        <v>1182</v>
      </c>
      <c r="AF101" s="247" t="s">
        <v>2763</v>
      </c>
      <c r="AG101" s="247" t="s">
        <v>2224</v>
      </c>
      <c r="AH101" s="246" t="s">
        <v>2224</v>
      </c>
      <c r="AI101" s="246" t="s">
        <v>2763</v>
      </c>
      <c r="AJ101" s="247" t="s">
        <v>2255</v>
      </c>
      <c r="AK101" s="246" t="s">
        <v>2299</v>
      </c>
      <c r="AL101" s="249" t="s">
        <v>1131</v>
      </c>
      <c r="AM101" s="246" t="s">
        <v>4128</v>
      </c>
      <c r="AN101" s="247" t="s">
        <v>2224</v>
      </c>
      <c r="AO101" s="247" t="s">
        <v>2224</v>
      </c>
      <c r="AP101" s="247" t="s">
        <v>607</v>
      </c>
      <c r="AQ101" s="247" t="s">
        <v>1241</v>
      </c>
      <c r="AR101" s="246" t="s">
        <v>2719</v>
      </c>
      <c r="AS101" s="246" t="s">
        <v>2676</v>
      </c>
      <c r="AT101" s="247" t="s">
        <v>3040</v>
      </c>
      <c r="AU101" s="247"/>
    </row>
    <row r="102" spans="1:47" ht="15">
      <c r="A102" s="246">
        <v>101</v>
      </c>
      <c r="B102" s="246" t="s">
        <v>470</v>
      </c>
      <c r="C102" s="246" t="s">
        <v>216</v>
      </c>
      <c r="D102" s="246" t="s">
        <v>4129</v>
      </c>
      <c r="E102" s="247" t="s">
        <v>2851</v>
      </c>
      <c r="F102" s="246" t="s">
        <v>220</v>
      </c>
      <c r="G102" s="246" t="s">
        <v>230</v>
      </c>
      <c r="H102" s="247" t="s">
        <v>4188</v>
      </c>
      <c r="I102" s="247" t="s">
        <v>680</v>
      </c>
      <c r="J102" s="246" t="s">
        <v>236</v>
      </c>
      <c r="K102" s="247" t="s">
        <v>1325</v>
      </c>
      <c r="L102" s="246" t="s">
        <v>1511</v>
      </c>
      <c r="M102" s="246" t="s">
        <v>470</v>
      </c>
      <c r="N102" s="247" t="s">
        <v>2190</v>
      </c>
      <c r="O102" s="247" t="s">
        <v>2569</v>
      </c>
      <c r="P102" s="246" t="s">
        <v>2142</v>
      </c>
      <c r="Q102" s="247" t="s">
        <v>198</v>
      </c>
      <c r="R102" s="247" t="s">
        <v>20</v>
      </c>
      <c r="S102" s="247" t="s">
        <v>313</v>
      </c>
      <c r="T102" s="254" t="s">
        <v>2330</v>
      </c>
      <c r="U102" s="246" t="s">
        <v>226</v>
      </c>
      <c r="V102" s="247" t="s">
        <v>722</v>
      </c>
      <c r="W102" s="247" t="s">
        <v>2043</v>
      </c>
      <c r="X102" s="246" t="s">
        <v>24</v>
      </c>
      <c r="Y102" s="246" t="s">
        <v>30</v>
      </c>
      <c r="Z102" s="246" t="s">
        <v>470</v>
      </c>
      <c r="AA102" s="247" t="s">
        <v>4130</v>
      </c>
      <c r="AB102" s="246" t="s">
        <v>3427</v>
      </c>
      <c r="AC102" s="247" t="s">
        <v>36</v>
      </c>
      <c r="AD102" s="247" t="s">
        <v>277</v>
      </c>
      <c r="AE102" s="247" t="s">
        <v>1183</v>
      </c>
      <c r="AF102" s="247" t="s">
        <v>155</v>
      </c>
      <c r="AG102" s="247" t="s">
        <v>1563</v>
      </c>
      <c r="AH102" s="246" t="s">
        <v>41</v>
      </c>
      <c r="AI102" s="246" t="s">
        <v>1066</v>
      </c>
      <c r="AJ102" s="247" t="s">
        <v>43</v>
      </c>
      <c r="AK102" s="246" t="s">
        <v>47</v>
      </c>
      <c r="AL102" s="249" t="s">
        <v>3503</v>
      </c>
      <c r="AM102" s="246" t="s">
        <v>4131</v>
      </c>
      <c r="AN102" s="247" t="s">
        <v>2079</v>
      </c>
      <c r="AO102" s="247" t="s">
        <v>3025</v>
      </c>
      <c r="AP102" s="247" t="s">
        <v>205</v>
      </c>
      <c r="AQ102" s="247" t="s">
        <v>4132</v>
      </c>
      <c r="AR102" s="246" t="s">
        <v>55</v>
      </c>
      <c r="AS102" s="246" t="s">
        <v>1854</v>
      </c>
      <c r="AT102" s="247" t="s">
        <v>14</v>
      </c>
      <c r="AU102" s="247"/>
    </row>
    <row r="103" spans="1:47" ht="15">
      <c r="A103" s="246">
        <v>102</v>
      </c>
      <c r="B103" s="246" t="s">
        <v>471</v>
      </c>
      <c r="C103" s="246" t="s">
        <v>217</v>
      </c>
      <c r="D103" s="246" t="s">
        <v>4133</v>
      </c>
      <c r="E103" s="247" t="s">
        <v>2852</v>
      </c>
      <c r="F103" s="246" t="s">
        <v>221</v>
      </c>
      <c r="G103" s="246" t="s">
        <v>231</v>
      </c>
      <c r="H103" s="247" t="s">
        <v>4189</v>
      </c>
      <c r="I103" s="247" t="s">
        <v>681</v>
      </c>
      <c r="J103" s="246" t="s">
        <v>237</v>
      </c>
      <c r="K103" s="247" t="s">
        <v>1326</v>
      </c>
      <c r="L103" s="246" t="s">
        <v>1512</v>
      </c>
      <c r="M103" s="246" t="s">
        <v>471</v>
      </c>
      <c r="N103" s="247" t="s">
        <v>2191</v>
      </c>
      <c r="O103" s="247" t="s">
        <v>2570</v>
      </c>
      <c r="P103" s="246" t="s">
        <v>2143</v>
      </c>
      <c r="Q103" s="247" t="s">
        <v>199</v>
      </c>
      <c r="R103" s="247" t="s">
        <v>21</v>
      </c>
      <c r="S103" s="247" t="s">
        <v>314</v>
      </c>
      <c r="T103" s="254" t="s">
        <v>2331</v>
      </c>
      <c r="U103" s="246" t="s">
        <v>227</v>
      </c>
      <c r="V103" s="247" t="s">
        <v>723</v>
      </c>
      <c r="W103" s="247" t="s">
        <v>2044</v>
      </c>
      <c r="X103" s="246" t="s">
        <v>25</v>
      </c>
      <c r="Y103" s="246" t="s">
        <v>31</v>
      </c>
      <c r="Z103" s="246" t="s">
        <v>471</v>
      </c>
      <c r="AA103" s="247" t="s">
        <v>4134</v>
      </c>
      <c r="AB103" s="246" t="s">
        <v>3428</v>
      </c>
      <c r="AC103" s="247" t="s">
        <v>237</v>
      </c>
      <c r="AD103" s="247" t="s">
        <v>278</v>
      </c>
      <c r="AE103" s="247" t="s">
        <v>1184</v>
      </c>
      <c r="AF103" s="247" t="s">
        <v>156</v>
      </c>
      <c r="AG103" s="247" t="s">
        <v>1564</v>
      </c>
      <c r="AH103" s="246" t="s">
        <v>2371</v>
      </c>
      <c r="AI103" s="246" t="s">
        <v>1067</v>
      </c>
      <c r="AJ103" s="247" t="s">
        <v>44</v>
      </c>
      <c r="AK103" s="246" t="s">
        <v>48</v>
      </c>
      <c r="AL103" s="249" t="s">
        <v>3504</v>
      </c>
      <c r="AM103" s="246" t="s">
        <v>4135</v>
      </c>
      <c r="AN103" s="247" t="s">
        <v>2080</v>
      </c>
      <c r="AO103" s="247" t="s">
        <v>3026</v>
      </c>
      <c r="AP103" s="247" t="s">
        <v>206</v>
      </c>
      <c r="AQ103" s="247" t="s">
        <v>4136</v>
      </c>
      <c r="AR103" s="246" t="s">
        <v>56</v>
      </c>
      <c r="AS103" s="246" t="s">
        <v>1855</v>
      </c>
      <c r="AT103" s="247" t="s">
        <v>15</v>
      </c>
      <c r="AU103" s="247"/>
    </row>
    <row r="104" spans="1:47" ht="15">
      <c r="A104" s="246">
        <v>103</v>
      </c>
      <c r="B104" s="246" t="s">
        <v>472</v>
      </c>
      <c r="C104" s="246" t="s">
        <v>218</v>
      </c>
      <c r="D104" s="246" t="s">
        <v>4137</v>
      </c>
      <c r="E104" s="247" t="s">
        <v>2853</v>
      </c>
      <c r="F104" s="246" t="s">
        <v>222</v>
      </c>
      <c r="G104" s="246" t="s">
        <v>232</v>
      </c>
      <c r="H104" s="247" t="s">
        <v>4190</v>
      </c>
      <c r="I104" s="247" t="s">
        <v>682</v>
      </c>
      <c r="J104" s="246" t="s">
        <v>2186</v>
      </c>
      <c r="K104" s="247" t="s">
        <v>1327</v>
      </c>
      <c r="L104" s="246" t="s">
        <v>1513</v>
      </c>
      <c r="M104" s="246" t="s">
        <v>472</v>
      </c>
      <c r="N104" s="247" t="s">
        <v>2192</v>
      </c>
      <c r="O104" s="247" t="s">
        <v>2571</v>
      </c>
      <c r="P104" s="246" t="s">
        <v>2144</v>
      </c>
      <c r="Q104" s="247" t="s">
        <v>3442</v>
      </c>
      <c r="R104" s="247" t="s">
        <v>22</v>
      </c>
      <c r="S104" s="247" t="s">
        <v>315</v>
      </c>
      <c r="T104" s="254" t="s">
        <v>2332</v>
      </c>
      <c r="U104" s="246" t="s">
        <v>228</v>
      </c>
      <c r="V104" s="247" t="s">
        <v>724</v>
      </c>
      <c r="W104" s="247" t="s">
        <v>2045</v>
      </c>
      <c r="X104" s="246" t="s">
        <v>26</v>
      </c>
      <c r="Y104" s="246" t="s">
        <v>32</v>
      </c>
      <c r="Z104" s="246" t="s">
        <v>472</v>
      </c>
      <c r="AA104" s="247" t="s">
        <v>4138</v>
      </c>
      <c r="AB104" s="246" t="s">
        <v>3429</v>
      </c>
      <c r="AC104" s="247" t="s">
        <v>37</v>
      </c>
      <c r="AD104" s="247" t="s">
        <v>279</v>
      </c>
      <c r="AE104" s="247" t="s">
        <v>1185</v>
      </c>
      <c r="AF104" s="247" t="s">
        <v>157</v>
      </c>
      <c r="AG104" s="247" t="s">
        <v>1565</v>
      </c>
      <c r="AH104" s="246" t="s">
        <v>42</v>
      </c>
      <c r="AI104" s="246" t="s">
        <v>1068</v>
      </c>
      <c r="AJ104" s="247" t="s">
        <v>45</v>
      </c>
      <c r="AK104" s="246" t="s">
        <v>49</v>
      </c>
      <c r="AL104" s="249" t="s">
        <v>3505</v>
      </c>
      <c r="AM104" s="246" t="s">
        <v>4139</v>
      </c>
      <c r="AN104" s="247" t="s">
        <v>2081</v>
      </c>
      <c r="AO104" s="247" t="s">
        <v>3027</v>
      </c>
      <c r="AP104" s="247" t="s">
        <v>207</v>
      </c>
      <c r="AQ104" s="247" t="s">
        <v>4140</v>
      </c>
      <c r="AR104" s="246" t="s">
        <v>57</v>
      </c>
      <c r="AS104" s="246" t="s">
        <v>1856</v>
      </c>
      <c r="AT104" s="247" t="s">
        <v>16</v>
      </c>
      <c r="AU104" s="247"/>
    </row>
    <row r="105" spans="1:47" ht="15">
      <c r="A105" s="246">
        <v>104</v>
      </c>
      <c r="B105" s="246" t="s">
        <v>473</v>
      </c>
      <c r="C105" s="246" t="s">
        <v>219</v>
      </c>
      <c r="D105" s="246" t="s">
        <v>4141</v>
      </c>
      <c r="E105" s="247" t="s">
        <v>2854</v>
      </c>
      <c r="F105" s="246" t="s">
        <v>223</v>
      </c>
      <c r="G105" s="246" t="s">
        <v>233</v>
      </c>
      <c r="H105" s="247" t="s">
        <v>4191</v>
      </c>
      <c r="I105" s="247" t="s">
        <v>683</v>
      </c>
      <c r="J105" s="246" t="s">
        <v>2187</v>
      </c>
      <c r="K105" s="247" t="s">
        <v>1328</v>
      </c>
      <c r="L105" s="246" t="s">
        <v>1514</v>
      </c>
      <c r="M105" s="246" t="s">
        <v>473</v>
      </c>
      <c r="N105" s="247" t="s">
        <v>2193</v>
      </c>
      <c r="O105" s="247" t="s">
        <v>2572</v>
      </c>
      <c r="P105" s="246" t="s">
        <v>2145</v>
      </c>
      <c r="Q105" s="247" t="s">
        <v>3443</v>
      </c>
      <c r="R105" s="247" t="s">
        <v>23</v>
      </c>
      <c r="S105" s="247" t="s">
        <v>316</v>
      </c>
      <c r="T105" s="254" t="s">
        <v>2333</v>
      </c>
      <c r="U105" s="246" t="s">
        <v>229</v>
      </c>
      <c r="V105" s="247" t="s">
        <v>725</v>
      </c>
      <c r="W105" s="247" t="s">
        <v>2046</v>
      </c>
      <c r="X105" s="246" t="s">
        <v>27</v>
      </c>
      <c r="Y105" s="246" t="s">
        <v>33</v>
      </c>
      <c r="Z105" s="246" t="s">
        <v>473</v>
      </c>
      <c r="AA105" s="247" t="s">
        <v>4142</v>
      </c>
      <c r="AB105" s="246" t="s">
        <v>3430</v>
      </c>
      <c r="AC105" s="247" t="s">
        <v>38</v>
      </c>
      <c r="AD105" s="247" t="s">
        <v>280</v>
      </c>
      <c r="AE105" s="247" t="s">
        <v>1186</v>
      </c>
      <c r="AF105" s="247" t="s">
        <v>158</v>
      </c>
      <c r="AG105" s="247" t="s">
        <v>1566</v>
      </c>
      <c r="AH105" s="246" t="s">
        <v>2372</v>
      </c>
      <c r="AI105" s="246" t="s">
        <v>1069</v>
      </c>
      <c r="AJ105" s="247" t="s">
        <v>46</v>
      </c>
      <c r="AK105" s="246" t="s">
        <v>50</v>
      </c>
      <c r="AL105" s="249" t="s">
        <v>3506</v>
      </c>
      <c r="AM105" s="246" t="s">
        <v>4143</v>
      </c>
      <c r="AN105" s="247" t="s">
        <v>2082</v>
      </c>
      <c r="AO105" s="247" t="s">
        <v>3028</v>
      </c>
      <c r="AP105" s="247" t="s">
        <v>208</v>
      </c>
      <c r="AQ105" s="247" t="s">
        <v>4144</v>
      </c>
      <c r="AR105" s="246" t="s">
        <v>58</v>
      </c>
      <c r="AS105" s="246" t="s">
        <v>1857</v>
      </c>
      <c r="AT105" s="247" t="s">
        <v>17</v>
      </c>
      <c r="AU105" s="247"/>
    </row>
    <row r="106" spans="1:47" ht="15">
      <c r="A106" s="246">
        <v>105</v>
      </c>
      <c r="B106" s="246" t="s">
        <v>474</v>
      </c>
      <c r="C106" s="246" t="s">
        <v>474</v>
      </c>
      <c r="D106" s="246" t="s">
        <v>4145</v>
      </c>
      <c r="E106" s="247" t="s">
        <v>2855</v>
      </c>
      <c r="F106" s="246" t="s">
        <v>224</v>
      </c>
      <c r="G106" s="246" t="s">
        <v>234</v>
      </c>
      <c r="H106" s="247" t="s">
        <v>4192</v>
      </c>
      <c r="I106" s="247" t="s">
        <v>684</v>
      </c>
      <c r="J106" s="246" t="s">
        <v>2188</v>
      </c>
      <c r="K106" s="247" t="s">
        <v>1329</v>
      </c>
      <c r="L106" s="246" t="s">
        <v>1515</v>
      </c>
      <c r="M106" s="246" t="s">
        <v>474</v>
      </c>
      <c r="N106" s="247" t="s">
        <v>1310</v>
      </c>
      <c r="O106" s="247" t="s">
        <v>2573</v>
      </c>
      <c r="P106" s="246" t="s">
        <v>2146</v>
      </c>
      <c r="Q106" s="247" t="s">
        <v>3444</v>
      </c>
      <c r="R106" s="247" t="s">
        <v>100</v>
      </c>
      <c r="S106" s="247" t="s">
        <v>317</v>
      </c>
      <c r="T106" s="254" t="s">
        <v>2334</v>
      </c>
      <c r="U106" s="246" t="s">
        <v>75</v>
      </c>
      <c r="V106" s="247" t="s">
        <v>726</v>
      </c>
      <c r="W106" s="247" t="s">
        <v>2047</v>
      </c>
      <c r="X106" s="246" t="s">
        <v>28</v>
      </c>
      <c r="Y106" s="246" t="s">
        <v>34</v>
      </c>
      <c r="Z106" s="246" t="s">
        <v>474</v>
      </c>
      <c r="AA106" s="247" t="s">
        <v>4146</v>
      </c>
      <c r="AB106" s="246" t="s">
        <v>3431</v>
      </c>
      <c r="AC106" s="247" t="s">
        <v>474</v>
      </c>
      <c r="AD106" s="247" t="s">
        <v>281</v>
      </c>
      <c r="AE106" s="247" t="s">
        <v>1187</v>
      </c>
      <c r="AF106" s="247" t="s">
        <v>159</v>
      </c>
      <c r="AG106" s="247" t="s">
        <v>1567</v>
      </c>
      <c r="AH106" s="247" t="s">
        <v>2373</v>
      </c>
      <c r="AI106" s="246" t="s">
        <v>1070</v>
      </c>
      <c r="AJ106" s="247" t="s">
        <v>1098</v>
      </c>
      <c r="AK106" s="246" t="s">
        <v>51</v>
      </c>
      <c r="AL106" s="249" t="s">
        <v>3507</v>
      </c>
      <c r="AM106" s="246" t="s">
        <v>4147</v>
      </c>
      <c r="AN106" s="247" t="s">
        <v>53</v>
      </c>
      <c r="AO106" s="247" t="s">
        <v>3029</v>
      </c>
      <c r="AP106" s="247" t="s">
        <v>209</v>
      </c>
      <c r="AQ106" s="247" t="s">
        <v>4091</v>
      </c>
      <c r="AR106" s="246" t="s">
        <v>346</v>
      </c>
      <c r="AS106" s="246" t="s">
        <v>1858</v>
      </c>
      <c r="AT106" s="247" t="s">
        <v>18</v>
      </c>
      <c r="AU106" s="247"/>
    </row>
    <row r="107" spans="1:47" ht="15">
      <c r="A107" s="246">
        <v>106</v>
      </c>
      <c r="B107" s="246" t="s">
        <v>475</v>
      </c>
      <c r="C107" s="246" t="s">
        <v>475</v>
      </c>
      <c r="D107" s="246" t="s">
        <v>4148</v>
      </c>
      <c r="E107" s="247" t="s">
        <v>2856</v>
      </c>
      <c r="F107" s="246" t="s">
        <v>225</v>
      </c>
      <c r="G107" s="246" t="s">
        <v>235</v>
      </c>
      <c r="H107" s="247" t="s">
        <v>4193</v>
      </c>
      <c r="I107" s="247" t="s">
        <v>685</v>
      </c>
      <c r="J107" s="246" t="s">
        <v>2189</v>
      </c>
      <c r="K107" s="247" t="s">
        <v>1330</v>
      </c>
      <c r="L107" s="246" t="s">
        <v>1516</v>
      </c>
      <c r="M107" s="246" t="s">
        <v>475</v>
      </c>
      <c r="N107" s="247" t="s">
        <v>1311</v>
      </c>
      <c r="O107" s="247" t="s">
        <v>2574</v>
      </c>
      <c r="P107" s="246" t="s">
        <v>2147</v>
      </c>
      <c r="Q107" s="247" t="s">
        <v>3445</v>
      </c>
      <c r="R107" s="247" t="s">
        <v>101</v>
      </c>
      <c r="S107" s="247" t="s">
        <v>318</v>
      </c>
      <c r="T107" s="254" t="s">
        <v>2335</v>
      </c>
      <c r="U107" s="246" t="s">
        <v>76</v>
      </c>
      <c r="V107" s="247" t="s">
        <v>727</v>
      </c>
      <c r="W107" s="247" t="s">
        <v>2048</v>
      </c>
      <c r="X107" s="246" t="s">
        <v>29</v>
      </c>
      <c r="Y107" s="246" t="s">
        <v>35</v>
      </c>
      <c r="Z107" s="246" t="s">
        <v>475</v>
      </c>
      <c r="AA107" s="247" t="s">
        <v>4149</v>
      </c>
      <c r="AB107" s="246" t="s">
        <v>3432</v>
      </c>
      <c r="AC107" s="247" t="s">
        <v>475</v>
      </c>
      <c r="AD107" s="247" t="s">
        <v>282</v>
      </c>
      <c r="AE107" s="247" t="s">
        <v>1188</v>
      </c>
      <c r="AF107" s="247" t="s">
        <v>160</v>
      </c>
      <c r="AG107" s="247" t="s">
        <v>1568</v>
      </c>
      <c r="AH107" s="247" t="s">
        <v>2374</v>
      </c>
      <c r="AI107" s="246" t="s">
        <v>1071</v>
      </c>
      <c r="AJ107" s="247" t="s">
        <v>1099</v>
      </c>
      <c r="AK107" s="246" t="s">
        <v>52</v>
      </c>
      <c r="AL107" s="249" t="s">
        <v>3508</v>
      </c>
      <c r="AM107" s="246" t="s">
        <v>4150</v>
      </c>
      <c r="AN107" s="247" t="s">
        <v>54</v>
      </c>
      <c r="AO107" s="247" t="s">
        <v>3030</v>
      </c>
      <c r="AP107" s="247" t="s">
        <v>210</v>
      </c>
      <c r="AQ107" s="247" t="s">
        <v>4094</v>
      </c>
      <c r="AR107" s="246" t="s">
        <v>347</v>
      </c>
      <c r="AS107" s="246" t="s">
        <v>1859</v>
      </c>
      <c r="AT107" s="247" t="s">
        <v>19</v>
      </c>
      <c r="AU107" s="247"/>
    </row>
    <row r="108" spans="1:47" ht="15">
      <c r="A108" s="246">
        <v>107</v>
      </c>
      <c r="B108" s="246" t="s">
        <v>3790</v>
      </c>
      <c r="C108" s="246" t="s">
        <v>3791</v>
      </c>
      <c r="D108" s="246" t="s">
        <v>4151</v>
      </c>
      <c r="E108" s="247" t="s">
        <v>3792</v>
      </c>
      <c r="F108" s="246" t="s">
        <v>3793</v>
      </c>
      <c r="G108" s="246" t="s">
        <v>3794</v>
      </c>
      <c r="H108" s="247" t="s">
        <v>3795</v>
      </c>
      <c r="I108" s="247" t="s">
        <v>3796</v>
      </c>
      <c r="J108" s="246" t="s">
        <v>3797</v>
      </c>
      <c r="K108" s="247" t="s">
        <v>3798</v>
      </c>
      <c r="L108" s="246" t="s">
        <v>3799</v>
      </c>
      <c r="M108" s="246" t="s">
        <v>3790</v>
      </c>
      <c r="N108" s="247" t="s">
        <v>3800</v>
      </c>
      <c r="O108" s="247" t="s">
        <v>3801</v>
      </c>
      <c r="P108" s="247" t="s">
        <v>3802</v>
      </c>
      <c r="Q108" s="247" t="s">
        <v>3803</v>
      </c>
      <c r="R108" s="247" t="s">
        <v>3804</v>
      </c>
      <c r="S108" s="247" t="s">
        <v>3805</v>
      </c>
      <c r="T108" s="254" t="s">
        <v>3806</v>
      </c>
      <c r="U108" s="246" t="s">
        <v>3807</v>
      </c>
      <c r="V108" s="247" t="s">
        <v>3808</v>
      </c>
      <c r="W108" s="247" t="s">
        <v>3809</v>
      </c>
      <c r="X108" s="246" t="s">
        <v>3810</v>
      </c>
      <c r="Y108" s="246" t="s">
        <v>3811</v>
      </c>
      <c r="Z108" s="246" t="s">
        <v>3812</v>
      </c>
      <c r="AA108" s="247" t="s">
        <v>4152</v>
      </c>
      <c r="AB108" s="246" t="s">
        <v>3813</v>
      </c>
      <c r="AC108" s="247" t="s">
        <v>39</v>
      </c>
      <c r="AD108" s="247" t="s">
        <v>3814</v>
      </c>
      <c r="AE108" s="247" t="s">
        <v>3815</v>
      </c>
      <c r="AF108" s="247" t="s">
        <v>3816</v>
      </c>
      <c r="AG108" s="247" t="s">
        <v>3817</v>
      </c>
      <c r="AH108" s="247" t="s">
        <v>3818</v>
      </c>
      <c r="AI108" s="246" t="s">
        <v>3819</v>
      </c>
      <c r="AJ108" s="247" t="s">
        <v>3820</v>
      </c>
      <c r="AK108" s="246" t="s">
        <v>3821</v>
      </c>
      <c r="AL108" s="249" t="s">
        <v>3822</v>
      </c>
      <c r="AM108" s="246" t="s">
        <v>4153</v>
      </c>
      <c r="AN108" s="247" t="s">
        <v>3823</v>
      </c>
      <c r="AO108" s="247" t="s">
        <v>3824</v>
      </c>
      <c r="AP108" s="247" t="s">
        <v>3825</v>
      </c>
      <c r="AQ108" s="247" t="s">
        <v>4154</v>
      </c>
      <c r="AR108" s="247" t="s">
        <v>3826</v>
      </c>
      <c r="AS108" s="246" t="s">
        <v>3827</v>
      </c>
      <c r="AT108" s="247" t="s">
        <v>3828</v>
      </c>
      <c r="AU108" s="247"/>
    </row>
    <row r="109" spans="1:47" ht="15">
      <c r="B109" s="246" t="s">
        <v>3829</v>
      </c>
      <c r="C109" s="246" t="s">
        <v>3830</v>
      </c>
      <c r="D109" s="246" t="s">
        <v>4155</v>
      </c>
      <c r="E109" s="247" t="s">
        <v>3831</v>
      </c>
      <c r="F109" s="246" t="s">
        <v>3832</v>
      </c>
      <c r="G109" s="246" t="s">
        <v>3833</v>
      </c>
      <c r="H109" s="247" t="s">
        <v>3834</v>
      </c>
      <c r="I109" s="246" t="s">
        <v>3835</v>
      </c>
      <c r="J109" s="246" t="s">
        <v>3836</v>
      </c>
      <c r="K109" s="247" t="s">
        <v>3837</v>
      </c>
      <c r="L109" s="246" t="s">
        <v>3838</v>
      </c>
      <c r="M109" s="246" t="s">
        <v>3829</v>
      </c>
      <c r="N109" s="247" t="s">
        <v>3839</v>
      </c>
      <c r="O109" s="247" t="s">
        <v>3840</v>
      </c>
      <c r="P109" s="247" t="s">
        <v>3841</v>
      </c>
      <c r="Q109" s="247" t="s">
        <v>3842</v>
      </c>
      <c r="R109" s="247" t="s">
        <v>3843</v>
      </c>
      <c r="S109" s="247" t="s">
        <v>3844</v>
      </c>
      <c r="T109" s="254" t="s">
        <v>3845</v>
      </c>
      <c r="U109" s="246" t="s">
        <v>3846</v>
      </c>
      <c r="V109" s="247" t="s">
        <v>3847</v>
      </c>
      <c r="W109" s="247" t="s">
        <v>3848</v>
      </c>
      <c r="X109" s="246" t="s">
        <v>3849</v>
      </c>
      <c r="Y109" s="246" t="s">
        <v>3850</v>
      </c>
      <c r="Z109" s="246" t="s">
        <v>3829</v>
      </c>
      <c r="AA109" s="247" t="s">
        <v>4156</v>
      </c>
      <c r="AB109" s="246" t="s">
        <v>3851</v>
      </c>
      <c r="AC109" s="247" t="s">
        <v>40</v>
      </c>
      <c r="AD109" s="247" t="s">
        <v>3852</v>
      </c>
      <c r="AE109" s="247" t="s">
        <v>3853</v>
      </c>
      <c r="AF109" s="247" t="s">
        <v>3854</v>
      </c>
      <c r="AG109" s="247" t="s">
        <v>3855</v>
      </c>
      <c r="AH109" s="247" t="s">
        <v>3856</v>
      </c>
      <c r="AI109" s="246" t="s">
        <v>3857</v>
      </c>
      <c r="AJ109" s="247" t="s">
        <v>3858</v>
      </c>
      <c r="AK109" s="246" t="s">
        <v>3859</v>
      </c>
      <c r="AL109" s="249" t="s">
        <v>3860</v>
      </c>
      <c r="AM109" s="246" t="s">
        <v>4157</v>
      </c>
      <c r="AN109" s="247" t="s">
        <v>3861</v>
      </c>
      <c r="AO109" s="247" t="s">
        <v>3862</v>
      </c>
      <c r="AP109" s="247" t="s">
        <v>3863</v>
      </c>
      <c r="AQ109" s="247" t="s">
        <v>3864</v>
      </c>
      <c r="AR109" s="247" t="s">
        <v>3865</v>
      </c>
      <c r="AS109" s="246" t="s">
        <v>3866</v>
      </c>
      <c r="AT109" s="247" t="s">
        <v>3867</v>
      </c>
      <c r="AU109" s="247"/>
    </row>
    <row r="111" spans="1:47">
      <c r="AO111" s="247"/>
    </row>
  </sheetData>
  <sheetProtection password="CEE2" sheet="1" objects="1" scenarios="1" selectLockedCells="1" selectUnlockedCells="1"/>
  <phoneticPr fontId="2" type="noConversion"/>
  <pageMargins left="0.75" right="0.75" top="1" bottom="1" header="0.5" footer="0.5"/>
  <pageSetup orientation="portrait" horizontalDpi="300" verticalDpi="300"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AX74"/>
  <sheetViews>
    <sheetView showGridLines="0" workbookViewId="0">
      <selection activeCell="AU11" sqref="AU11"/>
    </sheetView>
  </sheetViews>
  <sheetFormatPr defaultRowHeight="13.2"/>
  <cols>
    <col min="1" max="50" width="3.6640625" customWidth="1"/>
  </cols>
  <sheetData>
    <row r="4" ht="15" customHeight="1"/>
    <row r="5" ht="15" customHeight="1"/>
    <row r="6" ht="15" customHeight="1"/>
    <row r="7" ht="15" customHeight="1"/>
    <row r="8" ht="15" customHeight="1"/>
    <row r="9" ht="15" customHeight="1"/>
    <row r="10" ht="15" customHeight="1"/>
    <row r="11" ht="15" customHeight="1"/>
    <row r="12" ht="15" customHeight="1"/>
    <row r="13" ht="15" customHeight="1"/>
    <row r="14" ht="15" customHeight="1"/>
    <row r="15" ht="15" customHeight="1"/>
    <row r="16" ht="15" customHeight="1"/>
    <row r="17" spans="2:50" ht="15" customHeight="1"/>
    <row r="18" spans="2:50" ht="15" customHeight="1"/>
    <row r="19" spans="2:50" ht="15" customHeight="1"/>
    <row r="20" spans="2:50" ht="15" customHeight="1">
      <c r="B20" s="211" t="s">
        <v>3939</v>
      </c>
      <c r="C20" s="259"/>
      <c r="D20" s="259"/>
      <c r="E20" s="259"/>
      <c r="F20" s="259"/>
      <c r="G20" s="259"/>
      <c r="H20" s="259"/>
      <c r="I20" s="259"/>
      <c r="J20" s="259"/>
      <c r="K20" s="259"/>
      <c r="L20" s="259"/>
      <c r="M20" s="259"/>
      <c r="N20" s="259"/>
      <c r="O20" s="259"/>
      <c r="P20" s="259"/>
      <c r="Q20" s="259"/>
      <c r="R20" s="259"/>
      <c r="S20" s="259"/>
      <c r="T20" s="259"/>
      <c r="U20" s="259"/>
      <c r="V20" s="259"/>
      <c r="W20" s="259"/>
      <c r="X20" s="259"/>
      <c r="Y20" s="259"/>
      <c r="AA20" s="211" t="s">
        <v>3940</v>
      </c>
      <c r="AB20" s="259"/>
      <c r="AC20" s="259"/>
      <c r="AD20" s="259"/>
      <c r="AE20" s="259"/>
      <c r="AF20" s="259"/>
      <c r="AG20" s="259"/>
      <c r="AH20" s="259"/>
      <c r="AI20" s="259"/>
      <c r="AJ20" s="259"/>
      <c r="AK20" s="259"/>
      <c r="AL20" s="259"/>
      <c r="AM20" s="259"/>
      <c r="AN20" s="259"/>
      <c r="AO20" s="259"/>
      <c r="AP20" s="259"/>
      <c r="AQ20" s="259"/>
      <c r="AR20" s="259"/>
      <c r="AS20" s="259"/>
      <c r="AT20" s="259"/>
      <c r="AU20" s="259"/>
      <c r="AV20" s="259"/>
      <c r="AW20" s="259"/>
      <c r="AX20" s="259"/>
    </row>
    <row r="21" spans="2:50" ht="15" customHeight="1"/>
    <row r="22" spans="2:50" ht="45" customHeight="1">
      <c r="C22" s="328" t="s">
        <v>3962</v>
      </c>
      <c r="D22" s="329"/>
      <c r="E22" s="329"/>
      <c r="F22" s="329"/>
      <c r="G22" s="329"/>
      <c r="H22" s="329"/>
      <c r="I22" s="329"/>
      <c r="J22" s="329"/>
      <c r="K22" s="329"/>
      <c r="L22" s="329"/>
      <c r="M22" s="329"/>
      <c r="N22" s="329"/>
      <c r="O22" s="329"/>
      <c r="P22" s="329"/>
      <c r="Q22" s="329"/>
      <c r="R22" s="329"/>
      <c r="S22" s="329"/>
      <c r="T22" s="329"/>
      <c r="U22" s="329"/>
      <c r="V22" s="329"/>
      <c r="W22" s="329"/>
      <c r="X22" s="329"/>
      <c r="Y22" s="330"/>
      <c r="AB22" s="328" t="s">
        <v>3941</v>
      </c>
      <c r="AC22" s="329"/>
      <c r="AD22" s="329"/>
      <c r="AE22" s="329"/>
      <c r="AF22" s="329"/>
      <c r="AG22" s="329"/>
      <c r="AH22" s="329"/>
      <c r="AI22" s="329"/>
      <c r="AJ22" s="329"/>
      <c r="AK22" s="329"/>
      <c r="AL22" s="329"/>
      <c r="AM22" s="329"/>
      <c r="AN22" s="329"/>
      <c r="AO22" s="329"/>
      <c r="AP22" s="329"/>
      <c r="AQ22" s="329"/>
      <c r="AR22" s="329"/>
      <c r="AS22" s="329"/>
      <c r="AT22" s="329"/>
      <c r="AU22" s="329"/>
      <c r="AV22" s="329"/>
      <c r="AW22" s="329"/>
      <c r="AX22" s="330"/>
    </row>
    <row r="23" spans="2:50" ht="15" customHeight="1">
      <c r="C23" s="331"/>
      <c r="D23" s="332"/>
      <c r="E23" s="332"/>
      <c r="F23" s="332"/>
      <c r="G23" s="332"/>
      <c r="H23" s="332"/>
      <c r="I23" s="332"/>
      <c r="J23" s="332"/>
      <c r="K23" s="332"/>
      <c r="L23" s="332"/>
      <c r="M23" s="332"/>
      <c r="N23" s="332"/>
      <c r="O23" s="332"/>
      <c r="P23" s="333"/>
      <c r="Q23" s="331" t="s">
        <v>3909</v>
      </c>
      <c r="R23" s="332"/>
      <c r="S23" s="332"/>
      <c r="T23" s="333"/>
      <c r="U23" s="331" t="s">
        <v>3910</v>
      </c>
      <c r="V23" s="332"/>
      <c r="W23" s="332"/>
      <c r="X23" s="332"/>
      <c r="Y23" s="333"/>
      <c r="AB23" s="331"/>
      <c r="AC23" s="332"/>
      <c r="AD23" s="332"/>
      <c r="AE23" s="332"/>
      <c r="AF23" s="332"/>
      <c r="AG23" s="332"/>
      <c r="AH23" s="332"/>
      <c r="AI23" s="332"/>
      <c r="AJ23" s="332"/>
      <c r="AK23" s="332"/>
      <c r="AL23" s="332"/>
      <c r="AM23" s="332"/>
      <c r="AN23" s="332"/>
      <c r="AO23" s="333"/>
      <c r="AP23" s="331" t="s">
        <v>3909</v>
      </c>
      <c r="AQ23" s="332"/>
      <c r="AR23" s="332"/>
      <c r="AS23" s="333"/>
      <c r="AT23" s="331" t="s">
        <v>3910</v>
      </c>
      <c r="AU23" s="332"/>
      <c r="AV23" s="332"/>
      <c r="AW23" s="332"/>
      <c r="AX23" s="333"/>
    </row>
    <row r="24" spans="2:50" ht="30" customHeight="1">
      <c r="C24" s="322" t="s">
        <v>3963</v>
      </c>
      <c r="D24" s="323"/>
      <c r="E24" s="323"/>
      <c r="F24" s="323"/>
      <c r="G24" s="323"/>
      <c r="H24" s="323"/>
      <c r="I24" s="323"/>
      <c r="J24" s="323"/>
      <c r="K24" s="323"/>
      <c r="L24" s="323"/>
      <c r="M24" s="323"/>
      <c r="N24" s="323"/>
      <c r="O24" s="323"/>
      <c r="P24" s="324"/>
      <c r="Q24" s="322" t="s">
        <v>3912</v>
      </c>
      <c r="R24" s="323"/>
      <c r="S24" s="323"/>
      <c r="T24" s="324"/>
      <c r="U24" s="325" t="s">
        <v>3913</v>
      </c>
      <c r="V24" s="326"/>
      <c r="W24" s="326"/>
      <c r="X24" s="326"/>
      <c r="Y24" s="327"/>
      <c r="AB24" s="322" t="s">
        <v>3942</v>
      </c>
      <c r="AC24" s="323"/>
      <c r="AD24" s="323"/>
      <c r="AE24" s="323"/>
      <c r="AF24" s="323"/>
      <c r="AG24" s="323"/>
      <c r="AH24" s="323"/>
      <c r="AI24" s="323"/>
      <c r="AJ24" s="323"/>
      <c r="AK24" s="323"/>
      <c r="AL24" s="323"/>
      <c r="AM24" s="323"/>
      <c r="AN24" s="323"/>
      <c r="AO24" s="324"/>
      <c r="AP24" s="322" t="s">
        <v>3912</v>
      </c>
      <c r="AQ24" s="323"/>
      <c r="AR24" s="323"/>
      <c r="AS24" s="324"/>
      <c r="AT24" s="325" t="s">
        <v>3913</v>
      </c>
      <c r="AU24" s="326"/>
      <c r="AV24" s="326"/>
      <c r="AW24" s="326"/>
      <c r="AX24" s="327"/>
    </row>
    <row r="25" spans="2:50" ht="30" customHeight="1">
      <c r="C25" s="328" t="s">
        <v>3964</v>
      </c>
      <c r="D25" s="329"/>
      <c r="E25" s="329"/>
      <c r="F25" s="329"/>
      <c r="G25" s="329"/>
      <c r="H25" s="329"/>
      <c r="I25" s="329"/>
      <c r="J25" s="329"/>
      <c r="K25" s="329"/>
      <c r="L25" s="329"/>
      <c r="M25" s="329"/>
      <c r="N25" s="329"/>
      <c r="O25" s="329"/>
      <c r="P25" s="330"/>
      <c r="Q25" s="322" t="s">
        <v>3943</v>
      </c>
      <c r="R25" s="323"/>
      <c r="S25" s="323"/>
      <c r="T25" s="324"/>
      <c r="U25" s="325"/>
      <c r="V25" s="326"/>
      <c r="W25" s="326"/>
      <c r="X25" s="326"/>
      <c r="Y25" s="327"/>
      <c r="AB25" s="328" t="s">
        <v>3944</v>
      </c>
      <c r="AC25" s="329"/>
      <c r="AD25" s="329"/>
      <c r="AE25" s="329"/>
      <c r="AF25" s="329"/>
      <c r="AG25" s="329"/>
      <c r="AH25" s="329"/>
      <c r="AI25" s="329"/>
      <c r="AJ25" s="329"/>
      <c r="AK25" s="329"/>
      <c r="AL25" s="329"/>
      <c r="AM25" s="329"/>
      <c r="AN25" s="329"/>
      <c r="AO25" s="330"/>
      <c r="AP25" s="322" t="s">
        <v>3932</v>
      </c>
      <c r="AQ25" s="323"/>
      <c r="AR25" s="323"/>
      <c r="AS25" s="324"/>
      <c r="AT25" s="325"/>
      <c r="AU25" s="326"/>
      <c r="AV25" s="326"/>
      <c r="AW25" s="326"/>
      <c r="AX25" s="327"/>
    </row>
    <row r="26" spans="2:50" ht="15" customHeight="1"/>
    <row r="27" spans="2:50" ht="15" customHeight="1">
      <c r="B27" s="211" t="s">
        <v>3945</v>
      </c>
      <c r="C27" s="259"/>
      <c r="D27" s="259"/>
      <c r="E27" s="259"/>
      <c r="F27" s="259"/>
      <c r="G27" s="259"/>
      <c r="H27" s="259"/>
      <c r="I27" s="259"/>
      <c r="J27" s="259"/>
      <c r="K27" s="259"/>
      <c r="L27" s="259"/>
      <c r="M27" s="259"/>
      <c r="N27" s="259"/>
      <c r="O27" s="259"/>
      <c r="P27" s="259"/>
      <c r="Q27" s="259"/>
      <c r="R27" s="259"/>
      <c r="S27" s="259"/>
      <c r="T27" s="259"/>
      <c r="U27" s="259"/>
      <c r="V27" s="259"/>
      <c r="W27" s="259"/>
      <c r="X27" s="259"/>
      <c r="Y27" s="259"/>
      <c r="AA27" s="211" t="s">
        <v>3946</v>
      </c>
      <c r="AB27" s="259"/>
      <c r="AC27" s="259"/>
      <c r="AD27" s="259"/>
      <c r="AE27" s="259"/>
      <c r="AF27" s="259"/>
      <c r="AG27" s="259"/>
      <c r="AH27" s="259"/>
      <c r="AI27" s="259"/>
      <c r="AJ27" s="259"/>
      <c r="AK27" s="259"/>
      <c r="AL27" s="259"/>
      <c r="AM27" s="259"/>
      <c r="AN27" s="259"/>
      <c r="AO27" s="259"/>
      <c r="AP27" s="259"/>
      <c r="AQ27" s="259"/>
      <c r="AR27" s="259"/>
      <c r="AS27" s="259"/>
      <c r="AT27" s="259"/>
      <c r="AU27" s="259"/>
      <c r="AV27" s="259"/>
      <c r="AW27" s="259"/>
      <c r="AX27" s="259"/>
    </row>
    <row r="28" spans="2:50" ht="15" customHeight="1"/>
    <row r="29" spans="2:50" ht="45" customHeight="1">
      <c r="C29" s="328" t="s">
        <v>3947</v>
      </c>
      <c r="D29" s="329"/>
      <c r="E29" s="329"/>
      <c r="F29" s="329"/>
      <c r="G29" s="329"/>
      <c r="H29" s="329"/>
      <c r="I29" s="329"/>
      <c r="J29" s="329"/>
      <c r="K29" s="329"/>
      <c r="L29" s="329"/>
      <c r="M29" s="329"/>
      <c r="N29" s="329"/>
      <c r="O29" s="329"/>
      <c r="P29" s="329"/>
      <c r="Q29" s="329"/>
      <c r="R29" s="329"/>
      <c r="S29" s="329"/>
      <c r="T29" s="329"/>
      <c r="U29" s="329"/>
      <c r="V29" s="329"/>
      <c r="W29" s="329"/>
      <c r="X29" s="329"/>
      <c r="Y29" s="330"/>
      <c r="AB29" s="328" t="s">
        <v>3948</v>
      </c>
      <c r="AC29" s="329"/>
      <c r="AD29" s="329"/>
      <c r="AE29" s="329"/>
      <c r="AF29" s="329"/>
      <c r="AG29" s="329"/>
      <c r="AH29" s="329"/>
      <c r="AI29" s="329"/>
      <c r="AJ29" s="329"/>
      <c r="AK29" s="329"/>
      <c r="AL29" s="329"/>
      <c r="AM29" s="329"/>
      <c r="AN29" s="329"/>
      <c r="AO29" s="329"/>
      <c r="AP29" s="329"/>
      <c r="AQ29" s="329"/>
      <c r="AR29" s="329"/>
      <c r="AS29" s="329"/>
      <c r="AT29" s="329"/>
      <c r="AU29" s="329"/>
      <c r="AV29" s="329"/>
      <c r="AW29" s="329"/>
      <c r="AX29" s="330"/>
    </row>
    <row r="30" spans="2:50" ht="15" customHeight="1">
      <c r="C30" s="331"/>
      <c r="D30" s="332"/>
      <c r="E30" s="332"/>
      <c r="F30" s="332"/>
      <c r="G30" s="332"/>
      <c r="H30" s="332"/>
      <c r="I30" s="332"/>
      <c r="J30" s="332"/>
      <c r="K30" s="332"/>
      <c r="L30" s="332"/>
      <c r="M30" s="332"/>
      <c r="N30" s="332"/>
      <c r="O30" s="332"/>
      <c r="P30" s="333"/>
      <c r="Q30" s="331" t="s">
        <v>3909</v>
      </c>
      <c r="R30" s="332"/>
      <c r="S30" s="332"/>
      <c r="T30" s="333"/>
      <c r="U30" s="331" t="s">
        <v>3910</v>
      </c>
      <c r="V30" s="332"/>
      <c r="W30" s="332"/>
      <c r="X30" s="332"/>
      <c r="Y30" s="333"/>
      <c r="AB30" s="331"/>
      <c r="AC30" s="332"/>
      <c r="AD30" s="332"/>
      <c r="AE30" s="332"/>
      <c r="AF30" s="332"/>
      <c r="AG30" s="332"/>
      <c r="AH30" s="332"/>
      <c r="AI30" s="332"/>
      <c r="AJ30" s="332"/>
      <c r="AK30" s="332"/>
      <c r="AL30" s="332"/>
      <c r="AM30" s="332"/>
      <c r="AN30" s="332"/>
      <c r="AO30" s="333"/>
      <c r="AP30" s="331" t="s">
        <v>3909</v>
      </c>
      <c r="AQ30" s="332"/>
      <c r="AR30" s="332"/>
      <c r="AS30" s="333"/>
      <c r="AT30" s="331" t="s">
        <v>3910</v>
      </c>
      <c r="AU30" s="332"/>
      <c r="AV30" s="332"/>
      <c r="AW30" s="332"/>
      <c r="AX30" s="333"/>
    </row>
    <row r="31" spans="2:50" ht="30" customHeight="1">
      <c r="C31" s="328" t="s">
        <v>3949</v>
      </c>
      <c r="D31" s="329"/>
      <c r="E31" s="329"/>
      <c r="F31" s="329"/>
      <c r="G31" s="329"/>
      <c r="H31" s="329"/>
      <c r="I31" s="329"/>
      <c r="J31" s="329"/>
      <c r="K31" s="329"/>
      <c r="L31" s="329"/>
      <c r="M31" s="329"/>
      <c r="N31" s="329"/>
      <c r="O31" s="329"/>
      <c r="P31" s="330"/>
      <c r="Q31" s="322" t="s">
        <v>3912</v>
      </c>
      <c r="R31" s="323"/>
      <c r="S31" s="323"/>
      <c r="T31" s="324"/>
      <c r="U31" s="325" t="s">
        <v>3913</v>
      </c>
      <c r="V31" s="326"/>
      <c r="W31" s="326"/>
      <c r="X31" s="326"/>
      <c r="Y31" s="327"/>
      <c r="AB31" s="322" t="s">
        <v>3950</v>
      </c>
      <c r="AC31" s="323"/>
      <c r="AD31" s="323"/>
      <c r="AE31" s="323"/>
      <c r="AF31" s="323"/>
      <c r="AG31" s="323"/>
      <c r="AH31" s="323"/>
      <c r="AI31" s="323"/>
      <c r="AJ31" s="323"/>
      <c r="AK31" s="323"/>
      <c r="AL31" s="323"/>
      <c r="AM31" s="323"/>
      <c r="AN31" s="323"/>
      <c r="AO31" s="324"/>
      <c r="AP31" s="322" t="s">
        <v>3912</v>
      </c>
      <c r="AQ31" s="323"/>
      <c r="AR31" s="323"/>
      <c r="AS31" s="324"/>
      <c r="AT31" s="325" t="s">
        <v>3913</v>
      </c>
      <c r="AU31" s="326"/>
      <c r="AV31" s="326"/>
      <c r="AW31" s="326"/>
      <c r="AX31" s="327"/>
    </row>
    <row r="32" spans="2:50" ht="30" customHeight="1">
      <c r="C32" s="328" t="s">
        <v>3951</v>
      </c>
      <c r="D32" s="329"/>
      <c r="E32" s="329"/>
      <c r="F32" s="329"/>
      <c r="G32" s="329"/>
      <c r="H32" s="329"/>
      <c r="I32" s="329"/>
      <c r="J32" s="329"/>
      <c r="K32" s="329"/>
      <c r="L32" s="329"/>
      <c r="M32" s="329"/>
      <c r="N32" s="329"/>
      <c r="O32" s="329"/>
      <c r="P32" s="330"/>
      <c r="Q32" s="322" t="s">
        <v>3952</v>
      </c>
      <c r="R32" s="323"/>
      <c r="S32" s="323"/>
      <c r="T32" s="324"/>
      <c r="U32" s="325"/>
      <c r="V32" s="326"/>
      <c r="W32" s="326"/>
      <c r="X32" s="326"/>
      <c r="Y32" s="327"/>
      <c r="AB32" s="328" t="s">
        <v>3953</v>
      </c>
      <c r="AC32" s="329"/>
      <c r="AD32" s="329"/>
      <c r="AE32" s="329"/>
      <c r="AF32" s="329"/>
      <c r="AG32" s="329"/>
      <c r="AH32" s="329"/>
      <c r="AI32" s="329"/>
      <c r="AJ32" s="329"/>
      <c r="AK32" s="329"/>
      <c r="AL32" s="329"/>
      <c r="AM32" s="329"/>
      <c r="AN32" s="329"/>
      <c r="AO32" s="330"/>
      <c r="AP32" s="322" t="s">
        <v>3954</v>
      </c>
      <c r="AQ32" s="323"/>
      <c r="AR32" s="323"/>
      <c r="AS32" s="324"/>
      <c r="AT32" s="325"/>
      <c r="AU32" s="326"/>
      <c r="AV32" s="326"/>
      <c r="AW32" s="326"/>
      <c r="AX32" s="327"/>
    </row>
    <row r="33" spans="2:50" ht="15" customHeight="1"/>
    <row r="34" spans="2:50" ht="15" customHeight="1">
      <c r="B34" s="211" t="s">
        <v>3907</v>
      </c>
      <c r="C34" s="212"/>
      <c r="D34" s="212"/>
      <c r="E34" s="212"/>
      <c r="F34" s="212"/>
      <c r="G34" s="212"/>
      <c r="H34" s="212"/>
      <c r="I34" s="212"/>
      <c r="J34" s="212"/>
      <c r="K34" s="212"/>
      <c r="L34" s="212"/>
      <c r="M34" s="212"/>
      <c r="N34" s="212"/>
      <c r="O34" s="212"/>
      <c r="P34" s="212"/>
      <c r="Q34" s="212"/>
      <c r="R34" s="212"/>
      <c r="S34" s="212"/>
      <c r="T34" s="212"/>
      <c r="U34" s="212"/>
      <c r="V34" s="212"/>
      <c r="W34" s="212"/>
      <c r="X34" s="212"/>
      <c r="Y34" s="212"/>
      <c r="AA34" s="218" t="s">
        <v>3919</v>
      </c>
      <c r="AB34" s="222"/>
      <c r="AC34" s="222"/>
      <c r="AD34" s="222"/>
      <c r="AE34" s="222"/>
      <c r="AF34" s="222"/>
      <c r="AG34" s="222"/>
      <c r="AH34" s="222"/>
      <c r="AI34" s="222"/>
      <c r="AJ34" s="222"/>
      <c r="AK34" s="222"/>
      <c r="AL34" s="222"/>
      <c r="AM34" s="222"/>
      <c r="AN34" s="222"/>
      <c r="AO34" s="223"/>
      <c r="AP34" s="223"/>
      <c r="AQ34" s="223"/>
      <c r="AR34" s="223"/>
      <c r="AS34" s="224"/>
      <c r="AT34" s="224"/>
      <c r="AU34" s="224"/>
      <c r="AV34" s="224"/>
      <c r="AW34" s="224"/>
      <c r="AX34" s="212"/>
    </row>
    <row r="35" spans="2:50" ht="15" customHeight="1">
      <c r="B35" s="213"/>
      <c r="C35" s="56"/>
      <c r="D35" s="56"/>
      <c r="E35" s="56"/>
      <c r="F35" s="56"/>
      <c r="G35" s="56"/>
      <c r="H35" s="56"/>
      <c r="I35" s="56"/>
      <c r="J35" s="56"/>
      <c r="K35" s="56"/>
      <c r="L35" s="56"/>
      <c r="M35" s="56"/>
      <c r="N35" s="56"/>
      <c r="O35" s="56"/>
      <c r="P35" s="56"/>
      <c r="Q35" s="56"/>
      <c r="R35" s="56"/>
      <c r="S35" s="56"/>
      <c r="T35" s="56"/>
      <c r="U35" s="56"/>
      <c r="V35" s="56"/>
      <c r="W35" s="56"/>
      <c r="X35" s="56"/>
      <c r="Y35" s="56"/>
      <c r="AA35" s="219"/>
      <c r="AB35" s="214"/>
      <c r="AC35" s="214"/>
      <c r="AD35" s="214"/>
      <c r="AE35" s="214"/>
      <c r="AF35" s="214"/>
      <c r="AG35" s="214"/>
      <c r="AH35" s="214"/>
      <c r="AI35" s="214"/>
      <c r="AJ35" s="214"/>
      <c r="AK35" s="214"/>
      <c r="AL35" s="214"/>
      <c r="AM35" s="214"/>
      <c r="AN35" s="214"/>
      <c r="AO35" s="216"/>
      <c r="AP35" s="216"/>
      <c r="AQ35" s="216"/>
      <c r="AR35" s="216"/>
      <c r="AS35" s="217"/>
      <c r="AT35" s="217"/>
      <c r="AU35" s="217"/>
      <c r="AV35" s="217"/>
      <c r="AW35" s="217"/>
      <c r="AX35" s="56"/>
    </row>
    <row r="36" spans="2:50" ht="45" customHeight="1">
      <c r="B36" s="213"/>
      <c r="C36" s="328" t="s">
        <v>3908</v>
      </c>
      <c r="D36" s="329"/>
      <c r="E36" s="329"/>
      <c r="F36" s="329"/>
      <c r="G36" s="329"/>
      <c r="H36" s="329"/>
      <c r="I36" s="329"/>
      <c r="J36" s="329"/>
      <c r="K36" s="329"/>
      <c r="L36" s="329"/>
      <c r="M36" s="329"/>
      <c r="N36" s="329"/>
      <c r="O36" s="329"/>
      <c r="P36" s="329"/>
      <c r="Q36" s="329"/>
      <c r="R36" s="329"/>
      <c r="S36" s="329"/>
      <c r="T36" s="329"/>
      <c r="U36" s="329"/>
      <c r="V36" s="329"/>
      <c r="W36" s="329"/>
      <c r="X36" s="329"/>
      <c r="Y36" s="330"/>
      <c r="AA36" s="220"/>
      <c r="AB36" s="328" t="s">
        <v>3920</v>
      </c>
      <c r="AC36" s="329"/>
      <c r="AD36" s="329"/>
      <c r="AE36" s="329"/>
      <c r="AF36" s="329"/>
      <c r="AG36" s="329"/>
      <c r="AH36" s="329"/>
      <c r="AI36" s="329"/>
      <c r="AJ36" s="329"/>
      <c r="AK36" s="329"/>
      <c r="AL36" s="329"/>
      <c r="AM36" s="329"/>
      <c r="AN36" s="329"/>
      <c r="AO36" s="329"/>
      <c r="AP36" s="329"/>
      <c r="AQ36" s="329"/>
      <c r="AR36" s="329"/>
      <c r="AS36" s="329"/>
      <c r="AT36" s="329"/>
      <c r="AU36" s="329"/>
      <c r="AV36" s="329"/>
      <c r="AW36" s="329"/>
      <c r="AX36" s="330"/>
    </row>
    <row r="37" spans="2:50" ht="15" customHeight="1">
      <c r="B37" s="56"/>
      <c r="C37" s="331"/>
      <c r="D37" s="332"/>
      <c r="E37" s="332"/>
      <c r="F37" s="332"/>
      <c r="G37" s="332"/>
      <c r="H37" s="332"/>
      <c r="I37" s="332"/>
      <c r="J37" s="332"/>
      <c r="K37" s="332"/>
      <c r="L37" s="332"/>
      <c r="M37" s="332"/>
      <c r="N37" s="332"/>
      <c r="O37" s="332"/>
      <c r="P37" s="333"/>
      <c r="Q37" s="331" t="s">
        <v>3909</v>
      </c>
      <c r="R37" s="332"/>
      <c r="S37" s="332"/>
      <c r="T37" s="333"/>
      <c r="U37" s="331" t="s">
        <v>3910</v>
      </c>
      <c r="V37" s="332"/>
      <c r="W37" s="332"/>
      <c r="X37" s="332"/>
      <c r="Y37" s="333"/>
      <c r="AA37" s="56"/>
      <c r="AB37" s="331"/>
      <c r="AC37" s="332"/>
      <c r="AD37" s="332"/>
      <c r="AE37" s="332"/>
      <c r="AF37" s="332"/>
      <c r="AG37" s="332"/>
      <c r="AH37" s="332"/>
      <c r="AI37" s="332"/>
      <c r="AJ37" s="332"/>
      <c r="AK37" s="332"/>
      <c r="AL37" s="332"/>
      <c r="AM37" s="332"/>
      <c r="AN37" s="332"/>
      <c r="AO37" s="333"/>
      <c r="AP37" s="331" t="s">
        <v>3909</v>
      </c>
      <c r="AQ37" s="332"/>
      <c r="AR37" s="332"/>
      <c r="AS37" s="333"/>
      <c r="AT37" s="331" t="s">
        <v>3910</v>
      </c>
      <c r="AU37" s="332"/>
      <c r="AV37" s="332"/>
      <c r="AW37" s="332"/>
      <c r="AX37" s="333"/>
    </row>
    <row r="38" spans="2:50" ht="30" customHeight="1">
      <c r="B38" s="56"/>
      <c r="C38" s="322" t="s">
        <v>3911</v>
      </c>
      <c r="D38" s="323"/>
      <c r="E38" s="323"/>
      <c r="F38" s="323"/>
      <c r="G38" s="323"/>
      <c r="H38" s="323"/>
      <c r="I38" s="323"/>
      <c r="J38" s="323"/>
      <c r="K38" s="323"/>
      <c r="L38" s="323"/>
      <c r="M38" s="323"/>
      <c r="N38" s="323"/>
      <c r="O38" s="323"/>
      <c r="P38" s="324"/>
      <c r="Q38" s="322" t="s">
        <v>3912</v>
      </c>
      <c r="R38" s="323"/>
      <c r="S38" s="323"/>
      <c r="T38" s="324"/>
      <c r="U38" s="325" t="s">
        <v>3913</v>
      </c>
      <c r="V38" s="326"/>
      <c r="W38" s="326"/>
      <c r="X38" s="326"/>
      <c r="Y38" s="327"/>
      <c r="AA38" s="56"/>
      <c r="AB38" s="328" t="s">
        <v>3921</v>
      </c>
      <c r="AC38" s="329"/>
      <c r="AD38" s="329"/>
      <c r="AE38" s="329"/>
      <c r="AF38" s="329"/>
      <c r="AG38" s="329"/>
      <c r="AH38" s="329"/>
      <c r="AI38" s="329"/>
      <c r="AJ38" s="329"/>
      <c r="AK38" s="329"/>
      <c r="AL38" s="329"/>
      <c r="AM38" s="329"/>
      <c r="AN38" s="329"/>
      <c r="AO38" s="330"/>
      <c r="AP38" s="322" t="s">
        <v>3912</v>
      </c>
      <c r="AQ38" s="323"/>
      <c r="AR38" s="323"/>
      <c r="AS38" s="324"/>
      <c r="AT38" s="325" t="s">
        <v>3913</v>
      </c>
      <c r="AU38" s="326"/>
      <c r="AV38" s="326"/>
      <c r="AW38" s="326"/>
      <c r="AX38" s="327"/>
    </row>
    <row r="39" spans="2:50" ht="30" customHeight="1">
      <c r="B39" s="56"/>
      <c r="C39" s="322" t="s">
        <v>3914</v>
      </c>
      <c r="D39" s="323"/>
      <c r="E39" s="323"/>
      <c r="F39" s="323"/>
      <c r="G39" s="323"/>
      <c r="H39" s="323"/>
      <c r="I39" s="323"/>
      <c r="J39" s="323"/>
      <c r="K39" s="323"/>
      <c r="L39" s="323"/>
      <c r="M39" s="323"/>
      <c r="N39" s="323"/>
      <c r="O39" s="323"/>
      <c r="P39" s="324"/>
      <c r="Q39" s="322" t="s">
        <v>3912</v>
      </c>
      <c r="R39" s="323"/>
      <c r="S39" s="323"/>
      <c r="T39" s="324"/>
      <c r="U39" s="325" t="s">
        <v>3913</v>
      </c>
      <c r="V39" s="326"/>
      <c r="W39" s="326"/>
      <c r="X39" s="326"/>
      <c r="Y39" s="327"/>
      <c r="AA39" s="56"/>
      <c r="AB39" s="328" t="s">
        <v>3922</v>
      </c>
      <c r="AC39" s="329"/>
      <c r="AD39" s="329"/>
      <c r="AE39" s="329"/>
      <c r="AF39" s="329"/>
      <c r="AG39" s="329"/>
      <c r="AH39" s="329"/>
      <c r="AI39" s="329"/>
      <c r="AJ39" s="329"/>
      <c r="AK39" s="329"/>
      <c r="AL39" s="329"/>
      <c r="AM39" s="329"/>
      <c r="AN39" s="329"/>
      <c r="AO39" s="330"/>
      <c r="AP39" s="322" t="s">
        <v>3912</v>
      </c>
      <c r="AQ39" s="323"/>
      <c r="AR39" s="323"/>
      <c r="AS39" s="324"/>
      <c r="AT39" s="325" t="s">
        <v>3913</v>
      </c>
      <c r="AU39" s="326"/>
      <c r="AV39" s="326"/>
      <c r="AW39" s="326"/>
      <c r="AX39" s="327"/>
    </row>
    <row r="40" spans="2:50" ht="15" customHeight="1">
      <c r="B40" s="56"/>
      <c r="C40" s="334" t="s">
        <v>3915</v>
      </c>
      <c r="D40" s="335"/>
      <c r="E40" s="335"/>
      <c r="F40" s="335"/>
      <c r="G40" s="335"/>
      <c r="H40" s="335"/>
      <c r="I40" s="335"/>
      <c r="J40" s="335"/>
      <c r="K40" s="335"/>
      <c r="L40" s="335"/>
      <c r="M40" s="335"/>
      <c r="N40" s="335"/>
      <c r="O40" s="335"/>
      <c r="P40" s="336"/>
      <c r="Q40" s="340" t="s">
        <v>3916</v>
      </c>
      <c r="R40" s="341"/>
      <c r="S40" s="341"/>
      <c r="T40" s="342"/>
      <c r="U40" s="346"/>
      <c r="V40" s="347"/>
      <c r="W40" s="347"/>
      <c r="X40" s="347"/>
      <c r="Y40" s="348"/>
      <c r="AA40" s="56"/>
      <c r="AB40" s="352" t="s">
        <v>3923</v>
      </c>
      <c r="AC40" s="353"/>
      <c r="AD40" s="353"/>
      <c r="AE40" s="353"/>
      <c r="AF40" s="353"/>
      <c r="AG40" s="353"/>
      <c r="AH40" s="353"/>
      <c r="AI40" s="353"/>
      <c r="AJ40" s="353"/>
      <c r="AK40" s="353"/>
      <c r="AL40" s="353"/>
      <c r="AM40" s="353"/>
      <c r="AN40" s="353"/>
      <c r="AO40" s="354"/>
      <c r="AP40" s="340" t="s">
        <v>3924</v>
      </c>
      <c r="AQ40" s="341"/>
      <c r="AR40" s="341"/>
      <c r="AS40" s="342"/>
      <c r="AT40" s="346"/>
      <c r="AU40" s="347"/>
      <c r="AV40" s="347"/>
      <c r="AW40" s="347"/>
      <c r="AX40" s="348"/>
    </row>
    <row r="41" spans="2:50" ht="15" customHeight="1">
      <c r="B41" s="56"/>
      <c r="C41" s="337"/>
      <c r="D41" s="338"/>
      <c r="E41" s="338"/>
      <c r="F41" s="338"/>
      <c r="G41" s="338"/>
      <c r="H41" s="338"/>
      <c r="I41" s="338"/>
      <c r="J41" s="338"/>
      <c r="K41" s="338"/>
      <c r="L41" s="338"/>
      <c r="M41" s="338"/>
      <c r="N41" s="338"/>
      <c r="O41" s="338"/>
      <c r="P41" s="339"/>
      <c r="Q41" s="343"/>
      <c r="R41" s="344"/>
      <c r="S41" s="344"/>
      <c r="T41" s="345"/>
      <c r="U41" s="349"/>
      <c r="V41" s="350"/>
      <c r="W41" s="350"/>
      <c r="X41" s="350"/>
      <c r="Y41" s="351"/>
      <c r="AA41" s="56"/>
      <c r="AB41" s="355"/>
      <c r="AC41" s="356"/>
      <c r="AD41" s="356"/>
      <c r="AE41" s="356"/>
      <c r="AF41" s="356"/>
      <c r="AG41" s="356"/>
      <c r="AH41" s="356"/>
      <c r="AI41" s="356"/>
      <c r="AJ41" s="356"/>
      <c r="AK41" s="356"/>
      <c r="AL41" s="356"/>
      <c r="AM41" s="356"/>
      <c r="AN41" s="356"/>
      <c r="AO41" s="357"/>
      <c r="AP41" s="343"/>
      <c r="AQ41" s="344"/>
      <c r="AR41" s="344"/>
      <c r="AS41" s="345"/>
      <c r="AT41" s="349"/>
      <c r="AU41" s="350"/>
      <c r="AV41" s="350"/>
      <c r="AW41" s="350"/>
      <c r="AX41" s="351"/>
    </row>
    <row r="42" spans="2:50" ht="15" customHeight="1">
      <c r="B42" s="56"/>
      <c r="C42" s="352" t="s">
        <v>3917</v>
      </c>
      <c r="D42" s="353"/>
      <c r="E42" s="353"/>
      <c r="F42" s="353"/>
      <c r="G42" s="353"/>
      <c r="H42" s="353"/>
      <c r="I42" s="353"/>
      <c r="J42" s="353"/>
      <c r="K42" s="353"/>
      <c r="L42" s="353"/>
      <c r="M42" s="353"/>
      <c r="N42" s="353"/>
      <c r="O42" s="353"/>
      <c r="P42" s="354"/>
      <c r="Q42" s="340" t="s">
        <v>3918</v>
      </c>
      <c r="R42" s="341"/>
      <c r="S42" s="341"/>
      <c r="T42" s="342"/>
      <c r="U42" s="346"/>
      <c r="V42" s="347"/>
      <c r="W42" s="347"/>
      <c r="X42" s="347"/>
      <c r="Y42" s="348"/>
    </row>
    <row r="43" spans="2:50" ht="15" customHeight="1">
      <c r="B43" s="56"/>
      <c r="C43" s="355"/>
      <c r="D43" s="356"/>
      <c r="E43" s="356"/>
      <c r="F43" s="356"/>
      <c r="G43" s="356"/>
      <c r="H43" s="356"/>
      <c r="I43" s="356"/>
      <c r="J43" s="356"/>
      <c r="K43" s="356"/>
      <c r="L43" s="356"/>
      <c r="M43" s="356"/>
      <c r="N43" s="356"/>
      <c r="O43" s="356"/>
      <c r="P43" s="357"/>
      <c r="Q43" s="343"/>
      <c r="R43" s="344"/>
      <c r="S43" s="344"/>
      <c r="T43" s="345"/>
      <c r="U43" s="349"/>
      <c r="V43" s="350"/>
      <c r="W43" s="350"/>
      <c r="X43" s="350"/>
      <c r="Y43" s="351"/>
    </row>
    <row r="44" spans="2:50" ht="15" customHeight="1">
      <c r="B44" s="214"/>
      <c r="C44" s="215"/>
      <c r="D44" s="214"/>
      <c r="E44" s="214"/>
      <c r="F44" s="214"/>
      <c r="G44" s="214"/>
      <c r="H44" s="214"/>
      <c r="I44" s="214"/>
      <c r="J44" s="214"/>
      <c r="K44" s="214"/>
      <c r="L44" s="214"/>
      <c r="M44" s="214"/>
      <c r="N44" s="214"/>
      <c r="O44" s="214"/>
      <c r="P44" s="216"/>
      <c r="Q44" s="216"/>
      <c r="R44" s="216"/>
      <c r="S44" s="216"/>
      <c r="T44" s="217"/>
      <c r="U44" s="217"/>
      <c r="V44" s="217"/>
      <c r="W44" s="217"/>
      <c r="X44" s="217"/>
      <c r="Y44" s="56"/>
    </row>
    <row r="45" spans="2:50" ht="15" customHeight="1">
      <c r="B45" s="211" t="s">
        <v>3925</v>
      </c>
      <c r="C45" s="212"/>
      <c r="D45" s="212"/>
      <c r="E45" s="212"/>
      <c r="F45" s="212"/>
      <c r="G45" s="212"/>
      <c r="H45" s="212"/>
      <c r="I45" s="212"/>
      <c r="J45" s="212"/>
      <c r="K45" s="212"/>
      <c r="L45" s="212"/>
      <c r="M45" s="212"/>
      <c r="N45" s="212"/>
      <c r="O45" s="212"/>
      <c r="P45" s="212"/>
      <c r="Q45" s="212"/>
      <c r="R45" s="212"/>
      <c r="S45" s="212"/>
      <c r="T45" s="212"/>
      <c r="U45" s="212"/>
      <c r="V45" s="212"/>
      <c r="W45" s="212"/>
      <c r="X45" s="212"/>
      <c r="Y45" s="212"/>
      <c r="AA45" s="211" t="s">
        <v>3933</v>
      </c>
      <c r="AB45" s="212"/>
      <c r="AC45" s="212"/>
      <c r="AD45" s="212"/>
      <c r="AE45" s="212"/>
      <c r="AF45" s="212"/>
      <c r="AG45" s="212"/>
      <c r="AH45" s="212"/>
      <c r="AI45" s="212"/>
      <c r="AJ45" s="212"/>
      <c r="AK45" s="212"/>
      <c r="AL45" s="212"/>
      <c r="AM45" s="212"/>
      <c r="AN45" s="212"/>
      <c r="AO45" s="212"/>
      <c r="AP45" s="212"/>
      <c r="AQ45" s="212"/>
      <c r="AR45" s="212"/>
      <c r="AS45" s="212"/>
      <c r="AT45" s="212"/>
      <c r="AU45" s="212"/>
      <c r="AV45" s="212"/>
      <c r="AW45" s="212"/>
      <c r="AX45" s="212"/>
    </row>
    <row r="46" spans="2:50" ht="15" customHeight="1">
      <c r="B46" s="56"/>
      <c r="C46" s="56"/>
      <c r="D46" s="56"/>
      <c r="E46" s="56"/>
      <c r="F46" s="56"/>
      <c r="G46" s="56"/>
      <c r="H46" s="56"/>
      <c r="I46" s="56"/>
      <c r="J46" s="56"/>
      <c r="K46" s="56"/>
      <c r="L46" s="56"/>
      <c r="M46" s="56"/>
      <c r="N46" s="56"/>
      <c r="O46" s="56"/>
      <c r="P46" s="56"/>
      <c r="Q46" s="56"/>
      <c r="R46" s="56"/>
      <c r="S46" s="56"/>
      <c r="T46" s="56"/>
      <c r="U46" s="56"/>
      <c r="V46" s="56"/>
      <c r="W46" s="56"/>
      <c r="X46" s="56"/>
      <c r="Y46" s="56"/>
      <c r="AA46" s="56"/>
      <c r="AB46" s="56"/>
      <c r="AC46" s="56"/>
      <c r="AD46" s="56"/>
      <c r="AE46" s="56"/>
      <c r="AF46" s="56"/>
      <c r="AG46" s="56"/>
      <c r="AH46" s="56"/>
      <c r="AI46" s="56"/>
      <c r="AJ46" s="56"/>
      <c r="AK46" s="56"/>
      <c r="AL46" s="56"/>
      <c r="AM46" s="56"/>
      <c r="AN46" s="56"/>
      <c r="AO46" s="56"/>
      <c r="AP46" s="56"/>
      <c r="AQ46" s="56"/>
      <c r="AR46" s="56"/>
      <c r="AS46" s="56"/>
      <c r="AT46" s="56"/>
      <c r="AU46" s="56"/>
      <c r="AV46" s="220"/>
      <c r="AW46" s="220"/>
      <c r="AX46" s="220"/>
    </row>
    <row r="47" spans="2:50" ht="45" customHeight="1">
      <c r="B47" s="56"/>
      <c r="C47" s="328" t="s">
        <v>3926</v>
      </c>
      <c r="D47" s="329"/>
      <c r="E47" s="329"/>
      <c r="F47" s="329"/>
      <c r="G47" s="329"/>
      <c r="H47" s="329"/>
      <c r="I47" s="329"/>
      <c r="J47" s="329"/>
      <c r="K47" s="329"/>
      <c r="L47" s="329"/>
      <c r="M47" s="329"/>
      <c r="N47" s="329"/>
      <c r="O47" s="329"/>
      <c r="P47" s="329"/>
      <c r="Q47" s="329"/>
      <c r="R47" s="329"/>
      <c r="S47" s="329"/>
      <c r="T47" s="329"/>
      <c r="U47" s="329"/>
      <c r="V47" s="329"/>
      <c r="W47" s="329"/>
      <c r="X47" s="329"/>
      <c r="Y47" s="330"/>
      <c r="AA47" s="56"/>
      <c r="AB47" s="328" t="s">
        <v>3934</v>
      </c>
      <c r="AC47" s="329"/>
      <c r="AD47" s="329"/>
      <c r="AE47" s="329"/>
      <c r="AF47" s="329"/>
      <c r="AG47" s="329"/>
      <c r="AH47" s="329"/>
      <c r="AI47" s="329"/>
      <c r="AJ47" s="329"/>
      <c r="AK47" s="329"/>
      <c r="AL47" s="329"/>
      <c r="AM47" s="329"/>
      <c r="AN47" s="329"/>
      <c r="AO47" s="329"/>
      <c r="AP47" s="329"/>
      <c r="AQ47" s="329"/>
      <c r="AR47" s="329"/>
      <c r="AS47" s="329"/>
      <c r="AT47" s="329"/>
      <c r="AU47" s="329"/>
      <c r="AV47" s="329"/>
      <c r="AW47" s="329"/>
      <c r="AX47" s="330"/>
    </row>
    <row r="48" spans="2:50" ht="15" customHeight="1">
      <c r="B48" s="56"/>
      <c r="C48" s="331"/>
      <c r="D48" s="332"/>
      <c r="E48" s="332"/>
      <c r="F48" s="332"/>
      <c r="G48" s="332"/>
      <c r="H48" s="332"/>
      <c r="I48" s="332"/>
      <c r="J48" s="332"/>
      <c r="K48" s="332"/>
      <c r="L48" s="332"/>
      <c r="M48" s="332"/>
      <c r="N48" s="332"/>
      <c r="O48" s="332"/>
      <c r="P48" s="333"/>
      <c r="Q48" s="331" t="s">
        <v>3909</v>
      </c>
      <c r="R48" s="332"/>
      <c r="S48" s="332"/>
      <c r="T48" s="333"/>
      <c r="U48" s="331" t="s">
        <v>3910</v>
      </c>
      <c r="V48" s="332"/>
      <c r="W48" s="332"/>
      <c r="X48" s="332"/>
      <c r="Y48" s="333"/>
      <c r="AA48" s="56"/>
      <c r="AB48" s="331"/>
      <c r="AC48" s="332"/>
      <c r="AD48" s="332"/>
      <c r="AE48" s="332"/>
      <c r="AF48" s="332"/>
      <c r="AG48" s="332"/>
      <c r="AH48" s="332"/>
      <c r="AI48" s="332"/>
      <c r="AJ48" s="332"/>
      <c r="AK48" s="332"/>
      <c r="AL48" s="332"/>
      <c r="AM48" s="332"/>
      <c r="AN48" s="332"/>
      <c r="AO48" s="333"/>
      <c r="AP48" s="331" t="s">
        <v>3909</v>
      </c>
      <c r="AQ48" s="332"/>
      <c r="AR48" s="332"/>
      <c r="AS48" s="333"/>
      <c r="AT48" s="331" t="s">
        <v>3910</v>
      </c>
      <c r="AU48" s="332"/>
      <c r="AV48" s="332"/>
      <c r="AW48" s="332"/>
      <c r="AX48" s="333"/>
    </row>
    <row r="49" spans="2:50" ht="30" customHeight="1">
      <c r="B49" s="56"/>
      <c r="C49" s="322" t="s">
        <v>3927</v>
      </c>
      <c r="D49" s="323"/>
      <c r="E49" s="323"/>
      <c r="F49" s="323"/>
      <c r="G49" s="323"/>
      <c r="H49" s="323"/>
      <c r="I49" s="323"/>
      <c r="J49" s="323"/>
      <c r="K49" s="323"/>
      <c r="L49" s="323"/>
      <c r="M49" s="323"/>
      <c r="N49" s="323"/>
      <c r="O49" s="323"/>
      <c r="P49" s="324"/>
      <c r="Q49" s="322" t="s">
        <v>3912</v>
      </c>
      <c r="R49" s="323"/>
      <c r="S49" s="323"/>
      <c r="T49" s="324"/>
      <c r="U49" s="325" t="s">
        <v>3913</v>
      </c>
      <c r="V49" s="326"/>
      <c r="W49" s="326"/>
      <c r="X49" s="326"/>
      <c r="Y49" s="327"/>
      <c r="AA49" s="56"/>
      <c r="AB49" s="322" t="s">
        <v>3935</v>
      </c>
      <c r="AC49" s="323"/>
      <c r="AD49" s="323"/>
      <c r="AE49" s="323"/>
      <c r="AF49" s="323"/>
      <c r="AG49" s="323"/>
      <c r="AH49" s="323"/>
      <c r="AI49" s="323"/>
      <c r="AJ49" s="323"/>
      <c r="AK49" s="323"/>
      <c r="AL49" s="323"/>
      <c r="AM49" s="323"/>
      <c r="AN49" s="323"/>
      <c r="AO49" s="324"/>
      <c r="AP49" s="322" t="s">
        <v>3912</v>
      </c>
      <c r="AQ49" s="323"/>
      <c r="AR49" s="323"/>
      <c r="AS49" s="324"/>
      <c r="AT49" s="325" t="s">
        <v>3913</v>
      </c>
      <c r="AU49" s="326"/>
      <c r="AV49" s="326"/>
      <c r="AW49" s="326"/>
      <c r="AX49" s="327"/>
    </row>
    <row r="50" spans="2:50" ht="30" customHeight="1">
      <c r="B50" s="56"/>
      <c r="C50" s="322" t="s">
        <v>3928</v>
      </c>
      <c r="D50" s="323"/>
      <c r="E50" s="323"/>
      <c r="F50" s="323"/>
      <c r="G50" s="323"/>
      <c r="H50" s="323"/>
      <c r="I50" s="323"/>
      <c r="J50" s="323"/>
      <c r="K50" s="323"/>
      <c r="L50" s="323"/>
      <c r="M50" s="323"/>
      <c r="N50" s="323"/>
      <c r="O50" s="323"/>
      <c r="P50" s="324"/>
      <c r="Q50" s="322" t="s">
        <v>3912</v>
      </c>
      <c r="R50" s="323"/>
      <c r="S50" s="323"/>
      <c r="T50" s="324"/>
      <c r="U50" s="325" t="s">
        <v>3913</v>
      </c>
      <c r="V50" s="326"/>
      <c r="W50" s="326"/>
      <c r="X50" s="326"/>
      <c r="Y50" s="327"/>
      <c r="AA50" s="56"/>
      <c r="AB50" s="322" t="s">
        <v>3936</v>
      </c>
      <c r="AC50" s="323"/>
      <c r="AD50" s="323"/>
      <c r="AE50" s="323"/>
      <c r="AF50" s="323"/>
      <c r="AG50" s="323"/>
      <c r="AH50" s="323"/>
      <c r="AI50" s="323"/>
      <c r="AJ50" s="323"/>
      <c r="AK50" s="323"/>
      <c r="AL50" s="323"/>
      <c r="AM50" s="323"/>
      <c r="AN50" s="323"/>
      <c r="AO50" s="324"/>
      <c r="AP50" s="322" t="s">
        <v>3937</v>
      </c>
      <c r="AQ50" s="323"/>
      <c r="AR50" s="323"/>
      <c r="AS50" s="324"/>
      <c r="AT50" s="325"/>
      <c r="AU50" s="326"/>
      <c r="AV50" s="326"/>
      <c r="AW50" s="326"/>
      <c r="AX50" s="327"/>
    </row>
    <row r="51" spans="2:50" ht="30" customHeight="1">
      <c r="B51" s="56"/>
      <c r="C51" s="322" t="s">
        <v>3929</v>
      </c>
      <c r="D51" s="323"/>
      <c r="E51" s="323"/>
      <c r="F51" s="323"/>
      <c r="G51" s="323"/>
      <c r="H51" s="323"/>
      <c r="I51" s="323"/>
      <c r="J51" s="323"/>
      <c r="K51" s="323"/>
      <c r="L51" s="323"/>
      <c r="M51" s="323"/>
      <c r="N51" s="323"/>
      <c r="O51" s="323"/>
      <c r="P51" s="324"/>
      <c r="Q51" s="322" t="s">
        <v>3912</v>
      </c>
      <c r="R51" s="323"/>
      <c r="S51" s="323"/>
      <c r="T51" s="324"/>
      <c r="U51" s="325" t="s">
        <v>3913</v>
      </c>
      <c r="V51" s="326"/>
      <c r="W51" s="326"/>
      <c r="X51" s="326"/>
      <c r="Y51" s="327"/>
    </row>
    <row r="52" spans="2:50" ht="30" customHeight="1">
      <c r="B52" s="56"/>
      <c r="C52" s="322" t="s">
        <v>3930</v>
      </c>
      <c r="D52" s="323"/>
      <c r="E52" s="323"/>
      <c r="F52" s="323"/>
      <c r="G52" s="323"/>
      <c r="H52" s="323"/>
      <c r="I52" s="323"/>
      <c r="J52" s="323"/>
      <c r="K52" s="323"/>
      <c r="L52" s="323"/>
      <c r="M52" s="323"/>
      <c r="N52" s="323"/>
      <c r="O52" s="323"/>
      <c r="P52" s="324"/>
      <c r="Q52" s="322" t="s">
        <v>3912</v>
      </c>
      <c r="R52" s="323"/>
      <c r="S52" s="323"/>
      <c r="T52" s="324"/>
      <c r="U52" s="325" t="s">
        <v>3913</v>
      </c>
      <c r="V52" s="326"/>
      <c r="W52" s="326"/>
      <c r="X52" s="326"/>
      <c r="Y52" s="327"/>
    </row>
    <row r="53" spans="2:50" ht="30" customHeight="1">
      <c r="B53" s="56"/>
      <c r="C53" s="322" t="s">
        <v>3931</v>
      </c>
      <c r="D53" s="323"/>
      <c r="E53" s="323"/>
      <c r="F53" s="323"/>
      <c r="G53" s="323"/>
      <c r="H53" s="323"/>
      <c r="I53" s="323"/>
      <c r="J53" s="323"/>
      <c r="K53" s="323"/>
      <c r="L53" s="323"/>
      <c r="M53" s="323"/>
      <c r="N53" s="323"/>
      <c r="O53" s="323"/>
      <c r="P53" s="324"/>
      <c r="Q53" s="322" t="s">
        <v>3932</v>
      </c>
      <c r="R53" s="323"/>
      <c r="S53" s="323"/>
      <c r="T53" s="324"/>
      <c r="U53" s="325"/>
      <c r="V53" s="326"/>
      <c r="W53" s="326"/>
      <c r="X53" s="326"/>
      <c r="Y53" s="327"/>
      <c r="AA53" s="221" t="s">
        <v>3938</v>
      </c>
    </row>
    <row r="54" spans="2:50" ht="15" customHeight="1"/>
    <row r="55" spans="2:50" ht="15" customHeight="1"/>
    <row r="56" spans="2:50" ht="15" customHeight="1">
      <c r="C56" s="260" t="s">
        <v>3955</v>
      </c>
      <c r="D56" s="212"/>
      <c r="E56" s="212"/>
      <c r="F56" s="212"/>
      <c r="G56" s="212"/>
      <c r="H56" s="212"/>
      <c r="I56" s="212"/>
      <c r="J56" s="212"/>
      <c r="K56" s="212"/>
      <c r="L56" s="212"/>
      <c r="M56" s="212"/>
      <c r="N56" s="212"/>
      <c r="O56" s="212"/>
      <c r="P56" s="212"/>
      <c r="Q56" s="212"/>
      <c r="R56" s="212"/>
      <c r="S56" s="212"/>
      <c r="T56" s="212"/>
      <c r="U56" s="212"/>
      <c r="V56" s="212"/>
      <c r="W56" s="212"/>
      <c r="X56" s="212"/>
      <c r="Y56" s="212"/>
      <c r="Z56" s="212"/>
      <c r="AA56" s="212"/>
      <c r="AB56" s="212"/>
      <c r="AC56" s="212"/>
      <c r="AD56" s="212"/>
      <c r="AE56" s="212"/>
      <c r="AF56" s="212"/>
      <c r="AG56" s="212"/>
      <c r="AH56" s="212"/>
      <c r="AI56" s="212"/>
      <c r="AJ56" s="212"/>
      <c r="AK56" s="212"/>
      <c r="AL56" s="212"/>
      <c r="AM56" s="212"/>
      <c r="AN56" s="259"/>
      <c r="AO56" s="259"/>
      <c r="AP56" s="259"/>
      <c r="AQ56" s="259"/>
      <c r="AR56" s="259"/>
      <c r="AS56" s="259"/>
      <c r="AT56" s="259"/>
      <c r="AU56" s="259"/>
      <c r="AV56" s="259"/>
      <c r="AW56" s="259"/>
      <c r="AX56" s="259"/>
    </row>
    <row r="57" spans="2:50" ht="15" customHeight="1"/>
    <row r="58" spans="2:50" ht="15" customHeight="1"/>
    <row r="59" spans="2:50" ht="15" customHeight="1"/>
    <row r="60" spans="2:50" ht="15" customHeight="1"/>
    <row r="61" spans="2:50" ht="15" customHeight="1"/>
    <row r="62" spans="2:50" ht="15" customHeight="1"/>
    <row r="63" spans="2:50" ht="15" customHeight="1"/>
    <row r="64" spans="2:50"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sheetData>
  <sheetProtection password="CEE2" sheet="1" objects="1" scenarios="1"/>
  <mergeCells count="98">
    <mergeCell ref="C53:P53"/>
    <mergeCell ref="Q53:T53"/>
    <mergeCell ref="U53:Y53"/>
    <mergeCell ref="C51:P51"/>
    <mergeCell ref="Q51:T51"/>
    <mergeCell ref="U51:Y51"/>
    <mergeCell ref="C52:P52"/>
    <mergeCell ref="Q52:T52"/>
    <mergeCell ref="U52:Y52"/>
    <mergeCell ref="C49:P49"/>
    <mergeCell ref="Q49:T49"/>
    <mergeCell ref="U49:Y49"/>
    <mergeCell ref="C50:P50"/>
    <mergeCell ref="Q50:T50"/>
    <mergeCell ref="U50:Y50"/>
    <mergeCell ref="C42:P43"/>
    <mergeCell ref="Q42:T43"/>
    <mergeCell ref="U42:Y43"/>
    <mergeCell ref="C47:Y47"/>
    <mergeCell ref="C48:P48"/>
    <mergeCell ref="Q48:T48"/>
    <mergeCell ref="U48:Y48"/>
    <mergeCell ref="C22:Y22"/>
    <mergeCell ref="AB22:AX22"/>
    <mergeCell ref="C23:P23"/>
    <mergeCell ref="Q23:T23"/>
    <mergeCell ref="U23:Y23"/>
    <mergeCell ref="AB23:AO23"/>
    <mergeCell ref="AP23:AS23"/>
    <mergeCell ref="AT23:AX23"/>
    <mergeCell ref="AT24:AX24"/>
    <mergeCell ref="C25:P25"/>
    <mergeCell ref="Q25:T25"/>
    <mergeCell ref="U25:Y25"/>
    <mergeCell ref="AB25:AO25"/>
    <mergeCell ref="AP25:AS25"/>
    <mergeCell ref="AT25:AX25"/>
    <mergeCell ref="C24:P24"/>
    <mergeCell ref="Q24:T24"/>
    <mergeCell ref="U24:Y24"/>
    <mergeCell ref="AB24:AO24"/>
    <mergeCell ref="AP24:AS24"/>
    <mergeCell ref="AB29:AX29"/>
    <mergeCell ref="AB30:AO30"/>
    <mergeCell ref="AP30:AS30"/>
    <mergeCell ref="AT30:AX30"/>
    <mergeCell ref="C31:P31"/>
    <mergeCell ref="Q31:T31"/>
    <mergeCell ref="U31:Y31"/>
    <mergeCell ref="AB31:AO31"/>
    <mergeCell ref="AP31:AS31"/>
    <mergeCell ref="AT31:AX31"/>
    <mergeCell ref="C29:Y29"/>
    <mergeCell ref="C30:P30"/>
    <mergeCell ref="Q30:T30"/>
    <mergeCell ref="U30:Y30"/>
    <mergeCell ref="AB32:AO32"/>
    <mergeCell ref="AP32:AS32"/>
    <mergeCell ref="AT32:AX32"/>
    <mergeCell ref="C36:Y36"/>
    <mergeCell ref="AB36:AX36"/>
    <mergeCell ref="C32:P32"/>
    <mergeCell ref="Q32:T32"/>
    <mergeCell ref="U32:Y32"/>
    <mergeCell ref="AB37:AO37"/>
    <mergeCell ref="AP37:AS37"/>
    <mergeCell ref="AT37:AX37"/>
    <mergeCell ref="C38:P38"/>
    <mergeCell ref="Q38:T38"/>
    <mergeCell ref="U38:Y38"/>
    <mergeCell ref="AB38:AO38"/>
    <mergeCell ref="AP38:AS38"/>
    <mergeCell ref="AT38:AX38"/>
    <mergeCell ref="C37:P37"/>
    <mergeCell ref="Q37:T37"/>
    <mergeCell ref="U37:Y37"/>
    <mergeCell ref="AB39:AO39"/>
    <mergeCell ref="AP39:AS39"/>
    <mergeCell ref="AT39:AX39"/>
    <mergeCell ref="C40:P41"/>
    <mergeCell ref="Q40:T41"/>
    <mergeCell ref="U40:Y41"/>
    <mergeCell ref="AB40:AO41"/>
    <mergeCell ref="AP40:AS41"/>
    <mergeCell ref="AT40:AX41"/>
    <mergeCell ref="C39:P39"/>
    <mergeCell ref="Q39:T39"/>
    <mergeCell ref="U39:Y39"/>
    <mergeCell ref="AB50:AO50"/>
    <mergeCell ref="AP50:AS50"/>
    <mergeCell ref="AT50:AX50"/>
    <mergeCell ref="AB47:AX47"/>
    <mergeCell ref="AB48:AO48"/>
    <mergeCell ref="AP48:AS48"/>
    <mergeCell ref="AT48:AX48"/>
    <mergeCell ref="AB49:AO49"/>
    <mergeCell ref="AP49:AS49"/>
    <mergeCell ref="AT49:AX49"/>
  </mergeCells>
  <hyperlinks>
    <hyperlink ref="U38:Y38" r:id="rId1" display="Download"/>
    <hyperlink ref="U39:Y39" r:id="rId2" display="Download"/>
    <hyperlink ref="AT38:AX38" r:id="rId3" display="Download"/>
    <hyperlink ref="AT39:AX39" r:id="rId4" display="Download"/>
    <hyperlink ref="AT49:AX49" r:id="rId5" display="Download"/>
    <hyperlink ref="U49:Y49" r:id="rId6" display="Download"/>
    <hyperlink ref="U50:Y50" r:id="rId7" display="Download"/>
    <hyperlink ref="U51:Y51" r:id="rId8" display="Download"/>
    <hyperlink ref="U52:Y52" r:id="rId9" display="Download"/>
    <hyperlink ref="U24:Y24" r:id="rId10" display="Download"/>
    <hyperlink ref="U31:Y31" r:id="rId11" display="Download"/>
    <hyperlink ref="AT24:AX24" r:id="rId12" display="Download"/>
    <hyperlink ref="AT31:AX31" r:id="rId13" display="Download"/>
  </hyperlinks>
  <pageMargins left="0.7" right="0.7" top="0.75" bottom="0.75" header="0.3" footer="0.3"/>
  <pageSetup orientation="portrait" r:id="rId14"/>
  <drawing r:id="rId1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28</vt:i4>
      </vt:variant>
      <vt:variant>
        <vt:lpstr>Named Ranges</vt:lpstr>
      </vt:variant>
      <vt:variant>
        <vt:i4>18</vt:i4>
      </vt:variant>
    </vt:vector>
  </HeadingPairs>
  <TitlesOfParts>
    <vt:vector size="46" baseType="lpstr">
      <vt:lpstr>Setup</vt:lpstr>
      <vt:lpstr>Player Name</vt:lpstr>
      <vt:lpstr>Player Scoreboard</vt:lpstr>
      <vt:lpstr>Player Scoreboard (2)</vt:lpstr>
      <vt:lpstr>Dummy</vt:lpstr>
      <vt:lpstr>Player Leaderboard</vt:lpstr>
      <vt:lpstr>Player Leaderboard - Group</vt:lpstr>
      <vt:lpstr>Player Leaderboard - KO</vt:lpstr>
      <vt:lpstr>Tournament</vt:lpstr>
      <vt:lpstr>Player</vt:lpstr>
      <vt:lpstr>Player (2)</vt:lpstr>
      <vt:lpstr>Player (3)</vt:lpstr>
      <vt:lpstr>Player (4)</vt:lpstr>
      <vt:lpstr>Player (5)</vt:lpstr>
      <vt:lpstr>Player (6)</vt:lpstr>
      <vt:lpstr>Player (7)</vt:lpstr>
      <vt:lpstr>Player (8)</vt:lpstr>
      <vt:lpstr>Player (9)</vt:lpstr>
      <vt:lpstr>Player (10)</vt:lpstr>
      <vt:lpstr>Player (11)</vt:lpstr>
      <vt:lpstr>Player (12)</vt:lpstr>
      <vt:lpstr>Player (13)</vt:lpstr>
      <vt:lpstr>Player (14)</vt:lpstr>
      <vt:lpstr>Player (15)</vt:lpstr>
      <vt:lpstr>Countries and Timezone</vt:lpstr>
      <vt:lpstr>Dummy Table</vt:lpstr>
      <vt:lpstr>Language</vt:lpstr>
      <vt:lpstr>About</vt:lpstr>
      <vt:lpstr>Cities</vt:lpstr>
      <vt:lpstr>Countries</vt:lpstr>
      <vt:lpstr>Player!Print_Area</vt:lpstr>
      <vt:lpstr>'Player (10)'!Print_Area</vt:lpstr>
      <vt:lpstr>'Player (11)'!Print_Area</vt:lpstr>
      <vt:lpstr>'Player (12)'!Print_Area</vt:lpstr>
      <vt:lpstr>'Player (13)'!Print_Area</vt:lpstr>
      <vt:lpstr>'Player (14)'!Print_Area</vt:lpstr>
      <vt:lpstr>'Player (15)'!Print_Area</vt:lpstr>
      <vt:lpstr>'Player (2)'!Print_Area</vt:lpstr>
      <vt:lpstr>'Player (3)'!Print_Area</vt:lpstr>
      <vt:lpstr>'Player (4)'!Print_Area</vt:lpstr>
      <vt:lpstr>'Player (5)'!Print_Area</vt:lpstr>
      <vt:lpstr>'Player (6)'!Print_Area</vt:lpstr>
      <vt:lpstr>'Player (7)'!Print_Area</vt:lpstr>
      <vt:lpstr>'Player (8)'!Print_Area</vt:lpstr>
      <vt:lpstr>'Player (9)'!Print_Area</vt:lpstr>
      <vt:lpstr>Team</vt:lpstr>
    </vt:vector>
  </TitlesOfParts>
  <Company>Exceltemplate.net</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World Cup 2014 Office Pool</dc:title>
  <dc:creator>R. Musadya</dc:creator>
  <cp:keywords>world cup 2014, world cup 2014 schedule, world cup 2014 spreadsheet, world cup office pool</cp:keywords>
  <cp:lastModifiedBy>Agam PC</cp:lastModifiedBy>
  <cp:lastPrinted>2014-02-15T11:22:00Z</cp:lastPrinted>
  <dcterms:created xsi:type="dcterms:W3CDTF">2008-04-13T01:23:18Z</dcterms:created>
  <dcterms:modified xsi:type="dcterms:W3CDTF">2014-06-14T02:06:31Z</dcterms:modified>
  <cp:category>Sport Spreadsheet</cp:category>
</cp:coreProperties>
</file>