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EE2" lockStructure="1"/>
  <bookViews>
    <workbookView xWindow="11604" yWindow="-12" windowWidth="11448" windowHeight="10248" tabRatio="804"/>
  </bookViews>
  <sheets>
    <sheet name="Group Stages" sheetId="17" r:id="rId1"/>
    <sheet name="Knock Out Stages" sheetId="21" r:id="rId2"/>
    <sheet name="Tournament" sheetId="1" state="hidden" r:id="rId3"/>
    <sheet name="Countries and Timezone" sheetId="15" state="hidden" r:id="rId4"/>
    <sheet name="Dummy Table" sheetId="2" state="hidden" r:id="rId5"/>
    <sheet name="Language" sheetId="11" state="hidden" r:id="rId6"/>
    <sheet name="Player Database" sheetId="18" r:id="rId7"/>
    <sheet name="Dummy Top Scorer" sheetId="19" state="hidden" r:id="rId8"/>
    <sheet name="EULA" sheetId="23" r:id="rId9"/>
    <sheet name="About" sheetId="22" r:id="rId10"/>
  </sheets>
  <definedNames>
    <definedName name="A1A2">'Dummy Top Scorer'!$B$3:$B$48</definedName>
    <definedName name="A1A3">'Dummy Top Scorer'!$B$51:$B$96</definedName>
    <definedName name="A1A4">'Dummy Top Scorer'!$B$99:$B$144</definedName>
    <definedName name="A2A1">'Dummy Top Scorer'!$C$3:$C$48</definedName>
    <definedName name="A2A3">'Dummy Top Scorer'!$C$51:$C$96</definedName>
    <definedName name="A2A4">'Dummy Top Scorer'!$C$99:$C$144</definedName>
    <definedName name="A3A1">'Dummy Top Scorer'!$D$3:$D$48</definedName>
    <definedName name="A3A2">'Dummy Top Scorer'!$D$51:$D$96</definedName>
    <definedName name="A3A4">'Dummy Top Scorer'!$D$99:$D$144</definedName>
    <definedName name="A4A1">'Dummy Top Scorer'!$E$3:$E$48</definedName>
    <definedName name="A4A2">'Dummy Top Scorer'!$E$51:$E$96</definedName>
    <definedName name="A4A3">'Dummy Top Scorer'!$E$99:$E$144</definedName>
    <definedName name="AC1C2">'Dummy Top Scorer'!$J$3:$J$48</definedName>
    <definedName name="AC1C3">'Dummy Top Scorer'!$J$51:$J$96</definedName>
    <definedName name="AC1C4">'Dummy Top Scorer'!$J$99:$J$144</definedName>
    <definedName name="AC2C1">'Dummy Top Scorer'!$K$3:$K$48</definedName>
    <definedName name="AC2C3">'Dummy Top Scorer'!$K$51:$K$96</definedName>
    <definedName name="AC2C4">'Dummy Top Scorer'!$K$99:$K$144</definedName>
    <definedName name="AC3C1">'Dummy Top Scorer'!$L$3:$L$48</definedName>
    <definedName name="AC3C2">'Dummy Top Scorer'!$L$51:$L$96</definedName>
    <definedName name="AC3C4">'Dummy Top Scorer'!$L$99:$L$144</definedName>
    <definedName name="AC4C1">'Dummy Top Scorer'!$M$3:$M$48</definedName>
    <definedName name="AC4C2">'Dummy Top Scorer'!$M$51:$M$96</definedName>
    <definedName name="AC4C3">'Dummy Top Scorer'!$M$99:$M$144</definedName>
    <definedName name="B1B2">'Dummy Top Scorer'!$F$3:$F$48</definedName>
    <definedName name="B1B3">'Dummy Top Scorer'!$F$51:$F$96</definedName>
    <definedName name="B1B4">'Dummy Top Scorer'!$F$99:$F$144</definedName>
    <definedName name="B2B1">'Dummy Top Scorer'!$G$3:$G$48</definedName>
    <definedName name="B2B3">'Dummy Top Scorer'!$G$51:$G$96</definedName>
    <definedName name="B2B4">'Dummy Top Scorer'!$G$99:$G$144</definedName>
    <definedName name="B3B1">'Dummy Top Scorer'!$H$3:$H$48</definedName>
    <definedName name="B3B2">'Dummy Top Scorer'!$H$51:$H$96</definedName>
    <definedName name="B3B4">'Dummy Top Scorer'!$H$99:$H$144</definedName>
    <definedName name="B4B1">'Dummy Top Scorer'!$I$3:$I$48</definedName>
    <definedName name="B4B2">'Dummy Top Scorer'!$I$51:$I$96</definedName>
    <definedName name="B4B3">'Dummy Top Scorer'!$I$99:$I$144</definedName>
    <definedName name="BIGQ11">'Dummy Top Scorer'!$AZ$3:$AZ$48</definedName>
    <definedName name="BIGQ12">'Dummy Top Scorer'!$BA$3:$BA$48</definedName>
    <definedName name="BIGQ21">'Dummy Top Scorer'!$BB$3:$BB$48</definedName>
    <definedName name="BIGQ22">'Dummy Top Scorer'!$BC$3:$BC$48</definedName>
    <definedName name="BIGQ31">'Dummy Top Scorer'!$BD$3:$BD$48</definedName>
    <definedName name="BIGQ32">'Dummy Top Scorer'!$BE$3:$BE$48</definedName>
    <definedName name="BIGQ41">'Dummy Top Scorer'!$BF$3:$BF$48</definedName>
    <definedName name="BIGQ42">'Dummy Top Scorer'!$BG$3:$BG$48</definedName>
    <definedName name="Cities">'Countries and Timezone'!$J$2:$J$144</definedName>
    <definedName name="Countries">Language!$C$1:$AW$1</definedName>
    <definedName name="D1D2">'Dummy Top Scorer'!$N$3:$N$48</definedName>
    <definedName name="D1D3">'Dummy Top Scorer'!$N$51:$N$96</definedName>
    <definedName name="D1D4">'Dummy Top Scorer'!$N$99:$N$144</definedName>
    <definedName name="D2D1">'Dummy Top Scorer'!$O$3:$O$48</definedName>
    <definedName name="D2D3">'Dummy Top Scorer'!$O$51:$O$96</definedName>
    <definedName name="D2D4">'Dummy Top Scorer'!$O$99:$O$144</definedName>
    <definedName name="D3D1">'Dummy Top Scorer'!$P$3:$P$48</definedName>
    <definedName name="D3D2">'Dummy Top Scorer'!$P$51:$P$96</definedName>
    <definedName name="D3D4">'Dummy Top Scorer'!$P$99:$P$144</definedName>
    <definedName name="D4D1">'Dummy Top Scorer'!$Q$3:$Q$48</definedName>
    <definedName name="D4D2">'Dummy Top Scorer'!$Q$51:$Q$96</definedName>
    <definedName name="D4D3">'Dummy Top Scorer'!$Q$99:$Q$144</definedName>
    <definedName name="E1E2">'Dummy Top Scorer'!$R$3:$R$48</definedName>
    <definedName name="E1E3">'Dummy Top Scorer'!$R$51:$R$96</definedName>
    <definedName name="E1E4">'Dummy Top Scorer'!$R$99:$R$144</definedName>
    <definedName name="E2E1">'Dummy Top Scorer'!$S$3:$S$48</definedName>
    <definedName name="E2E3">'Dummy Top Scorer'!$S$51:$S$96</definedName>
    <definedName name="E2E4">'Dummy Top Scorer'!$S$99:$S$144</definedName>
    <definedName name="E3E1">'Dummy Top Scorer'!$T$3:$T$48</definedName>
    <definedName name="E3E2">'Dummy Top Scorer'!$T$51:$T$96</definedName>
    <definedName name="E3E4">'Dummy Top Scorer'!$T$99:$T$144</definedName>
    <definedName name="E4E1">'Dummy Top Scorer'!$U$3:$U$48</definedName>
    <definedName name="E4E2">'Dummy Top Scorer'!$U$51:$U$96</definedName>
    <definedName name="E4E3">'Dummy Top Scorer'!$U$99:$U$144</definedName>
    <definedName name="F1F2">'Dummy Top Scorer'!$V$3:$V$48</definedName>
    <definedName name="F1F3">'Dummy Top Scorer'!$V$51:$V$96</definedName>
    <definedName name="F1F4">'Dummy Top Scorer'!$V$99:$V$144</definedName>
    <definedName name="F2F1">'Dummy Top Scorer'!$W$3:$W$48</definedName>
    <definedName name="F2F3">'Dummy Top Scorer'!$W$51:$W$96</definedName>
    <definedName name="F2F4">'Dummy Top Scorer'!$W$99:$W$144</definedName>
    <definedName name="F3F1">'Dummy Top Scorer'!$X$3:$X$48</definedName>
    <definedName name="F3F2">'Dummy Top Scorer'!$X$51:$X$96</definedName>
    <definedName name="F3F4">'Dummy Top Scorer'!$X$99:$X$144</definedName>
    <definedName name="F4F1">'Dummy Top Scorer'!$Y$3:$Y$48</definedName>
    <definedName name="F4F2">'Dummy Top Scorer'!$Y$51:$Y$96</definedName>
    <definedName name="F4F3">'Dummy Top Scorer'!$Y$99:$Y$144</definedName>
    <definedName name="FINAL11">'Dummy Top Scorer'!$BQ$3:$BQ$48</definedName>
    <definedName name="FINAL12">'Dummy Top Scorer'!$BR$3:$BR$48</definedName>
    <definedName name="G1G2">'Dummy Top Scorer'!$Z$3:$Z$48</definedName>
    <definedName name="G1G3">'Dummy Top Scorer'!$Z$51:$Z$96</definedName>
    <definedName name="G1G4">'Dummy Top Scorer'!$Z$99:$Z$144</definedName>
    <definedName name="G2G1">'Dummy Top Scorer'!$AA$3:$AA$48</definedName>
    <definedName name="G2G3">'Dummy Top Scorer'!$AA$51:$AA$96</definedName>
    <definedName name="G2G4">'Dummy Top Scorer'!$AA$99:$AA$144</definedName>
    <definedName name="G3G1">'Dummy Top Scorer'!$AB$3:$AB$48</definedName>
    <definedName name="G3G2">'Dummy Top Scorer'!$AB$51:$AB$96</definedName>
    <definedName name="G3G4">'Dummy Top Scorer'!$AB$99:$AB$144</definedName>
    <definedName name="G4G1">'Dummy Top Scorer'!$AC$3:$AC$48</definedName>
    <definedName name="G4G2">'Dummy Top Scorer'!$AC$51:$AC$96</definedName>
    <definedName name="G4G3">'Dummy Top Scorer'!$AC$99:$AC$144</definedName>
    <definedName name="H1H2">'Dummy Top Scorer'!$AD$3:$AD$48</definedName>
    <definedName name="H1H3">'Dummy Top Scorer'!$AD$51:$AD$96</definedName>
    <definedName name="H1H4">'Dummy Top Scorer'!$AD$99:$AD$144</definedName>
    <definedName name="H2H1">'Dummy Top Scorer'!$AE$3:$AE$48</definedName>
    <definedName name="H2H3">'Dummy Top Scorer'!$AE$51:$AE$96</definedName>
    <definedName name="H2H4">'Dummy Top Scorer'!$AE$99:$AE$144</definedName>
    <definedName name="H3H1">'Dummy Top Scorer'!$AF$3:$AF$48</definedName>
    <definedName name="H3H2">'Dummy Top Scorer'!$AF$51:$AF$96</definedName>
    <definedName name="H3H4">'Dummy Top Scorer'!$AF$99:$AF$144</definedName>
    <definedName name="H4H1">'Dummy Top Scorer'!$AG$3:$AG$48</definedName>
    <definedName name="H4H2">'Dummy Top Scorer'!$AG$51:$AG$96</definedName>
    <definedName name="H4H3">'Dummy Top Scorer'!$AG$99:$AG$144</definedName>
    <definedName name="_xlnm.Print_Area" localSheetId="0">'Group Stages'!$B$6:$U$135</definedName>
    <definedName name="_xlnm.Print_Area" localSheetId="1">'Knock Out Stages'!$B$6:$U$88</definedName>
    <definedName name="_xlnm.Print_Area" localSheetId="2">Tournament!$B$6:$AC$119</definedName>
    <definedName name="QUFI11">'Dummy Top Scorer'!$AI$3:$AI$48</definedName>
    <definedName name="QUFI12">'Dummy Top Scorer'!$AJ$3:$AJ$48</definedName>
    <definedName name="QUFI21">'Dummy Top Scorer'!$AK$3:$AK$48</definedName>
    <definedName name="QUFI22">'Dummy Top Scorer'!$AL$3:$AL$48</definedName>
    <definedName name="QUFI31">'Dummy Top Scorer'!$AM$3:$AM$48</definedName>
    <definedName name="QUFI32">'Dummy Top Scorer'!$AN$3:$AN$48</definedName>
    <definedName name="QUFI41">'Dummy Top Scorer'!$AO$3:$AO$48</definedName>
    <definedName name="QUFI42">'Dummy Top Scorer'!$AP$3:$AP$48</definedName>
    <definedName name="QUFI51">'Dummy Top Scorer'!$AQ$3:$AQ$48</definedName>
    <definedName name="QUFI52">'Dummy Top Scorer'!$AR$3:$AR$48</definedName>
    <definedName name="QUFI61">'Dummy Top Scorer'!$AS$3:$AS$48</definedName>
    <definedName name="QUFI62">'Dummy Top Scorer'!$AT$3:$AT$48</definedName>
    <definedName name="QUFI71">'Dummy Top Scorer'!$AU$3:$AU$48</definedName>
    <definedName name="QUFI72">'Dummy Top Scorer'!$AV$3:$AV$48</definedName>
    <definedName name="QUFI81">'Dummy Top Scorer'!$AW$3:$AW$48</definedName>
    <definedName name="QUFI82">'Dummy Top Scorer'!$AX$3:$AX$48</definedName>
    <definedName name="SEFI11">'Dummy Top Scorer'!$BI$3:$BI$48</definedName>
    <definedName name="SEFI12">'Dummy Top Scorer'!$BJ$3:$BJ$48</definedName>
    <definedName name="SEFI21">'Dummy Top Scorer'!$BK$3:$BK$48</definedName>
    <definedName name="SEFI22">'Dummy Top Scorer'!$BL$3:$BL$48</definedName>
    <definedName name="Team">'Countries and Timezone'!$C$7:$C$38</definedName>
    <definedName name="THIR11">'Dummy Top Scorer'!$BN$3:$BN$48</definedName>
    <definedName name="THIR12">'Dummy Top Scorer'!$BO$3:$BO$48</definedName>
  </definedNames>
  <calcPr calcId="145621"/>
</workbook>
</file>

<file path=xl/calcChain.xml><?xml version="1.0" encoding="utf-8"?>
<calcChain xmlns="http://schemas.openxmlformats.org/spreadsheetml/2006/main">
  <c r="B6" i="21" l="1"/>
  <c r="B5" i="21"/>
  <c r="C5" i="21"/>
  <c r="D87" i="21" l="1"/>
  <c r="B6" i="17"/>
  <c r="J45" i="1" l="1"/>
  <c r="L45" i="1"/>
  <c r="AC114" i="1" l="1"/>
  <c r="AA114" i="1"/>
  <c r="AC113" i="1"/>
  <c r="AA113" i="1"/>
  <c r="AC112" i="1"/>
  <c r="AA112" i="1"/>
  <c r="AC106" i="1"/>
  <c r="AA106" i="1"/>
  <c r="AC105" i="1"/>
  <c r="AA105" i="1"/>
  <c r="AC104" i="1"/>
  <c r="AA104" i="1"/>
  <c r="AC98" i="1"/>
  <c r="AA98" i="1"/>
  <c r="AC97" i="1"/>
  <c r="AA97" i="1"/>
  <c r="AC96" i="1"/>
  <c r="AA96" i="1"/>
  <c r="AC93" i="1"/>
  <c r="AA93" i="1"/>
  <c r="AC92" i="1"/>
  <c r="AA92" i="1"/>
  <c r="AC91" i="1"/>
  <c r="AA91" i="1"/>
  <c r="AC85" i="1"/>
  <c r="AA85" i="1"/>
  <c r="AC84" i="1"/>
  <c r="AA84" i="1"/>
  <c r="AC83" i="1"/>
  <c r="AA83" i="1"/>
  <c r="AC80" i="1"/>
  <c r="AA80" i="1"/>
  <c r="AC79" i="1"/>
  <c r="AA79" i="1"/>
  <c r="AC78" i="1"/>
  <c r="AA78" i="1"/>
  <c r="AC75" i="1"/>
  <c r="AA75" i="1"/>
  <c r="AC74" i="1"/>
  <c r="AA74" i="1"/>
  <c r="AC73" i="1"/>
  <c r="AA73" i="1"/>
  <c r="AC70" i="1"/>
  <c r="AA70" i="1"/>
  <c r="AC69" i="1"/>
  <c r="AA69" i="1"/>
  <c r="AC68" i="1"/>
  <c r="AA68" i="1"/>
  <c r="L112" i="1"/>
  <c r="J112" i="1"/>
  <c r="L111" i="1"/>
  <c r="J111" i="1"/>
  <c r="L110" i="1"/>
  <c r="J110" i="1"/>
  <c r="L105" i="1"/>
  <c r="L106" i="1"/>
  <c r="J106" i="1"/>
  <c r="J105" i="1"/>
  <c r="L104" i="1"/>
  <c r="J104" i="1"/>
  <c r="L100" i="1"/>
  <c r="J100" i="1"/>
  <c r="L99" i="1"/>
  <c r="J99" i="1"/>
  <c r="L98" i="1"/>
  <c r="J98" i="1"/>
  <c r="L94" i="1"/>
  <c r="J94" i="1"/>
  <c r="L93" i="1"/>
  <c r="J93" i="1"/>
  <c r="L92" i="1"/>
  <c r="J92" i="1"/>
  <c r="L88" i="1"/>
  <c r="J88" i="1"/>
  <c r="L87" i="1"/>
  <c r="J87" i="1"/>
  <c r="L86" i="1"/>
  <c r="J86" i="1"/>
  <c r="L82" i="1"/>
  <c r="J82" i="1"/>
  <c r="L81" i="1"/>
  <c r="J81" i="1"/>
  <c r="L80" i="1"/>
  <c r="J80" i="1"/>
  <c r="L76" i="1"/>
  <c r="J76" i="1"/>
  <c r="L75" i="1"/>
  <c r="J75" i="1"/>
  <c r="L74" i="1"/>
  <c r="J74" i="1"/>
  <c r="L70" i="1"/>
  <c r="J70" i="1"/>
  <c r="L69" i="1"/>
  <c r="J69" i="1"/>
  <c r="L68" i="1"/>
  <c r="J68" i="1"/>
  <c r="L61" i="1"/>
  <c r="L60" i="1"/>
  <c r="L59" i="1"/>
  <c r="L58" i="1"/>
  <c r="L57" i="1"/>
  <c r="L56" i="1"/>
  <c r="L55" i="1"/>
  <c r="L54" i="1"/>
  <c r="L53" i="1"/>
  <c r="L52" i="1"/>
  <c r="L51" i="1"/>
  <c r="L50" i="1"/>
  <c r="L49" i="1"/>
  <c r="L48" i="1"/>
  <c r="L47" i="1"/>
  <c r="L46" i="1"/>
  <c r="L44" i="1"/>
  <c r="L43" i="1"/>
  <c r="L42" i="1"/>
  <c r="L41" i="1"/>
  <c r="L40" i="1"/>
  <c r="L39" i="1"/>
  <c r="L38" i="1"/>
  <c r="L37" i="1"/>
  <c r="L36" i="1"/>
  <c r="L35" i="1"/>
  <c r="L34" i="1"/>
  <c r="L33" i="1"/>
  <c r="L32" i="1"/>
  <c r="L31" i="1"/>
  <c r="L30" i="1"/>
  <c r="L29" i="1"/>
  <c r="L28" i="1"/>
  <c r="L27" i="1"/>
  <c r="L26" i="1"/>
  <c r="L25" i="1"/>
  <c r="L24" i="1"/>
  <c r="L23" i="1"/>
  <c r="L22" i="1"/>
  <c r="L21" i="1"/>
  <c r="L20" i="1"/>
  <c r="L19" i="1"/>
  <c r="L18" i="1"/>
  <c r="L17" i="1"/>
  <c r="L16" i="1"/>
  <c r="L15" i="1"/>
  <c r="L14" i="1"/>
  <c r="J61" i="1"/>
  <c r="J60" i="1"/>
  <c r="J59" i="1"/>
  <c r="J58" i="1"/>
  <c r="J57" i="1"/>
  <c r="J56" i="1"/>
  <c r="J55" i="1"/>
  <c r="J54" i="1"/>
  <c r="J53" i="1"/>
  <c r="J52" i="1"/>
  <c r="J51" i="1"/>
  <c r="J50" i="1"/>
  <c r="J49" i="1"/>
  <c r="J48" i="1"/>
  <c r="J47" i="1"/>
  <c r="J46"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14" i="1"/>
  <c r="G4" i="1"/>
  <c r="G2" i="1"/>
  <c r="AG25" i="19" l="1"/>
  <c r="AD144" i="19" s="1"/>
  <c r="AF25" i="19"/>
  <c r="AE25" i="19"/>
  <c r="AG96" i="19" s="1"/>
  <c r="AD25" i="19"/>
  <c r="AC25" i="19"/>
  <c r="Z144" i="19" s="1"/>
  <c r="AB25" i="19"/>
  <c r="AB121" i="19" s="1"/>
  <c r="AA25" i="19"/>
  <c r="AC96" i="19" s="1"/>
  <c r="Z25" i="19"/>
  <c r="AA48" i="19" s="1"/>
  <c r="Y25" i="19"/>
  <c r="W144" i="19" s="1"/>
  <c r="AG24" i="19"/>
  <c r="AF24" i="19"/>
  <c r="AE95" i="19" s="1"/>
  <c r="AE24" i="19"/>
  <c r="AD24" i="19"/>
  <c r="AD72" i="19" s="1"/>
  <c r="AD120" i="19" s="1"/>
  <c r="AC24" i="19"/>
  <c r="AB143" i="19" s="1"/>
  <c r="AB24" i="19"/>
  <c r="AA95" i="19" s="1"/>
  <c r="AA24" i="19"/>
  <c r="AA72" i="19" s="1"/>
  <c r="Z24" i="19"/>
  <c r="Z72" i="19" s="1"/>
  <c r="Z120" i="19" s="1"/>
  <c r="Y24" i="19"/>
  <c r="W143" i="19" s="1"/>
  <c r="AG23" i="19"/>
  <c r="AG71" i="19" s="1"/>
  <c r="AF23" i="19"/>
  <c r="AF71" i="19" s="1"/>
  <c r="AE23" i="19"/>
  <c r="AE71" i="19" s="1"/>
  <c r="AD23" i="19"/>
  <c r="AF46" i="19" s="1"/>
  <c r="AC23" i="19"/>
  <c r="Z142" i="19" s="1"/>
  <c r="AB23" i="19"/>
  <c r="AA23" i="19"/>
  <c r="AA119" i="19" s="1"/>
  <c r="Z23" i="19"/>
  <c r="AB46" i="19" s="1"/>
  <c r="Y23" i="19"/>
  <c r="W142" i="19" s="1"/>
  <c r="AG22" i="19"/>
  <c r="AF22" i="19"/>
  <c r="AE93" i="19" s="1"/>
  <c r="AE22" i="19"/>
  <c r="AG93" i="19" s="1"/>
  <c r="AD22" i="19"/>
  <c r="AD70" i="19" s="1"/>
  <c r="AD118" i="19" s="1"/>
  <c r="AC22" i="19"/>
  <c r="AB22" i="19"/>
  <c r="AA93" i="19" s="1"/>
  <c r="AA22" i="19"/>
  <c r="Z45" i="19" s="1"/>
  <c r="Z22" i="19"/>
  <c r="Z70" i="19" s="1"/>
  <c r="Z118" i="19" s="1"/>
  <c r="Y22" i="19"/>
  <c r="X141" i="19" s="1"/>
  <c r="AG21" i="19"/>
  <c r="AD140" i="19" s="1"/>
  <c r="AF21" i="19"/>
  <c r="AE21" i="19"/>
  <c r="AE69" i="19" s="1"/>
  <c r="AD21" i="19"/>
  <c r="AC21" i="19"/>
  <c r="Z140" i="19" s="1"/>
  <c r="AB21" i="19"/>
  <c r="AB117" i="19" s="1"/>
  <c r="AA21" i="19"/>
  <c r="Z44" i="19" s="1"/>
  <c r="Z21" i="19"/>
  <c r="AC44" i="19" s="1"/>
  <c r="Y21" i="19"/>
  <c r="AG20" i="19"/>
  <c r="AG68" i="19" s="1"/>
  <c r="AF20" i="19"/>
  <c r="AE91" i="19" s="1"/>
  <c r="AE20" i="19"/>
  <c r="AD20" i="19"/>
  <c r="AD68" i="19" s="1"/>
  <c r="AD116" i="19" s="1"/>
  <c r="AC20" i="19"/>
  <c r="AB20" i="19"/>
  <c r="AA91" i="19" s="1"/>
  <c r="AA20" i="19"/>
  <c r="AC91" i="19" s="1"/>
  <c r="Z20" i="19"/>
  <c r="Y20" i="19"/>
  <c r="Y116" i="19" s="1"/>
  <c r="AG19" i="19"/>
  <c r="AF138" i="19" s="1"/>
  <c r="AF19" i="19"/>
  <c r="AE19" i="19"/>
  <c r="AD19" i="19"/>
  <c r="AG42" i="19" s="1"/>
  <c r="AC19" i="19"/>
  <c r="Z138" i="19" s="1"/>
  <c r="AB19" i="19"/>
  <c r="Z90" i="19" s="1"/>
  <c r="AA19" i="19"/>
  <c r="Z42" i="19" s="1"/>
  <c r="Z19" i="19"/>
  <c r="Z67" i="19" s="1"/>
  <c r="Z115" i="19" s="1"/>
  <c r="Y19" i="19"/>
  <c r="W138" i="19" s="1"/>
  <c r="AG18" i="19"/>
  <c r="AE137" i="19" s="1"/>
  <c r="AF18" i="19"/>
  <c r="AE89" i="19" s="1"/>
  <c r="AE18" i="19"/>
  <c r="AD18" i="19"/>
  <c r="AD66" i="19" s="1"/>
  <c r="AD114" i="19" s="1"/>
  <c r="AC18" i="19"/>
  <c r="AB18" i="19"/>
  <c r="AA89" i="19" s="1"/>
  <c r="AA18" i="19"/>
  <c r="AC89" i="19" s="1"/>
  <c r="Z18" i="19"/>
  <c r="Z66" i="19" s="1"/>
  <c r="Z114" i="19" s="1"/>
  <c r="Y18" i="19"/>
  <c r="W137" i="19" s="1"/>
  <c r="AG17" i="19"/>
  <c r="AD136" i="19" s="1"/>
  <c r="AF17" i="19"/>
  <c r="AE17" i="19"/>
  <c r="AG88" i="19" s="1"/>
  <c r="AD17" i="19"/>
  <c r="AC17" i="19"/>
  <c r="Z136" i="19" s="1"/>
  <c r="AB17" i="19"/>
  <c r="AC136" i="19" s="1"/>
  <c r="AA17" i="19"/>
  <c r="AC88" i="19" s="1"/>
  <c r="Z17" i="19"/>
  <c r="AC40" i="19" s="1"/>
  <c r="Y17" i="19"/>
  <c r="V136" i="19" s="1"/>
  <c r="AG16" i="19"/>
  <c r="AF16" i="19"/>
  <c r="AF64" i="19" s="1"/>
  <c r="AE16" i="19"/>
  <c r="AD16" i="19"/>
  <c r="AD64" i="19" s="1"/>
  <c r="AD112" i="19" s="1"/>
  <c r="AC16" i="19"/>
  <c r="AB135" i="19" s="1"/>
  <c r="AB16" i="19"/>
  <c r="AA87" i="19" s="1"/>
  <c r="AA16" i="19"/>
  <c r="Z16" i="19"/>
  <c r="AA39" i="19" s="1"/>
  <c r="Y16" i="19"/>
  <c r="X135" i="19" s="1"/>
  <c r="AG15" i="19"/>
  <c r="AF134" i="19" s="1"/>
  <c r="AF15" i="19"/>
  <c r="AF111" i="19" s="1"/>
  <c r="AE15" i="19"/>
  <c r="AG86" i="19" s="1"/>
  <c r="AD15" i="19"/>
  <c r="AE38" i="19" s="1"/>
  <c r="AC15" i="19"/>
  <c r="Z134" i="19" s="1"/>
  <c r="AB15" i="19"/>
  <c r="AA15" i="19"/>
  <c r="AA63" i="19" s="1"/>
  <c r="Z15" i="19"/>
  <c r="AA38" i="19" s="1"/>
  <c r="Y15" i="19"/>
  <c r="W134" i="19" s="1"/>
  <c r="AG14" i="19"/>
  <c r="AG62" i="19" s="1"/>
  <c r="AF14" i="19"/>
  <c r="AE85" i="19" s="1"/>
  <c r="AE14" i="19"/>
  <c r="AD14" i="19"/>
  <c r="AD62" i="19" s="1"/>
  <c r="AD110" i="19" s="1"/>
  <c r="AC14" i="19"/>
  <c r="AB14" i="19"/>
  <c r="AA85" i="19" s="1"/>
  <c r="AA14" i="19"/>
  <c r="AC85" i="19" s="1"/>
  <c r="Z14" i="19"/>
  <c r="Z62" i="19" s="1"/>
  <c r="Z110" i="19" s="1"/>
  <c r="Y14" i="19"/>
  <c r="V133" i="19" s="1"/>
  <c r="AG13" i="19"/>
  <c r="AD132" i="19" s="1"/>
  <c r="AF13" i="19"/>
  <c r="AE13" i="19"/>
  <c r="AG84" i="19" s="1"/>
  <c r="AD13" i="19"/>
  <c r="AC13" i="19"/>
  <c r="Z132" i="19" s="1"/>
  <c r="AB13" i="19"/>
  <c r="AA13" i="19"/>
  <c r="Z36" i="19" s="1"/>
  <c r="Z13" i="19"/>
  <c r="Z61" i="19" s="1"/>
  <c r="Z109" i="19" s="1"/>
  <c r="Y13" i="19"/>
  <c r="V132" i="19" s="1"/>
  <c r="AG12" i="19"/>
  <c r="AE131" i="19" s="1"/>
  <c r="AF12" i="19"/>
  <c r="AF60" i="19" s="1"/>
  <c r="AE12" i="19"/>
  <c r="AD12" i="19"/>
  <c r="AD60" i="19" s="1"/>
  <c r="AD108" i="19" s="1"/>
  <c r="AC12" i="19"/>
  <c r="AA131" i="19" s="1"/>
  <c r="AB12" i="19"/>
  <c r="AA83" i="19" s="1"/>
  <c r="AA12" i="19"/>
  <c r="Z12" i="19"/>
  <c r="Z60" i="19" s="1"/>
  <c r="Z108" i="19" s="1"/>
  <c r="Y12" i="19"/>
  <c r="V131" i="19" s="1"/>
  <c r="AG11" i="19"/>
  <c r="AF130" i="19" s="1"/>
  <c r="AF11" i="19"/>
  <c r="AE11" i="19"/>
  <c r="AG82" i="19" s="1"/>
  <c r="AD11" i="19"/>
  <c r="AG34" i="19" s="1"/>
  <c r="AC11" i="19"/>
  <c r="Z130" i="19" s="1"/>
  <c r="AB11" i="19"/>
  <c r="AC130" i="19" s="1"/>
  <c r="AA11" i="19"/>
  <c r="Z11" i="19"/>
  <c r="AB34" i="19" s="1"/>
  <c r="Y11" i="19"/>
  <c r="W130" i="19" s="1"/>
  <c r="AG10" i="19"/>
  <c r="AG106" i="19" s="1"/>
  <c r="AF10" i="19"/>
  <c r="AE81" i="19" s="1"/>
  <c r="AE10" i="19"/>
  <c r="AE58" i="19" s="1"/>
  <c r="AD10" i="19"/>
  <c r="AD58" i="19" s="1"/>
  <c r="AD106" i="19" s="1"/>
  <c r="AC10" i="19"/>
  <c r="Z129" i="19" s="1"/>
  <c r="AB10" i="19"/>
  <c r="AA81" i="19" s="1"/>
  <c r="AA10" i="19"/>
  <c r="AC81" i="19" s="1"/>
  <c r="Z10" i="19"/>
  <c r="Z58" i="19" s="1"/>
  <c r="Z106" i="19" s="1"/>
  <c r="Y10" i="19"/>
  <c r="AG9" i="19"/>
  <c r="AD128" i="19" s="1"/>
  <c r="AF9" i="19"/>
  <c r="AF105" i="19" s="1"/>
  <c r="AE9" i="19"/>
  <c r="AG80" i="19" s="1"/>
  <c r="AD9" i="19"/>
  <c r="AC9" i="19"/>
  <c r="Z128" i="19" s="1"/>
  <c r="AB9" i="19"/>
  <c r="Z80" i="19" s="1"/>
  <c r="AA9" i="19"/>
  <c r="AC80" i="19" s="1"/>
  <c r="Z9" i="19"/>
  <c r="Y9" i="19"/>
  <c r="V128" i="19" s="1"/>
  <c r="AG8" i="19"/>
  <c r="AF127" i="19" s="1"/>
  <c r="AF8" i="19"/>
  <c r="AF56" i="19" s="1"/>
  <c r="AE8" i="19"/>
  <c r="AD8" i="19"/>
  <c r="AD56" i="19" s="1"/>
  <c r="AD104" i="19" s="1"/>
  <c r="AC8" i="19"/>
  <c r="AA127" i="19" s="1"/>
  <c r="AB8" i="19"/>
  <c r="AA79" i="19" s="1"/>
  <c r="AA8" i="19"/>
  <c r="AA104" i="19" s="1"/>
  <c r="Z8" i="19"/>
  <c r="AB31" i="19" s="1"/>
  <c r="Y8" i="19"/>
  <c r="X127" i="19" s="1"/>
  <c r="AG7" i="19"/>
  <c r="AG55" i="19" s="1"/>
  <c r="AF7" i="19"/>
  <c r="AG126" i="19" s="1"/>
  <c r="AE7" i="19"/>
  <c r="AG78" i="19" s="1"/>
  <c r="AD7" i="19"/>
  <c r="AC7" i="19"/>
  <c r="Z126" i="19" s="1"/>
  <c r="AB7" i="19"/>
  <c r="AA78" i="19" s="1"/>
  <c r="AA7" i="19"/>
  <c r="Z30" i="19" s="1"/>
  <c r="Z7" i="19"/>
  <c r="AC30" i="19" s="1"/>
  <c r="Y7" i="19"/>
  <c r="W126" i="19" s="1"/>
  <c r="AG6" i="19"/>
  <c r="AF6" i="19"/>
  <c r="AE6" i="19"/>
  <c r="AF77" i="19" s="1"/>
  <c r="AD6" i="19"/>
  <c r="AD54" i="19" s="1"/>
  <c r="AD102" i="19" s="1"/>
  <c r="AC6" i="19"/>
  <c r="AC54" i="19" s="1"/>
  <c r="AB6" i="19"/>
  <c r="AA77" i="19" s="1"/>
  <c r="AA6" i="19"/>
  <c r="AB77" i="19" s="1"/>
  <c r="Z6" i="19"/>
  <c r="Z54" i="19" s="1"/>
  <c r="Z102" i="19" s="1"/>
  <c r="Y6" i="19"/>
  <c r="AG5" i="19"/>
  <c r="AD124" i="19" s="1"/>
  <c r="AF5" i="19"/>
  <c r="AE76" i="19" s="1"/>
  <c r="AE5" i="19"/>
  <c r="AG76" i="19" s="1"/>
  <c r="AD5" i="19"/>
  <c r="AD53" i="19" s="1"/>
  <c r="AD101" i="19" s="1"/>
  <c r="AC5" i="19"/>
  <c r="Z124" i="19" s="1"/>
  <c r="AB5" i="19"/>
  <c r="Z76" i="19" s="1"/>
  <c r="AA5" i="19"/>
  <c r="Z28" i="19" s="1"/>
  <c r="Z5" i="19"/>
  <c r="Y5" i="19"/>
  <c r="V124" i="19" s="1"/>
  <c r="AG4" i="19"/>
  <c r="AF123" i="19" s="1"/>
  <c r="AF4" i="19"/>
  <c r="AE75" i="19" s="1"/>
  <c r="AE4" i="19"/>
  <c r="AG75" i="19" s="1"/>
  <c r="AD4" i="19"/>
  <c r="AD52" i="19" s="1"/>
  <c r="AD100" i="19" s="1"/>
  <c r="AC4" i="19"/>
  <c r="AB4" i="19"/>
  <c r="AC123" i="19" s="1"/>
  <c r="AA4" i="19"/>
  <c r="AA52" i="19" s="1"/>
  <c r="Z4" i="19"/>
  <c r="AC27" i="19" s="1"/>
  <c r="Y4" i="19"/>
  <c r="V123" i="19" s="1"/>
  <c r="AG3" i="19"/>
  <c r="AG51" i="19" s="1"/>
  <c r="AF3" i="19"/>
  <c r="AE3" i="19"/>
  <c r="AF74" i="19" s="1"/>
  <c r="AD3" i="19"/>
  <c r="AD51" i="19" s="1"/>
  <c r="AD99" i="19" s="1"/>
  <c r="AC3" i="19"/>
  <c r="Z122" i="19" s="1"/>
  <c r="AB3" i="19"/>
  <c r="Z74" i="19" s="1"/>
  <c r="AA3" i="19"/>
  <c r="AC74" i="19" s="1"/>
  <c r="Z3" i="19"/>
  <c r="Z51" i="19" s="1"/>
  <c r="Z99" i="19" s="1"/>
  <c r="Y3" i="19"/>
  <c r="W122" i="19" s="1"/>
  <c r="AF140" i="19"/>
  <c r="AG136" i="19"/>
  <c r="AG94" i="19"/>
  <c r="AG90" i="19"/>
  <c r="AG73" i="19"/>
  <c r="AF70" i="19"/>
  <c r="AE67" i="19"/>
  <c r="AG60" i="19"/>
  <c r="AE59" i="19"/>
  <c r="AD59" i="19"/>
  <c r="AD107" i="19" s="1"/>
  <c r="AG47" i="19"/>
  <c r="AE47" i="19"/>
  <c r="AE44" i="19"/>
  <c r="AE39" i="19"/>
  <c r="AF35" i="19"/>
  <c r="AC144" i="19"/>
  <c r="AA144" i="19"/>
  <c r="Z143" i="19"/>
  <c r="AC141" i="19"/>
  <c r="AA140" i="19"/>
  <c r="AB139" i="19"/>
  <c r="AC138" i="19"/>
  <c r="AA136" i="19"/>
  <c r="AC133" i="19"/>
  <c r="AB132" i="19"/>
  <c r="AC129" i="19"/>
  <c r="AC121" i="19"/>
  <c r="AB118" i="19"/>
  <c r="AA118" i="19"/>
  <c r="AB114" i="19"/>
  <c r="AC113" i="19"/>
  <c r="AA111" i="19"/>
  <c r="AA107" i="19"/>
  <c r="AB106" i="19"/>
  <c r="AA106" i="19"/>
  <c r="AA103" i="19"/>
  <c r="AC94" i="19"/>
  <c r="AB94" i="19"/>
  <c r="Z89" i="19"/>
  <c r="AC86" i="19"/>
  <c r="AB86" i="19"/>
  <c r="Z85" i="19"/>
  <c r="AB84" i="19"/>
  <c r="AC82" i="19"/>
  <c r="AB82" i="19"/>
  <c r="Z81" i="19"/>
  <c r="AC78" i="19"/>
  <c r="AB78" i="19"/>
  <c r="AC77" i="19"/>
  <c r="AB74" i="19"/>
  <c r="AC73" i="19"/>
  <c r="AB73" i="19"/>
  <c r="AA71" i="19"/>
  <c r="AB70" i="19"/>
  <c r="AC69" i="19"/>
  <c r="Z68" i="19"/>
  <c r="Z116" i="19" s="1"/>
  <c r="AB66" i="19"/>
  <c r="AC65" i="19"/>
  <c r="Z64" i="19"/>
  <c r="Z112" i="19" s="1"/>
  <c r="AB62" i="19"/>
  <c r="AC61" i="19"/>
  <c r="AA59" i="19"/>
  <c r="AB58" i="19"/>
  <c r="Z56" i="19"/>
  <c r="Z104" i="19" s="1"/>
  <c r="AA55" i="19"/>
  <c r="Z55" i="19"/>
  <c r="Z103" i="19" s="1"/>
  <c r="AC53" i="19"/>
  <c r="AC52" i="19"/>
  <c r="AB47" i="19"/>
  <c r="AA47" i="19"/>
  <c r="Z46" i="19"/>
  <c r="AC43" i="19"/>
  <c r="AB43" i="19"/>
  <c r="AA43" i="19"/>
  <c r="AC39" i="19"/>
  <c r="AB39" i="19"/>
  <c r="AC35" i="19"/>
  <c r="AB35" i="19"/>
  <c r="AA35" i="19"/>
  <c r="Z34" i="19"/>
  <c r="AA33" i="19"/>
  <c r="AC31" i="19"/>
  <c r="AA31" i="19"/>
  <c r="AA30" i="19"/>
  <c r="AB27" i="19"/>
  <c r="AA26" i="19"/>
  <c r="Z26" i="19"/>
  <c r="X144" i="19"/>
  <c r="V144" i="19"/>
  <c r="X143" i="19"/>
  <c r="X142" i="19"/>
  <c r="X140" i="19"/>
  <c r="W140" i="19"/>
  <c r="V140" i="19"/>
  <c r="V139" i="19"/>
  <c r="X136" i="19"/>
  <c r="W136" i="19"/>
  <c r="X134" i="19"/>
  <c r="W132" i="19"/>
  <c r="V129" i="19"/>
  <c r="X128" i="19"/>
  <c r="V127" i="19"/>
  <c r="X126" i="19"/>
  <c r="X124" i="19"/>
  <c r="Y121" i="19"/>
  <c r="Y117" i="19"/>
  <c r="Y113" i="19"/>
  <c r="Y109" i="19"/>
  <c r="Y105" i="19"/>
  <c r="Y104" i="19"/>
  <c r="Y73" i="19"/>
  <c r="Y69" i="19"/>
  <c r="Y65" i="19"/>
  <c r="Y61" i="19"/>
  <c r="Y54" i="19"/>
  <c r="Y53" i="19"/>
  <c r="W123" i="19" l="1"/>
  <c r="AC101" i="19"/>
  <c r="AB90" i="19"/>
  <c r="AA115" i="19"/>
  <c r="AA67" i="19"/>
  <c r="AC90" i="19"/>
  <c r="AE43" i="19"/>
  <c r="AG43" i="19"/>
  <c r="Z52" i="19"/>
  <c r="Z100" i="19" s="1"/>
  <c r="AA27" i="19"/>
  <c r="AA56" i="19"/>
  <c r="Z43" i="19"/>
  <c r="AA44" i="19"/>
  <c r="Z65" i="19"/>
  <c r="Z113" i="19" s="1"/>
  <c r="AE28" i="19"/>
  <c r="AA128" i="19"/>
  <c r="AG69" i="19"/>
  <c r="AF144" i="19"/>
  <c r="AF132" i="19"/>
  <c r="AD45" i="19"/>
  <c r="AC57" i="19"/>
  <c r="AC105" i="19"/>
  <c r="AC109" i="19"/>
  <c r="AA124" i="19"/>
  <c r="AA132" i="19"/>
  <c r="AB104" i="19"/>
  <c r="Z77" i="19"/>
  <c r="AC125" i="19"/>
  <c r="Y57" i="19"/>
  <c r="W124" i="19"/>
  <c r="W128" i="19"/>
  <c r="X132" i="19"/>
  <c r="AB99" i="19"/>
  <c r="AB51" i="19"/>
  <c r="AF99" i="19"/>
  <c r="AE74" i="19"/>
  <c r="AF51" i="19"/>
  <c r="AD74" i="19"/>
  <c r="AB28" i="19"/>
  <c r="Z53" i="19"/>
  <c r="Z101" i="19" s="1"/>
  <c r="AA28" i="19"/>
  <c r="X125" i="19"/>
  <c r="Y102" i="19"/>
  <c r="W125" i="19"/>
  <c r="AF125" i="19"/>
  <c r="AD125" i="19"/>
  <c r="AG102" i="19"/>
  <c r="AG54" i="19"/>
  <c r="AE125" i="19"/>
  <c r="AD78" i="19"/>
  <c r="AF103" i="19"/>
  <c r="AE78" i="19"/>
  <c r="AF55" i="19"/>
  <c r="AE104" i="19"/>
  <c r="AF79" i="19"/>
  <c r="AE56" i="19"/>
  <c r="AD31" i="19"/>
  <c r="AC32" i="19"/>
  <c r="Z57" i="19"/>
  <c r="Z105" i="19" s="1"/>
  <c r="AB32" i="19"/>
  <c r="Y58" i="19"/>
  <c r="X129" i="19"/>
  <c r="Y106" i="19"/>
  <c r="AF129" i="19"/>
  <c r="AD129" i="19"/>
  <c r="AE129" i="19"/>
  <c r="AG58" i="19"/>
  <c r="AE82" i="19"/>
  <c r="AF107" i="19"/>
  <c r="AD82" i="19"/>
  <c r="AF83" i="19"/>
  <c r="AD35" i="19"/>
  <c r="AE60" i="19"/>
  <c r="AE108" i="19"/>
  <c r="AD61" i="19"/>
  <c r="AD109" i="19" s="1"/>
  <c r="AG36" i="19"/>
  <c r="AE36" i="19"/>
  <c r="AF36" i="19"/>
  <c r="Z133" i="19"/>
  <c r="AB133" i="19"/>
  <c r="AC110" i="19"/>
  <c r="AC134" i="19"/>
  <c r="AA86" i="19"/>
  <c r="Z86" i="19"/>
  <c r="AB63" i="19"/>
  <c r="AC87" i="19"/>
  <c r="AA112" i="19"/>
  <c r="AB87" i="19"/>
  <c r="AF87" i="19"/>
  <c r="AE112" i="19"/>
  <c r="AE64" i="19"/>
  <c r="AD65" i="19"/>
  <c r="AD113" i="19" s="1"/>
  <c r="AF40" i="19"/>
  <c r="AE40" i="19"/>
  <c r="AB137" i="19"/>
  <c r="Z137" i="19"/>
  <c r="AA137" i="19"/>
  <c r="AC114" i="19"/>
  <c r="AE68" i="19"/>
  <c r="AG91" i="19"/>
  <c r="AD43" i="19"/>
  <c r="AG44" i="19"/>
  <c r="AF44" i="19"/>
  <c r="Z141" i="19"/>
  <c r="AC118" i="19"/>
  <c r="AB141" i="19"/>
  <c r="AC142" i="19"/>
  <c r="AB71" i="19"/>
  <c r="AA120" i="19"/>
  <c r="AC95" i="19"/>
  <c r="AE120" i="19"/>
  <c r="AE72" i="19"/>
  <c r="AG95" i="19"/>
  <c r="AF95" i="19"/>
  <c r="AD73" i="19"/>
  <c r="AD121" i="19" s="1"/>
  <c r="AE48" i="19"/>
  <c r="AG48" i="19"/>
  <c r="W129" i="19"/>
  <c r="AC36" i="19"/>
  <c r="AA40" i="19"/>
  <c r="AB44" i="19"/>
  <c r="AC62" i="19"/>
  <c r="Z73" i="19"/>
  <c r="Z121" i="19" s="1"/>
  <c r="AC79" i="19"/>
  <c r="AG40" i="19"/>
  <c r="AG66" i="19"/>
  <c r="Y70" i="19"/>
  <c r="Y118" i="19"/>
  <c r="Z39" i="19"/>
  <c r="AB40" i="19"/>
  <c r="AB48" i="19"/>
  <c r="AA68" i="19"/>
  <c r="AC70" i="19"/>
  <c r="Z94" i="19"/>
  <c r="AB95" i="19"/>
  <c r="AB111" i="19"/>
  <c r="AA116" i="19"/>
  <c r="AD47" i="19"/>
  <c r="AF59" i="19"/>
  <c r="AG83" i="19"/>
  <c r="AE116" i="19"/>
  <c r="AA100" i="19"/>
  <c r="AB75" i="19"/>
  <c r="Z27" i="19"/>
  <c r="AF75" i="19"/>
  <c r="AE52" i="19"/>
  <c r="AD27" i="19"/>
  <c r="AF28" i="19"/>
  <c r="AG28" i="19"/>
  <c r="AA125" i="19"/>
  <c r="AC102" i="19"/>
  <c r="Z125" i="19"/>
  <c r="AB103" i="19"/>
  <c r="Z78" i="19"/>
  <c r="AB55" i="19"/>
  <c r="AC126" i="19"/>
  <c r="AB79" i="19"/>
  <c r="Z31" i="19"/>
  <c r="AF32" i="19"/>
  <c r="AG32" i="19"/>
  <c r="AA129" i="19"/>
  <c r="AB129" i="19"/>
  <c r="AC106" i="19"/>
  <c r="AB107" i="19"/>
  <c r="AA82" i="19"/>
  <c r="AB59" i="19"/>
  <c r="Z82" i="19"/>
  <c r="AC83" i="19"/>
  <c r="AB83" i="19"/>
  <c r="Z35" i="19"/>
  <c r="AB36" i="19"/>
  <c r="AA36" i="19"/>
  <c r="X133" i="19"/>
  <c r="W133" i="19"/>
  <c r="AE133" i="19"/>
  <c r="AG110" i="19"/>
  <c r="AD133" i="19"/>
  <c r="AG134" i="19"/>
  <c r="AD86" i="19"/>
  <c r="AE86" i="19"/>
  <c r="AF63" i="19"/>
  <c r="V137" i="19"/>
  <c r="Y66" i="19"/>
  <c r="Y114" i="19"/>
  <c r="AD137" i="19"/>
  <c r="AF137" i="19"/>
  <c r="AG114" i="19"/>
  <c r="AB115" i="19"/>
  <c r="AA90" i="19"/>
  <c r="AB67" i="19"/>
  <c r="AF115" i="19"/>
  <c r="AG138" i="19"/>
  <c r="AE90" i="19"/>
  <c r="AF67" i="19"/>
  <c r="AD90" i="19"/>
  <c r="W141" i="19"/>
  <c r="V141" i="19"/>
  <c r="AG70" i="19"/>
  <c r="AE141" i="19"/>
  <c r="AG118" i="19"/>
  <c r="AF141" i="19"/>
  <c r="AG142" i="19"/>
  <c r="AE94" i="19"/>
  <c r="AF119" i="19"/>
  <c r="AD94" i="19"/>
  <c r="X137" i="19"/>
  <c r="AA60" i="19"/>
  <c r="AA74" i="19"/>
  <c r="AB91" i="19"/>
  <c r="AB119" i="19"/>
  <c r="AB125" i="19"/>
  <c r="AA133" i="19"/>
  <c r="AE32" i="19"/>
  <c r="AF48" i="19"/>
  <c r="AG79" i="19"/>
  <c r="AF91" i="19"/>
  <c r="AG130" i="19"/>
  <c r="Y62" i="19"/>
  <c r="Y110" i="19"/>
  <c r="V125" i="19"/>
  <c r="AC28" i="19"/>
  <c r="AA32" i="19"/>
  <c r="Z47" i="19"/>
  <c r="AC48" i="19"/>
  <c r="AC58" i="19"/>
  <c r="AA64" i="19"/>
  <c r="AC66" i="19"/>
  <c r="Z69" i="19"/>
  <c r="Z117" i="19" s="1"/>
  <c r="AC75" i="19"/>
  <c r="AA94" i="19"/>
  <c r="AA108" i="19"/>
  <c r="AC122" i="19"/>
  <c r="AA141" i="19"/>
  <c r="AD39" i="19"/>
  <c r="AD57" i="19"/>
  <c r="AD105" i="19" s="1"/>
  <c r="AD69" i="19"/>
  <c r="AD117" i="19" s="1"/>
  <c r="AG87" i="19"/>
  <c r="AE100" i="19"/>
  <c r="AG122" i="19"/>
  <c r="AF133" i="19"/>
  <c r="AD141" i="19"/>
  <c r="AA61" i="19"/>
  <c r="AA69" i="19"/>
  <c r="AB112" i="19"/>
  <c r="AB120" i="19"/>
  <c r="AF72" i="19"/>
  <c r="AB92" i="19"/>
  <c r="Y72" i="19"/>
  <c r="W139" i="19"/>
  <c r="AC34" i="19"/>
  <c r="Z37" i="19"/>
  <c r="AA46" i="19"/>
  <c r="AB93" i="19"/>
  <c r="Z96" i="19"/>
  <c r="AA114" i="19"/>
  <c r="AA143" i="19"/>
  <c r="AF26" i="19"/>
  <c r="AE42" i="19"/>
  <c r="AG46" i="19"/>
  <c r="X123" i="19"/>
  <c r="AB26" i="19"/>
  <c r="AA70" i="19"/>
  <c r="Y68" i="19"/>
  <c r="Y120" i="19"/>
  <c r="W131" i="19"/>
  <c r="V135" i="19"/>
  <c r="X139" i="19"/>
  <c r="V143" i="19"/>
  <c r="AB38" i="19"/>
  <c r="Z41" i="19"/>
  <c r="AA66" i="19"/>
  <c r="Z92" i="19"/>
  <c r="AC93" i="19"/>
  <c r="AA96" i="19"/>
  <c r="AB131" i="19"/>
  <c r="AC140" i="19"/>
  <c r="AE34" i="19"/>
  <c r="AE70" i="19"/>
  <c r="X131" i="19"/>
  <c r="AC38" i="19"/>
  <c r="AB69" i="19"/>
  <c r="AB89" i="19"/>
  <c r="AA92" i="19"/>
  <c r="AD67" i="19"/>
  <c r="AD115" i="19" s="1"/>
  <c r="AA99" i="19"/>
  <c r="AD55" i="19"/>
  <c r="AD103" i="19" s="1"/>
  <c r="AF30" i="19"/>
  <c r="AB127" i="19"/>
  <c r="Z127" i="19"/>
  <c r="AC56" i="19"/>
  <c r="AC132" i="19"/>
  <c r="AB61" i="19"/>
  <c r="AF61" i="19"/>
  <c r="AD84" i="19"/>
  <c r="AG85" i="19"/>
  <c r="AE62" i="19"/>
  <c r="AD37" i="19"/>
  <c r="AA135" i="19"/>
  <c r="AC112" i="19"/>
  <c r="AG64" i="19"/>
  <c r="AE135" i="19"/>
  <c r="AD135" i="19"/>
  <c r="AF113" i="19"/>
  <c r="AD88" i="19"/>
  <c r="AF89" i="19"/>
  <c r="AG89" i="19"/>
  <c r="AD41" i="19"/>
  <c r="AA139" i="19"/>
  <c r="AC116" i="19"/>
  <c r="AC68" i="19"/>
  <c r="AF139" i="19"/>
  <c r="AE139" i="19"/>
  <c r="AD139" i="19"/>
  <c r="AF69" i="19"/>
  <c r="AE92" i="19"/>
  <c r="AG140" i="19"/>
  <c r="AF117" i="19"/>
  <c r="AD92" i="19"/>
  <c r="AF93" i="19"/>
  <c r="AE118" i="19"/>
  <c r="Z71" i="19"/>
  <c r="Z119" i="19" s="1"/>
  <c r="AC46" i="19"/>
  <c r="AC120" i="19"/>
  <c r="AC72" i="19"/>
  <c r="AE143" i="19"/>
  <c r="AD143" i="19"/>
  <c r="AG120" i="19"/>
  <c r="AF121" i="19"/>
  <c r="AE96" i="19"/>
  <c r="AG144" i="19"/>
  <c r="AD96" i="19"/>
  <c r="AF73" i="19"/>
  <c r="AB123" i="19"/>
  <c r="Z123" i="19"/>
  <c r="Y100" i="19"/>
  <c r="AA76" i="19"/>
  <c r="AC104" i="19"/>
  <c r="AB109" i="19"/>
  <c r="AG26" i="19"/>
  <c r="AF38" i="19"/>
  <c r="AF42" i="19"/>
  <c r="AE54" i="19"/>
  <c r="AG56" i="19"/>
  <c r="AF81" i="19"/>
  <c r="AG108" i="19"/>
  <c r="AE114" i="19"/>
  <c r="AG116" i="19"/>
  <c r="AF143" i="19"/>
  <c r="AA54" i="19"/>
  <c r="AB57" i="19"/>
  <c r="Z59" i="19"/>
  <c r="Z107" i="19" s="1"/>
  <c r="AA80" i="19"/>
  <c r="AB101" i="19"/>
  <c r="AC124" i="19"/>
  <c r="AC128" i="19"/>
  <c r="Z139" i="19"/>
  <c r="AD33" i="19"/>
  <c r="AG38" i="19"/>
  <c r="AE46" i="19"/>
  <c r="AF65" i="19"/>
  <c r="AD71" i="19"/>
  <c r="AD119" i="19" s="1"/>
  <c r="AG72" i="19"/>
  <c r="AB140" i="19"/>
  <c r="AB144" i="19"/>
  <c r="AF43" i="19"/>
  <c r="AF47" i="19"/>
  <c r="AE63" i="19"/>
  <c r="AE79" i="19"/>
  <c r="AG92" i="19"/>
  <c r="AD142" i="19"/>
  <c r="Y71" i="19"/>
  <c r="Y101" i="19"/>
  <c r="Z38" i="19"/>
  <c r="AA45" i="19"/>
  <c r="AC47" i="19"/>
  <c r="AA51" i="19"/>
  <c r="AB54" i="19"/>
  <c r="AA73" i="19"/>
  <c r="Z93" i="19"/>
  <c r="AB102" i="19"/>
  <c r="AB110" i="19"/>
  <c r="AC117" i="19"/>
  <c r="AB134" i="19"/>
  <c r="AB136" i="19"/>
  <c r="AC137" i="19"/>
  <c r="AB142" i="19"/>
  <c r="AF31" i="19"/>
  <c r="AF39" i="19"/>
  <c r="AF45" i="19"/>
  <c r="AE55" i="19"/>
  <c r="AF136" i="19"/>
  <c r="AF27" i="19"/>
  <c r="AF78" i="19"/>
  <c r="AF128" i="19"/>
  <c r="AF101" i="19"/>
  <c r="AE106" i="19"/>
  <c r="AG128" i="19"/>
  <c r="AE30" i="19"/>
  <c r="AD76" i="19"/>
  <c r="AE80" i="19"/>
  <c r="AE84" i="19"/>
  <c r="AF109" i="19"/>
  <c r="AF131" i="19"/>
  <c r="AF53" i="19"/>
  <c r="AG77" i="19"/>
  <c r="AD127" i="19"/>
  <c r="AD123" i="19"/>
  <c r="AG100" i="19"/>
  <c r="AG124" i="19"/>
  <c r="AA37" i="19"/>
  <c r="AG63" i="19"/>
  <c r="Y59" i="19"/>
  <c r="W127" i="19"/>
  <c r="AC26" i="19"/>
  <c r="Z29" i="19"/>
  <c r="AA41" i="19"/>
  <c r="AC42" i="19"/>
  <c r="AA53" i="19"/>
  <c r="AA58" i="19"/>
  <c r="AC60" i="19"/>
  <c r="Z84" i="19"/>
  <c r="AB85" i="19"/>
  <c r="Z88" i="19"/>
  <c r="AB100" i="19"/>
  <c r="AA102" i="19"/>
  <c r="AB105" i="19"/>
  <c r="AB108" i="19"/>
  <c r="AA110" i="19"/>
  <c r="AB113" i="19"/>
  <c r="AB116" i="19"/>
  <c r="AA123" i="19"/>
  <c r="AA126" i="19"/>
  <c r="Z131" i="19"/>
  <c r="Z135" i="19"/>
  <c r="AG30" i="19"/>
  <c r="AF34" i="19"/>
  <c r="AE37" i="19"/>
  <c r="AG52" i="19"/>
  <c r="AF57" i="19"/>
  <c r="AD63" i="19"/>
  <c r="AD111" i="19" s="1"/>
  <c r="AE66" i="19"/>
  <c r="AG81" i="19"/>
  <c r="AF85" i="19"/>
  <c r="AE88" i="19"/>
  <c r="AE102" i="19"/>
  <c r="AG104" i="19"/>
  <c r="AE110" i="19"/>
  <c r="AG112" i="19"/>
  <c r="AE123" i="19"/>
  <c r="AE127" i="19"/>
  <c r="AD131" i="19"/>
  <c r="AG132" i="19"/>
  <c r="AF135" i="19"/>
  <c r="AA42" i="19"/>
  <c r="AB42" i="19"/>
  <c r="AA65" i="19"/>
  <c r="AB76" i="19"/>
  <c r="Y51" i="19"/>
  <c r="Y55" i="19"/>
  <c r="Y63" i="19"/>
  <c r="Y67" i="19"/>
  <c r="Y112" i="19"/>
  <c r="X122" i="19"/>
  <c r="X130" i="19"/>
  <c r="W135" i="19"/>
  <c r="X138" i="19"/>
  <c r="AB30" i="19"/>
  <c r="AA34" i="19"/>
  <c r="Z63" i="19"/>
  <c r="Z111" i="19" s="1"/>
  <c r="AB65" i="19"/>
  <c r="AB81" i="19"/>
  <c r="Y52" i="19"/>
  <c r="Y56" i="19"/>
  <c r="Y60" i="19"/>
  <c r="Y64" i="19"/>
  <c r="Y108" i="19"/>
  <c r="AA29" i="19"/>
  <c r="Z33" i="19"/>
  <c r="AB53" i="19"/>
  <c r="AA57" i="19"/>
  <c r="AA62" i="19"/>
  <c r="AC64" i="19"/>
  <c r="AA84" i="19"/>
  <c r="AA88" i="19"/>
  <c r="AC100" i="19"/>
  <c r="AC108" i="19"/>
  <c r="AE26" i="19"/>
  <c r="AD29" i="19"/>
  <c r="AG67" i="19"/>
  <c r="AD80" i="19"/>
  <c r="AE51" i="19"/>
  <c r="AF126" i="19"/>
  <c r="AB29" i="19"/>
  <c r="AB33" i="19"/>
  <c r="AB37" i="19"/>
  <c r="AB41" i="19"/>
  <c r="AB45" i="19"/>
  <c r="AB52" i="19"/>
  <c r="AB56" i="19"/>
  <c r="AB60" i="19"/>
  <c r="AB64" i="19"/>
  <c r="AB68" i="19"/>
  <c r="AB72" i="19"/>
  <c r="AC76" i="19"/>
  <c r="Z79" i="19"/>
  <c r="AC84" i="19"/>
  <c r="Z87" i="19"/>
  <c r="AC92" i="19"/>
  <c r="Z95" i="19"/>
  <c r="AB122" i="19"/>
  <c r="AB126" i="19"/>
  <c r="AA130" i="19"/>
  <c r="AC135" i="19"/>
  <c r="AA138" i="19"/>
  <c r="AC143" i="19"/>
  <c r="AE33" i="19"/>
  <c r="AF37" i="19"/>
  <c r="AE41" i="19"/>
  <c r="AG45" i="19"/>
  <c r="AF52" i="19"/>
  <c r="AG59" i="19"/>
  <c r="AE65" i="19"/>
  <c r="AF142" i="19"/>
  <c r="V138" i="19"/>
  <c r="V142" i="19"/>
  <c r="AC33" i="19"/>
  <c r="AC63" i="19"/>
  <c r="AC67" i="19"/>
  <c r="AC71" i="19"/>
  <c r="Z75" i="19"/>
  <c r="AB80" i="19"/>
  <c r="AB88" i="19"/>
  <c r="AB96" i="19"/>
  <c r="AC99" i="19"/>
  <c r="AA101" i="19"/>
  <c r="AC103" i="19"/>
  <c r="AA105" i="19"/>
  <c r="AC107" i="19"/>
  <c r="AA109" i="19"/>
  <c r="AC111" i="19"/>
  <c r="AA113" i="19"/>
  <c r="AC115" i="19"/>
  <c r="AA117" i="19"/>
  <c r="AC119" i="19"/>
  <c r="AA121" i="19"/>
  <c r="AC127" i="19"/>
  <c r="AB130" i="19"/>
  <c r="AB138" i="19"/>
  <c r="AE29" i="19"/>
  <c r="AG33" i="19"/>
  <c r="AG37" i="19"/>
  <c r="AF41" i="19"/>
  <c r="AF68" i="19"/>
  <c r="AF122" i="19"/>
  <c r="V122" i="19"/>
  <c r="V126" i="19"/>
  <c r="V130" i="19"/>
  <c r="V134" i="19"/>
  <c r="AC29" i="19"/>
  <c r="AC37" i="19"/>
  <c r="AC41" i="19"/>
  <c r="AC45" i="19"/>
  <c r="AC51" i="19"/>
  <c r="AC55" i="19"/>
  <c r="AC59" i="19"/>
  <c r="Y99" i="19"/>
  <c r="Y103" i="19"/>
  <c r="Y107" i="19"/>
  <c r="Y111" i="19"/>
  <c r="Y115" i="19"/>
  <c r="Y119" i="19"/>
  <c r="Z32" i="19"/>
  <c r="Z40" i="19"/>
  <c r="Z48" i="19"/>
  <c r="AA75" i="19"/>
  <c r="Z83" i="19"/>
  <c r="Z91" i="19"/>
  <c r="AC131" i="19"/>
  <c r="AA134" i="19"/>
  <c r="AC139" i="19"/>
  <c r="AA142" i="19"/>
  <c r="AG29" i="19"/>
  <c r="AG41" i="19"/>
  <c r="AE45" i="19"/>
  <c r="AE73" i="19"/>
  <c r="AF124" i="19"/>
  <c r="AE122" i="19"/>
  <c r="AG99" i="19"/>
  <c r="AG123" i="19"/>
  <c r="AF100" i="19"/>
  <c r="AD75" i="19"/>
  <c r="AD28" i="19"/>
  <c r="AE101" i="19"/>
  <c r="AE126" i="19"/>
  <c r="AG103" i="19"/>
  <c r="AG127" i="19"/>
  <c r="AF104" i="19"/>
  <c r="AD79" i="19"/>
  <c r="AD32" i="19"/>
  <c r="AE105" i="19"/>
  <c r="AE130" i="19"/>
  <c r="AG107" i="19"/>
  <c r="AG131" i="19"/>
  <c r="AF108" i="19"/>
  <c r="AD83" i="19"/>
  <c r="AD36" i="19"/>
  <c r="AE109" i="19"/>
  <c r="AF84" i="19"/>
  <c r="AE134" i="19"/>
  <c r="AG111" i="19"/>
  <c r="AG135" i="19"/>
  <c r="AF112" i="19"/>
  <c r="AD87" i="19"/>
  <c r="AD40" i="19"/>
  <c r="AE113" i="19"/>
  <c r="AF88" i="19"/>
  <c r="AE138" i="19"/>
  <c r="AG115" i="19"/>
  <c r="AG139" i="19"/>
  <c r="AF116" i="19"/>
  <c r="AD91" i="19"/>
  <c r="AD44" i="19"/>
  <c r="AE117" i="19"/>
  <c r="AF92" i="19"/>
  <c r="AE142" i="19"/>
  <c r="AG119" i="19"/>
  <c r="AG143" i="19"/>
  <c r="AF120" i="19"/>
  <c r="AD95" i="19"/>
  <c r="AD48" i="19"/>
  <c r="AE121" i="19"/>
  <c r="AF96" i="19"/>
  <c r="AB128" i="19"/>
  <c r="AG27" i="19"/>
  <c r="AE31" i="19"/>
  <c r="AF33" i="19"/>
  <c r="AG35" i="19"/>
  <c r="AG53" i="19"/>
  <c r="AE57" i="19"/>
  <c r="AF58" i="19"/>
  <c r="AG61" i="19"/>
  <c r="AF66" i="19"/>
  <c r="AF76" i="19"/>
  <c r="AE99" i="19"/>
  <c r="AD26" i="19"/>
  <c r="AG101" i="19"/>
  <c r="AE124" i="19"/>
  <c r="AG125" i="19"/>
  <c r="AD77" i="19"/>
  <c r="AF102" i="19"/>
  <c r="AE103" i="19"/>
  <c r="AD30" i="19"/>
  <c r="AG105" i="19"/>
  <c r="AE128" i="19"/>
  <c r="AG129" i="19"/>
  <c r="AD81" i="19"/>
  <c r="AF106" i="19"/>
  <c r="AE107" i="19"/>
  <c r="AD34" i="19"/>
  <c r="AF82" i="19"/>
  <c r="AG109" i="19"/>
  <c r="AE132" i="19"/>
  <c r="AG133" i="19"/>
  <c r="AD85" i="19"/>
  <c r="AF110" i="19"/>
  <c r="AE111" i="19"/>
  <c r="AD38" i="19"/>
  <c r="AF86" i="19"/>
  <c r="AG113" i="19"/>
  <c r="AE136" i="19"/>
  <c r="AG137" i="19"/>
  <c r="AD89" i="19"/>
  <c r="AF114" i="19"/>
  <c r="AE115" i="19"/>
  <c r="AD42" i="19"/>
  <c r="AF90" i="19"/>
  <c r="AG117" i="19"/>
  <c r="AE140" i="19"/>
  <c r="AG141" i="19"/>
  <c r="AD93" i="19"/>
  <c r="AF118" i="19"/>
  <c r="AE119" i="19"/>
  <c r="AD46" i="19"/>
  <c r="AF94" i="19"/>
  <c r="AG121" i="19"/>
  <c r="AE144" i="19"/>
  <c r="AA122" i="19"/>
  <c r="AB124" i="19"/>
  <c r="AE27" i="19"/>
  <c r="AF29" i="19"/>
  <c r="AG31" i="19"/>
  <c r="AE35" i="19"/>
  <c r="AG39" i="19"/>
  <c r="AE53" i="19"/>
  <c r="AF54" i="19"/>
  <c r="AG57" i="19"/>
  <c r="AE61" i="19"/>
  <c r="AF62" i="19"/>
  <c r="AG65" i="19"/>
  <c r="AG74" i="19"/>
  <c r="AE77" i="19"/>
  <c r="AF80" i="19"/>
  <c r="AE83" i="19"/>
  <c r="AE87" i="19"/>
  <c r="AD122" i="19"/>
  <c r="AD126" i="19"/>
  <c r="AD130" i="19"/>
  <c r="AD134" i="19"/>
  <c r="AD138" i="19"/>
  <c r="BZ92" i="19"/>
  <c r="BZ90" i="19"/>
  <c r="BZ88" i="19"/>
  <c r="BZ84" i="19"/>
  <c r="BZ82" i="19"/>
  <c r="BZ80" i="19"/>
  <c r="BZ76" i="19"/>
  <c r="BZ72" i="19"/>
  <c r="BZ71" i="19"/>
  <c r="BZ94" i="19" s="1"/>
  <c r="BZ70" i="19"/>
  <c r="BZ69" i="19"/>
  <c r="BZ68" i="19"/>
  <c r="BZ67" i="19"/>
  <c r="BZ66" i="19"/>
  <c r="BZ65" i="19"/>
  <c r="BZ64" i="19"/>
  <c r="BZ63" i="19"/>
  <c r="BZ86" i="19" s="1"/>
  <c r="BZ62" i="19"/>
  <c r="BZ61" i="19"/>
  <c r="BZ60" i="19"/>
  <c r="BZ59" i="19"/>
  <c r="BZ58" i="19"/>
  <c r="BZ57" i="19"/>
  <c r="BZ56" i="19"/>
  <c r="BZ55" i="19"/>
  <c r="BZ78" i="19" s="1"/>
  <c r="BZ54" i="19"/>
  <c r="BZ53" i="19"/>
  <c r="BZ52" i="19"/>
  <c r="BZ51" i="19"/>
  <c r="BZ74" i="19" s="1"/>
  <c r="BZ50" i="19"/>
  <c r="BZ49" i="19"/>
  <c r="CA25" i="19"/>
  <c r="CA24" i="19"/>
  <c r="CA23" i="19"/>
  <c r="CA22" i="19"/>
  <c r="CA21" i="19"/>
  <c r="CA20" i="19"/>
  <c r="CA19" i="19"/>
  <c r="CA18" i="19"/>
  <c r="CA17" i="19"/>
  <c r="CA16" i="19"/>
  <c r="CA15" i="19"/>
  <c r="CA14" i="19"/>
  <c r="CA13" i="19"/>
  <c r="CA12" i="19"/>
  <c r="CA11" i="19"/>
  <c r="CA10" i="19"/>
  <c r="CA9" i="19"/>
  <c r="CA8" i="19"/>
  <c r="CA7" i="19"/>
  <c r="CA6" i="19"/>
  <c r="CA5" i="19"/>
  <c r="CA4" i="19"/>
  <c r="CA3" i="19"/>
  <c r="CU129" i="19"/>
  <c r="CU171" i="19" s="1"/>
  <c r="CU128" i="19"/>
  <c r="CU170" i="19" s="1"/>
  <c r="CU212" i="19" s="1"/>
  <c r="CU127" i="19"/>
  <c r="CU169" i="19" s="1"/>
  <c r="CU126" i="19"/>
  <c r="CU168" i="19" s="1"/>
  <c r="CU210" i="19" s="1"/>
  <c r="CU125" i="19"/>
  <c r="CU167" i="19" s="1"/>
  <c r="CU124" i="19"/>
  <c r="CU166" i="19" s="1"/>
  <c r="CU208" i="19" s="1"/>
  <c r="CU123" i="19"/>
  <c r="CU165" i="19" s="1"/>
  <c r="CU122" i="19"/>
  <c r="CU164" i="19" s="1"/>
  <c r="CU206" i="19" s="1"/>
  <c r="CU121" i="19"/>
  <c r="CU163" i="19" s="1"/>
  <c r="CU120" i="19"/>
  <c r="CU162" i="19" s="1"/>
  <c r="CU204" i="19" s="1"/>
  <c r="CU119" i="19"/>
  <c r="CU161" i="19" s="1"/>
  <c r="CU118" i="19"/>
  <c r="CU160" i="19" s="1"/>
  <c r="CU202" i="19" s="1"/>
  <c r="CU117" i="19"/>
  <c r="CU159" i="19" s="1"/>
  <c r="CU116" i="19"/>
  <c r="CU158" i="19" s="1"/>
  <c r="CU200" i="19" s="1"/>
  <c r="CU115" i="19"/>
  <c r="CU157" i="19" s="1"/>
  <c r="CU114" i="19"/>
  <c r="CU156" i="19" s="1"/>
  <c r="CU198" i="19" s="1"/>
  <c r="CU113" i="19"/>
  <c r="CU155" i="19" s="1"/>
  <c r="CU112" i="19"/>
  <c r="CU154" i="19" s="1"/>
  <c r="CU196" i="19" s="1"/>
  <c r="CU111" i="19"/>
  <c r="CU153" i="19" s="1"/>
  <c r="CU110" i="19"/>
  <c r="CU152" i="19" s="1"/>
  <c r="CU194" i="19" s="1"/>
  <c r="CU109" i="19"/>
  <c r="CU151" i="19" s="1"/>
  <c r="CU108" i="19"/>
  <c r="CU150" i="19" s="1"/>
  <c r="CU192" i="19" s="1"/>
  <c r="CU234" i="19" s="1"/>
  <c r="CU276" i="19" s="1"/>
  <c r="CU318" i="19" s="1"/>
  <c r="CU107" i="19"/>
  <c r="CU149" i="19" s="1"/>
  <c r="CU106" i="19"/>
  <c r="CU148" i="19" s="1"/>
  <c r="CU190" i="19" s="1"/>
  <c r="CU105" i="19"/>
  <c r="CU147" i="19" s="1"/>
  <c r="CU104" i="19"/>
  <c r="CU146" i="19" s="1"/>
  <c r="CU188" i="19" s="1"/>
  <c r="CU230" i="19" s="1"/>
  <c r="CU272" i="19" s="1"/>
  <c r="CU314" i="19" s="1"/>
  <c r="CU103" i="19"/>
  <c r="CU145" i="19" s="1"/>
  <c r="CU187" i="19" s="1"/>
  <c r="CU102" i="19"/>
  <c r="CU144" i="19" s="1"/>
  <c r="CU186" i="19" s="1"/>
  <c r="CU228" i="19" s="1"/>
  <c r="CU270" i="19" s="1"/>
  <c r="CU101" i="19"/>
  <c r="CU143" i="19" s="1"/>
  <c r="CU100" i="19"/>
  <c r="CU142" i="19" s="1"/>
  <c r="CU99" i="19"/>
  <c r="CU141" i="19" s="1"/>
  <c r="CU98" i="19"/>
  <c r="CU140" i="19" s="1"/>
  <c r="CU97" i="19"/>
  <c r="CU139" i="19" s="1"/>
  <c r="CU96" i="19"/>
  <c r="CU138" i="19" s="1"/>
  <c r="CU95" i="19"/>
  <c r="CU137" i="19" s="1"/>
  <c r="CU94" i="19"/>
  <c r="CU136" i="19" s="1"/>
  <c r="CU93" i="19"/>
  <c r="CU135" i="19" s="1"/>
  <c r="CU92" i="19"/>
  <c r="CU134" i="19" s="1"/>
  <c r="CU91" i="19"/>
  <c r="CU133" i="19" s="1"/>
  <c r="CU90" i="19"/>
  <c r="CU132" i="19" s="1"/>
  <c r="CU89" i="19"/>
  <c r="CU131" i="19" s="1"/>
  <c r="CU88" i="19"/>
  <c r="CU130" i="19" s="1"/>
  <c r="CU172" i="19" s="1"/>
  <c r="CU214" i="19" s="1"/>
  <c r="CS47" i="19"/>
  <c r="CS48" i="19" s="1"/>
  <c r="CS49" i="19" s="1"/>
  <c r="CS50" i="19" s="1"/>
  <c r="CS51" i="19" s="1"/>
  <c r="CS52" i="19" s="1"/>
  <c r="CS53" i="19" s="1"/>
  <c r="CS54" i="19" s="1"/>
  <c r="CS55" i="19" s="1"/>
  <c r="CS56" i="19" s="1"/>
  <c r="CS57" i="19" s="1"/>
  <c r="CS58" i="19" s="1"/>
  <c r="CS59" i="19" s="1"/>
  <c r="CS60" i="19" s="1"/>
  <c r="CS61" i="19" s="1"/>
  <c r="CS62" i="19" s="1"/>
  <c r="CS63" i="19" s="1"/>
  <c r="CS64" i="19" s="1"/>
  <c r="CS65" i="19" s="1"/>
  <c r="CS66" i="19" s="1"/>
  <c r="CS67" i="19" s="1"/>
  <c r="CS68" i="19" s="1"/>
  <c r="CS69" i="19" s="1"/>
  <c r="CS70" i="19" s="1"/>
  <c r="CS71" i="19" s="1"/>
  <c r="CS72" i="19" s="1"/>
  <c r="CS73" i="19" s="1"/>
  <c r="CS74" i="19" s="1"/>
  <c r="CS75" i="19" s="1"/>
  <c r="CS76" i="19" s="1"/>
  <c r="CS77" i="19" s="1"/>
  <c r="CS78" i="19" s="1"/>
  <c r="CS79" i="19" s="1"/>
  <c r="CS80" i="19" s="1"/>
  <c r="CS81" i="19" s="1"/>
  <c r="CS82" i="19" s="1"/>
  <c r="CS83" i="19" s="1"/>
  <c r="CS84" i="19" s="1"/>
  <c r="CS85" i="19" s="1"/>
  <c r="CS86" i="19" s="1"/>
  <c r="CS87" i="19" s="1"/>
  <c r="CS88" i="19" s="1"/>
  <c r="CS89" i="19" s="1"/>
  <c r="CS90" i="19" s="1"/>
  <c r="CS91" i="19" s="1"/>
  <c r="CS92" i="19" s="1"/>
  <c r="CS93" i="19" s="1"/>
  <c r="CS94" i="19" s="1"/>
  <c r="CS95" i="19" s="1"/>
  <c r="CS96" i="19" s="1"/>
  <c r="CS97" i="19" s="1"/>
  <c r="CS98" i="19" s="1"/>
  <c r="CS99" i="19" s="1"/>
  <c r="CS100" i="19" s="1"/>
  <c r="CS101" i="19" s="1"/>
  <c r="CS102" i="19" s="1"/>
  <c r="CS103" i="19" s="1"/>
  <c r="CS104" i="19" s="1"/>
  <c r="CS105" i="19" s="1"/>
  <c r="CS106" i="19" s="1"/>
  <c r="CS107" i="19" s="1"/>
  <c r="CS108" i="19" s="1"/>
  <c r="CS109" i="19" s="1"/>
  <c r="CS110" i="19" s="1"/>
  <c r="CS111" i="19" s="1"/>
  <c r="CS112" i="19" s="1"/>
  <c r="CS113" i="19" s="1"/>
  <c r="CS114" i="19" s="1"/>
  <c r="CS115" i="19" s="1"/>
  <c r="CS116" i="19" s="1"/>
  <c r="CS117" i="19" s="1"/>
  <c r="CS118" i="19" s="1"/>
  <c r="CS119" i="19" s="1"/>
  <c r="CS120" i="19" s="1"/>
  <c r="CS121" i="19" s="1"/>
  <c r="CS122" i="19" s="1"/>
  <c r="CS123" i="19" s="1"/>
  <c r="CS124" i="19" s="1"/>
  <c r="CS125" i="19" s="1"/>
  <c r="CS126" i="19" s="1"/>
  <c r="CS127" i="19" s="1"/>
  <c r="CS128" i="19" s="1"/>
  <c r="CS129" i="19" s="1"/>
  <c r="CS130" i="19" s="1"/>
  <c r="CS131" i="19" s="1"/>
  <c r="CS132" i="19" s="1"/>
  <c r="CS133" i="19" s="1"/>
  <c r="CS134" i="19" s="1"/>
  <c r="CS135" i="19" s="1"/>
  <c r="CS136" i="19" s="1"/>
  <c r="CS137" i="19" s="1"/>
  <c r="CS138" i="19" s="1"/>
  <c r="CS139" i="19" s="1"/>
  <c r="CS140" i="19" s="1"/>
  <c r="CS141" i="19" s="1"/>
  <c r="CS142" i="19" s="1"/>
  <c r="CS143" i="19" s="1"/>
  <c r="CS144" i="19" s="1"/>
  <c r="CS145" i="19" s="1"/>
  <c r="CS146" i="19" s="1"/>
  <c r="CS147" i="19" s="1"/>
  <c r="CS148" i="19" s="1"/>
  <c r="CS149" i="19" s="1"/>
  <c r="CS150" i="19" s="1"/>
  <c r="CS151" i="19" s="1"/>
  <c r="CS152" i="19" s="1"/>
  <c r="CS153" i="19" s="1"/>
  <c r="CS154" i="19" s="1"/>
  <c r="CS155" i="19" s="1"/>
  <c r="CS156" i="19" s="1"/>
  <c r="CS157" i="19" s="1"/>
  <c r="CS158" i="19" s="1"/>
  <c r="CS159" i="19" s="1"/>
  <c r="CS160" i="19" s="1"/>
  <c r="CS161" i="19" s="1"/>
  <c r="CS162" i="19" s="1"/>
  <c r="CS163" i="19" s="1"/>
  <c r="CS164" i="19" s="1"/>
  <c r="CS165" i="19" s="1"/>
  <c r="CS166" i="19" s="1"/>
  <c r="CS167" i="19" s="1"/>
  <c r="CS168" i="19" s="1"/>
  <c r="CS169" i="19" s="1"/>
  <c r="CS170" i="19" s="1"/>
  <c r="CS171" i="19" s="1"/>
  <c r="CS172" i="19" s="1"/>
  <c r="CS173" i="19" s="1"/>
  <c r="CS174" i="19" s="1"/>
  <c r="CS175" i="19" s="1"/>
  <c r="CS176" i="19" s="1"/>
  <c r="CS177" i="19" s="1"/>
  <c r="CS178" i="19" s="1"/>
  <c r="CS179" i="19" s="1"/>
  <c r="CS180" i="19" s="1"/>
  <c r="CS181" i="19" s="1"/>
  <c r="CS182" i="19" s="1"/>
  <c r="CS183" i="19" s="1"/>
  <c r="CS184" i="19" s="1"/>
  <c r="CS185" i="19" s="1"/>
  <c r="CS186" i="19" s="1"/>
  <c r="CS187" i="19" s="1"/>
  <c r="CS188" i="19" s="1"/>
  <c r="CS189" i="19" s="1"/>
  <c r="CS190" i="19" s="1"/>
  <c r="CS191" i="19" s="1"/>
  <c r="CS192" i="19" s="1"/>
  <c r="CS193" i="19" s="1"/>
  <c r="CS194" i="19" s="1"/>
  <c r="CS195" i="19" s="1"/>
  <c r="CS196" i="19" s="1"/>
  <c r="CS197" i="19" s="1"/>
  <c r="CS198" i="19" s="1"/>
  <c r="CS199" i="19" s="1"/>
  <c r="CS200" i="19" s="1"/>
  <c r="CS201" i="19" s="1"/>
  <c r="CS202" i="19" s="1"/>
  <c r="CS203" i="19" s="1"/>
  <c r="CS204" i="19" s="1"/>
  <c r="CS205" i="19" s="1"/>
  <c r="CS206" i="19" s="1"/>
  <c r="CS207" i="19" s="1"/>
  <c r="CS208" i="19" s="1"/>
  <c r="CS209" i="19" s="1"/>
  <c r="CS210" i="19" s="1"/>
  <c r="CS211" i="19" s="1"/>
  <c r="CS212" i="19" s="1"/>
  <c r="CS213" i="19" s="1"/>
  <c r="CS214" i="19" s="1"/>
  <c r="CS215" i="19" s="1"/>
  <c r="CS216" i="19" s="1"/>
  <c r="CS217" i="19" s="1"/>
  <c r="CS218" i="19" s="1"/>
  <c r="CS219" i="19" s="1"/>
  <c r="CS220" i="19" s="1"/>
  <c r="CS221" i="19" s="1"/>
  <c r="CS222" i="19" s="1"/>
  <c r="CS223" i="19" s="1"/>
  <c r="CS224" i="19" s="1"/>
  <c r="CS225" i="19" s="1"/>
  <c r="CS226" i="19" s="1"/>
  <c r="CS227" i="19" s="1"/>
  <c r="CS228" i="19" s="1"/>
  <c r="CS229" i="19" s="1"/>
  <c r="CS230" i="19" s="1"/>
  <c r="CS231" i="19" s="1"/>
  <c r="CS232" i="19" s="1"/>
  <c r="CS233" i="19" s="1"/>
  <c r="CS234" i="19" s="1"/>
  <c r="CS235" i="19" s="1"/>
  <c r="CS236" i="19" s="1"/>
  <c r="CS237" i="19" s="1"/>
  <c r="CS238" i="19" s="1"/>
  <c r="CS239" i="19" s="1"/>
  <c r="CS240" i="19" s="1"/>
  <c r="CS241" i="19" s="1"/>
  <c r="CS242" i="19" s="1"/>
  <c r="CS243" i="19" s="1"/>
  <c r="CS244" i="19" s="1"/>
  <c r="CS245" i="19" s="1"/>
  <c r="CS246" i="19" s="1"/>
  <c r="CS247" i="19" s="1"/>
  <c r="CS248" i="19" s="1"/>
  <c r="CS249" i="19" s="1"/>
  <c r="CS250" i="19" s="1"/>
  <c r="CS251" i="19" s="1"/>
  <c r="CS252" i="19" s="1"/>
  <c r="CS253" i="19" s="1"/>
  <c r="CS254" i="19" s="1"/>
  <c r="CS255" i="19" s="1"/>
  <c r="CS256" i="19" s="1"/>
  <c r="CS257" i="19" s="1"/>
  <c r="CS258" i="19" s="1"/>
  <c r="CS259" i="19" s="1"/>
  <c r="CS260" i="19" s="1"/>
  <c r="CS261" i="19" s="1"/>
  <c r="CS262" i="19" s="1"/>
  <c r="CS263" i="19" s="1"/>
  <c r="CS264" i="19" s="1"/>
  <c r="CS265" i="19" s="1"/>
  <c r="CS266" i="19" s="1"/>
  <c r="CS267" i="19" s="1"/>
  <c r="CS268" i="19" s="1"/>
  <c r="CS269" i="19" s="1"/>
  <c r="CS270" i="19" s="1"/>
  <c r="CS271" i="19" s="1"/>
  <c r="CS272" i="19" s="1"/>
  <c r="CS273" i="19" s="1"/>
  <c r="CS274" i="19" s="1"/>
  <c r="CS275" i="19" s="1"/>
  <c r="CS276" i="19" s="1"/>
  <c r="CS277" i="19" s="1"/>
  <c r="CS278" i="19" s="1"/>
  <c r="CS279" i="19" s="1"/>
  <c r="CS280" i="19" s="1"/>
  <c r="CS281" i="19" s="1"/>
  <c r="CS282" i="19" s="1"/>
  <c r="CS283" i="19" s="1"/>
  <c r="CS284" i="19" s="1"/>
  <c r="CS285" i="19" s="1"/>
  <c r="CS286" i="19" s="1"/>
  <c r="CS287" i="19" s="1"/>
  <c r="CS288" i="19" s="1"/>
  <c r="CS289" i="19" s="1"/>
  <c r="CS290" i="19" s="1"/>
  <c r="CS291" i="19" s="1"/>
  <c r="CS292" i="19" s="1"/>
  <c r="CS293" i="19" s="1"/>
  <c r="CS294" i="19" s="1"/>
  <c r="CS295" i="19" s="1"/>
  <c r="CS296" i="19" s="1"/>
  <c r="CS297" i="19" s="1"/>
  <c r="CS298" i="19" s="1"/>
  <c r="CS299" i="19" s="1"/>
  <c r="CS300" i="19" s="1"/>
  <c r="CS301" i="19" s="1"/>
  <c r="CS302" i="19" s="1"/>
  <c r="CS303" i="19" s="1"/>
  <c r="CS304" i="19" s="1"/>
  <c r="CS305" i="19" s="1"/>
  <c r="CS306" i="19" s="1"/>
  <c r="CS307" i="19" s="1"/>
  <c r="CS308" i="19" s="1"/>
  <c r="CS309" i="19" s="1"/>
  <c r="CS310" i="19" s="1"/>
  <c r="CS311" i="19" s="1"/>
  <c r="CS312" i="19" s="1"/>
  <c r="CS313" i="19" s="1"/>
  <c r="CS314" i="19" s="1"/>
  <c r="CS315" i="19" s="1"/>
  <c r="CS316" i="19" s="1"/>
  <c r="CS317" i="19" s="1"/>
  <c r="CS318" i="19" s="1"/>
  <c r="CS319" i="19" s="1"/>
  <c r="CS320" i="19" s="1"/>
  <c r="CS321" i="19" s="1"/>
  <c r="CS322" i="19" s="1"/>
  <c r="CS323" i="19" s="1"/>
  <c r="CS324" i="19" s="1"/>
  <c r="CS325" i="19" s="1"/>
  <c r="CS326" i="19" s="1"/>
  <c r="CS327" i="19" s="1"/>
  <c r="CS328" i="19" s="1"/>
  <c r="CS329" i="19" s="1"/>
  <c r="CS330" i="19" s="1"/>
  <c r="CS331" i="19" s="1"/>
  <c r="CS332" i="19" s="1"/>
  <c r="CS333" i="19" s="1"/>
  <c r="CS334" i="19" s="1"/>
  <c r="CS335" i="19" s="1"/>
  <c r="CS336" i="19" s="1"/>
  <c r="CS337" i="19" s="1"/>
  <c r="CS338" i="19" s="1"/>
  <c r="CS339" i="19" s="1"/>
  <c r="CS340" i="19" s="1"/>
  <c r="CS341" i="19" s="1"/>
  <c r="CS342" i="19" s="1"/>
  <c r="CS343" i="19" s="1"/>
  <c r="CS344" i="19" s="1"/>
  <c r="CS345" i="19" s="1"/>
  <c r="CS346" i="19" s="1"/>
  <c r="CS347" i="19" s="1"/>
  <c r="CS348" i="19" s="1"/>
  <c r="CS349" i="19" s="1"/>
  <c r="CS350" i="19" s="1"/>
  <c r="CS351" i="19" s="1"/>
  <c r="CS352" i="19" s="1"/>
  <c r="CS353" i="19" s="1"/>
  <c r="CS354" i="19" s="1"/>
  <c r="CS355" i="19" s="1"/>
  <c r="CS356" i="19" s="1"/>
  <c r="CS357" i="19" s="1"/>
  <c r="CS358" i="19" s="1"/>
  <c r="CS359" i="19" s="1"/>
  <c r="CS360" i="19" s="1"/>
  <c r="CS361" i="19" s="1"/>
  <c r="CS362" i="19" s="1"/>
  <c r="CS363" i="19" s="1"/>
  <c r="CS364" i="19" s="1"/>
  <c r="CS365" i="19" s="1"/>
  <c r="CS366" i="19" s="1"/>
  <c r="CS367" i="19" s="1"/>
  <c r="CS368" i="19" s="1"/>
  <c r="CS369" i="19" s="1"/>
  <c r="CS370" i="19" s="1"/>
  <c r="CS371" i="19" s="1"/>
  <c r="CS372" i="19" s="1"/>
  <c r="CS373" i="19" s="1"/>
  <c r="CS374" i="19" s="1"/>
  <c r="CS375" i="19" s="1"/>
  <c r="CS376" i="19" s="1"/>
  <c r="CS377" i="19" s="1"/>
  <c r="CS378" i="19" s="1"/>
  <c r="CS379" i="19" s="1"/>
  <c r="CS380" i="19" s="1"/>
  <c r="CS381" i="19" s="1"/>
  <c r="CS382" i="19" s="1"/>
  <c r="CS383" i="19" s="1"/>
  <c r="CS384" i="19" s="1"/>
  <c r="CS385" i="19" s="1"/>
  <c r="CS386" i="19" s="1"/>
  <c r="CS387" i="19" s="1"/>
  <c r="CS388" i="19" s="1"/>
  <c r="CS389" i="19" s="1"/>
  <c r="CS390" i="19" s="1"/>
  <c r="CS391" i="19" s="1"/>
  <c r="CS392" i="19" s="1"/>
  <c r="CS393" i="19" s="1"/>
  <c r="CS394" i="19" s="1"/>
  <c r="CS395" i="19" s="1"/>
  <c r="CS396" i="19" s="1"/>
  <c r="CS397" i="19" s="1"/>
  <c r="CS398" i="19" s="1"/>
  <c r="CS399" i="19" s="1"/>
  <c r="CS400" i="19" s="1"/>
  <c r="CS401" i="19" s="1"/>
  <c r="CS402" i="19" s="1"/>
  <c r="CS403" i="19" s="1"/>
  <c r="CS404" i="19" s="1"/>
  <c r="CS405" i="19" s="1"/>
  <c r="CS406" i="19" s="1"/>
  <c r="CS407" i="19" s="1"/>
  <c r="CS408" i="19" s="1"/>
  <c r="CS409" i="19" s="1"/>
  <c r="CS410" i="19" s="1"/>
  <c r="CS411" i="19" s="1"/>
  <c r="CS412" i="19" s="1"/>
  <c r="CS413" i="19" s="1"/>
  <c r="CS414" i="19" s="1"/>
  <c r="CS415" i="19" s="1"/>
  <c r="CS416" i="19" s="1"/>
  <c r="CS417" i="19" s="1"/>
  <c r="CS418" i="19" s="1"/>
  <c r="CS419" i="19" s="1"/>
  <c r="CS420" i="19" s="1"/>
  <c r="CS421" i="19" s="1"/>
  <c r="CS422" i="19" s="1"/>
  <c r="CS423" i="19" s="1"/>
  <c r="CS424" i="19" s="1"/>
  <c r="CS425" i="19" s="1"/>
  <c r="CS426" i="19" s="1"/>
  <c r="CS427" i="19" s="1"/>
  <c r="CS428" i="19" s="1"/>
  <c r="CS429" i="19" s="1"/>
  <c r="CS430" i="19" s="1"/>
  <c r="CS431" i="19" s="1"/>
  <c r="CS432" i="19" s="1"/>
  <c r="CS433" i="19" s="1"/>
  <c r="CS434" i="19" s="1"/>
  <c r="CS435" i="19" s="1"/>
  <c r="CS436" i="19" s="1"/>
  <c r="CS437" i="19" s="1"/>
  <c r="CS438" i="19" s="1"/>
  <c r="CS439" i="19" s="1"/>
  <c r="CS440" i="19" s="1"/>
  <c r="CS441" i="19" s="1"/>
  <c r="CS442" i="19" s="1"/>
  <c r="CS443" i="19" s="1"/>
  <c r="CS444" i="19" s="1"/>
  <c r="CS445" i="19" s="1"/>
  <c r="CS446" i="19" s="1"/>
  <c r="CS447" i="19" s="1"/>
  <c r="CS448" i="19" s="1"/>
  <c r="CS449" i="19" s="1"/>
  <c r="CS450" i="19" s="1"/>
  <c r="CS451" i="19" s="1"/>
  <c r="CS452" i="19" s="1"/>
  <c r="CS453" i="19" s="1"/>
  <c r="CS454" i="19" s="1"/>
  <c r="CS455" i="19" s="1"/>
  <c r="CS456" i="19" s="1"/>
  <c r="CS457" i="19" s="1"/>
  <c r="CS458" i="19" s="1"/>
  <c r="CS459" i="19" s="1"/>
  <c r="CS460" i="19" s="1"/>
  <c r="CS461" i="19" s="1"/>
  <c r="CS462" i="19" s="1"/>
  <c r="CS463" i="19" s="1"/>
  <c r="CS464" i="19" s="1"/>
  <c r="CS465" i="19" s="1"/>
  <c r="CS466" i="19" s="1"/>
  <c r="CS467" i="19" s="1"/>
  <c r="CS468" i="19" s="1"/>
  <c r="CS469" i="19" s="1"/>
  <c r="CS470" i="19" s="1"/>
  <c r="CS471" i="19" s="1"/>
  <c r="CS472" i="19" s="1"/>
  <c r="CS473" i="19" s="1"/>
  <c r="CS474" i="19" s="1"/>
  <c r="CS475" i="19" s="1"/>
  <c r="CS476" i="19" s="1"/>
  <c r="CS477" i="19" s="1"/>
  <c r="CS478" i="19" s="1"/>
  <c r="CS479" i="19" s="1"/>
  <c r="CS480" i="19" s="1"/>
  <c r="CS481" i="19" s="1"/>
  <c r="CS482" i="19" s="1"/>
  <c r="CS483" i="19" s="1"/>
  <c r="CS484" i="19" s="1"/>
  <c r="CS485" i="19" s="1"/>
  <c r="CS486" i="19" s="1"/>
  <c r="CS487" i="19" s="1"/>
  <c r="CS488" i="19" s="1"/>
  <c r="CS489" i="19" s="1"/>
  <c r="CS490" i="19" s="1"/>
  <c r="CS491" i="19" s="1"/>
  <c r="CS492" i="19" s="1"/>
  <c r="CS493" i="19" s="1"/>
  <c r="CS494" i="19" s="1"/>
  <c r="CS495" i="19" s="1"/>
  <c r="CS496" i="19" s="1"/>
  <c r="CS497" i="19" s="1"/>
  <c r="CS498" i="19" s="1"/>
  <c r="CS499" i="19" s="1"/>
  <c r="CS500" i="19" s="1"/>
  <c r="CS501" i="19" s="1"/>
  <c r="CS502" i="19" s="1"/>
  <c r="CS503" i="19" s="1"/>
  <c r="CS504" i="19" s="1"/>
  <c r="CS505" i="19" s="1"/>
  <c r="CS506" i="19" s="1"/>
  <c r="CS507" i="19" s="1"/>
  <c r="CS508" i="19" s="1"/>
  <c r="CS509" i="19" s="1"/>
  <c r="CS510" i="19" s="1"/>
  <c r="CS511" i="19" s="1"/>
  <c r="CS512" i="19" s="1"/>
  <c r="CS513" i="19" s="1"/>
  <c r="CS514" i="19" s="1"/>
  <c r="CS515" i="19" s="1"/>
  <c r="CS516" i="19" s="1"/>
  <c r="CS517" i="19" s="1"/>
  <c r="CS518" i="19" s="1"/>
  <c r="CS519" i="19" s="1"/>
  <c r="CS520" i="19" s="1"/>
  <c r="CS521" i="19" s="1"/>
  <c r="CS522" i="19" s="1"/>
  <c r="CS523" i="19" s="1"/>
  <c r="CS524" i="19" s="1"/>
  <c r="CS525" i="19" s="1"/>
  <c r="CS526" i="19" s="1"/>
  <c r="CS527" i="19" s="1"/>
  <c r="CS528" i="19" s="1"/>
  <c r="CS529" i="19" s="1"/>
  <c r="CS530" i="19" s="1"/>
  <c r="CS531" i="19" s="1"/>
  <c r="CS532" i="19" s="1"/>
  <c r="CS533" i="19" s="1"/>
  <c r="CS534" i="19" s="1"/>
  <c r="CS535" i="19" s="1"/>
  <c r="CS536" i="19" s="1"/>
  <c r="CS537" i="19" s="1"/>
  <c r="CS538" i="19" s="1"/>
  <c r="CS539" i="19" s="1"/>
  <c r="CS540" i="19" s="1"/>
  <c r="CS541" i="19" s="1"/>
  <c r="CS542" i="19" s="1"/>
  <c r="CS543" i="19" s="1"/>
  <c r="CS544" i="19" s="1"/>
  <c r="CS545" i="19" s="1"/>
  <c r="CS546" i="19" s="1"/>
  <c r="CS547" i="19" s="1"/>
  <c r="CS548" i="19" s="1"/>
  <c r="CS549" i="19" s="1"/>
  <c r="CS550" i="19" s="1"/>
  <c r="CS551" i="19" s="1"/>
  <c r="CS552" i="19" s="1"/>
  <c r="CS553" i="19" s="1"/>
  <c r="CS554" i="19" s="1"/>
  <c r="CS555" i="19" s="1"/>
  <c r="CS556" i="19" s="1"/>
  <c r="CS557" i="19" s="1"/>
  <c r="CS558" i="19" s="1"/>
  <c r="CS559" i="19" s="1"/>
  <c r="CS560" i="19" s="1"/>
  <c r="CS561" i="19" s="1"/>
  <c r="CS562" i="19" s="1"/>
  <c r="CS563" i="19" s="1"/>
  <c r="CS564" i="19" s="1"/>
  <c r="CS565" i="19" s="1"/>
  <c r="CS566" i="19" s="1"/>
  <c r="CS567" i="19" s="1"/>
  <c r="CS568" i="19" s="1"/>
  <c r="CS569" i="19" s="1"/>
  <c r="CS570" i="19" s="1"/>
  <c r="CS571" i="19" s="1"/>
  <c r="CS572" i="19" s="1"/>
  <c r="CS573" i="19" s="1"/>
  <c r="CS574" i="19" s="1"/>
  <c r="CS575" i="19" s="1"/>
  <c r="CS576" i="19" s="1"/>
  <c r="CS577" i="19" s="1"/>
  <c r="CS578" i="19" s="1"/>
  <c r="CS579" i="19" s="1"/>
  <c r="CS580" i="19" s="1"/>
  <c r="CS581" i="19" s="1"/>
  <c r="CS582" i="19" s="1"/>
  <c r="CS583" i="19" s="1"/>
  <c r="CS584" i="19" s="1"/>
  <c r="CS585" i="19" s="1"/>
  <c r="CS586" i="19" s="1"/>
  <c r="CS587" i="19" s="1"/>
  <c r="CS588" i="19" s="1"/>
  <c r="CS589" i="19" s="1"/>
  <c r="CS590" i="19" s="1"/>
  <c r="CS591" i="19" s="1"/>
  <c r="CS592" i="19" s="1"/>
  <c r="CS593" i="19" s="1"/>
  <c r="CS594" i="19" s="1"/>
  <c r="CS595" i="19" s="1"/>
  <c r="CS596" i="19" s="1"/>
  <c r="CS597" i="19" s="1"/>
  <c r="CS598" i="19" s="1"/>
  <c r="CS599" i="19" s="1"/>
  <c r="CS600" i="19" s="1"/>
  <c r="CS601" i="19" s="1"/>
  <c r="CS602" i="19" s="1"/>
  <c r="CS603" i="19" s="1"/>
  <c r="CS604" i="19" s="1"/>
  <c r="CS605" i="19" s="1"/>
  <c r="CS606" i="19" s="1"/>
  <c r="CS607" i="19" s="1"/>
  <c r="CS608" i="19" s="1"/>
  <c r="CS609" i="19" s="1"/>
  <c r="CS610" i="19" s="1"/>
  <c r="CS611" i="19" s="1"/>
  <c r="CS612" i="19" s="1"/>
  <c r="CS613" i="19" s="1"/>
  <c r="CS614" i="19" s="1"/>
  <c r="CS615" i="19" s="1"/>
  <c r="CS616" i="19" s="1"/>
  <c r="CS617" i="19" s="1"/>
  <c r="CS618" i="19" s="1"/>
  <c r="CS619" i="19" s="1"/>
  <c r="CS620" i="19" s="1"/>
  <c r="CS621" i="19" s="1"/>
  <c r="CS622" i="19" s="1"/>
  <c r="CS623" i="19" s="1"/>
  <c r="CS624" i="19" s="1"/>
  <c r="CS625" i="19" s="1"/>
  <c r="CS626" i="19" s="1"/>
  <c r="CS627" i="19" s="1"/>
  <c r="CS628" i="19" s="1"/>
  <c r="CS629" i="19" s="1"/>
  <c r="CS630" i="19" s="1"/>
  <c r="CS631" i="19" s="1"/>
  <c r="CS632" i="19" s="1"/>
  <c r="CS633" i="19" s="1"/>
  <c r="CT87" i="19"/>
  <c r="CT129" i="19" s="1"/>
  <c r="CT171" i="19" s="1"/>
  <c r="CT213" i="19" s="1"/>
  <c r="CT255" i="19" s="1"/>
  <c r="CT297" i="19" s="1"/>
  <c r="CT339" i="19" s="1"/>
  <c r="CT381" i="19" s="1"/>
  <c r="CT423" i="19" s="1"/>
  <c r="CT465" i="19" s="1"/>
  <c r="CT507" i="19" s="1"/>
  <c r="CT549" i="19" s="1"/>
  <c r="CT591" i="19" s="1"/>
  <c r="CT633" i="19" s="1"/>
  <c r="CT86" i="19"/>
  <c r="CT128" i="19" s="1"/>
  <c r="CT170" i="19" s="1"/>
  <c r="CT212" i="19" s="1"/>
  <c r="CT254" i="19" s="1"/>
  <c r="CT296" i="19" s="1"/>
  <c r="CT338" i="19" s="1"/>
  <c r="CT380" i="19" s="1"/>
  <c r="CT422" i="19" s="1"/>
  <c r="CT464" i="19" s="1"/>
  <c r="CT506" i="19" s="1"/>
  <c r="CT548" i="19" s="1"/>
  <c r="CT590" i="19" s="1"/>
  <c r="CT632" i="19" s="1"/>
  <c r="CT85" i="19"/>
  <c r="CT127" i="19" s="1"/>
  <c r="CT169" i="19" s="1"/>
  <c r="CT211" i="19" s="1"/>
  <c r="CT253" i="19" s="1"/>
  <c r="CT295" i="19" s="1"/>
  <c r="CT337" i="19" s="1"/>
  <c r="CT379" i="19" s="1"/>
  <c r="CT421" i="19" s="1"/>
  <c r="CT463" i="19" s="1"/>
  <c r="CT505" i="19" s="1"/>
  <c r="CT547" i="19" s="1"/>
  <c r="CT589" i="19" s="1"/>
  <c r="CT631" i="19" s="1"/>
  <c r="CT84" i="19"/>
  <c r="CT126" i="19" s="1"/>
  <c r="CT168" i="19" s="1"/>
  <c r="CT210" i="19" s="1"/>
  <c r="CT252" i="19" s="1"/>
  <c r="CT294" i="19" s="1"/>
  <c r="CT336" i="19" s="1"/>
  <c r="CT378" i="19" s="1"/>
  <c r="CT420" i="19" s="1"/>
  <c r="CT462" i="19" s="1"/>
  <c r="CT504" i="19" s="1"/>
  <c r="CT546" i="19" s="1"/>
  <c r="CT588" i="19" s="1"/>
  <c r="CT630" i="19" s="1"/>
  <c r="CT83" i="19"/>
  <c r="CT125" i="19" s="1"/>
  <c r="CT167" i="19" s="1"/>
  <c r="CT209" i="19" s="1"/>
  <c r="CT251" i="19" s="1"/>
  <c r="CT293" i="19" s="1"/>
  <c r="CT335" i="19" s="1"/>
  <c r="CT377" i="19" s="1"/>
  <c r="CT419" i="19" s="1"/>
  <c r="CT461" i="19" s="1"/>
  <c r="CT503" i="19" s="1"/>
  <c r="CT545" i="19" s="1"/>
  <c r="CT587" i="19" s="1"/>
  <c r="CT629" i="19" s="1"/>
  <c r="CT82" i="19"/>
  <c r="CT124" i="19" s="1"/>
  <c r="CT166" i="19" s="1"/>
  <c r="CT208" i="19" s="1"/>
  <c r="CT250" i="19" s="1"/>
  <c r="CT292" i="19" s="1"/>
  <c r="CT334" i="19" s="1"/>
  <c r="CT376" i="19" s="1"/>
  <c r="CT418" i="19" s="1"/>
  <c r="CT460" i="19" s="1"/>
  <c r="CT502" i="19" s="1"/>
  <c r="CT544" i="19" s="1"/>
  <c r="CT586" i="19" s="1"/>
  <c r="CT628" i="19" s="1"/>
  <c r="CT81" i="19"/>
  <c r="CT123" i="19" s="1"/>
  <c r="CT165" i="19" s="1"/>
  <c r="CT207" i="19" s="1"/>
  <c r="CT249" i="19" s="1"/>
  <c r="CT291" i="19" s="1"/>
  <c r="CT333" i="19" s="1"/>
  <c r="CT375" i="19" s="1"/>
  <c r="CT417" i="19" s="1"/>
  <c r="CT459" i="19" s="1"/>
  <c r="CT501" i="19" s="1"/>
  <c r="CT543" i="19" s="1"/>
  <c r="CT585" i="19" s="1"/>
  <c r="CT627" i="19" s="1"/>
  <c r="CT80" i="19"/>
  <c r="CT122" i="19" s="1"/>
  <c r="CT164" i="19" s="1"/>
  <c r="CT206" i="19" s="1"/>
  <c r="CT248" i="19" s="1"/>
  <c r="CT290" i="19" s="1"/>
  <c r="CT332" i="19" s="1"/>
  <c r="CT374" i="19" s="1"/>
  <c r="CT416" i="19" s="1"/>
  <c r="CT458" i="19" s="1"/>
  <c r="CT500" i="19" s="1"/>
  <c r="CT542" i="19" s="1"/>
  <c r="CT584" i="19" s="1"/>
  <c r="CT626" i="19" s="1"/>
  <c r="CT79" i="19"/>
  <c r="CT121" i="19" s="1"/>
  <c r="CT163" i="19" s="1"/>
  <c r="CT205" i="19" s="1"/>
  <c r="CT247" i="19" s="1"/>
  <c r="CT289" i="19" s="1"/>
  <c r="CT331" i="19" s="1"/>
  <c r="CT373" i="19" s="1"/>
  <c r="CT415" i="19" s="1"/>
  <c r="CT457" i="19" s="1"/>
  <c r="CT499" i="19" s="1"/>
  <c r="CT541" i="19" s="1"/>
  <c r="CT583" i="19" s="1"/>
  <c r="CT625" i="19" s="1"/>
  <c r="CT78" i="19"/>
  <c r="CT120" i="19" s="1"/>
  <c r="CT162" i="19" s="1"/>
  <c r="CT204" i="19" s="1"/>
  <c r="CT246" i="19" s="1"/>
  <c r="CT288" i="19" s="1"/>
  <c r="CT330" i="19" s="1"/>
  <c r="CT372" i="19" s="1"/>
  <c r="CT414" i="19" s="1"/>
  <c r="CT456" i="19" s="1"/>
  <c r="CT498" i="19" s="1"/>
  <c r="CT540" i="19" s="1"/>
  <c r="CT582" i="19" s="1"/>
  <c r="CT624" i="19" s="1"/>
  <c r="CT77" i="19"/>
  <c r="CT119" i="19" s="1"/>
  <c r="CT161" i="19" s="1"/>
  <c r="CT203" i="19" s="1"/>
  <c r="CT245" i="19" s="1"/>
  <c r="CT287" i="19" s="1"/>
  <c r="CT329" i="19" s="1"/>
  <c r="CT371" i="19" s="1"/>
  <c r="CT413" i="19" s="1"/>
  <c r="CT455" i="19" s="1"/>
  <c r="CT497" i="19" s="1"/>
  <c r="CT539" i="19" s="1"/>
  <c r="CT581" i="19" s="1"/>
  <c r="CT623" i="19" s="1"/>
  <c r="CT76" i="19"/>
  <c r="CT118" i="19" s="1"/>
  <c r="CT160" i="19" s="1"/>
  <c r="CT202" i="19" s="1"/>
  <c r="CT244" i="19" s="1"/>
  <c r="CT286" i="19" s="1"/>
  <c r="CT328" i="19" s="1"/>
  <c r="CT370" i="19" s="1"/>
  <c r="CT412" i="19" s="1"/>
  <c r="CT454" i="19" s="1"/>
  <c r="CT496" i="19" s="1"/>
  <c r="CT538" i="19" s="1"/>
  <c r="CT580" i="19" s="1"/>
  <c r="CT622" i="19" s="1"/>
  <c r="CT75" i="19"/>
  <c r="CT117" i="19" s="1"/>
  <c r="CT159" i="19" s="1"/>
  <c r="CT201" i="19" s="1"/>
  <c r="CT243" i="19" s="1"/>
  <c r="CT285" i="19" s="1"/>
  <c r="CT327" i="19" s="1"/>
  <c r="CT369" i="19" s="1"/>
  <c r="CT411" i="19" s="1"/>
  <c r="CT453" i="19" s="1"/>
  <c r="CT495" i="19" s="1"/>
  <c r="CT537" i="19" s="1"/>
  <c r="CT579" i="19" s="1"/>
  <c r="CT621" i="19" s="1"/>
  <c r="CT74" i="19"/>
  <c r="CT116" i="19" s="1"/>
  <c r="CT158" i="19" s="1"/>
  <c r="CT200" i="19" s="1"/>
  <c r="CT242" i="19" s="1"/>
  <c r="CT284" i="19" s="1"/>
  <c r="CT326" i="19" s="1"/>
  <c r="CT368" i="19" s="1"/>
  <c r="CT410" i="19" s="1"/>
  <c r="CT452" i="19" s="1"/>
  <c r="CT494" i="19" s="1"/>
  <c r="CT536" i="19" s="1"/>
  <c r="CT578" i="19" s="1"/>
  <c r="CT620" i="19" s="1"/>
  <c r="CT73" i="19"/>
  <c r="CT115" i="19" s="1"/>
  <c r="CT157" i="19" s="1"/>
  <c r="CT199" i="19" s="1"/>
  <c r="CT241" i="19" s="1"/>
  <c r="CT283" i="19" s="1"/>
  <c r="CT325" i="19" s="1"/>
  <c r="CT367" i="19" s="1"/>
  <c r="CT409" i="19" s="1"/>
  <c r="CT451" i="19" s="1"/>
  <c r="CT493" i="19" s="1"/>
  <c r="CT535" i="19" s="1"/>
  <c r="CT577" i="19" s="1"/>
  <c r="CT619" i="19" s="1"/>
  <c r="CT72" i="19"/>
  <c r="CT114" i="19" s="1"/>
  <c r="CT156" i="19" s="1"/>
  <c r="CT198" i="19" s="1"/>
  <c r="CT240" i="19" s="1"/>
  <c r="CT282" i="19" s="1"/>
  <c r="CT324" i="19" s="1"/>
  <c r="CT366" i="19" s="1"/>
  <c r="CT408" i="19" s="1"/>
  <c r="CT450" i="19" s="1"/>
  <c r="CT492" i="19" s="1"/>
  <c r="CT534" i="19" s="1"/>
  <c r="CT576" i="19" s="1"/>
  <c r="CT618" i="19" s="1"/>
  <c r="CT71" i="19"/>
  <c r="CT113" i="19" s="1"/>
  <c r="CT155" i="19" s="1"/>
  <c r="CT197" i="19" s="1"/>
  <c r="CT239" i="19" s="1"/>
  <c r="CT281" i="19" s="1"/>
  <c r="CT323" i="19" s="1"/>
  <c r="CT365" i="19" s="1"/>
  <c r="CT407" i="19" s="1"/>
  <c r="CT449" i="19" s="1"/>
  <c r="CT491" i="19" s="1"/>
  <c r="CT533" i="19" s="1"/>
  <c r="CT575" i="19" s="1"/>
  <c r="CT617" i="19" s="1"/>
  <c r="CT70" i="19"/>
  <c r="CT112" i="19" s="1"/>
  <c r="CT154" i="19" s="1"/>
  <c r="CT196" i="19" s="1"/>
  <c r="CT238" i="19" s="1"/>
  <c r="CT280" i="19" s="1"/>
  <c r="CT322" i="19" s="1"/>
  <c r="CT364" i="19" s="1"/>
  <c r="CT406" i="19" s="1"/>
  <c r="CT448" i="19" s="1"/>
  <c r="CT490" i="19" s="1"/>
  <c r="CT532" i="19" s="1"/>
  <c r="CT574" i="19" s="1"/>
  <c r="CT616" i="19" s="1"/>
  <c r="CT69" i="19"/>
  <c r="CT111" i="19" s="1"/>
  <c r="CT153" i="19" s="1"/>
  <c r="CT195" i="19" s="1"/>
  <c r="CT237" i="19" s="1"/>
  <c r="CT279" i="19" s="1"/>
  <c r="CT321" i="19" s="1"/>
  <c r="CT363" i="19" s="1"/>
  <c r="CT405" i="19" s="1"/>
  <c r="CT447" i="19" s="1"/>
  <c r="CT489" i="19" s="1"/>
  <c r="CT531" i="19" s="1"/>
  <c r="CT573" i="19" s="1"/>
  <c r="CT615" i="19" s="1"/>
  <c r="CT68" i="19"/>
  <c r="CT110" i="19" s="1"/>
  <c r="CT152" i="19" s="1"/>
  <c r="CT194" i="19" s="1"/>
  <c r="CT236" i="19" s="1"/>
  <c r="CT278" i="19" s="1"/>
  <c r="CT320" i="19" s="1"/>
  <c r="CT362" i="19" s="1"/>
  <c r="CT404" i="19" s="1"/>
  <c r="CT446" i="19" s="1"/>
  <c r="CT488" i="19" s="1"/>
  <c r="CT530" i="19" s="1"/>
  <c r="CT572" i="19" s="1"/>
  <c r="CT614" i="19" s="1"/>
  <c r="CT67" i="19"/>
  <c r="CT109" i="19" s="1"/>
  <c r="CT151" i="19" s="1"/>
  <c r="CT193" i="19" s="1"/>
  <c r="CT235" i="19" s="1"/>
  <c r="CT277" i="19" s="1"/>
  <c r="CT319" i="19" s="1"/>
  <c r="CT361" i="19" s="1"/>
  <c r="CT403" i="19" s="1"/>
  <c r="CT445" i="19" s="1"/>
  <c r="CT487" i="19" s="1"/>
  <c r="CT529" i="19" s="1"/>
  <c r="CT571" i="19" s="1"/>
  <c r="CT613" i="19" s="1"/>
  <c r="CT66" i="19"/>
  <c r="CT108" i="19" s="1"/>
  <c r="CT150" i="19" s="1"/>
  <c r="CT192" i="19" s="1"/>
  <c r="CT234" i="19" s="1"/>
  <c r="CT276" i="19" s="1"/>
  <c r="CT318" i="19" s="1"/>
  <c r="CT360" i="19" s="1"/>
  <c r="CT402" i="19" s="1"/>
  <c r="CT444" i="19" s="1"/>
  <c r="CT486" i="19" s="1"/>
  <c r="CT528" i="19" s="1"/>
  <c r="CT570" i="19" s="1"/>
  <c r="CT612" i="19" s="1"/>
  <c r="CT65" i="19"/>
  <c r="CT107" i="19" s="1"/>
  <c r="CT149" i="19" s="1"/>
  <c r="CT191" i="19" s="1"/>
  <c r="CT233" i="19" s="1"/>
  <c r="CT275" i="19" s="1"/>
  <c r="CT317" i="19" s="1"/>
  <c r="CT359" i="19" s="1"/>
  <c r="CT401" i="19" s="1"/>
  <c r="CT443" i="19" s="1"/>
  <c r="CT485" i="19" s="1"/>
  <c r="CT527" i="19" s="1"/>
  <c r="CT569" i="19" s="1"/>
  <c r="CT611" i="19" s="1"/>
  <c r="CT64" i="19"/>
  <c r="CT106" i="19" s="1"/>
  <c r="CT148" i="19" s="1"/>
  <c r="CT190" i="19" s="1"/>
  <c r="CT232" i="19" s="1"/>
  <c r="CT274" i="19" s="1"/>
  <c r="CT316" i="19" s="1"/>
  <c r="CT358" i="19" s="1"/>
  <c r="CT400" i="19" s="1"/>
  <c r="CT442" i="19" s="1"/>
  <c r="CT484" i="19" s="1"/>
  <c r="CT526" i="19" s="1"/>
  <c r="CT568" i="19" s="1"/>
  <c r="CT610" i="19" s="1"/>
  <c r="CT63" i="19"/>
  <c r="CT105" i="19" s="1"/>
  <c r="CT147" i="19" s="1"/>
  <c r="CT189" i="19" s="1"/>
  <c r="CT231" i="19" s="1"/>
  <c r="CT273" i="19" s="1"/>
  <c r="CT315" i="19" s="1"/>
  <c r="CT357" i="19" s="1"/>
  <c r="CT399" i="19" s="1"/>
  <c r="CT441" i="19" s="1"/>
  <c r="CT483" i="19" s="1"/>
  <c r="CT525" i="19" s="1"/>
  <c r="CT567" i="19" s="1"/>
  <c r="CT609" i="19" s="1"/>
  <c r="CT62" i="19"/>
  <c r="CT104" i="19" s="1"/>
  <c r="CT146" i="19" s="1"/>
  <c r="CT188" i="19" s="1"/>
  <c r="CT230" i="19" s="1"/>
  <c r="CT272" i="19" s="1"/>
  <c r="CT314" i="19" s="1"/>
  <c r="CT356" i="19" s="1"/>
  <c r="CT398" i="19" s="1"/>
  <c r="CT440" i="19" s="1"/>
  <c r="CT482" i="19" s="1"/>
  <c r="CT524" i="19" s="1"/>
  <c r="CT566" i="19" s="1"/>
  <c r="CT608" i="19" s="1"/>
  <c r="CT61" i="19"/>
  <c r="CT103" i="19" s="1"/>
  <c r="CT145" i="19" s="1"/>
  <c r="CT187" i="19" s="1"/>
  <c r="CT229" i="19" s="1"/>
  <c r="CT271" i="19" s="1"/>
  <c r="CT313" i="19" s="1"/>
  <c r="CT355" i="19" s="1"/>
  <c r="CT397" i="19" s="1"/>
  <c r="CT439" i="19" s="1"/>
  <c r="CT481" i="19" s="1"/>
  <c r="CT523" i="19" s="1"/>
  <c r="CT565" i="19" s="1"/>
  <c r="CT607" i="19" s="1"/>
  <c r="CT60" i="19"/>
  <c r="CT102" i="19" s="1"/>
  <c r="CT144" i="19" s="1"/>
  <c r="CT186" i="19" s="1"/>
  <c r="CT228" i="19" s="1"/>
  <c r="CT270" i="19" s="1"/>
  <c r="CT312" i="19" s="1"/>
  <c r="CT354" i="19" s="1"/>
  <c r="CT396" i="19" s="1"/>
  <c r="CT438" i="19" s="1"/>
  <c r="CT480" i="19" s="1"/>
  <c r="CT522" i="19" s="1"/>
  <c r="CT564" i="19" s="1"/>
  <c r="CT606" i="19" s="1"/>
  <c r="CT59" i="19"/>
  <c r="CT101" i="19" s="1"/>
  <c r="CT143" i="19" s="1"/>
  <c r="CT185" i="19" s="1"/>
  <c r="CT227" i="19" s="1"/>
  <c r="CT269" i="19" s="1"/>
  <c r="CT311" i="19" s="1"/>
  <c r="CT353" i="19" s="1"/>
  <c r="CT395" i="19" s="1"/>
  <c r="CT437" i="19" s="1"/>
  <c r="CT479" i="19" s="1"/>
  <c r="CT521" i="19" s="1"/>
  <c r="CT563" i="19" s="1"/>
  <c r="CT605" i="19" s="1"/>
  <c r="CT58" i="19"/>
  <c r="CT100" i="19" s="1"/>
  <c r="CT142" i="19" s="1"/>
  <c r="CT184" i="19" s="1"/>
  <c r="CT226" i="19" s="1"/>
  <c r="CT268" i="19" s="1"/>
  <c r="CT310" i="19" s="1"/>
  <c r="CT352" i="19" s="1"/>
  <c r="CT394" i="19" s="1"/>
  <c r="CT436" i="19" s="1"/>
  <c r="CT478" i="19" s="1"/>
  <c r="CT520" i="19" s="1"/>
  <c r="CT562" i="19" s="1"/>
  <c r="CT604" i="19" s="1"/>
  <c r="CT57" i="19"/>
  <c r="CT99" i="19" s="1"/>
  <c r="CT141" i="19" s="1"/>
  <c r="CT183" i="19" s="1"/>
  <c r="CT225" i="19" s="1"/>
  <c r="CT267" i="19" s="1"/>
  <c r="CT309" i="19" s="1"/>
  <c r="CT351" i="19" s="1"/>
  <c r="CT393" i="19" s="1"/>
  <c r="CT435" i="19" s="1"/>
  <c r="CT477" i="19" s="1"/>
  <c r="CT519" i="19" s="1"/>
  <c r="CT561" i="19" s="1"/>
  <c r="CT603" i="19" s="1"/>
  <c r="CT56" i="19"/>
  <c r="CT98" i="19" s="1"/>
  <c r="CT140" i="19" s="1"/>
  <c r="CT182" i="19" s="1"/>
  <c r="CT224" i="19" s="1"/>
  <c r="CT266" i="19" s="1"/>
  <c r="CT308" i="19" s="1"/>
  <c r="CT350" i="19" s="1"/>
  <c r="CT392" i="19" s="1"/>
  <c r="CT434" i="19" s="1"/>
  <c r="CT476" i="19" s="1"/>
  <c r="CT518" i="19" s="1"/>
  <c r="CT560" i="19" s="1"/>
  <c r="CT602" i="19" s="1"/>
  <c r="CT55" i="19"/>
  <c r="CT97" i="19" s="1"/>
  <c r="CT139" i="19" s="1"/>
  <c r="CT181" i="19" s="1"/>
  <c r="CT223" i="19" s="1"/>
  <c r="CT265" i="19" s="1"/>
  <c r="CT307" i="19" s="1"/>
  <c r="CT349" i="19" s="1"/>
  <c r="CT391" i="19" s="1"/>
  <c r="CT433" i="19" s="1"/>
  <c r="CT475" i="19" s="1"/>
  <c r="CT517" i="19" s="1"/>
  <c r="CT559" i="19" s="1"/>
  <c r="CT601" i="19" s="1"/>
  <c r="CT54" i="19"/>
  <c r="CT96" i="19" s="1"/>
  <c r="CT138" i="19" s="1"/>
  <c r="CT180" i="19" s="1"/>
  <c r="CT222" i="19" s="1"/>
  <c r="CT264" i="19" s="1"/>
  <c r="CT306" i="19" s="1"/>
  <c r="CT348" i="19" s="1"/>
  <c r="CT390" i="19" s="1"/>
  <c r="CT432" i="19" s="1"/>
  <c r="CT474" i="19" s="1"/>
  <c r="CT516" i="19" s="1"/>
  <c r="CT558" i="19" s="1"/>
  <c r="CT600" i="19" s="1"/>
  <c r="CT53" i="19"/>
  <c r="CT95" i="19" s="1"/>
  <c r="CT137" i="19" s="1"/>
  <c r="CT179" i="19" s="1"/>
  <c r="CT221" i="19" s="1"/>
  <c r="CT263" i="19" s="1"/>
  <c r="CT305" i="19" s="1"/>
  <c r="CT347" i="19" s="1"/>
  <c r="CT389" i="19" s="1"/>
  <c r="CT431" i="19" s="1"/>
  <c r="CT473" i="19" s="1"/>
  <c r="CT515" i="19" s="1"/>
  <c r="CT557" i="19" s="1"/>
  <c r="CT599" i="19" s="1"/>
  <c r="CT52" i="19"/>
  <c r="CT94" i="19" s="1"/>
  <c r="CT136" i="19" s="1"/>
  <c r="CT178" i="19" s="1"/>
  <c r="CT220" i="19" s="1"/>
  <c r="CT262" i="19" s="1"/>
  <c r="CT304" i="19" s="1"/>
  <c r="CT346" i="19" s="1"/>
  <c r="CT388" i="19" s="1"/>
  <c r="CT430" i="19" s="1"/>
  <c r="CT472" i="19" s="1"/>
  <c r="CT514" i="19" s="1"/>
  <c r="CT556" i="19" s="1"/>
  <c r="CT598" i="19" s="1"/>
  <c r="CT51" i="19"/>
  <c r="CT93" i="19" s="1"/>
  <c r="CT135" i="19" s="1"/>
  <c r="CT177" i="19" s="1"/>
  <c r="CT219" i="19" s="1"/>
  <c r="CT261" i="19" s="1"/>
  <c r="CT303" i="19" s="1"/>
  <c r="CT345" i="19" s="1"/>
  <c r="CT387" i="19" s="1"/>
  <c r="CT429" i="19" s="1"/>
  <c r="CT471" i="19" s="1"/>
  <c r="CT513" i="19" s="1"/>
  <c r="CT555" i="19" s="1"/>
  <c r="CT597" i="19" s="1"/>
  <c r="CT50" i="19"/>
  <c r="CT92" i="19" s="1"/>
  <c r="CT134" i="19" s="1"/>
  <c r="CT176" i="19" s="1"/>
  <c r="CT218" i="19" s="1"/>
  <c r="CT260" i="19" s="1"/>
  <c r="CT302" i="19" s="1"/>
  <c r="CT344" i="19" s="1"/>
  <c r="CT386" i="19" s="1"/>
  <c r="CT428" i="19" s="1"/>
  <c r="CT470" i="19" s="1"/>
  <c r="CT512" i="19" s="1"/>
  <c r="CT554" i="19" s="1"/>
  <c r="CT596" i="19" s="1"/>
  <c r="CT49" i="19"/>
  <c r="CT91" i="19" s="1"/>
  <c r="CT133" i="19" s="1"/>
  <c r="CT175" i="19" s="1"/>
  <c r="CT217" i="19" s="1"/>
  <c r="CT259" i="19" s="1"/>
  <c r="CT301" i="19" s="1"/>
  <c r="CT343" i="19" s="1"/>
  <c r="CT385" i="19" s="1"/>
  <c r="CT427" i="19" s="1"/>
  <c r="CT469" i="19" s="1"/>
  <c r="CT511" i="19" s="1"/>
  <c r="CT553" i="19" s="1"/>
  <c r="CT595" i="19" s="1"/>
  <c r="CT48" i="19"/>
  <c r="CT90" i="19" s="1"/>
  <c r="CT132" i="19" s="1"/>
  <c r="CT174" i="19" s="1"/>
  <c r="CT216" i="19" s="1"/>
  <c r="CT258" i="19" s="1"/>
  <c r="CT300" i="19" s="1"/>
  <c r="CT342" i="19" s="1"/>
  <c r="CT384" i="19" s="1"/>
  <c r="CT426" i="19" s="1"/>
  <c r="CT468" i="19" s="1"/>
  <c r="CT510" i="19" s="1"/>
  <c r="CT552" i="19" s="1"/>
  <c r="CT594" i="19" s="1"/>
  <c r="CT47" i="19"/>
  <c r="CT89" i="19" s="1"/>
  <c r="CT131" i="19" s="1"/>
  <c r="CT173" i="19" s="1"/>
  <c r="CT215" i="19" s="1"/>
  <c r="CT257" i="19" s="1"/>
  <c r="CT299" i="19" s="1"/>
  <c r="CT341" i="19" s="1"/>
  <c r="CT383" i="19" s="1"/>
  <c r="CT425" i="19" s="1"/>
  <c r="CT467" i="19" s="1"/>
  <c r="CT509" i="19" s="1"/>
  <c r="CT551" i="19" s="1"/>
  <c r="CT593" i="19" s="1"/>
  <c r="CT46" i="19"/>
  <c r="CT88" i="19" s="1"/>
  <c r="CT130" i="19" s="1"/>
  <c r="CT172" i="19" s="1"/>
  <c r="CT214" i="19" s="1"/>
  <c r="CT256" i="19" s="1"/>
  <c r="CT298" i="19" s="1"/>
  <c r="CT340" i="19" s="1"/>
  <c r="CT382" i="19" s="1"/>
  <c r="CT424" i="19" s="1"/>
  <c r="CT466" i="19" s="1"/>
  <c r="CT508" i="19" s="1"/>
  <c r="CT550" i="19" s="1"/>
  <c r="CT592" i="19" s="1"/>
  <c r="BZ73" i="19" l="1"/>
  <c r="BZ75" i="19"/>
  <c r="BZ77" i="19"/>
  <c r="BZ79" i="19"/>
  <c r="BZ81" i="19"/>
  <c r="BZ83" i="19"/>
  <c r="BZ85" i="19"/>
  <c r="BZ87" i="19"/>
  <c r="BZ89" i="19"/>
  <c r="BZ91" i="19"/>
  <c r="BZ93" i="19"/>
  <c r="BZ95" i="19"/>
  <c r="BZ97" i="19"/>
  <c r="BZ99" i="19"/>
  <c r="BZ101" i="19"/>
  <c r="BZ103" i="19"/>
  <c r="BZ105" i="19"/>
  <c r="BZ107" i="19"/>
  <c r="BZ109" i="19"/>
  <c r="BZ111" i="19"/>
  <c r="BZ113" i="19"/>
  <c r="BZ115" i="19"/>
  <c r="BZ117" i="19"/>
  <c r="CU356" i="19"/>
  <c r="CU360" i="19"/>
  <c r="CU312" i="19"/>
  <c r="CU179" i="19"/>
  <c r="CU191" i="19"/>
  <c r="CU174" i="19"/>
  <c r="CU176" i="19"/>
  <c r="CU178" i="19"/>
  <c r="CU180" i="19"/>
  <c r="CU184" i="19"/>
  <c r="CU173" i="19"/>
  <c r="CU177" i="19"/>
  <c r="CU185" i="19"/>
  <c r="CU203" i="19"/>
  <c r="CU229" i="19"/>
  <c r="CU271" i="19" s="1"/>
  <c r="CU313" i="19" s="1"/>
  <c r="CU355" i="19" s="1"/>
  <c r="CU397" i="19" s="1"/>
  <c r="CU175" i="19"/>
  <c r="CU183" i="19"/>
  <c r="CU195" i="19"/>
  <c r="CU199" i="19"/>
  <c r="CU207" i="19"/>
  <c r="CU211" i="19"/>
  <c r="CU181" i="19"/>
  <c r="CU182" i="19"/>
  <c r="CU238" i="19"/>
  <c r="CU280" i="19" s="1"/>
  <c r="CU322" i="19" s="1"/>
  <c r="CU364" i="19" s="1"/>
  <c r="CU242" i="19"/>
  <c r="CU284" i="19" s="1"/>
  <c r="CU326" i="19" s="1"/>
  <c r="CU368" i="19" s="1"/>
  <c r="CU246" i="19"/>
  <c r="CU288" i="19" s="1"/>
  <c r="CU330" i="19" s="1"/>
  <c r="CU372" i="19" s="1"/>
  <c r="CU197" i="19"/>
  <c r="CU205" i="19"/>
  <c r="CU213" i="19"/>
  <c r="CU250" i="19"/>
  <c r="CU292" i="19" s="1"/>
  <c r="CU334" i="19" s="1"/>
  <c r="CU376" i="19" s="1"/>
  <c r="CU254" i="19"/>
  <c r="CU296" i="19" s="1"/>
  <c r="CU338" i="19" s="1"/>
  <c r="CU380" i="19" s="1"/>
  <c r="CU189" i="19"/>
  <c r="CU232" i="19"/>
  <c r="CU274" i="19" s="1"/>
  <c r="CU316" i="19" s="1"/>
  <c r="CU236" i="19"/>
  <c r="CU278" i="19" s="1"/>
  <c r="CU320" i="19" s="1"/>
  <c r="CU240" i="19"/>
  <c r="CU282" i="19" s="1"/>
  <c r="CU324" i="19" s="1"/>
  <c r="CU244" i="19"/>
  <c r="CU286" i="19" s="1"/>
  <c r="CU328" i="19" s="1"/>
  <c r="CU248" i="19"/>
  <c r="CU290" i="19" s="1"/>
  <c r="CU332" i="19" s="1"/>
  <c r="CU252" i="19"/>
  <c r="CU294" i="19" s="1"/>
  <c r="CU336" i="19" s="1"/>
  <c r="CU378" i="19" s="1"/>
  <c r="CU420" i="19" s="1"/>
  <c r="CU462" i="19" s="1"/>
  <c r="CU256" i="19"/>
  <c r="CU298" i="19" s="1"/>
  <c r="CU340" i="19" s="1"/>
  <c r="CU382" i="19" s="1"/>
  <c r="CU424" i="19" s="1"/>
  <c r="CU193" i="19"/>
  <c r="CU201" i="19"/>
  <c r="CU209" i="19"/>
  <c r="C8" i="21"/>
  <c r="C81" i="21"/>
  <c r="C76" i="21"/>
  <c r="C69" i="21"/>
  <c r="C58" i="21"/>
  <c r="C39" i="21"/>
  <c r="B2" i="21"/>
  <c r="BZ134" i="19" l="1"/>
  <c r="BZ126" i="19"/>
  <c r="BZ118" i="19"/>
  <c r="BZ110" i="19"/>
  <c r="BZ102" i="19"/>
  <c r="BZ140" i="19"/>
  <c r="BZ132" i="19"/>
  <c r="BZ124" i="19"/>
  <c r="BZ116" i="19"/>
  <c r="BZ108" i="19"/>
  <c r="BZ100" i="19"/>
  <c r="BZ138" i="19"/>
  <c r="BZ130" i="19"/>
  <c r="BZ122" i="19"/>
  <c r="BZ114" i="19"/>
  <c r="BZ106" i="19"/>
  <c r="BZ98" i="19"/>
  <c r="BZ136" i="19"/>
  <c r="BZ128" i="19"/>
  <c r="BZ120" i="19"/>
  <c r="BZ112" i="19"/>
  <c r="BZ104" i="19"/>
  <c r="BZ96" i="19"/>
  <c r="CU504" i="19"/>
  <c r="CU546" i="19" s="1"/>
  <c r="CU588" i="19" s="1"/>
  <c r="CU630" i="19" s="1"/>
  <c r="CU466" i="19"/>
  <c r="CU362" i="19"/>
  <c r="CU422" i="19"/>
  <c r="CU414" i="19"/>
  <c r="CU406" i="19"/>
  <c r="CU398" i="19"/>
  <c r="CU374" i="19"/>
  <c r="CU439" i="19"/>
  <c r="CU358" i="19"/>
  <c r="CU370" i="19"/>
  <c r="CU354" i="19"/>
  <c r="CU418" i="19"/>
  <c r="CU410" i="19"/>
  <c r="CU402" i="19"/>
  <c r="CU366" i="19"/>
  <c r="CU224" i="19"/>
  <c r="CU266" i="19" s="1"/>
  <c r="CU308" i="19" s="1"/>
  <c r="CU350" i="19" s="1"/>
  <c r="CU225" i="19"/>
  <c r="CU267" i="19" s="1"/>
  <c r="CU309" i="19" s="1"/>
  <c r="CU351" i="19" s="1"/>
  <c r="CU393" i="19" s="1"/>
  <c r="CU435" i="19" s="1"/>
  <c r="CU235" i="19"/>
  <c r="CU277" i="19" s="1"/>
  <c r="CU319" i="19" s="1"/>
  <c r="CU361" i="19" s="1"/>
  <c r="CU403" i="19" s="1"/>
  <c r="CU239" i="19"/>
  <c r="CU281" i="19" s="1"/>
  <c r="CU323" i="19" s="1"/>
  <c r="CU365" i="19" s="1"/>
  <c r="CU407" i="19" s="1"/>
  <c r="CU219" i="19"/>
  <c r="CU221" i="19"/>
  <c r="CU243" i="19"/>
  <c r="CU285" i="19" s="1"/>
  <c r="CU327" i="19" s="1"/>
  <c r="CU369" i="19" s="1"/>
  <c r="CU411" i="19" s="1"/>
  <c r="CU223" i="19"/>
  <c r="CU265" i="19" s="1"/>
  <c r="CU307" i="19" s="1"/>
  <c r="CU349" i="19" s="1"/>
  <c r="CU391" i="19" s="1"/>
  <c r="CU249" i="19"/>
  <c r="CU291" i="19" s="1"/>
  <c r="CU333" i="19" s="1"/>
  <c r="CU375" i="19" s="1"/>
  <c r="CU417" i="19" s="1"/>
  <c r="CU217" i="19"/>
  <c r="CU245" i="19"/>
  <c r="CU287" i="19" s="1"/>
  <c r="CU329" i="19" s="1"/>
  <c r="CU371" i="19" s="1"/>
  <c r="CU413" i="19" s="1"/>
  <c r="CU455" i="19" s="1"/>
  <c r="CU226" i="19"/>
  <c r="CU268" i="19" s="1"/>
  <c r="CU310" i="19" s="1"/>
  <c r="CU352" i="19" s="1"/>
  <c r="CU394" i="19" s="1"/>
  <c r="CU220" i="19"/>
  <c r="CU216" i="19"/>
  <c r="CU247" i="19"/>
  <c r="CU289" i="19" s="1"/>
  <c r="CU331" i="19" s="1"/>
  <c r="CU373" i="19" s="1"/>
  <c r="CU415" i="19" s="1"/>
  <c r="CU237" i="19"/>
  <c r="CU279" i="19" s="1"/>
  <c r="CU321" i="19" s="1"/>
  <c r="CU363" i="19" s="1"/>
  <c r="CU405" i="19" s="1"/>
  <c r="CU447" i="19" s="1"/>
  <c r="CU251" i="19"/>
  <c r="CU293" i="19" s="1"/>
  <c r="CU335" i="19" s="1"/>
  <c r="CU377" i="19" s="1"/>
  <c r="CU231" i="19"/>
  <c r="CU273" i="19" s="1"/>
  <c r="CU315" i="19" s="1"/>
  <c r="CU357" i="19" s="1"/>
  <c r="CU399" i="19" s="1"/>
  <c r="CU255" i="19"/>
  <c r="CU297" i="19" s="1"/>
  <c r="CU339" i="19" s="1"/>
  <c r="CU381" i="19" s="1"/>
  <c r="CU423" i="19" s="1"/>
  <c r="CU227" i="19"/>
  <c r="CU269" i="19" s="1"/>
  <c r="CU311" i="19" s="1"/>
  <c r="CU353" i="19" s="1"/>
  <c r="CU395" i="19" s="1"/>
  <c r="CU253" i="19"/>
  <c r="CU295" i="19" s="1"/>
  <c r="CU337" i="19" s="1"/>
  <c r="CU379" i="19" s="1"/>
  <c r="CU421" i="19" s="1"/>
  <c r="CU463" i="19" s="1"/>
  <c r="CU241" i="19"/>
  <c r="CU283" i="19" s="1"/>
  <c r="CU325" i="19" s="1"/>
  <c r="CU367" i="19" s="1"/>
  <c r="CU409" i="19" s="1"/>
  <c r="CU451" i="19" s="1"/>
  <c r="CU215" i="19"/>
  <c r="CU222" i="19"/>
  <c r="CU218" i="19"/>
  <c r="CU233" i="19"/>
  <c r="CU275" i="19" s="1"/>
  <c r="CU317" i="19" s="1"/>
  <c r="CU359" i="19" s="1"/>
  <c r="CU401" i="19" s="1"/>
  <c r="CU443" i="19" s="1"/>
  <c r="BU5" i="19"/>
  <c r="BU6" i="19" s="1"/>
  <c r="BU7" i="19" s="1"/>
  <c r="BU8" i="19" s="1"/>
  <c r="BU9" i="19" s="1"/>
  <c r="BU10" i="19" s="1"/>
  <c r="BU11" i="19" s="1"/>
  <c r="BU12" i="19" s="1"/>
  <c r="BU13" i="19" s="1"/>
  <c r="BU14" i="19" s="1"/>
  <c r="BU15" i="19" s="1"/>
  <c r="BU16" i="19" s="1"/>
  <c r="BU17" i="19" s="1"/>
  <c r="BU18" i="19" s="1"/>
  <c r="BU19" i="19" s="1"/>
  <c r="BU20" i="19" s="1"/>
  <c r="BU21" i="19" s="1"/>
  <c r="BU22" i="19" s="1"/>
  <c r="BU23" i="19" s="1"/>
  <c r="BU24" i="19" s="1"/>
  <c r="BU25" i="19" s="1"/>
  <c r="BU26" i="19" s="1"/>
  <c r="BU27" i="19" s="1"/>
  <c r="BU28" i="19" s="1"/>
  <c r="BU29" i="19" s="1"/>
  <c r="BU30" i="19" s="1"/>
  <c r="BU31" i="19" s="1"/>
  <c r="BU32" i="19" s="1"/>
  <c r="BU33" i="19" s="1"/>
  <c r="BU34" i="19" s="1"/>
  <c r="BU35" i="19" s="1"/>
  <c r="BU36" i="19" s="1"/>
  <c r="BU37" i="19" s="1"/>
  <c r="BU38" i="19" s="1"/>
  <c r="BU39" i="19" s="1"/>
  <c r="BU40" i="19" s="1"/>
  <c r="BU41" i="19" s="1"/>
  <c r="BU42" i="19" s="1"/>
  <c r="BU43" i="19" s="1"/>
  <c r="BU44" i="19" s="1"/>
  <c r="BU45" i="19" s="1"/>
  <c r="BU46" i="19" s="1"/>
  <c r="BU47" i="19" s="1"/>
  <c r="BU48" i="19" s="1"/>
  <c r="BU49" i="19" s="1"/>
  <c r="BU50" i="19" s="1"/>
  <c r="BU51" i="19" s="1"/>
  <c r="BU52" i="19" s="1"/>
  <c r="BU53" i="19" s="1"/>
  <c r="BU54" i="19" s="1"/>
  <c r="BU55" i="19" s="1"/>
  <c r="BU56" i="19" s="1"/>
  <c r="BU57" i="19" s="1"/>
  <c r="BU58" i="19" s="1"/>
  <c r="BU59" i="19" s="1"/>
  <c r="BU60" i="19" s="1"/>
  <c r="BU61" i="19" s="1"/>
  <c r="BU62" i="19" s="1"/>
  <c r="BU63" i="19" s="1"/>
  <c r="BU64" i="19" s="1"/>
  <c r="BU65" i="19" s="1"/>
  <c r="BU66" i="19" s="1"/>
  <c r="BU67" i="19" s="1"/>
  <c r="BU68" i="19" s="1"/>
  <c r="BU69" i="19" s="1"/>
  <c r="BU70" i="19" s="1"/>
  <c r="BU71" i="19" s="1"/>
  <c r="BU72" i="19" s="1"/>
  <c r="BU73" i="19" s="1"/>
  <c r="BU74" i="19" s="1"/>
  <c r="BU75" i="19" s="1"/>
  <c r="BU76" i="19" s="1"/>
  <c r="BU77" i="19" s="1"/>
  <c r="BU78" i="19" s="1"/>
  <c r="BU79" i="19" s="1"/>
  <c r="BU80" i="19" s="1"/>
  <c r="BU81" i="19" s="1"/>
  <c r="BU82" i="19" s="1"/>
  <c r="BU83" i="19" s="1"/>
  <c r="BU84" i="19" s="1"/>
  <c r="BU85" i="19" s="1"/>
  <c r="BU86" i="19" s="1"/>
  <c r="BU87" i="19" s="1"/>
  <c r="BU88" i="19" s="1"/>
  <c r="BU89" i="19" s="1"/>
  <c r="BU90" i="19" s="1"/>
  <c r="BU91" i="19" s="1"/>
  <c r="BU92" i="19" s="1"/>
  <c r="BU93" i="19" s="1"/>
  <c r="BU94" i="19" s="1"/>
  <c r="BU95" i="19" s="1"/>
  <c r="BU96" i="19" s="1"/>
  <c r="BU97" i="19" s="1"/>
  <c r="BU98" i="19" s="1"/>
  <c r="BU99" i="19" s="1"/>
  <c r="BU100" i="19" s="1"/>
  <c r="BU101" i="19" s="1"/>
  <c r="BU102" i="19" s="1"/>
  <c r="BU103" i="19" s="1"/>
  <c r="BU104" i="19" s="1"/>
  <c r="BU105" i="19" s="1"/>
  <c r="BU106" i="19" s="1"/>
  <c r="BU107" i="19" s="1"/>
  <c r="BU108" i="19" s="1"/>
  <c r="BU109" i="19" s="1"/>
  <c r="BU110" i="19" s="1"/>
  <c r="BU111" i="19" s="1"/>
  <c r="BU112" i="19" s="1"/>
  <c r="BU113" i="19" s="1"/>
  <c r="BU114" i="19" s="1"/>
  <c r="BU115" i="19" s="1"/>
  <c r="BU116" i="19" s="1"/>
  <c r="BU117" i="19" s="1"/>
  <c r="BU118" i="19" s="1"/>
  <c r="BU119" i="19" s="1"/>
  <c r="BU120" i="19" s="1"/>
  <c r="BU121" i="19" s="1"/>
  <c r="BU122" i="19" s="1"/>
  <c r="BU123" i="19" s="1"/>
  <c r="BU124" i="19" s="1"/>
  <c r="BU125" i="19" s="1"/>
  <c r="BU126" i="19" s="1"/>
  <c r="BU127" i="19" s="1"/>
  <c r="BU128" i="19" s="1"/>
  <c r="BU129" i="19" s="1"/>
  <c r="BU130" i="19" s="1"/>
  <c r="BU131" i="19" s="1"/>
  <c r="BU132" i="19" s="1"/>
  <c r="BU133" i="19" s="1"/>
  <c r="BU134" i="19" s="1"/>
  <c r="BU135" i="19" s="1"/>
  <c r="BU136" i="19" s="1"/>
  <c r="BU137" i="19" s="1"/>
  <c r="BU138" i="19" s="1"/>
  <c r="BU139" i="19" s="1"/>
  <c r="BU140" i="19" s="1"/>
  <c r="BU141" i="19" s="1"/>
  <c r="BU142" i="19" s="1"/>
  <c r="BU143" i="19" s="1"/>
  <c r="BU144" i="19" s="1"/>
  <c r="BU145" i="19" s="1"/>
  <c r="BU146" i="19" s="1"/>
  <c r="BU147" i="19" s="1"/>
  <c r="BU148" i="19" s="1"/>
  <c r="BU149" i="19" s="1"/>
  <c r="BU150" i="19" s="1"/>
  <c r="BU151" i="19" s="1"/>
  <c r="BU152" i="19" s="1"/>
  <c r="BU153" i="19" s="1"/>
  <c r="BU154" i="19" s="1"/>
  <c r="BU155" i="19" s="1"/>
  <c r="BU156" i="19" s="1"/>
  <c r="BU157" i="19" s="1"/>
  <c r="BU158" i="19" s="1"/>
  <c r="BU159" i="19" s="1"/>
  <c r="BU160" i="19" s="1"/>
  <c r="BU161" i="19" s="1"/>
  <c r="BU162" i="19" s="1"/>
  <c r="BU163" i="19" s="1"/>
  <c r="BU164" i="19" s="1"/>
  <c r="BU165" i="19" s="1"/>
  <c r="BU166" i="19" s="1"/>
  <c r="BU167" i="19" s="1"/>
  <c r="BU168" i="19" s="1"/>
  <c r="BU169" i="19" s="1"/>
  <c r="BU170" i="19" s="1"/>
  <c r="BU171" i="19" s="1"/>
  <c r="BU172" i="19" s="1"/>
  <c r="BU173" i="19" s="1"/>
  <c r="BU174" i="19" s="1"/>
  <c r="BU175" i="19" s="1"/>
  <c r="BU176" i="19" s="1"/>
  <c r="BU177" i="19" s="1"/>
  <c r="BU178" i="19" s="1"/>
  <c r="BU179" i="19" s="1"/>
  <c r="BU180" i="19" s="1"/>
  <c r="BU181" i="19" s="1"/>
  <c r="BU182" i="19" s="1"/>
  <c r="BU183" i="19" s="1"/>
  <c r="BU184" i="19" s="1"/>
  <c r="BU185" i="19" s="1"/>
  <c r="BU186" i="19" s="1"/>
  <c r="BU187" i="19" s="1"/>
  <c r="BU188" i="19" s="1"/>
  <c r="BU189" i="19" s="1"/>
  <c r="BU190" i="19" s="1"/>
  <c r="BU191" i="19" s="1"/>
  <c r="BU192" i="19" s="1"/>
  <c r="BU193" i="19" s="1"/>
  <c r="BU194" i="19" s="1"/>
  <c r="BU195" i="19" s="1"/>
  <c r="BU196" i="19" s="1"/>
  <c r="BU197" i="19" s="1"/>
  <c r="BU198" i="19" s="1"/>
  <c r="BU199" i="19" s="1"/>
  <c r="BU200" i="19" s="1"/>
  <c r="BU201" i="19" s="1"/>
  <c r="BU202" i="19" s="1"/>
  <c r="BU203" i="19" s="1"/>
  <c r="BU204" i="19" s="1"/>
  <c r="BU205" i="19" s="1"/>
  <c r="BU206" i="19" s="1"/>
  <c r="BU207" i="19" s="1"/>
  <c r="BU208" i="19" s="1"/>
  <c r="BU209" i="19" s="1"/>
  <c r="BU210" i="19" s="1"/>
  <c r="BU211" i="19" s="1"/>
  <c r="BU212" i="19" s="1"/>
  <c r="BU213" i="19" s="1"/>
  <c r="BU214" i="19" s="1"/>
  <c r="BU215" i="19" s="1"/>
  <c r="BU216" i="19" s="1"/>
  <c r="BU217" i="19" s="1"/>
  <c r="BU218" i="19" s="1"/>
  <c r="BU219" i="19" s="1"/>
  <c r="BU220" i="19" s="1"/>
  <c r="BU221" i="19" s="1"/>
  <c r="BU222" i="19" s="1"/>
  <c r="BU223" i="19" s="1"/>
  <c r="BU224" i="19" s="1"/>
  <c r="BU225" i="19" s="1"/>
  <c r="BU226" i="19" s="1"/>
  <c r="BU227" i="19" s="1"/>
  <c r="BU228" i="19" s="1"/>
  <c r="BU229" i="19" s="1"/>
  <c r="BU230" i="19" s="1"/>
  <c r="BU231" i="19" s="1"/>
  <c r="BU232" i="19" s="1"/>
  <c r="BU233" i="19" s="1"/>
  <c r="BU234" i="19" s="1"/>
  <c r="BU235" i="19" s="1"/>
  <c r="BU236" i="19" s="1"/>
  <c r="BU237" i="19" s="1"/>
  <c r="BU238" i="19" s="1"/>
  <c r="BU239" i="19" s="1"/>
  <c r="BU240" i="19" s="1"/>
  <c r="BU241" i="19" s="1"/>
  <c r="BU242" i="19" s="1"/>
  <c r="BU243" i="19" s="1"/>
  <c r="BU244" i="19" s="1"/>
  <c r="BU245" i="19" s="1"/>
  <c r="BU246" i="19" s="1"/>
  <c r="BU247" i="19" s="1"/>
  <c r="BU248" i="19" s="1"/>
  <c r="BU249" i="19" s="1"/>
  <c r="BU250" i="19" s="1"/>
  <c r="BU251" i="19" s="1"/>
  <c r="BU252" i="19" s="1"/>
  <c r="BU253" i="19" s="1"/>
  <c r="BU254" i="19" s="1"/>
  <c r="BU255" i="19" s="1"/>
  <c r="BU256" i="19" s="1"/>
  <c r="BU257" i="19" s="1"/>
  <c r="BU258" i="19" s="1"/>
  <c r="BU259" i="19" s="1"/>
  <c r="BU260" i="19" s="1"/>
  <c r="BU261" i="19" s="1"/>
  <c r="BU262" i="19" s="1"/>
  <c r="BU263" i="19" s="1"/>
  <c r="BU264" i="19" s="1"/>
  <c r="BU265" i="19" s="1"/>
  <c r="BU266" i="19" s="1"/>
  <c r="BU267" i="19" s="1"/>
  <c r="BU268" i="19" s="1"/>
  <c r="BU269" i="19" s="1"/>
  <c r="BU270" i="19" s="1"/>
  <c r="BU271" i="19" s="1"/>
  <c r="BU272" i="19" s="1"/>
  <c r="BU273" i="19" s="1"/>
  <c r="BU274" i="19" s="1"/>
  <c r="BU275" i="19" s="1"/>
  <c r="BU276" i="19" s="1"/>
  <c r="BU277" i="19" s="1"/>
  <c r="BU278" i="19" s="1"/>
  <c r="BU279" i="19" s="1"/>
  <c r="BU280" i="19" s="1"/>
  <c r="BU281" i="19" s="1"/>
  <c r="BU282" i="19" s="1"/>
  <c r="BU283" i="19" s="1"/>
  <c r="BU284" i="19" s="1"/>
  <c r="BU285" i="19" s="1"/>
  <c r="BU286" i="19" s="1"/>
  <c r="BU287" i="19" s="1"/>
  <c r="BU288" i="19" s="1"/>
  <c r="BU289" i="19" s="1"/>
  <c r="BU290" i="19" s="1"/>
  <c r="BU291" i="19" s="1"/>
  <c r="BU292" i="19" s="1"/>
  <c r="BU293" i="19" s="1"/>
  <c r="BU294" i="19" s="1"/>
  <c r="BU295" i="19" s="1"/>
  <c r="BU296" i="19" s="1"/>
  <c r="BU297" i="19" s="1"/>
  <c r="BU298" i="19" s="1"/>
  <c r="BU299" i="19" s="1"/>
  <c r="BU300" i="19" s="1"/>
  <c r="BU301" i="19" s="1"/>
  <c r="BU302" i="19" s="1"/>
  <c r="BU303" i="19" s="1"/>
  <c r="BU304" i="19" s="1"/>
  <c r="BU305" i="19" s="1"/>
  <c r="BU306" i="19" s="1"/>
  <c r="BU307" i="19" s="1"/>
  <c r="BU308" i="19" s="1"/>
  <c r="BU309" i="19" s="1"/>
  <c r="BU310" i="19" s="1"/>
  <c r="BU311" i="19" s="1"/>
  <c r="BU312" i="19" s="1"/>
  <c r="BU313" i="19" s="1"/>
  <c r="BU314" i="19" s="1"/>
  <c r="BU315" i="19" s="1"/>
  <c r="BU316" i="19" s="1"/>
  <c r="BU317" i="19" s="1"/>
  <c r="BU318" i="19" s="1"/>
  <c r="BU319" i="19" s="1"/>
  <c r="BU320" i="19" s="1"/>
  <c r="BU321" i="19" s="1"/>
  <c r="BU322" i="19" s="1"/>
  <c r="BU323" i="19" s="1"/>
  <c r="BU324" i="19" s="1"/>
  <c r="BU325" i="19" s="1"/>
  <c r="BU326" i="19" s="1"/>
  <c r="BU327" i="19" s="1"/>
  <c r="BU328" i="19" s="1"/>
  <c r="BU329" i="19" s="1"/>
  <c r="BU330" i="19" s="1"/>
  <c r="BU331" i="19" s="1"/>
  <c r="BU332" i="19" s="1"/>
  <c r="BU333" i="19" s="1"/>
  <c r="BU334" i="19" s="1"/>
  <c r="BU335" i="19" s="1"/>
  <c r="BU336" i="19" s="1"/>
  <c r="BU337" i="19" s="1"/>
  <c r="BU338" i="19" s="1"/>
  <c r="BU339" i="19" s="1"/>
  <c r="BU340" i="19" s="1"/>
  <c r="BU341" i="19" s="1"/>
  <c r="BU342" i="19" s="1"/>
  <c r="BU343" i="19" s="1"/>
  <c r="BU344" i="19" s="1"/>
  <c r="BU345" i="19" s="1"/>
  <c r="BU346" i="19" s="1"/>
  <c r="BU347" i="19" s="1"/>
  <c r="BU348" i="19" s="1"/>
  <c r="BU349" i="19" s="1"/>
  <c r="BU350" i="19" s="1"/>
  <c r="BU351" i="19" s="1"/>
  <c r="BU352" i="19" s="1"/>
  <c r="BU353" i="19" s="1"/>
  <c r="BU354" i="19" s="1"/>
  <c r="BU355" i="19" s="1"/>
  <c r="BU356" i="19" s="1"/>
  <c r="BU357" i="19" s="1"/>
  <c r="BU358" i="19" s="1"/>
  <c r="BU359" i="19" s="1"/>
  <c r="BU360" i="19" s="1"/>
  <c r="BU361" i="19" s="1"/>
  <c r="BU362" i="19" s="1"/>
  <c r="BU363" i="19" s="1"/>
  <c r="BU364" i="19" s="1"/>
  <c r="BU365" i="19" s="1"/>
  <c r="BU366" i="19" s="1"/>
  <c r="BU367" i="19" s="1"/>
  <c r="BU368" i="19" s="1"/>
  <c r="BU369" i="19" s="1"/>
  <c r="BU370" i="19" s="1"/>
  <c r="BU371" i="19" s="1"/>
  <c r="BU372" i="19" s="1"/>
  <c r="BU373" i="19" s="1"/>
  <c r="BU374" i="19" s="1"/>
  <c r="BU375" i="19" s="1"/>
  <c r="BU376" i="19" s="1"/>
  <c r="BU377" i="19" s="1"/>
  <c r="BU378" i="19" s="1"/>
  <c r="BU379" i="19" s="1"/>
  <c r="BU380" i="19" s="1"/>
  <c r="BU381" i="19" s="1"/>
  <c r="BU382" i="19" s="1"/>
  <c r="BU383" i="19" s="1"/>
  <c r="BU384" i="19" s="1"/>
  <c r="BU385" i="19" s="1"/>
  <c r="BU386" i="19" s="1"/>
  <c r="BU387" i="19" s="1"/>
  <c r="BU388" i="19" s="1"/>
  <c r="BU389" i="19" s="1"/>
  <c r="BU390" i="19" s="1"/>
  <c r="BU391" i="19" s="1"/>
  <c r="BU392" i="19" s="1"/>
  <c r="BU393" i="19" s="1"/>
  <c r="BU394" i="19" s="1"/>
  <c r="BU395" i="19" s="1"/>
  <c r="BU396" i="19" s="1"/>
  <c r="BU397" i="19" s="1"/>
  <c r="BU398" i="19" s="1"/>
  <c r="BU399" i="19" s="1"/>
  <c r="BU400" i="19" s="1"/>
  <c r="BU401" i="19" s="1"/>
  <c r="BU402" i="19" s="1"/>
  <c r="BU403" i="19" s="1"/>
  <c r="BU404" i="19" s="1"/>
  <c r="BU405" i="19" s="1"/>
  <c r="BU406" i="19" s="1"/>
  <c r="BU407" i="19" s="1"/>
  <c r="BU408" i="19" s="1"/>
  <c r="BU409" i="19" s="1"/>
  <c r="BU410" i="19" s="1"/>
  <c r="BU411" i="19" s="1"/>
  <c r="BU412" i="19" s="1"/>
  <c r="BU413" i="19" s="1"/>
  <c r="BU414" i="19" s="1"/>
  <c r="BU415" i="19" s="1"/>
  <c r="BU416" i="19" s="1"/>
  <c r="BU417" i="19" s="1"/>
  <c r="BU418" i="19" s="1"/>
  <c r="BU419" i="19" s="1"/>
  <c r="BU420" i="19" s="1"/>
  <c r="BU421" i="19" s="1"/>
  <c r="BU422" i="19" s="1"/>
  <c r="BU423" i="19" s="1"/>
  <c r="BU424" i="19" s="1"/>
  <c r="BU425" i="19" s="1"/>
  <c r="BU426" i="19" s="1"/>
  <c r="BU427" i="19" s="1"/>
  <c r="BU428" i="19" s="1"/>
  <c r="BU429" i="19" s="1"/>
  <c r="BU430" i="19" s="1"/>
  <c r="BU431" i="19" s="1"/>
  <c r="BU432" i="19" s="1"/>
  <c r="BU433" i="19" s="1"/>
  <c r="BU434" i="19" s="1"/>
  <c r="BU435" i="19" s="1"/>
  <c r="BU436" i="19" s="1"/>
  <c r="BU437" i="19" s="1"/>
  <c r="BU438" i="19" s="1"/>
  <c r="BU439" i="19" s="1"/>
  <c r="BU440" i="19" s="1"/>
  <c r="BU441" i="19" s="1"/>
  <c r="BU442" i="19" s="1"/>
  <c r="BU443" i="19" s="1"/>
  <c r="BU444" i="19" s="1"/>
  <c r="BU445" i="19" s="1"/>
  <c r="BU446" i="19" s="1"/>
  <c r="BU447" i="19" s="1"/>
  <c r="BU448" i="19" s="1"/>
  <c r="BU449" i="19" s="1"/>
  <c r="BU450" i="19" s="1"/>
  <c r="BU451" i="19" s="1"/>
  <c r="BU452" i="19" s="1"/>
  <c r="BU453" i="19" s="1"/>
  <c r="BU454" i="19" s="1"/>
  <c r="BU455" i="19" s="1"/>
  <c r="BU456" i="19" s="1"/>
  <c r="BU457" i="19" s="1"/>
  <c r="BU458" i="19" s="1"/>
  <c r="BU459" i="19" s="1"/>
  <c r="BU460" i="19" s="1"/>
  <c r="BU461" i="19" s="1"/>
  <c r="BU462" i="19" s="1"/>
  <c r="BU463" i="19" s="1"/>
  <c r="BU464" i="19" s="1"/>
  <c r="BU465" i="19" s="1"/>
  <c r="BU466" i="19" s="1"/>
  <c r="BU467" i="19" s="1"/>
  <c r="BU468" i="19" s="1"/>
  <c r="BU469" i="19" s="1"/>
  <c r="BU470" i="19" s="1"/>
  <c r="BU471" i="19" s="1"/>
  <c r="BU472" i="19" s="1"/>
  <c r="BU473" i="19" s="1"/>
  <c r="BU474" i="19" s="1"/>
  <c r="BU475" i="19" s="1"/>
  <c r="BU476" i="19" s="1"/>
  <c r="BU477" i="19" s="1"/>
  <c r="BU478" i="19" s="1"/>
  <c r="BU479" i="19" s="1"/>
  <c r="BU480" i="19" s="1"/>
  <c r="BU481" i="19" s="1"/>
  <c r="BU482" i="19" s="1"/>
  <c r="BU483" i="19" s="1"/>
  <c r="BU484" i="19" s="1"/>
  <c r="BU485" i="19" s="1"/>
  <c r="BU486" i="19" s="1"/>
  <c r="BU487" i="19" s="1"/>
  <c r="BU488" i="19" s="1"/>
  <c r="BU489" i="19" s="1"/>
  <c r="BU490" i="19" s="1"/>
  <c r="BU491" i="19" s="1"/>
  <c r="BU492" i="19" s="1"/>
  <c r="BU493" i="19" s="1"/>
  <c r="BU494" i="19" s="1"/>
  <c r="BU495" i="19" s="1"/>
  <c r="BU496" i="19" s="1"/>
  <c r="BU497" i="19" s="1"/>
  <c r="BU498" i="19" s="1"/>
  <c r="BU499" i="19" s="1"/>
  <c r="BU500" i="19" s="1"/>
  <c r="BU501" i="19" s="1"/>
  <c r="BU502" i="19" s="1"/>
  <c r="BU503" i="19" s="1"/>
  <c r="BU504" i="19" s="1"/>
  <c r="BU505" i="19" s="1"/>
  <c r="BU506" i="19" s="1"/>
  <c r="BU507" i="19" s="1"/>
  <c r="BU508" i="19" s="1"/>
  <c r="BU509" i="19" s="1"/>
  <c r="BU510" i="19" s="1"/>
  <c r="BU511" i="19" s="1"/>
  <c r="BU512" i="19" s="1"/>
  <c r="BU513" i="19" s="1"/>
  <c r="BU514" i="19" s="1"/>
  <c r="BU515" i="19" s="1"/>
  <c r="BU516" i="19" s="1"/>
  <c r="BU517" i="19" s="1"/>
  <c r="BU518" i="19" s="1"/>
  <c r="BU519" i="19" s="1"/>
  <c r="BU520" i="19" s="1"/>
  <c r="BU521" i="19" s="1"/>
  <c r="BU522" i="19" s="1"/>
  <c r="BU523" i="19" s="1"/>
  <c r="BU524" i="19" s="1"/>
  <c r="BU525" i="19" s="1"/>
  <c r="BU526" i="19" s="1"/>
  <c r="BU527" i="19" s="1"/>
  <c r="BU528" i="19" s="1"/>
  <c r="BU529" i="19" s="1"/>
  <c r="BU530" i="19" s="1"/>
  <c r="BU531" i="19" s="1"/>
  <c r="BU532" i="19" s="1"/>
  <c r="BU533" i="19" s="1"/>
  <c r="BU534" i="19" s="1"/>
  <c r="BU535" i="19" s="1"/>
  <c r="BU536" i="19" s="1"/>
  <c r="BU537" i="19" s="1"/>
  <c r="BU538" i="19" s="1"/>
  <c r="BU539" i="19" s="1"/>
  <c r="BU540" i="19" s="1"/>
  <c r="BU541" i="19" s="1"/>
  <c r="BU542" i="19" s="1"/>
  <c r="BU543" i="19" s="1"/>
  <c r="BU544" i="19" s="1"/>
  <c r="BU545" i="19" s="1"/>
  <c r="BU546" i="19" s="1"/>
  <c r="BU547" i="19" s="1"/>
  <c r="BU548" i="19" s="1"/>
  <c r="BU549" i="19" s="1"/>
  <c r="BU550" i="19" s="1"/>
  <c r="BU551" i="19" s="1"/>
  <c r="BU552" i="19" s="1"/>
  <c r="BU553" i="19" s="1"/>
  <c r="BU554" i="19" s="1"/>
  <c r="BU555" i="19" s="1"/>
  <c r="BU556" i="19" s="1"/>
  <c r="BU557" i="19" s="1"/>
  <c r="BU558" i="19" s="1"/>
  <c r="BU559" i="19" s="1"/>
  <c r="BU560" i="19" s="1"/>
  <c r="BU561" i="19" s="1"/>
  <c r="BU562" i="19" s="1"/>
  <c r="BU563" i="19" s="1"/>
  <c r="BU564" i="19" s="1"/>
  <c r="BU565" i="19" s="1"/>
  <c r="BU566" i="19" s="1"/>
  <c r="BU567" i="19" s="1"/>
  <c r="BU568" i="19" s="1"/>
  <c r="BU569" i="19" s="1"/>
  <c r="BU570" i="19" s="1"/>
  <c r="BU571" i="19" s="1"/>
  <c r="BU572" i="19" s="1"/>
  <c r="BU573" i="19" s="1"/>
  <c r="BU574" i="19" s="1"/>
  <c r="BU575" i="19" s="1"/>
  <c r="BU576" i="19" s="1"/>
  <c r="BU577" i="19" s="1"/>
  <c r="BU578" i="19" s="1"/>
  <c r="BU579" i="19" s="1"/>
  <c r="BU580" i="19" s="1"/>
  <c r="BU581" i="19" s="1"/>
  <c r="BU582" i="19" s="1"/>
  <c r="BU583" i="19" s="1"/>
  <c r="BU584" i="19" s="1"/>
  <c r="BU585" i="19" s="1"/>
  <c r="BU586" i="19" s="1"/>
  <c r="BU587" i="19" s="1"/>
  <c r="BU588" i="19" s="1"/>
  <c r="BU589" i="19" s="1"/>
  <c r="BU590" i="19" s="1"/>
  <c r="BU591" i="19" s="1"/>
  <c r="BU592" i="19" s="1"/>
  <c r="BU593" i="19" s="1"/>
  <c r="BU594" i="19" s="1"/>
  <c r="BU595" i="19" s="1"/>
  <c r="BU596" i="19" s="1"/>
  <c r="BU597" i="19" s="1"/>
  <c r="BU598" i="19" s="1"/>
  <c r="BU599" i="19" s="1"/>
  <c r="BU600" i="19" s="1"/>
  <c r="BU601" i="19" s="1"/>
  <c r="BU602" i="19" s="1"/>
  <c r="BU603" i="19" s="1"/>
  <c r="BU604" i="19" s="1"/>
  <c r="BU605" i="19" s="1"/>
  <c r="BU606" i="19" s="1"/>
  <c r="BU607" i="19" s="1"/>
  <c r="BU608" i="19" s="1"/>
  <c r="BU609" i="19" s="1"/>
  <c r="BU610" i="19" s="1"/>
  <c r="BU611" i="19" s="1"/>
  <c r="BU612" i="19" s="1"/>
  <c r="BU613" i="19" s="1"/>
  <c r="BU614" i="19" s="1"/>
  <c r="BU615" i="19" s="1"/>
  <c r="BU616" i="19" s="1"/>
  <c r="BU617" i="19" s="1"/>
  <c r="BU618" i="19" s="1"/>
  <c r="BU619" i="19" s="1"/>
  <c r="BU620" i="19" s="1"/>
  <c r="BU621" i="19" s="1"/>
  <c r="BU622" i="19" s="1"/>
  <c r="BU623" i="19" s="1"/>
  <c r="BU624" i="19" s="1"/>
  <c r="BU625" i="19" s="1"/>
  <c r="BU626" i="19" s="1"/>
  <c r="BU627" i="19" s="1"/>
  <c r="BU628" i="19" s="1"/>
  <c r="BU629" i="19" s="1"/>
  <c r="BU630" i="19" s="1"/>
  <c r="BU631" i="19" s="1"/>
  <c r="BU632" i="19" s="1"/>
  <c r="BU633" i="19" s="1"/>
  <c r="BU634" i="19" s="1"/>
  <c r="BU635" i="19" s="1"/>
  <c r="BU636" i="19" s="1"/>
  <c r="BU637" i="19" s="1"/>
  <c r="BU638" i="19" s="1"/>
  <c r="BU639" i="19" s="1"/>
  <c r="BU640" i="19" s="1"/>
  <c r="BU641" i="19" s="1"/>
  <c r="BU642" i="19" s="1"/>
  <c r="BU643" i="19" s="1"/>
  <c r="BU644" i="19" s="1"/>
  <c r="BU645" i="19" s="1"/>
  <c r="BU646" i="19" s="1"/>
  <c r="BU647" i="19" s="1"/>
  <c r="BU648" i="19" s="1"/>
  <c r="BU649" i="19" s="1"/>
  <c r="BU650" i="19" s="1"/>
  <c r="BU651" i="19" s="1"/>
  <c r="BU652" i="19" s="1"/>
  <c r="BU653" i="19" s="1"/>
  <c r="BU654" i="19" s="1"/>
  <c r="BU655" i="19" s="1"/>
  <c r="BU656" i="19" s="1"/>
  <c r="BU657" i="19" s="1"/>
  <c r="BU658" i="19" s="1"/>
  <c r="BU659" i="19" s="1"/>
  <c r="BU660" i="19" s="1"/>
  <c r="BU661" i="19" s="1"/>
  <c r="BU662" i="19" s="1"/>
  <c r="BU663" i="19" s="1"/>
  <c r="BU664" i="19" s="1"/>
  <c r="BU665" i="19" s="1"/>
  <c r="BU666" i="19" s="1"/>
  <c r="BU667" i="19" s="1"/>
  <c r="BU668" i="19" s="1"/>
  <c r="BU669" i="19" s="1"/>
  <c r="BU670" i="19" s="1"/>
  <c r="BU671" i="19" s="1"/>
  <c r="BU672" i="19" s="1"/>
  <c r="BU673" i="19" s="1"/>
  <c r="BU674" i="19" s="1"/>
  <c r="BU675" i="19" s="1"/>
  <c r="BU676" i="19" s="1"/>
  <c r="BU677" i="19" s="1"/>
  <c r="BU678" i="19" s="1"/>
  <c r="BU679" i="19" s="1"/>
  <c r="BU680" i="19" s="1"/>
  <c r="BU681" i="19" s="1"/>
  <c r="BU682" i="19" s="1"/>
  <c r="BU683" i="19" s="1"/>
  <c r="BU684" i="19" s="1"/>
  <c r="BU685" i="19" s="1"/>
  <c r="BU686" i="19" s="1"/>
  <c r="BU687" i="19" s="1"/>
  <c r="BU688" i="19" s="1"/>
  <c r="BU689" i="19" s="1"/>
  <c r="BU690" i="19" s="1"/>
  <c r="BU691" i="19" s="1"/>
  <c r="BU692" i="19" s="1"/>
  <c r="BU693" i="19" s="1"/>
  <c r="BU694" i="19" s="1"/>
  <c r="BU695" i="19" s="1"/>
  <c r="BU696" i="19" s="1"/>
  <c r="BU697" i="19" s="1"/>
  <c r="BU698" i="19" s="1"/>
  <c r="BU699" i="19" s="1"/>
  <c r="BU700" i="19" s="1"/>
  <c r="BU701" i="19" s="1"/>
  <c r="BU702" i="19" s="1"/>
  <c r="BU703" i="19" s="1"/>
  <c r="BU704" i="19" s="1"/>
  <c r="BU705" i="19" s="1"/>
  <c r="BU706" i="19" s="1"/>
  <c r="BU707" i="19" s="1"/>
  <c r="BU708" i="19" s="1"/>
  <c r="BU709" i="19" s="1"/>
  <c r="BU710" i="19" s="1"/>
  <c r="BU711" i="19" s="1"/>
  <c r="BU712" i="19" s="1"/>
  <c r="BU713" i="19" s="1"/>
  <c r="BU714" i="19" s="1"/>
  <c r="BU715" i="19" s="1"/>
  <c r="BU716" i="19" s="1"/>
  <c r="BU717" i="19" s="1"/>
  <c r="BU718" i="19" s="1"/>
  <c r="BU719" i="19" s="1"/>
  <c r="BU720" i="19" s="1"/>
  <c r="BU721" i="19" s="1"/>
  <c r="BU722" i="19" s="1"/>
  <c r="BU723" i="19" s="1"/>
  <c r="BU724" i="19" s="1"/>
  <c r="BU725" i="19" s="1"/>
  <c r="BU726" i="19" s="1"/>
  <c r="BU727" i="19" s="1"/>
  <c r="BU728" i="19" s="1"/>
  <c r="BU729" i="19" s="1"/>
  <c r="BU730" i="19" s="1"/>
  <c r="BU731" i="19" s="1"/>
  <c r="BU732" i="19" s="1"/>
  <c r="BU733" i="19" s="1"/>
  <c r="BU734" i="19" s="1"/>
  <c r="BU735" i="19" s="1"/>
  <c r="BU736" i="19" s="1"/>
  <c r="BU737" i="19" s="1"/>
  <c r="BU738" i="19" s="1"/>
  <c r="BU4" i="19"/>
  <c r="BZ119" i="19" l="1"/>
  <c r="BZ135" i="19"/>
  <c r="BZ151" i="19"/>
  <c r="BZ121" i="19"/>
  <c r="BZ137" i="19"/>
  <c r="BZ153" i="19"/>
  <c r="BZ139" i="19"/>
  <c r="BZ155" i="19"/>
  <c r="BZ125" i="19"/>
  <c r="BZ141" i="19"/>
  <c r="BZ157" i="19"/>
  <c r="BZ127" i="19"/>
  <c r="BZ143" i="19"/>
  <c r="BZ159" i="19"/>
  <c r="BZ129" i="19"/>
  <c r="BZ145" i="19"/>
  <c r="BZ161" i="19"/>
  <c r="BZ131" i="19"/>
  <c r="BZ147" i="19"/>
  <c r="BZ163" i="19"/>
  <c r="BZ133" i="19"/>
  <c r="BZ149" i="19"/>
  <c r="BZ123" i="19"/>
  <c r="CU444" i="19"/>
  <c r="CU460" i="19"/>
  <c r="CU459" i="19"/>
  <c r="CU416" i="19"/>
  <c r="CU433" i="19"/>
  <c r="CU408" i="19"/>
  <c r="CU445" i="19"/>
  <c r="CU505" i="19"/>
  <c r="CU547" i="19" s="1"/>
  <c r="CU589" i="19" s="1"/>
  <c r="CU631" i="19" s="1"/>
  <c r="CU440" i="19"/>
  <c r="CU497" i="19"/>
  <c r="CU539" i="19" s="1"/>
  <c r="CU581" i="19" s="1"/>
  <c r="CU623" i="19" s="1"/>
  <c r="CU412" i="19"/>
  <c r="CU477" i="19"/>
  <c r="CU519" i="19" s="1"/>
  <c r="CU561" i="19" s="1"/>
  <c r="CU603" i="19" s="1"/>
  <c r="CU481" i="19"/>
  <c r="CU523" i="19" s="1"/>
  <c r="CU565" i="19" s="1"/>
  <c r="CU607" i="19" s="1"/>
  <c r="CU456" i="19"/>
  <c r="CU449" i="19"/>
  <c r="CU404" i="19"/>
  <c r="CU508" i="19"/>
  <c r="CU550" i="19" s="1"/>
  <c r="CU592" i="19" s="1"/>
  <c r="CU489" i="19"/>
  <c r="CU531" i="19" s="1"/>
  <c r="CU573" i="19" s="1"/>
  <c r="CU615" i="19" s="1"/>
  <c r="CU436" i="19"/>
  <c r="CU452" i="19"/>
  <c r="CU437" i="19"/>
  <c r="CU396" i="19"/>
  <c r="CU453" i="19"/>
  <c r="CU400" i="19"/>
  <c r="CU485" i="19"/>
  <c r="CU527" i="19" s="1"/>
  <c r="CU569" i="19" s="1"/>
  <c r="CU611" i="19" s="1"/>
  <c r="CU493" i="19"/>
  <c r="CU535" i="19" s="1"/>
  <c r="CU577" i="19" s="1"/>
  <c r="CU619" i="19" s="1"/>
  <c r="CU448" i="19"/>
  <c r="CU464" i="19"/>
  <c r="CU441" i="19"/>
  <c r="CU457" i="19"/>
  <c r="CU465" i="19"/>
  <c r="CU419" i="19"/>
  <c r="CU392" i="19"/>
  <c r="CU258" i="19"/>
  <c r="CU300" i="19" s="1"/>
  <c r="CU342" i="19" s="1"/>
  <c r="CU384" i="19" s="1"/>
  <c r="CU426" i="19" s="1"/>
  <c r="CU468" i="19" s="1"/>
  <c r="CU510" i="19" s="1"/>
  <c r="CU552" i="19" s="1"/>
  <c r="CU594" i="19" s="1"/>
  <c r="CU264" i="19"/>
  <c r="CU306" i="19" s="1"/>
  <c r="CU348" i="19" s="1"/>
  <c r="CU390" i="19" s="1"/>
  <c r="CU432" i="19" s="1"/>
  <c r="CU474" i="19" s="1"/>
  <c r="CU516" i="19" s="1"/>
  <c r="CU558" i="19" s="1"/>
  <c r="CU600" i="19" s="1"/>
  <c r="CU260" i="19"/>
  <c r="CU302" i="19" s="1"/>
  <c r="CU344" i="19" s="1"/>
  <c r="CU386" i="19" s="1"/>
  <c r="CU428" i="19" s="1"/>
  <c r="CU470" i="19" s="1"/>
  <c r="CU512" i="19" s="1"/>
  <c r="CU554" i="19" s="1"/>
  <c r="CU596" i="19" s="1"/>
  <c r="CU257" i="19"/>
  <c r="CU299" i="19" s="1"/>
  <c r="CU341" i="19" s="1"/>
  <c r="CU383" i="19" s="1"/>
  <c r="CU425" i="19" s="1"/>
  <c r="CU467" i="19" s="1"/>
  <c r="CU262" i="19"/>
  <c r="CU304" i="19" s="1"/>
  <c r="CU346" i="19" s="1"/>
  <c r="CU388" i="19" s="1"/>
  <c r="CU430" i="19" s="1"/>
  <c r="CU472" i="19" s="1"/>
  <c r="CU514" i="19" s="1"/>
  <c r="CU556" i="19" s="1"/>
  <c r="CU598" i="19" s="1"/>
  <c r="CU261" i="19"/>
  <c r="CU303" i="19" s="1"/>
  <c r="CU345" i="19" s="1"/>
  <c r="CU387" i="19" s="1"/>
  <c r="CU429" i="19" s="1"/>
  <c r="CU471" i="19" s="1"/>
  <c r="CU513" i="19" s="1"/>
  <c r="CU555" i="19" s="1"/>
  <c r="CU597" i="19" s="1"/>
  <c r="CU259" i="19"/>
  <c r="CU301" i="19" s="1"/>
  <c r="CU343" i="19" s="1"/>
  <c r="CU385" i="19" s="1"/>
  <c r="CU427" i="19" s="1"/>
  <c r="CU469" i="19" s="1"/>
  <c r="CU511" i="19" s="1"/>
  <c r="CU553" i="19" s="1"/>
  <c r="CU595" i="19" s="1"/>
  <c r="CU263" i="19"/>
  <c r="CU305" i="19" s="1"/>
  <c r="CU347" i="19" s="1"/>
  <c r="CU389" i="19" s="1"/>
  <c r="CU431" i="19" s="1"/>
  <c r="CU473" i="19" s="1"/>
  <c r="CU515" i="19" s="1"/>
  <c r="CU557" i="19" s="1"/>
  <c r="CU599" i="19" s="1"/>
  <c r="BW70" i="19"/>
  <c r="BW68" i="19"/>
  <c r="BW66" i="19"/>
  <c r="BW64" i="19"/>
  <c r="BW62" i="19"/>
  <c r="BW60" i="19"/>
  <c r="BW58" i="19"/>
  <c r="BW56" i="19"/>
  <c r="BW54" i="19"/>
  <c r="BW52" i="19"/>
  <c r="BW50" i="19"/>
  <c r="BV72" i="19"/>
  <c r="BV95" i="19" s="1"/>
  <c r="BV71" i="19"/>
  <c r="BV70" i="19"/>
  <c r="BV93" i="19" s="1"/>
  <c r="BV69" i="19"/>
  <c r="BV68" i="19"/>
  <c r="BV91" i="19" s="1"/>
  <c r="BV67" i="19"/>
  <c r="BV90" i="19" s="1"/>
  <c r="BV66" i="19"/>
  <c r="BV89" i="19" s="1"/>
  <c r="BV65" i="19"/>
  <c r="BV64" i="19"/>
  <c r="BV87" i="19" s="1"/>
  <c r="BV63" i="19"/>
  <c r="BV62" i="19"/>
  <c r="BV85" i="19" s="1"/>
  <c r="BV61" i="19"/>
  <c r="BV60" i="19"/>
  <c r="BV83" i="19" s="1"/>
  <c r="BV59" i="19"/>
  <c r="BV58" i="19"/>
  <c r="BV81" i="19" s="1"/>
  <c r="BV57" i="19"/>
  <c r="BV56" i="19"/>
  <c r="BV79" i="19" s="1"/>
  <c r="BV55" i="19"/>
  <c r="BV78" i="19" s="1"/>
  <c r="BV54" i="19"/>
  <c r="BV77" i="19" s="1"/>
  <c r="BV53" i="19"/>
  <c r="BV52" i="19"/>
  <c r="BV75" i="19" s="1"/>
  <c r="BV51" i="19"/>
  <c r="BV74" i="19" s="1"/>
  <c r="BV50" i="19"/>
  <c r="BV73" i="19" s="1"/>
  <c r="BV96" i="19" s="1"/>
  <c r="BV49" i="19"/>
  <c r="BW48" i="19"/>
  <c r="BW71" i="19" s="1"/>
  <c r="BW47" i="19"/>
  <c r="BW46" i="19"/>
  <c r="BW45" i="19"/>
  <c r="BW44" i="19"/>
  <c r="BW67" i="19" s="1"/>
  <c r="BW43" i="19"/>
  <c r="BW42" i="19"/>
  <c r="BW41" i="19"/>
  <c r="BW40" i="19"/>
  <c r="BW63" i="19" s="1"/>
  <c r="BW39" i="19"/>
  <c r="BW38" i="19"/>
  <c r="BW37" i="19"/>
  <c r="BW36" i="19"/>
  <c r="BW59" i="19" s="1"/>
  <c r="BW35" i="19"/>
  <c r="BW34" i="19"/>
  <c r="BW33" i="19"/>
  <c r="BW32" i="19"/>
  <c r="BW55" i="19" s="1"/>
  <c r="BW31" i="19"/>
  <c r="BW30" i="19"/>
  <c r="BW53" i="19" s="1"/>
  <c r="BW29" i="19"/>
  <c r="BW28" i="19"/>
  <c r="BW51" i="19" s="1"/>
  <c r="BW27" i="19"/>
  <c r="BW26" i="19"/>
  <c r="CA45" i="19"/>
  <c r="CA51" i="19"/>
  <c r="CA41" i="19"/>
  <c r="CA39" i="19"/>
  <c r="CA43" i="19"/>
  <c r="CA34" i="19"/>
  <c r="CA26" i="19"/>
  <c r="CA27" i="19"/>
  <c r="CA62" i="19"/>
  <c r="CA54" i="19"/>
  <c r="CA70" i="19"/>
  <c r="CA66" i="19"/>
  <c r="CA33" i="19"/>
  <c r="CA46" i="19"/>
  <c r="CA38" i="19"/>
  <c r="CA59" i="19"/>
  <c r="CA58" i="19"/>
  <c r="CA42" i="19"/>
  <c r="CA52" i="19"/>
  <c r="CA29" i="19"/>
  <c r="CA60" i="19"/>
  <c r="CA50" i="19"/>
  <c r="CA63" i="19"/>
  <c r="CA67" i="19"/>
  <c r="CA35" i="19"/>
  <c r="CA55" i="19"/>
  <c r="CA30" i="19"/>
  <c r="CA47" i="19"/>
  <c r="CA36" i="19"/>
  <c r="CA37" i="19"/>
  <c r="CA64" i="19"/>
  <c r="CA40" i="19"/>
  <c r="CA44" i="19"/>
  <c r="CA68" i="19"/>
  <c r="CA71" i="19"/>
  <c r="CA53" i="19"/>
  <c r="CA32" i="19"/>
  <c r="CA28" i="19"/>
  <c r="CA31" i="19"/>
  <c r="CA56" i="19"/>
  <c r="CA48" i="19"/>
  <c r="BW76" i="19" l="1"/>
  <c r="BW74" i="19"/>
  <c r="BW78" i="19"/>
  <c r="BW82" i="19"/>
  <c r="BW86" i="19"/>
  <c r="BW90" i="19"/>
  <c r="BW94" i="19"/>
  <c r="BW73" i="19"/>
  <c r="BW81" i="19"/>
  <c r="BW85" i="19"/>
  <c r="BW93" i="19"/>
  <c r="BW87" i="19"/>
  <c r="BW75" i="19"/>
  <c r="BW79" i="19"/>
  <c r="BW83" i="19"/>
  <c r="BW91" i="19"/>
  <c r="BW49" i="19"/>
  <c r="BW57" i="19"/>
  <c r="BW61" i="19"/>
  <c r="BW65" i="19"/>
  <c r="BW69" i="19"/>
  <c r="BW77" i="19"/>
  <c r="BW89" i="19"/>
  <c r="BZ172" i="19"/>
  <c r="BZ186" i="19"/>
  <c r="BZ154" i="19"/>
  <c r="BZ168" i="19"/>
  <c r="BZ182" i="19"/>
  <c r="BZ150" i="19"/>
  <c r="BZ164" i="19"/>
  <c r="BZ178" i="19"/>
  <c r="BZ176" i="19"/>
  <c r="BZ144" i="19"/>
  <c r="BZ158" i="19"/>
  <c r="BZ146" i="19"/>
  <c r="BZ156" i="19"/>
  <c r="BZ170" i="19"/>
  <c r="BZ184" i="19"/>
  <c r="BZ152" i="19"/>
  <c r="BZ166" i="19"/>
  <c r="BZ180" i="19"/>
  <c r="BZ148" i="19"/>
  <c r="BZ162" i="19"/>
  <c r="BZ160" i="19"/>
  <c r="BZ174" i="19"/>
  <c r="BZ142" i="19"/>
  <c r="CU483" i="19"/>
  <c r="CU525" i="19" s="1"/>
  <c r="CU567" i="19" s="1"/>
  <c r="CU609" i="19" s="1"/>
  <c r="CU479" i="19"/>
  <c r="CU521" i="19" s="1"/>
  <c r="CU563" i="19" s="1"/>
  <c r="CU605" i="19" s="1"/>
  <c r="CU434" i="19"/>
  <c r="CU507" i="19"/>
  <c r="CU549" i="19" s="1"/>
  <c r="CU591" i="19" s="1"/>
  <c r="CU633" i="19" s="1"/>
  <c r="CU495" i="19"/>
  <c r="CU537" i="19" s="1"/>
  <c r="CU579" i="19" s="1"/>
  <c r="CU621" i="19" s="1"/>
  <c r="CU478" i="19"/>
  <c r="CU520" i="19" s="1"/>
  <c r="CU562" i="19" s="1"/>
  <c r="CU604" i="19" s="1"/>
  <c r="CU491" i="19"/>
  <c r="CU533" i="19" s="1"/>
  <c r="CU575" i="19" s="1"/>
  <c r="CU617" i="19" s="1"/>
  <c r="CU454" i="19"/>
  <c r="CU482" i="19"/>
  <c r="CU524" i="19" s="1"/>
  <c r="CU566" i="19" s="1"/>
  <c r="CU608" i="19" s="1"/>
  <c r="CU450" i="19"/>
  <c r="CU501" i="19"/>
  <c r="CU543" i="19" s="1"/>
  <c r="CU585" i="19" s="1"/>
  <c r="CU627" i="19" s="1"/>
  <c r="CU506" i="19"/>
  <c r="CU548" i="19" s="1"/>
  <c r="CU590" i="19" s="1"/>
  <c r="CU632" i="19" s="1"/>
  <c r="CU494" i="19"/>
  <c r="CU536" i="19" s="1"/>
  <c r="CU578" i="19" s="1"/>
  <c r="CU620" i="19" s="1"/>
  <c r="CU498" i="19"/>
  <c r="CU540" i="19" s="1"/>
  <c r="CU582" i="19" s="1"/>
  <c r="CU624" i="19" s="1"/>
  <c r="CU502" i="19"/>
  <c r="CU544" i="19" s="1"/>
  <c r="CU586" i="19" s="1"/>
  <c r="CU628" i="19" s="1"/>
  <c r="CU461" i="19"/>
  <c r="CU499" i="19"/>
  <c r="CU541" i="19" s="1"/>
  <c r="CU583" i="19" s="1"/>
  <c r="CU625" i="19" s="1"/>
  <c r="CU442" i="19"/>
  <c r="CU438" i="19"/>
  <c r="CU446" i="19"/>
  <c r="CU487" i="19"/>
  <c r="CU529" i="19" s="1"/>
  <c r="CU571" i="19" s="1"/>
  <c r="CU613" i="19" s="1"/>
  <c r="CU509" i="19"/>
  <c r="CU551" i="19" s="1"/>
  <c r="CU593" i="19" s="1"/>
  <c r="CU458" i="19"/>
  <c r="CU490" i="19"/>
  <c r="CU532" i="19" s="1"/>
  <c r="CU574" i="19" s="1"/>
  <c r="CU616" i="19" s="1"/>
  <c r="CU475" i="19"/>
  <c r="CU517" i="19" s="1"/>
  <c r="CU559" i="19" s="1"/>
  <c r="CU601" i="19" s="1"/>
  <c r="CU486" i="19"/>
  <c r="CU528" i="19" s="1"/>
  <c r="CU570" i="19" s="1"/>
  <c r="CU612" i="19" s="1"/>
  <c r="BV101" i="19"/>
  <c r="BV119" i="19"/>
  <c r="BV100" i="19"/>
  <c r="BV104" i="19"/>
  <c r="BV108" i="19"/>
  <c r="BV112" i="19"/>
  <c r="BV116" i="19"/>
  <c r="BV97" i="19"/>
  <c r="BV113" i="19"/>
  <c r="BV98" i="19"/>
  <c r="BV102" i="19"/>
  <c r="BV106" i="19"/>
  <c r="BV110" i="19"/>
  <c r="BV114" i="19"/>
  <c r="BV118" i="19"/>
  <c r="BV82" i="19"/>
  <c r="BV86" i="19"/>
  <c r="BV94" i="19"/>
  <c r="BV76" i="19"/>
  <c r="BV88" i="19"/>
  <c r="BV80" i="19"/>
  <c r="BV84" i="19"/>
  <c r="BV92" i="19"/>
  <c r="A144" i="19"/>
  <c r="A143" i="19"/>
  <c r="A142" i="19"/>
  <c r="A141" i="19"/>
  <c r="A140" i="19"/>
  <c r="A139" i="19"/>
  <c r="A138" i="19"/>
  <c r="A137" i="19"/>
  <c r="A136" i="19"/>
  <c r="A135" i="19"/>
  <c r="A134" i="19"/>
  <c r="A133" i="19"/>
  <c r="A132" i="19"/>
  <c r="A131" i="19"/>
  <c r="A130" i="19"/>
  <c r="A129" i="19"/>
  <c r="A128" i="19"/>
  <c r="A127" i="19"/>
  <c r="A126" i="19"/>
  <c r="A125" i="19"/>
  <c r="A124" i="19"/>
  <c r="A123" i="19"/>
  <c r="A122" i="19"/>
  <c r="A96" i="19"/>
  <c r="A95" i="19"/>
  <c r="A94" i="19"/>
  <c r="A93" i="19"/>
  <c r="A92" i="19"/>
  <c r="A91" i="19"/>
  <c r="A90" i="19"/>
  <c r="A89" i="19"/>
  <c r="A88" i="19"/>
  <c r="A87" i="19"/>
  <c r="A86" i="19"/>
  <c r="A85" i="19"/>
  <c r="A84" i="19"/>
  <c r="A83" i="19"/>
  <c r="A82" i="19"/>
  <c r="A81" i="19"/>
  <c r="A80" i="19"/>
  <c r="A79" i="19"/>
  <c r="A78" i="19"/>
  <c r="A77" i="19"/>
  <c r="A76" i="19"/>
  <c r="A75" i="19"/>
  <c r="A74" i="19"/>
  <c r="A48" i="19"/>
  <c r="A47" i="19"/>
  <c r="A46" i="19"/>
  <c r="A45" i="19"/>
  <c r="A44" i="19"/>
  <c r="A43" i="19"/>
  <c r="A42" i="19"/>
  <c r="A41" i="19"/>
  <c r="A40" i="19"/>
  <c r="A39" i="19"/>
  <c r="A38" i="19"/>
  <c r="A37" i="19"/>
  <c r="A36" i="19"/>
  <c r="A35" i="19"/>
  <c r="A34" i="19"/>
  <c r="A33" i="19"/>
  <c r="A32" i="19"/>
  <c r="A31" i="19"/>
  <c r="A30" i="19"/>
  <c r="A29" i="19"/>
  <c r="A28" i="19"/>
  <c r="A27" i="19"/>
  <c r="A26" i="19"/>
  <c r="AA1" i="19"/>
  <c r="AB1" i="19"/>
  <c r="AC1" i="19"/>
  <c r="AD1" i="19"/>
  <c r="AE1" i="19"/>
  <c r="AF1" i="19"/>
  <c r="AG1" i="19"/>
  <c r="Y1" i="19"/>
  <c r="Z1" i="19"/>
  <c r="X1" i="19"/>
  <c r="X25" i="19"/>
  <c r="W25" i="19"/>
  <c r="V25" i="19"/>
  <c r="U25" i="19"/>
  <c r="T25" i="19"/>
  <c r="S25" i="19"/>
  <c r="R25" i="19"/>
  <c r="Q25" i="19"/>
  <c r="P25" i="19"/>
  <c r="O25" i="19"/>
  <c r="N25" i="19"/>
  <c r="M25" i="19"/>
  <c r="L25" i="19"/>
  <c r="K25" i="19"/>
  <c r="J25" i="19"/>
  <c r="I25" i="19"/>
  <c r="H25" i="19"/>
  <c r="G25" i="19"/>
  <c r="F25" i="19"/>
  <c r="E25" i="19"/>
  <c r="D25" i="19"/>
  <c r="C25" i="19"/>
  <c r="B25" i="19"/>
  <c r="X24" i="19"/>
  <c r="W24" i="19"/>
  <c r="V24" i="19"/>
  <c r="U24" i="19"/>
  <c r="T24" i="19"/>
  <c r="S24" i="19"/>
  <c r="R24" i="19"/>
  <c r="Q24" i="19"/>
  <c r="P24" i="19"/>
  <c r="O24" i="19"/>
  <c r="N24" i="19"/>
  <c r="M24" i="19"/>
  <c r="L24" i="19"/>
  <c r="K24" i="19"/>
  <c r="J24" i="19"/>
  <c r="I24" i="19"/>
  <c r="H24" i="19"/>
  <c r="G24" i="19"/>
  <c r="F24" i="19"/>
  <c r="E24" i="19"/>
  <c r="D24" i="19"/>
  <c r="C24" i="19"/>
  <c r="B24" i="19"/>
  <c r="X23" i="19"/>
  <c r="W23" i="19"/>
  <c r="V23" i="19"/>
  <c r="U23" i="19"/>
  <c r="T23" i="19"/>
  <c r="S23" i="19"/>
  <c r="R23" i="19"/>
  <c r="Q23" i="19"/>
  <c r="P23" i="19"/>
  <c r="O23" i="19"/>
  <c r="N23" i="19"/>
  <c r="M23" i="19"/>
  <c r="L23" i="19"/>
  <c r="K23" i="19"/>
  <c r="J23" i="19"/>
  <c r="I23" i="19"/>
  <c r="H23" i="19"/>
  <c r="G23" i="19"/>
  <c r="F23" i="19"/>
  <c r="E23" i="19"/>
  <c r="D23" i="19"/>
  <c r="C23" i="19"/>
  <c r="B23" i="19"/>
  <c r="X22" i="19"/>
  <c r="W22" i="19"/>
  <c r="V22" i="19"/>
  <c r="U22" i="19"/>
  <c r="T22" i="19"/>
  <c r="S22" i="19"/>
  <c r="R22" i="19"/>
  <c r="Q22" i="19"/>
  <c r="P22" i="19"/>
  <c r="O22" i="19"/>
  <c r="N22" i="19"/>
  <c r="M22" i="19"/>
  <c r="L22" i="19"/>
  <c r="K22" i="19"/>
  <c r="J22" i="19"/>
  <c r="I22" i="19"/>
  <c r="H22" i="19"/>
  <c r="G22" i="19"/>
  <c r="F22" i="19"/>
  <c r="E22" i="19"/>
  <c r="D22" i="19"/>
  <c r="C22" i="19"/>
  <c r="B22" i="19"/>
  <c r="X21" i="19"/>
  <c r="W21" i="19"/>
  <c r="V21" i="19"/>
  <c r="U21" i="19"/>
  <c r="T21" i="19"/>
  <c r="S21" i="19"/>
  <c r="R21" i="19"/>
  <c r="Q21" i="19"/>
  <c r="P21" i="19"/>
  <c r="O21" i="19"/>
  <c r="N21" i="19"/>
  <c r="M21" i="19"/>
  <c r="L21" i="19"/>
  <c r="K21" i="19"/>
  <c r="J21" i="19"/>
  <c r="I21" i="19"/>
  <c r="H21" i="19"/>
  <c r="G21" i="19"/>
  <c r="F21" i="19"/>
  <c r="E21" i="19"/>
  <c r="D21" i="19"/>
  <c r="C21" i="19"/>
  <c r="B21" i="19"/>
  <c r="X20" i="19"/>
  <c r="W20" i="19"/>
  <c r="V20" i="19"/>
  <c r="U20" i="19"/>
  <c r="T20" i="19"/>
  <c r="S20" i="19"/>
  <c r="R20" i="19"/>
  <c r="Q20" i="19"/>
  <c r="P20" i="19"/>
  <c r="O20" i="19"/>
  <c r="N20" i="19"/>
  <c r="M20" i="19"/>
  <c r="L20" i="19"/>
  <c r="K20" i="19"/>
  <c r="J20" i="19"/>
  <c r="I20" i="19"/>
  <c r="H20" i="19"/>
  <c r="G20" i="19"/>
  <c r="F20" i="19"/>
  <c r="E20" i="19"/>
  <c r="D20" i="19"/>
  <c r="C20" i="19"/>
  <c r="B20" i="19"/>
  <c r="X19" i="19"/>
  <c r="W19" i="19"/>
  <c r="V19" i="19"/>
  <c r="U19" i="19"/>
  <c r="T19" i="19"/>
  <c r="S19" i="19"/>
  <c r="R19" i="19"/>
  <c r="Q19" i="19"/>
  <c r="P19" i="19"/>
  <c r="O19" i="19"/>
  <c r="N19" i="19"/>
  <c r="M19" i="19"/>
  <c r="L19" i="19"/>
  <c r="K19" i="19"/>
  <c r="J19" i="19"/>
  <c r="I19" i="19"/>
  <c r="H19" i="19"/>
  <c r="G19" i="19"/>
  <c r="F19" i="19"/>
  <c r="E19" i="19"/>
  <c r="D19" i="19"/>
  <c r="C19" i="19"/>
  <c r="B19" i="19"/>
  <c r="X18" i="19"/>
  <c r="W18" i="19"/>
  <c r="V18" i="19"/>
  <c r="U18" i="19"/>
  <c r="T18" i="19"/>
  <c r="S18" i="19"/>
  <c r="R18" i="19"/>
  <c r="Q18" i="19"/>
  <c r="P18" i="19"/>
  <c r="O18" i="19"/>
  <c r="N18" i="19"/>
  <c r="M18" i="19"/>
  <c r="L18" i="19"/>
  <c r="K18" i="19"/>
  <c r="J18" i="19"/>
  <c r="I18" i="19"/>
  <c r="H18" i="19"/>
  <c r="G18" i="19"/>
  <c r="F18" i="19"/>
  <c r="E18" i="19"/>
  <c r="D18" i="19"/>
  <c r="C18" i="19"/>
  <c r="B18" i="19"/>
  <c r="X17" i="19"/>
  <c r="W17" i="19"/>
  <c r="V17" i="19"/>
  <c r="U17" i="19"/>
  <c r="T17" i="19"/>
  <c r="S17" i="19"/>
  <c r="R17" i="19"/>
  <c r="Q17" i="19"/>
  <c r="P17" i="19"/>
  <c r="O17" i="19"/>
  <c r="N17" i="19"/>
  <c r="M17" i="19"/>
  <c r="L17" i="19"/>
  <c r="K17" i="19"/>
  <c r="J17" i="19"/>
  <c r="I17" i="19"/>
  <c r="H17" i="19"/>
  <c r="G17" i="19"/>
  <c r="F17" i="19"/>
  <c r="E17" i="19"/>
  <c r="D17" i="19"/>
  <c r="C17" i="19"/>
  <c r="B17" i="19"/>
  <c r="X16" i="19"/>
  <c r="W16" i="19"/>
  <c r="V16" i="19"/>
  <c r="U16" i="19"/>
  <c r="T16" i="19"/>
  <c r="S16" i="19"/>
  <c r="R16" i="19"/>
  <c r="Q16" i="19"/>
  <c r="P16" i="19"/>
  <c r="O16" i="19"/>
  <c r="N16" i="19"/>
  <c r="M16" i="19"/>
  <c r="L16" i="19"/>
  <c r="K16" i="19"/>
  <c r="J16" i="19"/>
  <c r="I16" i="19"/>
  <c r="H16" i="19"/>
  <c r="G16" i="19"/>
  <c r="F16" i="19"/>
  <c r="E16" i="19"/>
  <c r="D16" i="19"/>
  <c r="C16" i="19"/>
  <c r="B16" i="19"/>
  <c r="X15" i="19"/>
  <c r="W15" i="19"/>
  <c r="V15" i="19"/>
  <c r="U15" i="19"/>
  <c r="T15" i="19"/>
  <c r="S15" i="19"/>
  <c r="R15" i="19"/>
  <c r="Q15" i="19"/>
  <c r="P15" i="19"/>
  <c r="O15" i="19"/>
  <c r="N15" i="19"/>
  <c r="M15" i="19"/>
  <c r="L15" i="19"/>
  <c r="K15" i="19"/>
  <c r="J15" i="19"/>
  <c r="I15" i="19"/>
  <c r="H15" i="19"/>
  <c r="G15" i="19"/>
  <c r="F15" i="19"/>
  <c r="E15" i="19"/>
  <c r="D15" i="19"/>
  <c r="C15" i="19"/>
  <c r="B15" i="19"/>
  <c r="X14" i="19"/>
  <c r="W14" i="19"/>
  <c r="V14" i="19"/>
  <c r="U14" i="19"/>
  <c r="T14" i="19"/>
  <c r="S14" i="19"/>
  <c r="R14" i="19"/>
  <c r="Q14" i="19"/>
  <c r="P14" i="19"/>
  <c r="O14" i="19"/>
  <c r="N14" i="19"/>
  <c r="M14" i="19"/>
  <c r="L14" i="19"/>
  <c r="K14" i="19"/>
  <c r="J14" i="19"/>
  <c r="I14" i="19"/>
  <c r="H14" i="19"/>
  <c r="G14" i="19"/>
  <c r="F14" i="19"/>
  <c r="E14" i="19"/>
  <c r="D14" i="19"/>
  <c r="C14" i="19"/>
  <c r="B14" i="19"/>
  <c r="X13" i="19"/>
  <c r="W13" i="19"/>
  <c r="V13" i="19"/>
  <c r="U13" i="19"/>
  <c r="T13" i="19"/>
  <c r="S13" i="19"/>
  <c r="R13" i="19"/>
  <c r="Q13" i="19"/>
  <c r="P13" i="19"/>
  <c r="O13" i="19"/>
  <c r="N13" i="19"/>
  <c r="M13" i="19"/>
  <c r="L13" i="19"/>
  <c r="K13" i="19"/>
  <c r="J13" i="19"/>
  <c r="I13" i="19"/>
  <c r="H13" i="19"/>
  <c r="G13" i="19"/>
  <c r="F13" i="19"/>
  <c r="E13" i="19"/>
  <c r="D13" i="19"/>
  <c r="C13" i="19"/>
  <c r="B13" i="19"/>
  <c r="X12" i="19"/>
  <c r="W12" i="19"/>
  <c r="V12" i="19"/>
  <c r="U12" i="19"/>
  <c r="T12" i="19"/>
  <c r="S12" i="19"/>
  <c r="R12" i="19"/>
  <c r="Q12" i="19"/>
  <c r="P12" i="19"/>
  <c r="O12" i="19"/>
  <c r="N12" i="19"/>
  <c r="M12" i="19"/>
  <c r="L12" i="19"/>
  <c r="K12" i="19"/>
  <c r="J12" i="19"/>
  <c r="I12" i="19"/>
  <c r="H12" i="19"/>
  <c r="G12" i="19"/>
  <c r="F12" i="19"/>
  <c r="E12" i="19"/>
  <c r="D12" i="19"/>
  <c r="C12" i="19"/>
  <c r="B12" i="19"/>
  <c r="X11" i="19"/>
  <c r="W11" i="19"/>
  <c r="V11" i="19"/>
  <c r="U11" i="19"/>
  <c r="T11" i="19"/>
  <c r="S11" i="19"/>
  <c r="R11" i="19"/>
  <c r="Q11" i="19"/>
  <c r="P11" i="19"/>
  <c r="O11" i="19"/>
  <c r="N11" i="19"/>
  <c r="M11" i="19"/>
  <c r="L11" i="19"/>
  <c r="K11" i="19"/>
  <c r="J11" i="19"/>
  <c r="I11" i="19"/>
  <c r="H11" i="19"/>
  <c r="G11" i="19"/>
  <c r="F11" i="19"/>
  <c r="E11" i="19"/>
  <c r="D11" i="19"/>
  <c r="C11" i="19"/>
  <c r="B11" i="19"/>
  <c r="X10" i="19"/>
  <c r="W10" i="19"/>
  <c r="V10" i="19"/>
  <c r="U10" i="19"/>
  <c r="T10" i="19"/>
  <c r="S10" i="19"/>
  <c r="R10" i="19"/>
  <c r="Q10" i="19"/>
  <c r="P10" i="19"/>
  <c r="O10" i="19"/>
  <c r="N10" i="19"/>
  <c r="M10" i="19"/>
  <c r="L10" i="19"/>
  <c r="K10" i="19"/>
  <c r="J10" i="19"/>
  <c r="I10" i="19"/>
  <c r="H10" i="19"/>
  <c r="G10" i="19"/>
  <c r="F10" i="19"/>
  <c r="E10" i="19"/>
  <c r="D10" i="19"/>
  <c r="C10" i="19"/>
  <c r="B10" i="19"/>
  <c r="X9" i="19"/>
  <c r="W9" i="19"/>
  <c r="V9" i="19"/>
  <c r="U9" i="19"/>
  <c r="T9" i="19"/>
  <c r="S9" i="19"/>
  <c r="R9" i="19"/>
  <c r="Q9" i="19"/>
  <c r="P9" i="19"/>
  <c r="O9" i="19"/>
  <c r="N9" i="19"/>
  <c r="M9" i="19"/>
  <c r="L9" i="19"/>
  <c r="K9" i="19"/>
  <c r="J9" i="19"/>
  <c r="I9" i="19"/>
  <c r="H9" i="19"/>
  <c r="G9" i="19"/>
  <c r="F9" i="19"/>
  <c r="E9" i="19"/>
  <c r="D9" i="19"/>
  <c r="C9" i="19"/>
  <c r="B9" i="19"/>
  <c r="X8" i="19"/>
  <c r="W8" i="19"/>
  <c r="V8" i="19"/>
  <c r="U8" i="19"/>
  <c r="T8" i="19"/>
  <c r="S8" i="19"/>
  <c r="R8" i="19"/>
  <c r="Q8" i="19"/>
  <c r="P8" i="19"/>
  <c r="O8" i="19"/>
  <c r="N8" i="19"/>
  <c r="M8" i="19"/>
  <c r="L8" i="19"/>
  <c r="K8" i="19"/>
  <c r="J8" i="19"/>
  <c r="I8" i="19"/>
  <c r="H8" i="19"/>
  <c r="G8" i="19"/>
  <c r="F8" i="19"/>
  <c r="E8" i="19"/>
  <c r="D8" i="19"/>
  <c r="C8" i="19"/>
  <c r="B8" i="19"/>
  <c r="X7" i="19"/>
  <c r="W7" i="19"/>
  <c r="V7" i="19"/>
  <c r="U7" i="19"/>
  <c r="T7" i="19"/>
  <c r="S7" i="19"/>
  <c r="R7" i="19"/>
  <c r="Q7" i="19"/>
  <c r="P7" i="19"/>
  <c r="O7" i="19"/>
  <c r="N7" i="19"/>
  <c r="M7" i="19"/>
  <c r="L7" i="19"/>
  <c r="K7" i="19"/>
  <c r="J7" i="19"/>
  <c r="I7" i="19"/>
  <c r="H7" i="19"/>
  <c r="G7" i="19"/>
  <c r="F7" i="19"/>
  <c r="E7" i="19"/>
  <c r="D7" i="19"/>
  <c r="C7" i="19"/>
  <c r="B7" i="19"/>
  <c r="X6" i="19"/>
  <c r="W6" i="19"/>
  <c r="V6" i="19"/>
  <c r="U6" i="19"/>
  <c r="T6" i="19"/>
  <c r="S6" i="19"/>
  <c r="R6" i="19"/>
  <c r="Q6" i="19"/>
  <c r="P6" i="19"/>
  <c r="O6" i="19"/>
  <c r="N6" i="19"/>
  <c r="M6" i="19"/>
  <c r="L6" i="19"/>
  <c r="K6" i="19"/>
  <c r="J6" i="19"/>
  <c r="I6" i="19"/>
  <c r="H6" i="19"/>
  <c r="G6" i="19"/>
  <c r="F6" i="19"/>
  <c r="E6" i="19"/>
  <c r="D6" i="19"/>
  <c r="C6" i="19"/>
  <c r="B6" i="19"/>
  <c r="X5" i="19"/>
  <c r="W5" i="19"/>
  <c r="V5" i="19"/>
  <c r="U5" i="19"/>
  <c r="T5" i="19"/>
  <c r="S5" i="19"/>
  <c r="R5" i="19"/>
  <c r="Q5" i="19"/>
  <c r="P5" i="19"/>
  <c r="O5" i="19"/>
  <c r="N5" i="19"/>
  <c r="M5" i="19"/>
  <c r="L5" i="19"/>
  <c r="K5" i="19"/>
  <c r="J5" i="19"/>
  <c r="I5" i="19"/>
  <c r="H5" i="19"/>
  <c r="G5" i="19"/>
  <c r="F5" i="19"/>
  <c r="E5" i="19"/>
  <c r="D5" i="19"/>
  <c r="C5" i="19"/>
  <c r="B5" i="19"/>
  <c r="X4" i="19"/>
  <c r="W4" i="19"/>
  <c r="V4" i="19"/>
  <c r="U4" i="19"/>
  <c r="T4" i="19"/>
  <c r="S4" i="19"/>
  <c r="R4" i="19"/>
  <c r="Q4" i="19"/>
  <c r="P4" i="19"/>
  <c r="O4" i="19"/>
  <c r="N4" i="19"/>
  <c r="M4" i="19"/>
  <c r="L4" i="19"/>
  <c r="K4" i="19"/>
  <c r="J4" i="19"/>
  <c r="I4" i="19"/>
  <c r="H4" i="19"/>
  <c r="G4" i="19"/>
  <c r="F4" i="19"/>
  <c r="E4" i="19"/>
  <c r="D4" i="19"/>
  <c r="C4" i="19"/>
  <c r="B4" i="19"/>
  <c r="X3" i="19"/>
  <c r="W3" i="19"/>
  <c r="V3" i="19"/>
  <c r="U3" i="19"/>
  <c r="T3" i="19"/>
  <c r="S3" i="19"/>
  <c r="R3" i="19"/>
  <c r="Q3" i="19"/>
  <c r="P3" i="19"/>
  <c r="O3" i="19"/>
  <c r="N3" i="19"/>
  <c r="M3" i="19"/>
  <c r="L3" i="19"/>
  <c r="K3" i="19"/>
  <c r="J3" i="19"/>
  <c r="I3" i="19"/>
  <c r="H3" i="19"/>
  <c r="G3" i="19"/>
  <c r="F3" i="19"/>
  <c r="E3" i="19"/>
  <c r="D3" i="19"/>
  <c r="C3" i="19"/>
  <c r="W1" i="19"/>
  <c r="V1" i="19"/>
  <c r="U1" i="19"/>
  <c r="T1" i="19"/>
  <c r="S1" i="19"/>
  <c r="R1" i="19"/>
  <c r="Q1" i="19"/>
  <c r="P1" i="19"/>
  <c r="O1" i="19"/>
  <c r="N1" i="19"/>
  <c r="M1" i="19"/>
  <c r="L1" i="19"/>
  <c r="K1" i="19"/>
  <c r="J1" i="19"/>
  <c r="I1" i="19"/>
  <c r="H1" i="19"/>
  <c r="G1" i="19"/>
  <c r="F1" i="19"/>
  <c r="E1" i="19"/>
  <c r="D1" i="19"/>
  <c r="C1" i="19"/>
  <c r="B1" i="19"/>
  <c r="B3" i="19"/>
  <c r="BX30" i="19"/>
  <c r="BX49" i="19"/>
  <c r="BX64" i="19"/>
  <c r="CA93" i="19"/>
  <c r="BX52" i="19"/>
  <c r="CA57" i="19"/>
  <c r="CA89" i="19"/>
  <c r="BX50" i="19"/>
  <c r="BX85" i="19"/>
  <c r="BX36" i="19"/>
  <c r="BX53" i="19"/>
  <c r="BX66" i="19"/>
  <c r="BX93" i="19"/>
  <c r="BX61" i="19"/>
  <c r="BX62" i="19"/>
  <c r="CA87" i="19"/>
  <c r="BX91" i="19"/>
  <c r="BX57" i="19"/>
  <c r="BX51" i="19"/>
  <c r="BX32" i="19"/>
  <c r="CA94" i="19"/>
  <c r="BX63" i="19"/>
  <c r="BX78" i="19"/>
  <c r="BX56" i="19"/>
  <c r="CA79" i="19"/>
  <c r="BX42" i="19"/>
  <c r="BX59" i="19"/>
  <c r="BX47" i="19"/>
  <c r="BX90" i="19"/>
  <c r="BX33" i="19"/>
  <c r="BX74" i="19"/>
  <c r="CA83" i="19"/>
  <c r="BX34" i="19"/>
  <c r="CA91" i="19"/>
  <c r="BX45" i="19"/>
  <c r="CA90" i="19"/>
  <c r="BX28" i="19"/>
  <c r="BX37" i="19"/>
  <c r="BX43" i="19"/>
  <c r="BX31" i="19"/>
  <c r="BX48" i="19"/>
  <c r="BX81" i="19"/>
  <c r="BX26" i="19"/>
  <c r="BX71" i="19"/>
  <c r="BX29" i="19"/>
  <c r="BX83" i="19"/>
  <c r="BX75" i="19"/>
  <c r="CA82" i="19"/>
  <c r="BX77" i="19"/>
  <c r="CA69" i="19"/>
  <c r="CA85" i="19"/>
  <c r="CA76" i="19"/>
  <c r="BX44" i="19"/>
  <c r="BX68" i="19"/>
  <c r="BX27" i="19"/>
  <c r="BX46" i="19"/>
  <c r="BX73" i="19"/>
  <c r="BX79" i="19"/>
  <c r="BX70" i="19"/>
  <c r="BX39" i="19"/>
  <c r="BX89" i="19"/>
  <c r="BX55" i="19"/>
  <c r="BX65" i="19"/>
  <c r="CA61" i="19"/>
  <c r="CA75" i="19"/>
  <c r="CA86" i="19"/>
  <c r="BX87" i="19"/>
  <c r="BX41" i="19"/>
  <c r="BX58" i="19"/>
  <c r="CA77" i="19"/>
  <c r="CA74" i="19"/>
  <c r="BX69" i="19"/>
  <c r="CA78" i="19"/>
  <c r="BX67" i="19"/>
  <c r="BX40" i="19"/>
  <c r="CA49" i="19"/>
  <c r="BX35" i="19"/>
  <c r="CA81" i="19"/>
  <c r="CA73" i="19"/>
  <c r="BX54" i="19"/>
  <c r="CA65" i="19"/>
  <c r="BX38" i="19"/>
  <c r="BX60" i="19"/>
  <c r="BW80" i="19" l="1"/>
  <c r="BW114" i="19"/>
  <c r="BW102" i="19"/>
  <c r="BW110" i="19"/>
  <c r="BW108" i="19"/>
  <c r="BW96" i="19"/>
  <c r="BW113" i="19"/>
  <c r="BW105" i="19"/>
  <c r="BW97" i="19"/>
  <c r="BW112" i="19"/>
  <c r="BW92" i="19"/>
  <c r="BW88" i="19"/>
  <c r="BW72" i="19"/>
  <c r="BW106" i="19"/>
  <c r="BW98" i="19"/>
  <c r="BW116" i="19"/>
  <c r="BW104" i="19"/>
  <c r="BW117" i="19"/>
  <c r="BW109" i="19"/>
  <c r="BW101" i="19"/>
  <c r="BW99" i="19"/>
  <c r="BW100" i="19"/>
  <c r="BW84" i="19"/>
  <c r="B74" i="19"/>
  <c r="E122" i="19"/>
  <c r="D99" i="19"/>
  <c r="D51" i="19"/>
  <c r="C74" i="19"/>
  <c r="L99" i="19"/>
  <c r="K74" i="19"/>
  <c r="J74" i="19"/>
  <c r="M122" i="19"/>
  <c r="L51" i="19"/>
  <c r="R74" i="19"/>
  <c r="U122" i="19"/>
  <c r="T99" i="19"/>
  <c r="S74" i="19"/>
  <c r="T51" i="19"/>
  <c r="Y122" i="19"/>
  <c r="V74" i="19"/>
  <c r="X99" i="19"/>
  <c r="W74" i="19"/>
  <c r="X51" i="19"/>
  <c r="B122" i="19"/>
  <c r="E99" i="19"/>
  <c r="C122" i="19"/>
  <c r="D122" i="19"/>
  <c r="E51" i="19"/>
  <c r="F122" i="19"/>
  <c r="H122" i="19"/>
  <c r="G122" i="19"/>
  <c r="I51" i="19"/>
  <c r="I99" i="19"/>
  <c r="J122" i="19"/>
  <c r="L122" i="19"/>
  <c r="M51" i="19"/>
  <c r="K122" i="19"/>
  <c r="M99" i="19"/>
  <c r="N122" i="19"/>
  <c r="P122" i="19"/>
  <c r="Q51" i="19"/>
  <c r="O122" i="19"/>
  <c r="Q99" i="19"/>
  <c r="R122" i="19"/>
  <c r="T122" i="19"/>
  <c r="S122" i="19"/>
  <c r="U51" i="19"/>
  <c r="U99" i="19"/>
  <c r="BX4" i="19"/>
  <c r="BY4" i="19" s="1"/>
  <c r="E27" i="19"/>
  <c r="D27" i="19"/>
  <c r="G27" i="19"/>
  <c r="F52" i="19"/>
  <c r="F100" i="19" s="1"/>
  <c r="I27" i="19"/>
  <c r="H27" i="19"/>
  <c r="K27" i="19"/>
  <c r="J52" i="19"/>
  <c r="J100" i="19" s="1"/>
  <c r="L27" i="19"/>
  <c r="M27" i="19"/>
  <c r="N52" i="19"/>
  <c r="N100" i="19" s="1"/>
  <c r="P27" i="19"/>
  <c r="Q27" i="19"/>
  <c r="O27" i="19"/>
  <c r="U27" i="19"/>
  <c r="R52" i="19"/>
  <c r="R100" i="19" s="1"/>
  <c r="T27" i="19"/>
  <c r="S27" i="19"/>
  <c r="V52" i="19"/>
  <c r="V100" i="19" s="1"/>
  <c r="X27" i="19"/>
  <c r="W27" i="19"/>
  <c r="Y27" i="19"/>
  <c r="B28" i="19"/>
  <c r="E76" i="19"/>
  <c r="D76" i="19"/>
  <c r="C53" i="19"/>
  <c r="C101" i="19"/>
  <c r="I76" i="19"/>
  <c r="G53" i="19"/>
  <c r="G101" i="19"/>
  <c r="H76" i="19"/>
  <c r="F28" i="19"/>
  <c r="K53" i="19"/>
  <c r="J28" i="19"/>
  <c r="M76" i="19"/>
  <c r="K101" i="19"/>
  <c r="L76" i="19"/>
  <c r="O53" i="19"/>
  <c r="N28" i="19"/>
  <c r="Q76" i="19"/>
  <c r="O101" i="19"/>
  <c r="P76" i="19"/>
  <c r="S101" i="19"/>
  <c r="U76" i="19"/>
  <c r="T76" i="19"/>
  <c r="S53" i="19"/>
  <c r="R28" i="19"/>
  <c r="X76" i="19"/>
  <c r="V28" i="19"/>
  <c r="W101" i="19"/>
  <c r="W53" i="19"/>
  <c r="Y76" i="19"/>
  <c r="B77" i="19"/>
  <c r="E125" i="19"/>
  <c r="D54" i="19"/>
  <c r="C77" i="19"/>
  <c r="D102" i="19"/>
  <c r="G77" i="19"/>
  <c r="F77" i="19"/>
  <c r="I125" i="19"/>
  <c r="H102" i="19"/>
  <c r="H54" i="19"/>
  <c r="M125" i="19"/>
  <c r="K77" i="19"/>
  <c r="L102" i="19"/>
  <c r="J77" i="19"/>
  <c r="L54" i="19"/>
  <c r="O77" i="19"/>
  <c r="Q125" i="19"/>
  <c r="N77" i="19"/>
  <c r="P102" i="19"/>
  <c r="P54" i="19"/>
  <c r="R77" i="19"/>
  <c r="S77" i="19"/>
  <c r="T102" i="19"/>
  <c r="U125" i="19"/>
  <c r="T54" i="19"/>
  <c r="Y125" i="19"/>
  <c r="V77" i="19"/>
  <c r="X102" i="19"/>
  <c r="W77" i="19"/>
  <c r="X54" i="19"/>
  <c r="B126" i="19"/>
  <c r="E103" i="19"/>
  <c r="E55" i="19"/>
  <c r="D126" i="19"/>
  <c r="C126" i="19"/>
  <c r="F126" i="19"/>
  <c r="H126" i="19"/>
  <c r="G126" i="19"/>
  <c r="I103" i="19"/>
  <c r="I55" i="19"/>
  <c r="J126" i="19"/>
  <c r="L126" i="19"/>
  <c r="M55" i="19"/>
  <c r="K126" i="19"/>
  <c r="M103" i="19"/>
  <c r="N126" i="19"/>
  <c r="P126" i="19"/>
  <c r="Q55" i="19"/>
  <c r="O126" i="19"/>
  <c r="Q103" i="19"/>
  <c r="R126" i="19"/>
  <c r="T126" i="19"/>
  <c r="S126" i="19"/>
  <c r="U55" i="19"/>
  <c r="U103" i="19"/>
  <c r="BX8" i="19"/>
  <c r="BY8" i="19" s="1"/>
  <c r="E31" i="19"/>
  <c r="D31" i="19"/>
  <c r="G31" i="19"/>
  <c r="F56" i="19"/>
  <c r="F104" i="19" s="1"/>
  <c r="I31" i="19"/>
  <c r="H31" i="19"/>
  <c r="K31" i="19"/>
  <c r="J56" i="19"/>
  <c r="J104" i="19" s="1"/>
  <c r="L31" i="19"/>
  <c r="M31" i="19"/>
  <c r="N56" i="19"/>
  <c r="N104" i="19" s="1"/>
  <c r="P31" i="19"/>
  <c r="Q31" i="19"/>
  <c r="O31" i="19"/>
  <c r="U31" i="19"/>
  <c r="R56" i="19"/>
  <c r="R104" i="19" s="1"/>
  <c r="T31" i="19"/>
  <c r="S31" i="19"/>
  <c r="V56" i="19"/>
  <c r="V104" i="19" s="1"/>
  <c r="X31" i="19"/>
  <c r="W31" i="19"/>
  <c r="Y31" i="19"/>
  <c r="B32" i="19"/>
  <c r="E80" i="19"/>
  <c r="D80" i="19"/>
  <c r="C57" i="19"/>
  <c r="C105" i="19"/>
  <c r="I80" i="19"/>
  <c r="G57" i="19"/>
  <c r="H80" i="19"/>
  <c r="F32" i="19"/>
  <c r="G105" i="19"/>
  <c r="K57" i="19"/>
  <c r="K105" i="19"/>
  <c r="J32" i="19"/>
  <c r="M80" i="19"/>
  <c r="L80" i="19"/>
  <c r="O57" i="19"/>
  <c r="N32" i="19"/>
  <c r="Q80" i="19"/>
  <c r="O105" i="19"/>
  <c r="P80" i="19"/>
  <c r="U80" i="19"/>
  <c r="T80" i="19"/>
  <c r="S57" i="19"/>
  <c r="S105" i="19"/>
  <c r="R32" i="19"/>
  <c r="W105" i="19"/>
  <c r="X80" i="19"/>
  <c r="V32" i="19"/>
  <c r="W57" i="19"/>
  <c r="Y80" i="19"/>
  <c r="B81" i="19"/>
  <c r="E129" i="19"/>
  <c r="D58" i="19"/>
  <c r="C81" i="19"/>
  <c r="D106" i="19"/>
  <c r="G81" i="19"/>
  <c r="F81" i="19"/>
  <c r="H106" i="19"/>
  <c r="I129" i="19"/>
  <c r="H58" i="19"/>
  <c r="M129" i="19"/>
  <c r="K81" i="19"/>
  <c r="J81" i="19"/>
  <c r="L106" i="19"/>
  <c r="L58" i="19"/>
  <c r="O81" i="19"/>
  <c r="Q129" i="19"/>
  <c r="N81" i="19"/>
  <c r="P106" i="19"/>
  <c r="P58" i="19"/>
  <c r="R81" i="19"/>
  <c r="T106" i="19"/>
  <c r="S81" i="19"/>
  <c r="U129" i="19"/>
  <c r="T58" i="19"/>
  <c r="Y129" i="19"/>
  <c r="V81" i="19"/>
  <c r="X106" i="19"/>
  <c r="W81" i="19"/>
  <c r="X58" i="19"/>
  <c r="B130" i="19"/>
  <c r="E107" i="19"/>
  <c r="C130" i="19"/>
  <c r="E59" i="19"/>
  <c r="D130" i="19"/>
  <c r="F130" i="19"/>
  <c r="H130" i="19"/>
  <c r="G130" i="19"/>
  <c r="I59" i="19"/>
  <c r="I107" i="19"/>
  <c r="J130" i="19"/>
  <c r="L130" i="19"/>
  <c r="M107" i="19"/>
  <c r="M59" i="19"/>
  <c r="K130" i="19"/>
  <c r="N130" i="19"/>
  <c r="P130" i="19"/>
  <c r="Q59" i="19"/>
  <c r="O130" i="19"/>
  <c r="Q107" i="19"/>
  <c r="R130" i="19"/>
  <c r="T130" i="19"/>
  <c r="S130" i="19"/>
  <c r="U59" i="19"/>
  <c r="U107" i="19"/>
  <c r="BX12" i="19"/>
  <c r="BY12" i="19" s="1"/>
  <c r="D35" i="19"/>
  <c r="E35" i="19"/>
  <c r="G35" i="19"/>
  <c r="F60" i="19"/>
  <c r="F108" i="19" s="1"/>
  <c r="I35" i="19"/>
  <c r="H35" i="19"/>
  <c r="K35" i="19"/>
  <c r="J60" i="19"/>
  <c r="J108" i="19" s="1"/>
  <c r="L35" i="19"/>
  <c r="M35" i="19"/>
  <c r="N60" i="19"/>
  <c r="N108" i="19" s="1"/>
  <c r="P35" i="19"/>
  <c r="Q35" i="19"/>
  <c r="O35" i="19"/>
  <c r="U35" i="19"/>
  <c r="R60" i="19"/>
  <c r="R108" i="19" s="1"/>
  <c r="T35" i="19"/>
  <c r="S35" i="19"/>
  <c r="V60" i="19"/>
  <c r="V108" i="19" s="1"/>
  <c r="X35" i="19"/>
  <c r="W35" i="19"/>
  <c r="Y35" i="19"/>
  <c r="B36" i="19"/>
  <c r="E84" i="19"/>
  <c r="D84" i="19"/>
  <c r="C61" i="19"/>
  <c r="C109" i="19"/>
  <c r="I84" i="19"/>
  <c r="G61" i="19"/>
  <c r="G109" i="19"/>
  <c r="H84" i="19"/>
  <c r="F36" i="19"/>
  <c r="K61" i="19"/>
  <c r="J36" i="19"/>
  <c r="M84" i="19"/>
  <c r="K109" i="19"/>
  <c r="L84" i="19"/>
  <c r="O61" i="19"/>
  <c r="N36" i="19"/>
  <c r="Q84" i="19"/>
  <c r="O109" i="19"/>
  <c r="P84" i="19"/>
  <c r="U84" i="19"/>
  <c r="S109" i="19"/>
  <c r="T84" i="19"/>
  <c r="S61" i="19"/>
  <c r="R36" i="19"/>
  <c r="X84" i="19"/>
  <c r="V36" i="19"/>
  <c r="W109" i="19"/>
  <c r="W61" i="19"/>
  <c r="Y84" i="19"/>
  <c r="B85" i="19"/>
  <c r="E133" i="19"/>
  <c r="D62" i="19"/>
  <c r="C85" i="19"/>
  <c r="D110" i="19"/>
  <c r="G85" i="19"/>
  <c r="I133" i="19"/>
  <c r="F85" i="19"/>
  <c r="H110" i="19"/>
  <c r="H62" i="19"/>
  <c r="M133" i="19"/>
  <c r="K85" i="19"/>
  <c r="L110" i="19"/>
  <c r="J85" i="19"/>
  <c r="L62" i="19"/>
  <c r="O85" i="19"/>
  <c r="Q133" i="19"/>
  <c r="N85" i="19"/>
  <c r="P110" i="19"/>
  <c r="P62" i="19"/>
  <c r="R85" i="19"/>
  <c r="S85" i="19"/>
  <c r="U133" i="19"/>
  <c r="T110" i="19"/>
  <c r="T62" i="19"/>
  <c r="Y133" i="19"/>
  <c r="V85" i="19"/>
  <c r="X110" i="19"/>
  <c r="W85" i="19"/>
  <c r="X62" i="19"/>
  <c r="B134" i="19"/>
  <c r="E111" i="19"/>
  <c r="E63" i="19"/>
  <c r="C134" i="19"/>
  <c r="D134" i="19"/>
  <c r="G134" i="19"/>
  <c r="F134" i="19"/>
  <c r="H134" i="19"/>
  <c r="I111" i="19"/>
  <c r="I63" i="19"/>
  <c r="J134" i="19"/>
  <c r="L134" i="19"/>
  <c r="M63" i="19"/>
  <c r="K134" i="19"/>
  <c r="M111" i="19"/>
  <c r="N134" i="19"/>
  <c r="P134" i="19"/>
  <c r="Q63" i="19"/>
  <c r="O134" i="19"/>
  <c r="Q111" i="19"/>
  <c r="R134" i="19"/>
  <c r="T134" i="19"/>
  <c r="S134" i="19"/>
  <c r="U111" i="19"/>
  <c r="U63" i="19"/>
  <c r="BX16" i="19"/>
  <c r="BY16" i="19" s="1"/>
  <c r="E39" i="19"/>
  <c r="D39" i="19"/>
  <c r="G39" i="19"/>
  <c r="F64" i="19"/>
  <c r="F112" i="19" s="1"/>
  <c r="I39" i="19"/>
  <c r="H39" i="19"/>
  <c r="K39" i="19"/>
  <c r="J64" i="19"/>
  <c r="J112" i="19" s="1"/>
  <c r="M39" i="19"/>
  <c r="L39" i="19"/>
  <c r="N64" i="19"/>
  <c r="N112" i="19" s="1"/>
  <c r="P39" i="19"/>
  <c r="Q39" i="19"/>
  <c r="O39" i="19"/>
  <c r="R64" i="19"/>
  <c r="R112" i="19" s="1"/>
  <c r="U39" i="19"/>
  <c r="S39" i="19"/>
  <c r="T39" i="19"/>
  <c r="V64" i="19"/>
  <c r="V112" i="19" s="1"/>
  <c r="X39" i="19"/>
  <c r="W39" i="19"/>
  <c r="Y39" i="19"/>
  <c r="B40" i="19"/>
  <c r="E88" i="19"/>
  <c r="D88" i="19"/>
  <c r="C65" i="19"/>
  <c r="C113" i="19"/>
  <c r="I88" i="19"/>
  <c r="G65" i="19"/>
  <c r="H88" i="19"/>
  <c r="F40" i="19"/>
  <c r="G113" i="19"/>
  <c r="K65" i="19"/>
  <c r="K113" i="19"/>
  <c r="J40" i="19"/>
  <c r="M88" i="19"/>
  <c r="L88" i="19"/>
  <c r="O65" i="19"/>
  <c r="N40" i="19"/>
  <c r="Q88" i="19"/>
  <c r="O113" i="19"/>
  <c r="P88" i="19"/>
  <c r="S65" i="19"/>
  <c r="S113" i="19"/>
  <c r="U88" i="19"/>
  <c r="T88" i="19"/>
  <c r="R40" i="19"/>
  <c r="W113" i="19"/>
  <c r="X88" i="19"/>
  <c r="V40" i="19"/>
  <c r="W65" i="19"/>
  <c r="Y88" i="19"/>
  <c r="B89" i="19"/>
  <c r="E137" i="19"/>
  <c r="D66" i="19"/>
  <c r="C89" i="19"/>
  <c r="D114" i="19"/>
  <c r="G89" i="19"/>
  <c r="I137" i="19"/>
  <c r="F89" i="19"/>
  <c r="H114" i="19"/>
  <c r="H66" i="19"/>
  <c r="M137" i="19"/>
  <c r="K89" i="19"/>
  <c r="J89" i="19"/>
  <c r="L114" i="19"/>
  <c r="L66" i="19"/>
  <c r="O89" i="19"/>
  <c r="Q137" i="19"/>
  <c r="N89" i="19"/>
  <c r="P114" i="19"/>
  <c r="P66" i="19"/>
  <c r="R89" i="19"/>
  <c r="S89" i="19"/>
  <c r="T66" i="19"/>
  <c r="U137" i="19"/>
  <c r="T114" i="19"/>
  <c r="Y137" i="19"/>
  <c r="V89" i="19"/>
  <c r="X114" i="19"/>
  <c r="W89" i="19"/>
  <c r="X66" i="19"/>
  <c r="B138" i="19"/>
  <c r="E115" i="19"/>
  <c r="C138" i="19"/>
  <c r="E67" i="19"/>
  <c r="D138" i="19"/>
  <c r="G138" i="19"/>
  <c r="F138" i="19"/>
  <c r="H138" i="19"/>
  <c r="I67" i="19"/>
  <c r="I115" i="19"/>
  <c r="J138" i="19"/>
  <c r="L138" i="19"/>
  <c r="M115" i="19"/>
  <c r="M67" i="19"/>
  <c r="K138" i="19"/>
  <c r="N138" i="19"/>
  <c r="P138" i="19"/>
  <c r="Q67" i="19"/>
  <c r="O138" i="19"/>
  <c r="Q115" i="19"/>
  <c r="R138" i="19"/>
  <c r="T138" i="19"/>
  <c r="S138" i="19"/>
  <c r="U67" i="19"/>
  <c r="U115" i="19"/>
  <c r="BX20" i="19"/>
  <c r="BY20" i="19" s="1"/>
  <c r="E43" i="19"/>
  <c r="D43" i="19"/>
  <c r="G43" i="19"/>
  <c r="F68" i="19"/>
  <c r="F116" i="19" s="1"/>
  <c r="I43" i="19"/>
  <c r="H43" i="19"/>
  <c r="K43" i="19"/>
  <c r="J68" i="19"/>
  <c r="J116" i="19" s="1"/>
  <c r="M43" i="19"/>
  <c r="L43" i="19"/>
  <c r="N68" i="19"/>
  <c r="N116" i="19" s="1"/>
  <c r="P43" i="19"/>
  <c r="Q43" i="19"/>
  <c r="O43" i="19"/>
  <c r="R68" i="19"/>
  <c r="R116" i="19" s="1"/>
  <c r="U43" i="19"/>
  <c r="S43" i="19"/>
  <c r="T43" i="19"/>
  <c r="V68" i="19"/>
  <c r="V116" i="19" s="1"/>
  <c r="X43" i="19"/>
  <c r="W43" i="19"/>
  <c r="Y43" i="19"/>
  <c r="B44" i="19"/>
  <c r="E92" i="19"/>
  <c r="D92" i="19"/>
  <c r="C69" i="19"/>
  <c r="C117" i="19"/>
  <c r="I92" i="19"/>
  <c r="G117" i="19"/>
  <c r="H92" i="19"/>
  <c r="F44" i="19"/>
  <c r="G69" i="19"/>
  <c r="K69" i="19"/>
  <c r="J44" i="19"/>
  <c r="M92" i="19"/>
  <c r="K117" i="19"/>
  <c r="L92" i="19"/>
  <c r="O69" i="19"/>
  <c r="N44" i="19"/>
  <c r="Q92" i="19"/>
  <c r="O117" i="19"/>
  <c r="P92" i="19"/>
  <c r="S117" i="19"/>
  <c r="S69" i="19"/>
  <c r="U92" i="19"/>
  <c r="T92" i="19"/>
  <c r="R44" i="19"/>
  <c r="W117" i="19"/>
  <c r="X92" i="19"/>
  <c r="V44" i="19"/>
  <c r="W69" i="19"/>
  <c r="Y92" i="19"/>
  <c r="B93" i="19"/>
  <c r="E141" i="19"/>
  <c r="D70" i="19"/>
  <c r="C93" i="19"/>
  <c r="D118" i="19"/>
  <c r="G93" i="19"/>
  <c r="I141" i="19"/>
  <c r="F93" i="19"/>
  <c r="H70" i="19"/>
  <c r="H118" i="19"/>
  <c r="M141" i="19"/>
  <c r="K93" i="19"/>
  <c r="L118" i="19"/>
  <c r="J93" i="19"/>
  <c r="L70" i="19"/>
  <c r="O93" i="19"/>
  <c r="Q141" i="19"/>
  <c r="N93" i="19"/>
  <c r="P118" i="19"/>
  <c r="P70" i="19"/>
  <c r="R93" i="19"/>
  <c r="S93" i="19"/>
  <c r="T70" i="19"/>
  <c r="T118" i="19"/>
  <c r="U141" i="19"/>
  <c r="Y141" i="19"/>
  <c r="V93" i="19"/>
  <c r="X118" i="19"/>
  <c r="W93" i="19"/>
  <c r="X70" i="19"/>
  <c r="B142" i="19"/>
  <c r="E119" i="19"/>
  <c r="E71" i="19"/>
  <c r="C142" i="19"/>
  <c r="D142" i="19"/>
  <c r="G142" i="19"/>
  <c r="F142" i="19"/>
  <c r="H142" i="19"/>
  <c r="I71" i="19"/>
  <c r="I119" i="19"/>
  <c r="J142" i="19"/>
  <c r="L142" i="19"/>
  <c r="M71" i="19"/>
  <c r="K142" i="19"/>
  <c r="M119" i="19"/>
  <c r="N142" i="19"/>
  <c r="P142" i="19"/>
  <c r="Q71" i="19"/>
  <c r="O142" i="19"/>
  <c r="Q119" i="19"/>
  <c r="R142" i="19"/>
  <c r="T142" i="19"/>
  <c r="S142" i="19"/>
  <c r="U119" i="19"/>
  <c r="U71" i="19"/>
  <c r="BX24" i="19"/>
  <c r="BY24" i="19" s="1"/>
  <c r="E47" i="19"/>
  <c r="D47" i="19"/>
  <c r="G47" i="19"/>
  <c r="F72" i="19"/>
  <c r="F120" i="19" s="1"/>
  <c r="I47" i="19"/>
  <c r="H47" i="19"/>
  <c r="K47" i="19"/>
  <c r="J72" i="19"/>
  <c r="J120" i="19" s="1"/>
  <c r="M47" i="19"/>
  <c r="L47" i="19"/>
  <c r="O47" i="19"/>
  <c r="N72" i="19"/>
  <c r="N120" i="19" s="1"/>
  <c r="P47" i="19"/>
  <c r="Q47" i="19"/>
  <c r="R72" i="19"/>
  <c r="R120" i="19" s="1"/>
  <c r="U47" i="19"/>
  <c r="S47" i="19"/>
  <c r="T47" i="19"/>
  <c r="V72" i="19"/>
  <c r="V120" i="19" s="1"/>
  <c r="Y47" i="19"/>
  <c r="W47" i="19"/>
  <c r="X47" i="19"/>
  <c r="B48" i="19"/>
  <c r="E96" i="19"/>
  <c r="D96" i="19"/>
  <c r="C73" i="19"/>
  <c r="C121" i="19"/>
  <c r="I96" i="19"/>
  <c r="H96" i="19"/>
  <c r="F48" i="19"/>
  <c r="G73" i="19"/>
  <c r="G121" i="19"/>
  <c r="K73" i="19"/>
  <c r="K121" i="19"/>
  <c r="J48" i="19"/>
  <c r="M96" i="19"/>
  <c r="L96" i="19"/>
  <c r="O73" i="19"/>
  <c r="N48" i="19"/>
  <c r="Q96" i="19"/>
  <c r="O121" i="19"/>
  <c r="P96" i="19"/>
  <c r="S73" i="19"/>
  <c r="U96" i="19"/>
  <c r="S121" i="19"/>
  <c r="T96" i="19"/>
  <c r="R48" i="19"/>
  <c r="V48" i="19"/>
  <c r="W121" i="19"/>
  <c r="Y96" i="19"/>
  <c r="X96" i="19"/>
  <c r="W73" i="19"/>
  <c r="K26" i="19"/>
  <c r="J51" i="19"/>
  <c r="J99" i="19" s="1"/>
  <c r="L26" i="19"/>
  <c r="M26" i="19"/>
  <c r="C52" i="19"/>
  <c r="E75" i="19"/>
  <c r="D75" i="19"/>
  <c r="C100" i="19"/>
  <c r="G100" i="19"/>
  <c r="I75" i="19"/>
  <c r="G52" i="19"/>
  <c r="F27" i="19"/>
  <c r="H75" i="19"/>
  <c r="K52" i="19"/>
  <c r="J27" i="19"/>
  <c r="K100" i="19"/>
  <c r="M75" i="19"/>
  <c r="L75" i="19"/>
  <c r="O52" i="19"/>
  <c r="N27" i="19"/>
  <c r="O100" i="19"/>
  <c r="Q75" i="19"/>
  <c r="P75" i="19"/>
  <c r="U75" i="19"/>
  <c r="T75" i="19"/>
  <c r="S100" i="19"/>
  <c r="S52" i="19"/>
  <c r="R27" i="19"/>
  <c r="W100" i="19"/>
  <c r="V27" i="19"/>
  <c r="Y75" i="19"/>
  <c r="W52" i="19"/>
  <c r="X75" i="19"/>
  <c r="B76" i="19"/>
  <c r="C76" i="19"/>
  <c r="D101" i="19"/>
  <c r="E124" i="19"/>
  <c r="D53" i="19"/>
  <c r="G76" i="19"/>
  <c r="H101" i="19"/>
  <c r="I124" i="19"/>
  <c r="F76" i="19"/>
  <c r="H53" i="19"/>
  <c r="L101" i="19"/>
  <c r="K76" i="19"/>
  <c r="J76" i="19"/>
  <c r="M124" i="19"/>
  <c r="L53" i="19"/>
  <c r="O76" i="19"/>
  <c r="Q124" i="19"/>
  <c r="N76" i="19"/>
  <c r="P101" i="19"/>
  <c r="P53" i="19"/>
  <c r="R76" i="19"/>
  <c r="U124" i="19"/>
  <c r="T101" i="19"/>
  <c r="S76" i="19"/>
  <c r="T53" i="19"/>
  <c r="Y124" i="19"/>
  <c r="V76" i="19"/>
  <c r="X101" i="19"/>
  <c r="W76" i="19"/>
  <c r="X53" i="19"/>
  <c r="B125" i="19"/>
  <c r="D125" i="19"/>
  <c r="E54" i="19"/>
  <c r="E102" i="19"/>
  <c r="C125" i="19"/>
  <c r="F125" i="19"/>
  <c r="H125" i="19"/>
  <c r="I102" i="19"/>
  <c r="I54" i="19"/>
  <c r="G125" i="19"/>
  <c r="J125" i="19"/>
  <c r="L125" i="19"/>
  <c r="M102" i="19"/>
  <c r="K125" i="19"/>
  <c r="M54" i="19"/>
  <c r="N125" i="19"/>
  <c r="P125" i="19"/>
  <c r="Q102" i="19"/>
  <c r="Q54" i="19"/>
  <c r="O125" i="19"/>
  <c r="R125" i="19"/>
  <c r="T125" i="19"/>
  <c r="S125" i="19"/>
  <c r="U102" i="19"/>
  <c r="U54" i="19"/>
  <c r="BX7" i="19"/>
  <c r="BY7" i="19" s="1"/>
  <c r="E30" i="19"/>
  <c r="D30" i="19"/>
  <c r="G30" i="19"/>
  <c r="F55" i="19"/>
  <c r="F103" i="19" s="1"/>
  <c r="I30" i="19"/>
  <c r="H30" i="19"/>
  <c r="K30" i="19"/>
  <c r="J55" i="19"/>
  <c r="J103" i="19" s="1"/>
  <c r="L30" i="19"/>
  <c r="M30" i="19"/>
  <c r="N55" i="19"/>
  <c r="N103" i="19" s="1"/>
  <c r="P30" i="19"/>
  <c r="Q30" i="19"/>
  <c r="O30" i="19"/>
  <c r="U30" i="19"/>
  <c r="T30" i="19"/>
  <c r="S30" i="19"/>
  <c r="R55" i="19"/>
  <c r="R103" i="19" s="1"/>
  <c r="V55" i="19"/>
  <c r="V103" i="19" s="1"/>
  <c r="X30" i="19"/>
  <c r="W30" i="19"/>
  <c r="Y30" i="19"/>
  <c r="C104" i="19"/>
  <c r="E79" i="19"/>
  <c r="C56" i="19"/>
  <c r="D79" i="19"/>
  <c r="G104" i="19"/>
  <c r="I79" i="19"/>
  <c r="G56" i="19"/>
  <c r="F31" i="19"/>
  <c r="H79" i="19"/>
  <c r="K104" i="19"/>
  <c r="K56" i="19"/>
  <c r="J31" i="19"/>
  <c r="M79" i="19"/>
  <c r="L79" i="19"/>
  <c r="O56" i="19"/>
  <c r="N31" i="19"/>
  <c r="O104" i="19"/>
  <c r="Q79" i="19"/>
  <c r="P79" i="19"/>
  <c r="U79" i="19"/>
  <c r="S104" i="19"/>
  <c r="T79" i="19"/>
  <c r="S56" i="19"/>
  <c r="R31" i="19"/>
  <c r="V31" i="19"/>
  <c r="W104" i="19"/>
  <c r="Y79" i="19"/>
  <c r="X79" i="19"/>
  <c r="W56" i="19"/>
  <c r="B80" i="19"/>
  <c r="D105" i="19"/>
  <c r="E128" i="19"/>
  <c r="D57" i="19"/>
  <c r="C80" i="19"/>
  <c r="G80" i="19"/>
  <c r="H105" i="19"/>
  <c r="I128" i="19"/>
  <c r="F80" i="19"/>
  <c r="H57" i="19"/>
  <c r="L105" i="19"/>
  <c r="K80" i="19"/>
  <c r="J80" i="19"/>
  <c r="M128" i="19"/>
  <c r="L57" i="19"/>
  <c r="O80" i="19"/>
  <c r="Q128" i="19"/>
  <c r="N80" i="19"/>
  <c r="P105" i="19"/>
  <c r="P57" i="19"/>
  <c r="R80" i="19"/>
  <c r="T105" i="19"/>
  <c r="U128" i="19"/>
  <c r="S80" i="19"/>
  <c r="T57" i="19"/>
  <c r="Y128" i="19"/>
  <c r="V80" i="19"/>
  <c r="X105" i="19"/>
  <c r="W80" i="19"/>
  <c r="X57" i="19"/>
  <c r="B129" i="19"/>
  <c r="D129" i="19"/>
  <c r="E58" i="19"/>
  <c r="E106" i="19"/>
  <c r="C129" i="19"/>
  <c r="F129" i="19"/>
  <c r="H129" i="19"/>
  <c r="I106" i="19"/>
  <c r="I58" i="19"/>
  <c r="G129" i="19"/>
  <c r="J129" i="19"/>
  <c r="L129" i="19"/>
  <c r="M106" i="19"/>
  <c r="K129" i="19"/>
  <c r="M58" i="19"/>
  <c r="N129" i="19"/>
  <c r="P129" i="19"/>
  <c r="Q106" i="19"/>
  <c r="Q58" i="19"/>
  <c r="O129" i="19"/>
  <c r="R129" i="19"/>
  <c r="T129" i="19"/>
  <c r="U58" i="19"/>
  <c r="S129" i="19"/>
  <c r="U106" i="19"/>
  <c r="BX11" i="19"/>
  <c r="BY11" i="19" s="1"/>
  <c r="E34" i="19"/>
  <c r="D34" i="19"/>
  <c r="G34" i="19"/>
  <c r="F59" i="19"/>
  <c r="F107" i="19" s="1"/>
  <c r="I34" i="19"/>
  <c r="H34" i="19"/>
  <c r="K34" i="19"/>
  <c r="J59" i="19"/>
  <c r="J107" i="19" s="1"/>
  <c r="L34" i="19"/>
  <c r="M34" i="19"/>
  <c r="N59" i="19"/>
  <c r="N107" i="19" s="1"/>
  <c r="P34" i="19"/>
  <c r="Q34" i="19"/>
  <c r="O34" i="19"/>
  <c r="U34" i="19"/>
  <c r="T34" i="19"/>
  <c r="S34" i="19"/>
  <c r="R59" i="19"/>
  <c r="R107" i="19" s="1"/>
  <c r="V59" i="19"/>
  <c r="V107" i="19" s="1"/>
  <c r="X34" i="19"/>
  <c r="Y34" i="19"/>
  <c r="W34" i="19"/>
  <c r="C60" i="19"/>
  <c r="E83" i="19"/>
  <c r="D83" i="19"/>
  <c r="C108" i="19"/>
  <c r="G108" i="19"/>
  <c r="I83" i="19"/>
  <c r="G60" i="19"/>
  <c r="F35" i="19"/>
  <c r="H83" i="19"/>
  <c r="K108" i="19"/>
  <c r="K60" i="19"/>
  <c r="J35" i="19"/>
  <c r="M83" i="19"/>
  <c r="L83" i="19"/>
  <c r="O60" i="19"/>
  <c r="N35" i="19"/>
  <c r="O108" i="19"/>
  <c r="Q83" i="19"/>
  <c r="P83" i="19"/>
  <c r="S108" i="19"/>
  <c r="U83" i="19"/>
  <c r="T83" i="19"/>
  <c r="S60" i="19"/>
  <c r="R35" i="19"/>
  <c r="W108" i="19"/>
  <c r="V35" i="19"/>
  <c r="Y83" i="19"/>
  <c r="W60" i="19"/>
  <c r="X83" i="19"/>
  <c r="D109" i="19"/>
  <c r="E132" i="19"/>
  <c r="C84" i="19"/>
  <c r="D61" i="19"/>
  <c r="G84" i="19"/>
  <c r="H109" i="19"/>
  <c r="I132" i="19"/>
  <c r="F84" i="19"/>
  <c r="H61" i="19"/>
  <c r="L109" i="19"/>
  <c r="K84" i="19"/>
  <c r="J84" i="19"/>
  <c r="M132" i="19"/>
  <c r="L61" i="19"/>
  <c r="O84" i="19"/>
  <c r="Q132" i="19"/>
  <c r="N84" i="19"/>
  <c r="P109" i="19"/>
  <c r="P61" i="19"/>
  <c r="R84" i="19"/>
  <c r="U132" i="19"/>
  <c r="T109" i="19"/>
  <c r="S84" i="19"/>
  <c r="T61" i="19"/>
  <c r="Y132" i="19"/>
  <c r="V84" i="19"/>
  <c r="X109" i="19"/>
  <c r="W84" i="19"/>
  <c r="X61" i="19"/>
  <c r="B133" i="19"/>
  <c r="D133" i="19"/>
  <c r="E62" i="19"/>
  <c r="E110" i="19"/>
  <c r="C133" i="19"/>
  <c r="G133" i="19"/>
  <c r="F133" i="19"/>
  <c r="H133" i="19"/>
  <c r="I110" i="19"/>
  <c r="I62" i="19"/>
  <c r="J133" i="19"/>
  <c r="L133" i="19"/>
  <c r="M110" i="19"/>
  <c r="K133" i="19"/>
  <c r="M62" i="19"/>
  <c r="N133" i="19"/>
  <c r="P133" i="19"/>
  <c r="Q110" i="19"/>
  <c r="Q62" i="19"/>
  <c r="O133" i="19"/>
  <c r="R133" i="19"/>
  <c r="T133" i="19"/>
  <c r="S133" i="19"/>
  <c r="U62" i="19"/>
  <c r="U110" i="19"/>
  <c r="BX15" i="19"/>
  <c r="BY15" i="19" s="1"/>
  <c r="E38" i="19"/>
  <c r="D38" i="19"/>
  <c r="G38" i="19"/>
  <c r="F63" i="19"/>
  <c r="F111" i="19" s="1"/>
  <c r="I38" i="19"/>
  <c r="H38" i="19"/>
  <c r="K38" i="19"/>
  <c r="J63" i="19"/>
  <c r="J111" i="19" s="1"/>
  <c r="M38" i="19"/>
  <c r="L38" i="19"/>
  <c r="N63" i="19"/>
  <c r="N111" i="19" s="1"/>
  <c r="P38" i="19"/>
  <c r="Q38" i="19"/>
  <c r="O38" i="19"/>
  <c r="U38" i="19"/>
  <c r="S38" i="19"/>
  <c r="T38" i="19"/>
  <c r="R63" i="19"/>
  <c r="R111" i="19" s="1"/>
  <c r="V63" i="19"/>
  <c r="V111" i="19" s="1"/>
  <c r="X38" i="19"/>
  <c r="W38" i="19"/>
  <c r="Y38" i="19"/>
  <c r="C112" i="19"/>
  <c r="E87" i="19"/>
  <c r="D87" i="19"/>
  <c r="C64" i="19"/>
  <c r="G112" i="19"/>
  <c r="I87" i="19"/>
  <c r="G64" i="19"/>
  <c r="F39" i="19"/>
  <c r="H87" i="19"/>
  <c r="K112" i="19"/>
  <c r="K64" i="19"/>
  <c r="J39" i="19"/>
  <c r="M87" i="19"/>
  <c r="L87" i="19"/>
  <c r="O64" i="19"/>
  <c r="N39" i="19"/>
  <c r="O112" i="19"/>
  <c r="Q87" i="19"/>
  <c r="P87" i="19"/>
  <c r="U87" i="19"/>
  <c r="T87" i="19"/>
  <c r="S112" i="19"/>
  <c r="S64" i="19"/>
  <c r="R39" i="19"/>
  <c r="V39" i="19"/>
  <c r="W112" i="19"/>
  <c r="Y87" i="19"/>
  <c r="W64" i="19"/>
  <c r="X87" i="19"/>
  <c r="C88" i="19"/>
  <c r="D113" i="19"/>
  <c r="E136" i="19"/>
  <c r="D65" i="19"/>
  <c r="G88" i="19"/>
  <c r="H113" i="19"/>
  <c r="I136" i="19"/>
  <c r="F88" i="19"/>
  <c r="H65" i="19"/>
  <c r="L113" i="19"/>
  <c r="K88" i="19"/>
  <c r="J88" i="19"/>
  <c r="M136" i="19"/>
  <c r="L65" i="19"/>
  <c r="O88" i="19"/>
  <c r="Q136" i="19"/>
  <c r="N88" i="19"/>
  <c r="P113" i="19"/>
  <c r="P65" i="19"/>
  <c r="R88" i="19"/>
  <c r="T113" i="19"/>
  <c r="U136" i="19"/>
  <c r="S88" i="19"/>
  <c r="T65" i="19"/>
  <c r="Y136" i="19"/>
  <c r="V88" i="19"/>
  <c r="X113" i="19"/>
  <c r="W88" i="19"/>
  <c r="X65" i="19"/>
  <c r="B137" i="19"/>
  <c r="D137" i="19"/>
  <c r="E66" i="19"/>
  <c r="E114" i="19"/>
  <c r="C137" i="19"/>
  <c r="G137" i="19"/>
  <c r="F137" i="19"/>
  <c r="H137" i="19"/>
  <c r="I114" i="19"/>
  <c r="I66" i="19"/>
  <c r="J137" i="19"/>
  <c r="L137" i="19"/>
  <c r="M114" i="19"/>
  <c r="K137" i="19"/>
  <c r="M66" i="19"/>
  <c r="N137" i="19"/>
  <c r="P137" i="19"/>
  <c r="Q114" i="19"/>
  <c r="Q66" i="19"/>
  <c r="O137" i="19"/>
  <c r="R137" i="19"/>
  <c r="T137" i="19"/>
  <c r="U114" i="19"/>
  <c r="S137" i="19"/>
  <c r="U66" i="19"/>
  <c r="BX19" i="19"/>
  <c r="BY19" i="19" s="1"/>
  <c r="E42" i="19"/>
  <c r="D42" i="19"/>
  <c r="G42" i="19"/>
  <c r="F67" i="19"/>
  <c r="F115" i="19" s="1"/>
  <c r="I42" i="19"/>
  <c r="H42" i="19"/>
  <c r="K42" i="19"/>
  <c r="J67" i="19"/>
  <c r="J115" i="19" s="1"/>
  <c r="M42" i="19"/>
  <c r="L42" i="19"/>
  <c r="N67" i="19"/>
  <c r="N115" i="19" s="1"/>
  <c r="P42" i="19"/>
  <c r="Q42" i="19"/>
  <c r="O42" i="19"/>
  <c r="R67" i="19"/>
  <c r="R115" i="19" s="1"/>
  <c r="U42" i="19"/>
  <c r="S42" i="19"/>
  <c r="T42" i="19"/>
  <c r="V67" i="19"/>
  <c r="V115" i="19" s="1"/>
  <c r="X42" i="19"/>
  <c r="Y42" i="19"/>
  <c r="W42" i="19"/>
  <c r="E91" i="19"/>
  <c r="C68" i="19"/>
  <c r="D91" i="19"/>
  <c r="C116" i="19"/>
  <c r="G116" i="19"/>
  <c r="I91" i="19"/>
  <c r="G68" i="19"/>
  <c r="F43" i="19"/>
  <c r="H91" i="19"/>
  <c r="K116" i="19"/>
  <c r="K68" i="19"/>
  <c r="J43" i="19"/>
  <c r="M91" i="19"/>
  <c r="L91" i="19"/>
  <c r="O68" i="19"/>
  <c r="N43" i="19"/>
  <c r="O116" i="19"/>
  <c r="Q91" i="19"/>
  <c r="P91" i="19"/>
  <c r="U91" i="19"/>
  <c r="T91" i="19"/>
  <c r="S116" i="19"/>
  <c r="S68" i="19"/>
  <c r="R43" i="19"/>
  <c r="W116" i="19"/>
  <c r="V43" i="19"/>
  <c r="W68" i="19"/>
  <c r="Y91" i="19"/>
  <c r="X91" i="19"/>
  <c r="B92" i="19"/>
  <c r="D117" i="19"/>
  <c r="E140" i="19"/>
  <c r="C92" i="19"/>
  <c r="D69" i="19"/>
  <c r="G92" i="19"/>
  <c r="H117" i="19"/>
  <c r="I140" i="19"/>
  <c r="H69" i="19"/>
  <c r="F92" i="19"/>
  <c r="L117" i="19"/>
  <c r="K92" i="19"/>
  <c r="J92" i="19"/>
  <c r="M140" i="19"/>
  <c r="L69" i="19"/>
  <c r="O92" i="19"/>
  <c r="Q140" i="19"/>
  <c r="N92" i="19"/>
  <c r="P117" i="19"/>
  <c r="P69" i="19"/>
  <c r="R92" i="19"/>
  <c r="U140" i="19"/>
  <c r="T117" i="19"/>
  <c r="S92" i="19"/>
  <c r="T69" i="19"/>
  <c r="X117" i="19"/>
  <c r="Y140" i="19"/>
  <c r="V92" i="19"/>
  <c r="W92" i="19"/>
  <c r="X69" i="19"/>
  <c r="B141" i="19"/>
  <c r="D141" i="19"/>
  <c r="E70" i="19"/>
  <c r="E118" i="19"/>
  <c r="C141" i="19"/>
  <c r="G141" i="19"/>
  <c r="F141" i="19"/>
  <c r="H141" i="19"/>
  <c r="I118" i="19"/>
  <c r="I70" i="19"/>
  <c r="J141" i="19"/>
  <c r="L141" i="19"/>
  <c r="M118" i="19"/>
  <c r="K141" i="19"/>
  <c r="M70" i="19"/>
  <c r="N141" i="19"/>
  <c r="P141" i="19"/>
  <c r="Q118" i="19"/>
  <c r="Q70" i="19"/>
  <c r="O141" i="19"/>
  <c r="R141" i="19"/>
  <c r="T141" i="19"/>
  <c r="U118" i="19"/>
  <c r="S141" i="19"/>
  <c r="U70" i="19"/>
  <c r="BX23" i="19"/>
  <c r="BY23" i="19" s="1"/>
  <c r="E46" i="19"/>
  <c r="D46" i="19"/>
  <c r="G46" i="19"/>
  <c r="F71" i="19"/>
  <c r="F119" i="19" s="1"/>
  <c r="I46" i="19"/>
  <c r="H46" i="19"/>
  <c r="K46" i="19"/>
  <c r="J71" i="19"/>
  <c r="J119" i="19" s="1"/>
  <c r="M46" i="19"/>
  <c r="L46" i="19"/>
  <c r="O46" i="19"/>
  <c r="N71" i="19"/>
  <c r="N119" i="19" s="1"/>
  <c r="P46" i="19"/>
  <c r="Q46" i="19"/>
  <c r="R71" i="19"/>
  <c r="R119" i="19" s="1"/>
  <c r="U46" i="19"/>
  <c r="S46" i="19"/>
  <c r="T46" i="19"/>
  <c r="V71" i="19"/>
  <c r="V119" i="19" s="1"/>
  <c r="X46" i="19"/>
  <c r="Y46" i="19"/>
  <c r="W46" i="19"/>
  <c r="C120" i="19"/>
  <c r="E95" i="19"/>
  <c r="C72" i="19"/>
  <c r="D95" i="19"/>
  <c r="G120" i="19"/>
  <c r="I95" i="19"/>
  <c r="G72" i="19"/>
  <c r="F47" i="19"/>
  <c r="H95" i="19"/>
  <c r="K120" i="19"/>
  <c r="K72" i="19"/>
  <c r="J47" i="19"/>
  <c r="M95" i="19"/>
  <c r="L95" i="19"/>
  <c r="O72" i="19"/>
  <c r="N47" i="19"/>
  <c r="O120" i="19"/>
  <c r="Q95" i="19"/>
  <c r="P95" i="19"/>
  <c r="S120" i="19"/>
  <c r="U95" i="19"/>
  <c r="T95" i="19"/>
  <c r="S72" i="19"/>
  <c r="R47" i="19"/>
  <c r="W120" i="19"/>
  <c r="V47" i="19"/>
  <c r="X95" i="19"/>
  <c r="W72" i="19"/>
  <c r="Y95" i="19"/>
  <c r="D121" i="19"/>
  <c r="E144" i="19"/>
  <c r="D73" i="19"/>
  <c r="C96" i="19"/>
  <c r="G96" i="19"/>
  <c r="H121" i="19"/>
  <c r="I144" i="19"/>
  <c r="H73" i="19"/>
  <c r="F96" i="19"/>
  <c r="L121" i="19"/>
  <c r="K96" i="19"/>
  <c r="J96" i="19"/>
  <c r="M144" i="19"/>
  <c r="L73" i="19"/>
  <c r="O96" i="19"/>
  <c r="Q144" i="19"/>
  <c r="N96" i="19"/>
  <c r="P121" i="19"/>
  <c r="P73" i="19"/>
  <c r="T121" i="19"/>
  <c r="R96" i="19"/>
  <c r="U144" i="19"/>
  <c r="S96" i="19"/>
  <c r="T73" i="19"/>
  <c r="X121" i="19"/>
  <c r="Y144" i="19"/>
  <c r="V96" i="19"/>
  <c r="W96" i="19"/>
  <c r="X73" i="19"/>
  <c r="G26" i="19"/>
  <c r="F51" i="19"/>
  <c r="F99" i="19" s="1"/>
  <c r="I26" i="19"/>
  <c r="H26" i="19"/>
  <c r="N51" i="19"/>
  <c r="N99" i="19" s="1"/>
  <c r="P26" i="19"/>
  <c r="Q26" i="19"/>
  <c r="O26" i="19"/>
  <c r="U26" i="19"/>
  <c r="T26" i="19"/>
  <c r="R51" i="19"/>
  <c r="R99" i="19" s="1"/>
  <c r="S26" i="19"/>
  <c r="V51" i="19"/>
  <c r="V99" i="19" s="1"/>
  <c r="X26" i="19"/>
  <c r="Y26" i="19"/>
  <c r="W26" i="19"/>
  <c r="E74" i="19"/>
  <c r="D74" i="19"/>
  <c r="C99" i="19"/>
  <c r="C51" i="19"/>
  <c r="I74" i="19"/>
  <c r="G99" i="19"/>
  <c r="G51" i="19"/>
  <c r="F26" i="19"/>
  <c r="H74" i="19"/>
  <c r="K51" i="19"/>
  <c r="K99" i="19"/>
  <c r="J26" i="19"/>
  <c r="M74" i="19"/>
  <c r="L74" i="19"/>
  <c r="O51" i="19"/>
  <c r="O99" i="19"/>
  <c r="N26" i="19"/>
  <c r="Q74" i="19"/>
  <c r="P74" i="19"/>
  <c r="S99" i="19"/>
  <c r="T74" i="19"/>
  <c r="S51" i="19"/>
  <c r="U74" i="19"/>
  <c r="R26" i="19"/>
  <c r="W99" i="19"/>
  <c r="W51" i="19"/>
  <c r="V26" i="19"/>
  <c r="Y74" i="19"/>
  <c r="X74" i="19"/>
  <c r="D52" i="19"/>
  <c r="E123" i="19"/>
  <c r="D100" i="19"/>
  <c r="C75" i="19"/>
  <c r="G75" i="19"/>
  <c r="F75" i="19"/>
  <c r="I123" i="19"/>
  <c r="H100" i="19"/>
  <c r="H52" i="19"/>
  <c r="M123" i="19"/>
  <c r="K75" i="19"/>
  <c r="L100" i="19"/>
  <c r="J75" i="19"/>
  <c r="L52" i="19"/>
  <c r="O75" i="19"/>
  <c r="Q123" i="19"/>
  <c r="P100" i="19"/>
  <c r="N75" i="19"/>
  <c r="P52" i="19"/>
  <c r="T100" i="19"/>
  <c r="R75" i="19"/>
  <c r="U123" i="19"/>
  <c r="S75" i="19"/>
  <c r="T52" i="19"/>
  <c r="Y123" i="19"/>
  <c r="X100" i="19"/>
  <c r="V75" i="19"/>
  <c r="W75" i="19"/>
  <c r="X52" i="19"/>
  <c r="B124" i="19"/>
  <c r="D124" i="19"/>
  <c r="E53" i="19"/>
  <c r="E101" i="19"/>
  <c r="C124" i="19"/>
  <c r="F124" i="19"/>
  <c r="H124" i="19"/>
  <c r="I101" i="19"/>
  <c r="G124" i="19"/>
  <c r="I53" i="19"/>
  <c r="J124" i="19"/>
  <c r="L124" i="19"/>
  <c r="M101" i="19"/>
  <c r="M53" i="19"/>
  <c r="K124" i="19"/>
  <c r="N124" i="19"/>
  <c r="Q101" i="19"/>
  <c r="P124" i="19"/>
  <c r="Q53" i="19"/>
  <c r="O124" i="19"/>
  <c r="R124" i="19"/>
  <c r="T124" i="19"/>
  <c r="S124" i="19"/>
  <c r="U101" i="19"/>
  <c r="U53" i="19"/>
  <c r="BX6" i="19"/>
  <c r="BY6" i="19" s="1"/>
  <c r="D29" i="19"/>
  <c r="E29" i="19"/>
  <c r="G29" i="19"/>
  <c r="F54" i="19"/>
  <c r="F102" i="19" s="1"/>
  <c r="I29" i="19"/>
  <c r="H29" i="19"/>
  <c r="K29" i="19"/>
  <c r="J54" i="19"/>
  <c r="J102" i="19" s="1"/>
  <c r="L29" i="19"/>
  <c r="M29" i="19"/>
  <c r="N54" i="19"/>
  <c r="N102" i="19" s="1"/>
  <c r="P29" i="19"/>
  <c r="Q29" i="19"/>
  <c r="O29" i="19"/>
  <c r="U29" i="19"/>
  <c r="T29" i="19"/>
  <c r="R54" i="19"/>
  <c r="R102" i="19" s="1"/>
  <c r="S29" i="19"/>
  <c r="V54" i="19"/>
  <c r="V102" i="19" s="1"/>
  <c r="X29" i="19"/>
  <c r="W29" i="19"/>
  <c r="Y29" i="19"/>
  <c r="E78" i="19"/>
  <c r="D78" i="19"/>
  <c r="C103" i="19"/>
  <c r="C55" i="19"/>
  <c r="I78" i="19"/>
  <c r="G55" i="19"/>
  <c r="H78" i="19"/>
  <c r="F30" i="19"/>
  <c r="G103" i="19"/>
  <c r="K103" i="19"/>
  <c r="K55" i="19"/>
  <c r="J30" i="19"/>
  <c r="M78" i="19"/>
  <c r="L78" i="19"/>
  <c r="O55" i="19"/>
  <c r="O103" i="19"/>
  <c r="N30" i="19"/>
  <c r="Q78" i="19"/>
  <c r="P78" i="19"/>
  <c r="S103" i="19"/>
  <c r="T78" i="19"/>
  <c r="S55" i="19"/>
  <c r="U78" i="19"/>
  <c r="R30" i="19"/>
  <c r="W103" i="19"/>
  <c r="W55" i="19"/>
  <c r="V30" i="19"/>
  <c r="Y78" i="19"/>
  <c r="X78" i="19"/>
  <c r="B79" i="19"/>
  <c r="D56" i="19"/>
  <c r="E127" i="19"/>
  <c r="D104" i="19"/>
  <c r="C79" i="19"/>
  <c r="G79" i="19"/>
  <c r="H104" i="19"/>
  <c r="F79" i="19"/>
  <c r="I127" i="19"/>
  <c r="H56" i="19"/>
  <c r="M127" i="19"/>
  <c r="K79" i="19"/>
  <c r="J79" i="19"/>
  <c r="L104" i="19"/>
  <c r="L56" i="19"/>
  <c r="O79" i="19"/>
  <c r="Q127" i="19"/>
  <c r="P104" i="19"/>
  <c r="N79" i="19"/>
  <c r="P56" i="19"/>
  <c r="T104" i="19"/>
  <c r="R79" i="19"/>
  <c r="U127" i="19"/>
  <c r="S79" i="19"/>
  <c r="T56" i="19"/>
  <c r="Y127" i="19"/>
  <c r="X104" i="19"/>
  <c r="V79" i="19"/>
  <c r="W79" i="19"/>
  <c r="X56" i="19"/>
  <c r="B128" i="19"/>
  <c r="C128" i="19"/>
  <c r="D128" i="19"/>
  <c r="E57" i="19"/>
  <c r="E105" i="19"/>
  <c r="F128" i="19"/>
  <c r="H128" i="19"/>
  <c r="G128" i="19"/>
  <c r="I105" i="19"/>
  <c r="I57" i="19"/>
  <c r="J128" i="19"/>
  <c r="L128" i="19"/>
  <c r="M105" i="19"/>
  <c r="M57" i="19"/>
  <c r="K128" i="19"/>
  <c r="N128" i="19"/>
  <c r="Q105" i="19"/>
  <c r="P128" i="19"/>
  <c r="Q57" i="19"/>
  <c r="O128" i="19"/>
  <c r="R128" i="19"/>
  <c r="T128" i="19"/>
  <c r="S128" i="19"/>
  <c r="U105" i="19"/>
  <c r="U57" i="19"/>
  <c r="BX10" i="19"/>
  <c r="BY10" i="19" s="1"/>
  <c r="E33" i="19"/>
  <c r="D33" i="19"/>
  <c r="G33" i="19"/>
  <c r="F58" i="19"/>
  <c r="F106" i="19" s="1"/>
  <c r="I33" i="19"/>
  <c r="H33" i="19"/>
  <c r="K33" i="19"/>
  <c r="J58" i="19"/>
  <c r="J106" i="19" s="1"/>
  <c r="L33" i="19"/>
  <c r="M33" i="19"/>
  <c r="N58" i="19"/>
  <c r="N106" i="19" s="1"/>
  <c r="P33" i="19"/>
  <c r="Q33" i="19"/>
  <c r="O33" i="19"/>
  <c r="U33" i="19"/>
  <c r="T33" i="19"/>
  <c r="R58" i="19"/>
  <c r="R106" i="19" s="1"/>
  <c r="S33" i="19"/>
  <c r="V58" i="19"/>
  <c r="V106" i="19" s="1"/>
  <c r="X33" i="19"/>
  <c r="W33" i="19"/>
  <c r="Y33" i="19"/>
  <c r="E82" i="19"/>
  <c r="D82" i="19"/>
  <c r="C107" i="19"/>
  <c r="C59" i="19"/>
  <c r="I82" i="19"/>
  <c r="G107" i="19"/>
  <c r="G59" i="19"/>
  <c r="H82" i="19"/>
  <c r="F34" i="19"/>
  <c r="K59" i="19"/>
  <c r="J34" i="19"/>
  <c r="K107" i="19"/>
  <c r="M82" i="19"/>
  <c r="L82" i="19"/>
  <c r="O59" i="19"/>
  <c r="O107" i="19"/>
  <c r="N34" i="19"/>
  <c r="Q82" i="19"/>
  <c r="P82" i="19"/>
  <c r="S107" i="19"/>
  <c r="T82" i="19"/>
  <c r="S59" i="19"/>
  <c r="U82" i="19"/>
  <c r="R34" i="19"/>
  <c r="W107" i="19"/>
  <c r="W59" i="19"/>
  <c r="V34" i="19"/>
  <c r="Y82" i="19"/>
  <c r="X82" i="19"/>
  <c r="B83" i="19"/>
  <c r="D60" i="19"/>
  <c r="E131" i="19"/>
  <c r="D108" i="19"/>
  <c r="C83" i="19"/>
  <c r="G83" i="19"/>
  <c r="F83" i="19"/>
  <c r="I131" i="19"/>
  <c r="H108" i="19"/>
  <c r="H60" i="19"/>
  <c r="M131" i="19"/>
  <c r="L108" i="19"/>
  <c r="K83" i="19"/>
  <c r="J83" i="19"/>
  <c r="L60" i="19"/>
  <c r="O83" i="19"/>
  <c r="Q131" i="19"/>
  <c r="P108" i="19"/>
  <c r="N83" i="19"/>
  <c r="P60" i="19"/>
  <c r="T108" i="19"/>
  <c r="R83" i="19"/>
  <c r="U131" i="19"/>
  <c r="S83" i="19"/>
  <c r="T60" i="19"/>
  <c r="Y131" i="19"/>
  <c r="X108" i="19"/>
  <c r="V83" i="19"/>
  <c r="W83" i="19"/>
  <c r="X60" i="19"/>
  <c r="B132" i="19"/>
  <c r="D132" i="19"/>
  <c r="E61" i="19"/>
  <c r="E109" i="19"/>
  <c r="C132" i="19"/>
  <c r="G132" i="19"/>
  <c r="F132" i="19"/>
  <c r="H132" i="19"/>
  <c r="I109" i="19"/>
  <c r="I61" i="19"/>
  <c r="J132" i="19"/>
  <c r="L132" i="19"/>
  <c r="M109" i="19"/>
  <c r="M61" i="19"/>
  <c r="K132" i="19"/>
  <c r="N132" i="19"/>
  <c r="Q109" i="19"/>
  <c r="P132" i="19"/>
  <c r="Q61" i="19"/>
  <c r="O132" i="19"/>
  <c r="R132" i="19"/>
  <c r="T132" i="19"/>
  <c r="S132" i="19"/>
  <c r="U109" i="19"/>
  <c r="U61" i="19"/>
  <c r="BX14" i="19"/>
  <c r="BY14" i="19" s="1"/>
  <c r="E37" i="19"/>
  <c r="D37" i="19"/>
  <c r="G37" i="19"/>
  <c r="F62" i="19"/>
  <c r="F110" i="19" s="1"/>
  <c r="I37" i="19"/>
  <c r="H37" i="19"/>
  <c r="K37" i="19"/>
  <c r="J62" i="19"/>
  <c r="J110" i="19" s="1"/>
  <c r="L37" i="19"/>
  <c r="M37" i="19"/>
  <c r="N62" i="19"/>
  <c r="N110" i="19" s="1"/>
  <c r="P37" i="19"/>
  <c r="Q37" i="19"/>
  <c r="O37" i="19"/>
  <c r="U37" i="19"/>
  <c r="S37" i="19"/>
  <c r="R62" i="19"/>
  <c r="R110" i="19" s="1"/>
  <c r="T37" i="19"/>
  <c r="V62" i="19"/>
  <c r="V110" i="19" s="1"/>
  <c r="X37" i="19"/>
  <c r="W37" i="19"/>
  <c r="Y37" i="19"/>
  <c r="E86" i="19"/>
  <c r="D86" i="19"/>
  <c r="C111" i="19"/>
  <c r="C63" i="19"/>
  <c r="I86" i="19"/>
  <c r="G63" i="19"/>
  <c r="H86" i="19"/>
  <c r="F38" i="19"/>
  <c r="G111" i="19"/>
  <c r="K111" i="19"/>
  <c r="K63" i="19"/>
  <c r="J38" i="19"/>
  <c r="M86" i="19"/>
  <c r="L86" i="19"/>
  <c r="O63" i="19"/>
  <c r="O111" i="19"/>
  <c r="N38" i="19"/>
  <c r="Q86" i="19"/>
  <c r="P86" i="19"/>
  <c r="S111" i="19"/>
  <c r="T86" i="19"/>
  <c r="S63" i="19"/>
  <c r="U86" i="19"/>
  <c r="R38" i="19"/>
  <c r="W111" i="19"/>
  <c r="W63" i="19"/>
  <c r="V38" i="19"/>
  <c r="Y86" i="19"/>
  <c r="X86" i="19"/>
  <c r="B87" i="19"/>
  <c r="D64" i="19"/>
  <c r="E135" i="19"/>
  <c r="D112" i="19"/>
  <c r="C87" i="19"/>
  <c r="G87" i="19"/>
  <c r="H112" i="19"/>
  <c r="F87" i="19"/>
  <c r="I135" i="19"/>
  <c r="H64" i="19"/>
  <c r="M135" i="19"/>
  <c r="K87" i="19"/>
  <c r="J87" i="19"/>
  <c r="L112" i="19"/>
  <c r="L64" i="19"/>
  <c r="O87" i="19"/>
  <c r="Q135" i="19"/>
  <c r="P112" i="19"/>
  <c r="N87" i="19"/>
  <c r="P64" i="19"/>
  <c r="T112" i="19"/>
  <c r="R87" i="19"/>
  <c r="U135" i="19"/>
  <c r="S87" i="19"/>
  <c r="T64" i="19"/>
  <c r="Y135" i="19"/>
  <c r="X112" i="19"/>
  <c r="V87" i="19"/>
  <c r="W87" i="19"/>
  <c r="X64" i="19"/>
  <c r="B136" i="19"/>
  <c r="C136" i="19"/>
  <c r="D136" i="19"/>
  <c r="E65" i="19"/>
  <c r="E113" i="19"/>
  <c r="G136" i="19"/>
  <c r="F136" i="19"/>
  <c r="H136" i="19"/>
  <c r="I113" i="19"/>
  <c r="I65" i="19"/>
  <c r="J136" i="19"/>
  <c r="L136" i="19"/>
  <c r="M113" i="19"/>
  <c r="M65" i="19"/>
  <c r="K136" i="19"/>
  <c r="N136" i="19"/>
  <c r="Q113" i="19"/>
  <c r="P136" i="19"/>
  <c r="Q65" i="19"/>
  <c r="O136" i="19"/>
  <c r="R136" i="19"/>
  <c r="T136" i="19"/>
  <c r="S136" i="19"/>
  <c r="U113" i="19"/>
  <c r="U65" i="19"/>
  <c r="BX18" i="19"/>
  <c r="BY18" i="19" s="1"/>
  <c r="D41" i="19"/>
  <c r="E41" i="19"/>
  <c r="G41" i="19"/>
  <c r="F66" i="19"/>
  <c r="F114" i="19" s="1"/>
  <c r="I41" i="19"/>
  <c r="H41" i="19"/>
  <c r="K41" i="19"/>
  <c r="J66" i="19"/>
  <c r="J114" i="19" s="1"/>
  <c r="M41" i="19"/>
  <c r="L41" i="19"/>
  <c r="N66" i="19"/>
  <c r="N114" i="19" s="1"/>
  <c r="P41" i="19"/>
  <c r="Q41" i="19"/>
  <c r="O41" i="19"/>
  <c r="R66" i="19"/>
  <c r="R114" i="19" s="1"/>
  <c r="U41" i="19"/>
  <c r="S41" i="19"/>
  <c r="T41" i="19"/>
  <c r="V66" i="19"/>
  <c r="V114" i="19" s="1"/>
  <c r="X41" i="19"/>
  <c r="W41" i="19"/>
  <c r="Y41" i="19"/>
  <c r="E90" i="19"/>
  <c r="D90" i="19"/>
  <c r="C115" i="19"/>
  <c r="C67" i="19"/>
  <c r="I90" i="19"/>
  <c r="G115" i="19"/>
  <c r="G67" i="19"/>
  <c r="H90" i="19"/>
  <c r="F42" i="19"/>
  <c r="K67" i="19"/>
  <c r="J42" i="19"/>
  <c r="K115" i="19"/>
  <c r="M90" i="19"/>
  <c r="L90" i="19"/>
  <c r="O67" i="19"/>
  <c r="O115" i="19"/>
  <c r="N42" i="19"/>
  <c r="Q90" i="19"/>
  <c r="P90" i="19"/>
  <c r="S115" i="19"/>
  <c r="T90" i="19"/>
  <c r="S67" i="19"/>
  <c r="U90" i="19"/>
  <c r="R42" i="19"/>
  <c r="W115" i="19"/>
  <c r="W67" i="19"/>
  <c r="V42" i="19"/>
  <c r="Y90" i="19"/>
  <c r="X90" i="19"/>
  <c r="B91" i="19"/>
  <c r="D68" i="19"/>
  <c r="E139" i="19"/>
  <c r="D116" i="19"/>
  <c r="C91" i="19"/>
  <c r="G91" i="19"/>
  <c r="F91" i="19"/>
  <c r="H68" i="19"/>
  <c r="I139" i="19"/>
  <c r="H116" i="19"/>
  <c r="M139" i="19"/>
  <c r="L116" i="19"/>
  <c r="K91" i="19"/>
  <c r="J91" i="19"/>
  <c r="L68" i="19"/>
  <c r="O91" i="19"/>
  <c r="Q139" i="19"/>
  <c r="P116" i="19"/>
  <c r="N91" i="19"/>
  <c r="P68" i="19"/>
  <c r="T116" i="19"/>
  <c r="R91" i="19"/>
  <c r="U139" i="19"/>
  <c r="S91" i="19"/>
  <c r="T68" i="19"/>
  <c r="Y139" i="19"/>
  <c r="X116" i="19"/>
  <c r="V91" i="19"/>
  <c r="W91" i="19"/>
  <c r="X68" i="19"/>
  <c r="B140" i="19"/>
  <c r="D140" i="19"/>
  <c r="E69" i="19"/>
  <c r="E117" i="19"/>
  <c r="C140" i="19"/>
  <c r="G140" i="19"/>
  <c r="F140" i="19"/>
  <c r="H140" i="19"/>
  <c r="I69" i="19"/>
  <c r="I117" i="19"/>
  <c r="J140" i="19"/>
  <c r="L140" i="19"/>
  <c r="M117" i="19"/>
  <c r="M69" i="19"/>
  <c r="K140" i="19"/>
  <c r="N140" i="19"/>
  <c r="Q117" i="19"/>
  <c r="P140" i="19"/>
  <c r="Q69" i="19"/>
  <c r="O140" i="19"/>
  <c r="R140" i="19"/>
  <c r="T140" i="19"/>
  <c r="S140" i="19"/>
  <c r="U117" i="19"/>
  <c r="U69" i="19"/>
  <c r="BX22" i="19"/>
  <c r="BY22" i="19" s="1"/>
  <c r="E45" i="19"/>
  <c r="D45" i="19"/>
  <c r="F70" i="19"/>
  <c r="F118" i="19" s="1"/>
  <c r="G45" i="19"/>
  <c r="I45" i="19"/>
  <c r="H45" i="19"/>
  <c r="K45" i="19"/>
  <c r="J70" i="19"/>
  <c r="J118" i="19" s="1"/>
  <c r="M45" i="19"/>
  <c r="L45" i="19"/>
  <c r="O45" i="19"/>
  <c r="N70" i="19"/>
  <c r="N118" i="19" s="1"/>
  <c r="P45" i="19"/>
  <c r="Q45" i="19"/>
  <c r="R70" i="19"/>
  <c r="R118" i="19" s="1"/>
  <c r="U45" i="19"/>
  <c r="S45" i="19"/>
  <c r="T45" i="19"/>
  <c r="V70" i="19"/>
  <c r="V118" i="19" s="1"/>
  <c r="W45" i="19"/>
  <c r="Y45" i="19"/>
  <c r="X45" i="19"/>
  <c r="E94" i="19"/>
  <c r="D94" i="19"/>
  <c r="C119" i="19"/>
  <c r="C71" i="19"/>
  <c r="I94" i="19"/>
  <c r="G71" i="19"/>
  <c r="H94" i="19"/>
  <c r="F46" i="19"/>
  <c r="G119" i="19"/>
  <c r="K119" i="19"/>
  <c r="K71" i="19"/>
  <c r="J46" i="19"/>
  <c r="M94" i="19"/>
  <c r="L94" i="19"/>
  <c r="O71" i="19"/>
  <c r="O119" i="19"/>
  <c r="N46" i="19"/>
  <c r="Q94" i="19"/>
  <c r="P94" i="19"/>
  <c r="S119" i="19"/>
  <c r="T94" i="19"/>
  <c r="S71" i="19"/>
  <c r="U94" i="19"/>
  <c r="R46" i="19"/>
  <c r="W119" i="19"/>
  <c r="V46" i="19"/>
  <c r="W71" i="19"/>
  <c r="Y94" i="19"/>
  <c r="X94" i="19"/>
  <c r="B95" i="19"/>
  <c r="D72" i="19"/>
  <c r="E143" i="19"/>
  <c r="D120" i="19"/>
  <c r="C95" i="19"/>
  <c r="G95" i="19"/>
  <c r="H120" i="19"/>
  <c r="F95" i="19"/>
  <c r="H72" i="19"/>
  <c r="I143" i="19"/>
  <c r="M143" i="19"/>
  <c r="K95" i="19"/>
  <c r="J95" i="19"/>
  <c r="L120" i="19"/>
  <c r="L72" i="19"/>
  <c r="O95" i="19"/>
  <c r="Q143" i="19"/>
  <c r="P120" i="19"/>
  <c r="N95" i="19"/>
  <c r="P72" i="19"/>
  <c r="R95" i="19"/>
  <c r="U143" i="19"/>
  <c r="S95" i="19"/>
  <c r="T72" i="19"/>
  <c r="T120" i="19"/>
  <c r="Y143" i="19"/>
  <c r="X120" i="19"/>
  <c r="V95" i="19"/>
  <c r="W95" i="19"/>
  <c r="X72" i="19"/>
  <c r="B144" i="19"/>
  <c r="C144" i="19"/>
  <c r="D144" i="19"/>
  <c r="E73" i="19"/>
  <c r="E121" i="19"/>
  <c r="G144" i="19"/>
  <c r="F144" i="19"/>
  <c r="H144" i="19"/>
  <c r="I73" i="19"/>
  <c r="I121" i="19"/>
  <c r="J144" i="19"/>
  <c r="L144" i="19"/>
  <c r="M121" i="19"/>
  <c r="M73" i="19"/>
  <c r="K144" i="19"/>
  <c r="N144" i="19"/>
  <c r="Q121" i="19"/>
  <c r="P144" i="19"/>
  <c r="Q73" i="19"/>
  <c r="O144" i="19"/>
  <c r="R144" i="19"/>
  <c r="T144" i="19"/>
  <c r="S144" i="19"/>
  <c r="U121" i="19"/>
  <c r="U73" i="19"/>
  <c r="BX3" i="19"/>
  <c r="BY3" i="19" s="1"/>
  <c r="E26" i="19"/>
  <c r="D26" i="19"/>
  <c r="H99" i="19"/>
  <c r="I122" i="19"/>
  <c r="F74" i="19"/>
  <c r="G74" i="19"/>
  <c r="H51" i="19"/>
  <c r="P99" i="19"/>
  <c r="O74" i="19"/>
  <c r="Q122" i="19"/>
  <c r="N74" i="19"/>
  <c r="P51" i="19"/>
  <c r="B123" i="19"/>
  <c r="C123" i="19"/>
  <c r="D123" i="19"/>
  <c r="E100" i="19"/>
  <c r="E52" i="19"/>
  <c r="F123" i="19"/>
  <c r="I100" i="19"/>
  <c r="H123" i="19"/>
  <c r="I52" i="19"/>
  <c r="G123" i="19"/>
  <c r="J123" i="19"/>
  <c r="L123" i="19"/>
  <c r="M100" i="19"/>
  <c r="K123" i="19"/>
  <c r="M52" i="19"/>
  <c r="N123" i="19"/>
  <c r="Q100" i="19"/>
  <c r="P123" i="19"/>
  <c r="Q52" i="19"/>
  <c r="O123" i="19"/>
  <c r="R123" i="19"/>
  <c r="T123" i="19"/>
  <c r="U52" i="19"/>
  <c r="U100" i="19"/>
  <c r="S123" i="19"/>
  <c r="BX5" i="19"/>
  <c r="BY5" i="19" s="1"/>
  <c r="E28" i="19"/>
  <c r="D28" i="19"/>
  <c r="G28" i="19"/>
  <c r="F53" i="19"/>
  <c r="F101" i="19" s="1"/>
  <c r="I28" i="19"/>
  <c r="H28" i="19"/>
  <c r="K28" i="19"/>
  <c r="J53" i="19"/>
  <c r="J101" i="19" s="1"/>
  <c r="L28" i="19"/>
  <c r="M28" i="19"/>
  <c r="N53" i="19"/>
  <c r="N101" i="19" s="1"/>
  <c r="P28" i="19"/>
  <c r="Q28" i="19"/>
  <c r="O28" i="19"/>
  <c r="U28" i="19"/>
  <c r="S28" i="19"/>
  <c r="R53" i="19"/>
  <c r="R101" i="19" s="1"/>
  <c r="T28" i="19"/>
  <c r="V53" i="19"/>
  <c r="V101" i="19" s="1"/>
  <c r="X28" i="19"/>
  <c r="Y28" i="19"/>
  <c r="W28" i="19"/>
  <c r="E77" i="19"/>
  <c r="C102" i="19"/>
  <c r="D77" i="19"/>
  <c r="C54" i="19"/>
  <c r="G102" i="19"/>
  <c r="I77" i="19"/>
  <c r="G54" i="19"/>
  <c r="F29" i="19"/>
  <c r="H77" i="19"/>
  <c r="K102" i="19"/>
  <c r="K54" i="19"/>
  <c r="J29" i="19"/>
  <c r="M77" i="19"/>
  <c r="L77" i="19"/>
  <c r="O102" i="19"/>
  <c r="O54" i="19"/>
  <c r="N29" i="19"/>
  <c r="Q77" i="19"/>
  <c r="P77" i="19"/>
  <c r="S102" i="19"/>
  <c r="U77" i="19"/>
  <c r="S54" i="19"/>
  <c r="T77" i="19"/>
  <c r="R29" i="19"/>
  <c r="W102" i="19"/>
  <c r="Y77" i="19"/>
  <c r="V29" i="19"/>
  <c r="X77" i="19"/>
  <c r="W54" i="19"/>
  <c r="B78" i="19"/>
  <c r="E126" i="19"/>
  <c r="C78" i="19"/>
  <c r="D103" i="19"/>
  <c r="D55" i="19"/>
  <c r="H103" i="19"/>
  <c r="G78" i="19"/>
  <c r="I126" i="19"/>
  <c r="F78" i="19"/>
  <c r="H55" i="19"/>
  <c r="L103" i="19"/>
  <c r="K78" i="19"/>
  <c r="J78" i="19"/>
  <c r="M126" i="19"/>
  <c r="L55" i="19"/>
  <c r="P103" i="19"/>
  <c r="O78" i="19"/>
  <c r="Q126" i="19"/>
  <c r="N78" i="19"/>
  <c r="P55" i="19"/>
  <c r="R78" i="19"/>
  <c r="S78" i="19"/>
  <c r="U126" i="19"/>
  <c r="T103" i="19"/>
  <c r="T55" i="19"/>
  <c r="Y126" i="19"/>
  <c r="V78" i="19"/>
  <c r="X103" i="19"/>
  <c r="W78" i="19"/>
  <c r="X55" i="19"/>
  <c r="B127" i="19"/>
  <c r="C127" i="19"/>
  <c r="D127" i="19"/>
  <c r="E104" i="19"/>
  <c r="E56" i="19"/>
  <c r="F127" i="19"/>
  <c r="I104" i="19"/>
  <c r="H127" i="19"/>
  <c r="I56" i="19"/>
  <c r="G127" i="19"/>
  <c r="J127" i="19"/>
  <c r="M104" i="19"/>
  <c r="L127" i="19"/>
  <c r="K127" i="19"/>
  <c r="M56" i="19"/>
  <c r="N127" i="19"/>
  <c r="Q104" i="19"/>
  <c r="P127" i="19"/>
  <c r="Q56" i="19"/>
  <c r="O127" i="19"/>
  <c r="R127" i="19"/>
  <c r="T127" i="19"/>
  <c r="U104" i="19"/>
  <c r="U56" i="19"/>
  <c r="S127" i="19"/>
  <c r="BX9" i="19"/>
  <c r="BY9" i="19" s="1"/>
  <c r="E32" i="19"/>
  <c r="D32" i="19"/>
  <c r="G32" i="19"/>
  <c r="F57" i="19"/>
  <c r="F105" i="19" s="1"/>
  <c r="I32" i="19"/>
  <c r="H32" i="19"/>
  <c r="K32" i="19"/>
  <c r="J57" i="19"/>
  <c r="J105" i="19" s="1"/>
  <c r="L32" i="19"/>
  <c r="M32" i="19"/>
  <c r="N57" i="19"/>
  <c r="N105" i="19" s="1"/>
  <c r="P32" i="19"/>
  <c r="Q32" i="19"/>
  <c r="O32" i="19"/>
  <c r="U32" i="19"/>
  <c r="S32" i="19"/>
  <c r="R57" i="19"/>
  <c r="R105" i="19" s="1"/>
  <c r="T32" i="19"/>
  <c r="V57" i="19"/>
  <c r="V105" i="19" s="1"/>
  <c r="X32" i="19"/>
  <c r="Y32" i="19"/>
  <c r="W32" i="19"/>
  <c r="C58" i="19"/>
  <c r="C106" i="19"/>
  <c r="E81" i="19"/>
  <c r="D81" i="19"/>
  <c r="G106" i="19"/>
  <c r="I81" i="19"/>
  <c r="G58" i="19"/>
  <c r="F33" i="19"/>
  <c r="H81" i="19"/>
  <c r="K106" i="19"/>
  <c r="K58" i="19"/>
  <c r="J33" i="19"/>
  <c r="M81" i="19"/>
  <c r="L81" i="19"/>
  <c r="O106" i="19"/>
  <c r="O58" i="19"/>
  <c r="N33" i="19"/>
  <c r="Q81" i="19"/>
  <c r="P81" i="19"/>
  <c r="S106" i="19"/>
  <c r="U81" i="19"/>
  <c r="S58" i="19"/>
  <c r="T81" i="19"/>
  <c r="R33" i="19"/>
  <c r="Y81" i="19"/>
  <c r="V33" i="19"/>
  <c r="W106" i="19"/>
  <c r="X81" i="19"/>
  <c r="W58" i="19"/>
  <c r="B82" i="19"/>
  <c r="E130" i="19"/>
  <c r="D107" i="19"/>
  <c r="D59" i="19"/>
  <c r="C82" i="19"/>
  <c r="H107" i="19"/>
  <c r="G82" i="19"/>
  <c r="I130" i="19"/>
  <c r="F82" i="19"/>
  <c r="H59" i="19"/>
  <c r="L107" i="19"/>
  <c r="K82" i="19"/>
  <c r="J82" i="19"/>
  <c r="M130" i="19"/>
  <c r="L59" i="19"/>
  <c r="P107" i="19"/>
  <c r="O82" i="19"/>
  <c r="Q130" i="19"/>
  <c r="N82" i="19"/>
  <c r="P59" i="19"/>
  <c r="R82" i="19"/>
  <c r="U130" i="19"/>
  <c r="S82" i="19"/>
  <c r="T107" i="19"/>
  <c r="T59" i="19"/>
  <c r="Y130" i="19"/>
  <c r="V82" i="19"/>
  <c r="X107" i="19"/>
  <c r="W82" i="19"/>
  <c r="X59" i="19"/>
  <c r="B131" i="19"/>
  <c r="C131" i="19"/>
  <c r="D131" i="19"/>
  <c r="E108" i="19"/>
  <c r="E60" i="19"/>
  <c r="F131" i="19"/>
  <c r="I108" i="19"/>
  <c r="H131" i="19"/>
  <c r="I60" i="19"/>
  <c r="G131" i="19"/>
  <c r="J131" i="19"/>
  <c r="M108" i="19"/>
  <c r="L131" i="19"/>
  <c r="K131" i="19"/>
  <c r="M60" i="19"/>
  <c r="N131" i="19"/>
  <c r="Q108" i="19"/>
  <c r="P131" i="19"/>
  <c r="Q60" i="19"/>
  <c r="O131" i="19"/>
  <c r="R131" i="19"/>
  <c r="T131" i="19"/>
  <c r="U60" i="19"/>
  <c r="S131" i="19"/>
  <c r="U108" i="19"/>
  <c r="BX13" i="19"/>
  <c r="BY13" i="19" s="1"/>
  <c r="E36" i="19"/>
  <c r="D36" i="19"/>
  <c r="G36" i="19"/>
  <c r="F61" i="19"/>
  <c r="F109" i="19" s="1"/>
  <c r="I36" i="19"/>
  <c r="H36" i="19"/>
  <c r="K36" i="19"/>
  <c r="J61" i="19"/>
  <c r="J109" i="19" s="1"/>
  <c r="L36" i="19"/>
  <c r="M36" i="19"/>
  <c r="N61" i="19"/>
  <c r="N109" i="19" s="1"/>
  <c r="P36" i="19"/>
  <c r="Q36" i="19"/>
  <c r="O36" i="19"/>
  <c r="U36" i="19"/>
  <c r="S36" i="19"/>
  <c r="T36" i="19"/>
  <c r="R61" i="19"/>
  <c r="R109" i="19" s="1"/>
  <c r="V61" i="19"/>
  <c r="V109" i="19" s="1"/>
  <c r="X36" i="19"/>
  <c r="Y36" i="19"/>
  <c r="W36" i="19"/>
  <c r="E85" i="19"/>
  <c r="D85" i="19"/>
  <c r="C62" i="19"/>
  <c r="C110" i="19"/>
  <c r="G110" i="19"/>
  <c r="I85" i="19"/>
  <c r="G62" i="19"/>
  <c r="F37" i="19"/>
  <c r="H85" i="19"/>
  <c r="K110" i="19"/>
  <c r="K62" i="19"/>
  <c r="J37" i="19"/>
  <c r="M85" i="19"/>
  <c r="L85" i="19"/>
  <c r="O110" i="19"/>
  <c r="O62" i="19"/>
  <c r="N37" i="19"/>
  <c r="Q85" i="19"/>
  <c r="P85" i="19"/>
  <c r="S110" i="19"/>
  <c r="U85" i="19"/>
  <c r="S62" i="19"/>
  <c r="T85" i="19"/>
  <c r="R37" i="19"/>
  <c r="W110" i="19"/>
  <c r="Y85" i="19"/>
  <c r="V37" i="19"/>
  <c r="X85" i="19"/>
  <c r="W62" i="19"/>
  <c r="B86" i="19"/>
  <c r="E134" i="19"/>
  <c r="C86" i="19"/>
  <c r="D111" i="19"/>
  <c r="D63" i="19"/>
  <c r="H111" i="19"/>
  <c r="G86" i="19"/>
  <c r="F86" i="19"/>
  <c r="I134" i="19"/>
  <c r="H63" i="19"/>
  <c r="L111" i="19"/>
  <c r="K86" i="19"/>
  <c r="J86" i="19"/>
  <c r="M134" i="19"/>
  <c r="L63" i="19"/>
  <c r="P111" i="19"/>
  <c r="O86" i="19"/>
  <c r="Q134" i="19"/>
  <c r="N86" i="19"/>
  <c r="P63" i="19"/>
  <c r="R86" i="19"/>
  <c r="T111" i="19"/>
  <c r="S86" i="19"/>
  <c r="U134" i="19"/>
  <c r="T63" i="19"/>
  <c r="Y134" i="19"/>
  <c r="V86" i="19"/>
  <c r="X111" i="19"/>
  <c r="W86" i="19"/>
  <c r="X63" i="19"/>
  <c r="B135" i="19"/>
  <c r="C135" i="19"/>
  <c r="E112" i="19"/>
  <c r="D135" i="19"/>
  <c r="E64" i="19"/>
  <c r="G135" i="19"/>
  <c r="F135" i="19"/>
  <c r="I112" i="19"/>
  <c r="H135" i="19"/>
  <c r="I64" i="19"/>
  <c r="J135" i="19"/>
  <c r="M112" i="19"/>
  <c r="L135" i="19"/>
  <c r="K135" i="19"/>
  <c r="M64" i="19"/>
  <c r="N135" i="19"/>
  <c r="Q112" i="19"/>
  <c r="P135" i="19"/>
  <c r="Q64" i="19"/>
  <c r="O135" i="19"/>
  <c r="R135" i="19"/>
  <c r="T135" i="19"/>
  <c r="S135" i="19"/>
  <c r="U64" i="19"/>
  <c r="U112" i="19"/>
  <c r="BX17" i="19"/>
  <c r="BY17" i="19" s="1"/>
  <c r="E40" i="19"/>
  <c r="D40" i="19"/>
  <c r="G40" i="19"/>
  <c r="F65" i="19"/>
  <c r="F113" i="19" s="1"/>
  <c r="I40" i="19"/>
  <c r="H40" i="19"/>
  <c r="K40" i="19"/>
  <c r="J65" i="19"/>
  <c r="J113" i="19" s="1"/>
  <c r="M40" i="19"/>
  <c r="L40" i="19"/>
  <c r="N65" i="19"/>
  <c r="N113" i="19" s="1"/>
  <c r="P40" i="19"/>
  <c r="Q40" i="19"/>
  <c r="O40" i="19"/>
  <c r="R65" i="19"/>
  <c r="R113" i="19" s="1"/>
  <c r="U40" i="19"/>
  <c r="S40" i="19"/>
  <c r="T40" i="19"/>
  <c r="V65" i="19"/>
  <c r="V113" i="19" s="1"/>
  <c r="X40" i="19"/>
  <c r="Y40" i="19"/>
  <c r="W40" i="19"/>
  <c r="C66" i="19"/>
  <c r="E89" i="19"/>
  <c r="C114" i="19"/>
  <c r="D89" i="19"/>
  <c r="G114" i="19"/>
  <c r="I89" i="19"/>
  <c r="G66" i="19"/>
  <c r="F41" i="19"/>
  <c r="H89" i="19"/>
  <c r="K114" i="19"/>
  <c r="K66" i="19"/>
  <c r="J41" i="19"/>
  <c r="M89" i="19"/>
  <c r="L89" i="19"/>
  <c r="O114" i="19"/>
  <c r="O66" i="19"/>
  <c r="N41" i="19"/>
  <c r="Q89" i="19"/>
  <c r="P89" i="19"/>
  <c r="S66" i="19"/>
  <c r="U89" i="19"/>
  <c r="S114" i="19"/>
  <c r="T89" i="19"/>
  <c r="R41" i="19"/>
  <c r="Y89" i="19"/>
  <c r="V41" i="19"/>
  <c r="W114" i="19"/>
  <c r="X89" i="19"/>
  <c r="W66" i="19"/>
  <c r="B90" i="19"/>
  <c r="E138" i="19"/>
  <c r="D115" i="19"/>
  <c r="D67" i="19"/>
  <c r="C90" i="19"/>
  <c r="H115" i="19"/>
  <c r="G90" i="19"/>
  <c r="F90" i="19"/>
  <c r="I138" i="19"/>
  <c r="H67" i="19"/>
  <c r="L115" i="19"/>
  <c r="K90" i="19"/>
  <c r="J90" i="19"/>
  <c r="M138" i="19"/>
  <c r="L67" i="19"/>
  <c r="P115" i="19"/>
  <c r="O90" i="19"/>
  <c r="Q138" i="19"/>
  <c r="N90" i="19"/>
  <c r="P67" i="19"/>
  <c r="R90" i="19"/>
  <c r="U138" i="19"/>
  <c r="T115" i="19"/>
  <c r="S90" i="19"/>
  <c r="T67" i="19"/>
  <c r="Y138" i="19"/>
  <c r="V90" i="19"/>
  <c r="X115" i="19"/>
  <c r="W90" i="19"/>
  <c r="X67" i="19"/>
  <c r="B139" i="19"/>
  <c r="C139" i="19"/>
  <c r="E116" i="19"/>
  <c r="D139" i="19"/>
  <c r="E68" i="19"/>
  <c r="G139" i="19"/>
  <c r="F139" i="19"/>
  <c r="I116" i="19"/>
  <c r="H139" i="19"/>
  <c r="I68" i="19"/>
  <c r="J139" i="19"/>
  <c r="M116" i="19"/>
  <c r="L139" i="19"/>
  <c r="K139" i="19"/>
  <c r="M68" i="19"/>
  <c r="N139" i="19"/>
  <c r="Q116" i="19"/>
  <c r="P139" i="19"/>
  <c r="Q68" i="19"/>
  <c r="O139" i="19"/>
  <c r="R139" i="19"/>
  <c r="T139" i="19"/>
  <c r="U116" i="19"/>
  <c r="U68" i="19"/>
  <c r="S139" i="19"/>
  <c r="BX21" i="19"/>
  <c r="BY21" i="19" s="1"/>
  <c r="E44" i="19"/>
  <c r="D44" i="19"/>
  <c r="G44" i="19"/>
  <c r="I44" i="19"/>
  <c r="F69" i="19"/>
  <c r="F117" i="19" s="1"/>
  <c r="H44" i="19"/>
  <c r="K44" i="19"/>
  <c r="J69" i="19"/>
  <c r="J117" i="19" s="1"/>
  <c r="M44" i="19"/>
  <c r="L44" i="19"/>
  <c r="O44" i="19"/>
  <c r="N69" i="19"/>
  <c r="N117" i="19" s="1"/>
  <c r="P44" i="19"/>
  <c r="Q44" i="19"/>
  <c r="R69" i="19"/>
  <c r="R117" i="19" s="1"/>
  <c r="U44" i="19"/>
  <c r="S44" i="19"/>
  <c r="T44" i="19"/>
  <c r="V69" i="19"/>
  <c r="V117" i="19" s="1"/>
  <c r="X44" i="19"/>
  <c r="Y44" i="19"/>
  <c r="W44" i="19"/>
  <c r="C70" i="19"/>
  <c r="E93" i="19"/>
  <c r="C118" i="19"/>
  <c r="D93" i="19"/>
  <c r="G118" i="19"/>
  <c r="I93" i="19"/>
  <c r="F45" i="19"/>
  <c r="H93" i="19"/>
  <c r="G70" i="19"/>
  <c r="K118" i="19"/>
  <c r="K70" i="19"/>
  <c r="J45" i="19"/>
  <c r="M93" i="19"/>
  <c r="L93" i="19"/>
  <c r="O118" i="19"/>
  <c r="O70" i="19"/>
  <c r="N45" i="19"/>
  <c r="Q93" i="19"/>
  <c r="P93" i="19"/>
  <c r="S70" i="19"/>
  <c r="S118" i="19"/>
  <c r="U93" i="19"/>
  <c r="T93" i="19"/>
  <c r="R45" i="19"/>
  <c r="V45" i="19"/>
  <c r="Y93" i="19"/>
  <c r="W118" i="19"/>
  <c r="X93" i="19"/>
  <c r="W70" i="19"/>
  <c r="B94" i="19"/>
  <c r="E142" i="19"/>
  <c r="C94" i="19"/>
  <c r="D119" i="19"/>
  <c r="D71" i="19"/>
  <c r="H119" i="19"/>
  <c r="G94" i="19"/>
  <c r="F94" i="19"/>
  <c r="I142" i="19"/>
  <c r="H71" i="19"/>
  <c r="L119" i="19"/>
  <c r="K94" i="19"/>
  <c r="J94" i="19"/>
  <c r="M142" i="19"/>
  <c r="L71" i="19"/>
  <c r="P119" i="19"/>
  <c r="O94" i="19"/>
  <c r="Q142" i="19"/>
  <c r="N94" i="19"/>
  <c r="P71" i="19"/>
  <c r="T119" i="19"/>
  <c r="R94" i="19"/>
  <c r="S94" i="19"/>
  <c r="T71" i="19"/>
  <c r="U142" i="19"/>
  <c r="Y142" i="19"/>
  <c r="V94" i="19"/>
  <c r="W94" i="19"/>
  <c r="X119" i="19"/>
  <c r="X71" i="19"/>
  <c r="B143" i="19"/>
  <c r="C143" i="19"/>
  <c r="E120" i="19"/>
  <c r="D143" i="19"/>
  <c r="E72" i="19"/>
  <c r="G143" i="19"/>
  <c r="F143" i="19"/>
  <c r="I120" i="19"/>
  <c r="H143" i="19"/>
  <c r="I72" i="19"/>
  <c r="J143" i="19"/>
  <c r="M120" i="19"/>
  <c r="L143" i="19"/>
  <c r="K143" i="19"/>
  <c r="M72" i="19"/>
  <c r="N143" i="19"/>
  <c r="Q120" i="19"/>
  <c r="P143" i="19"/>
  <c r="Q72" i="19"/>
  <c r="O143" i="19"/>
  <c r="R143" i="19"/>
  <c r="U120" i="19"/>
  <c r="T143" i="19"/>
  <c r="S143" i="19"/>
  <c r="U72" i="19"/>
  <c r="BX25" i="19"/>
  <c r="BY25" i="19" s="1"/>
  <c r="E48" i="19"/>
  <c r="D48" i="19"/>
  <c r="G48" i="19"/>
  <c r="I48" i="19"/>
  <c r="F73" i="19"/>
  <c r="F121" i="19" s="1"/>
  <c r="H48" i="19"/>
  <c r="K48" i="19"/>
  <c r="J73" i="19"/>
  <c r="J121" i="19" s="1"/>
  <c r="M48" i="19"/>
  <c r="L48" i="19"/>
  <c r="O48" i="19"/>
  <c r="N73" i="19"/>
  <c r="N121" i="19" s="1"/>
  <c r="P48" i="19"/>
  <c r="Q48" i="19"/>
  <c r="R73" i="19"/>
  <c r="R121" i="19" s="1"/>
  <c r="U48" i="19"/>
  <c r="S48" i="19"/>
  <c r="T48" i="19"/>
  <c r="V73" i="19"/>
  <c r="V121" i="19" s="1"/>
  <c r="X48" i="19"/>
  <c r="W48" i="19"/>
  <c r="Y48" i="19"/>
  <c r="BY64" i="19"/>
  <c r="BY81" i="19"/>
  <c r="BY75" i="19"/>
  <c r="BY52" i="19"/>
  <c r="BY85" i="19"/>
  <c r="BY56" i="19"/>
  <c r="BY91" i="19"/>
  <c r="BY51" i="19"/>
  <c r="BY66" i="19"/>
  <c r="BY79" i="19"/>
  <c r="BY77" i="19"/>
  <c r="BY74" i="19"/>
  <c r="BY90" i="19"/>
  <c r="BY67" i="19"/>
  <c r="BY83" i="19"/>
  <c r="BY62" i="19"/>
  <c r="BY68" i="19"/>
  <c r="BY58" i="19"/>
  <c r="BY78" i="19"/>
  <c r="BY55" i="19"/>
  <c r="BY89" i="19"/>
  <c r="BY54" i="19"/>
  <c r="BY60" i="19"/>
  <c r="BY93" i="19"/>
  <c r="BY70" i="19"/>
  <c r="BY87" i="19"/>
  <c r="BY27" i="19"/>
  <c r="BY31" i="19"/>
  <c r="BY35" i="19"/>
  <c r="BY59" i="19"/>
  <c r="BY39" i="19"/>
  <c r="BY63" i="19"/>
  <c r="BY43" i="19"/>
  <c r="BY47" i="19"/>
  <c r="BY71" i="19"/>
  <c r="BY26" i="19"/>
  <c r="BY50" i="19"/>
  <c r="BY30" i="19"/>
  <c r="BY34" i="19"/>
  <c r="BY38" i="19"/>
  <c r="BY42" i="19"/>
  <c r="BY46" i="19"/>
  <c r="BY49" i="19"/>
  <c r="BY73" i="19"/>
  <c r="BY29" i="19"/>
  <c r="BY53" i="19"/>
  <c r="BY33" i="19"/>
  <c r="BY57" i="19"/>
  <c r="BY37" i="19"/>
  <c r="BY61" i="19"/>
  <c r="BY41" i="19"/>
  <c r="BY65" i="19"/>
  <c r="BY45" i="19"/>
  <c r="BY69" i="19"/>
  <c r="BY28" i="19"/>
  <c r="BY32" i="19"/>
  <c r="BY36" i="19"/>
  <c r="BY40" i="19"/>
  <c r="BY44" i="19"/>
  <c r="BY48" i="19"/>
  <c r="BZ183" i="19"/>
  <c r="BZ189" i="19"/>
  <c r="BZ177" i="19"/>
  <c r="BZ197" i="19"/>
  <c r="BZ185" i="19"/>
  <c r="BZ175" i="19"/>
  <c r="BZ169" i="19"/>
  <c r="BZ167" i="19"/>
  <c r="BZ201" i="19"/>
  <c r="BZ173" i="19"/>
  <c r="BZ209" i="19"/>
  <c r="BZ203" i="19"/>
  <c r="BZ193" i="19"/>
  <c r="BZ191" i="19"/>
  <c r="BZ207" i="19"/>
  <c r="BZ165" i="19"/>
  <c r="BZ171" i="19"/>
  <c r="BZ179" i="19"/>
  <c r="BZ181" i="19"/>
  <c r="BZ199" i="19"/>
  <c r="BZ187" i="19"/>
  <c r="BZ205" i="19"/>
  <c r="BZ195" i="19"/>
  <c r="CU500" i="19"/>
  <c r="CU542" i="19" s="1"/>
  <c r="CU584" i="19" s="1"/>
  <c r="CU626" i="19" s="1"/>
  <c r="CU480" i="19"/>
  <c r="CU522" i="19" s="1"/>
  <c r="CU564" i="19" s="1"/>
  <c r="CU606" i="19" s="1"/>
  <c r="CU476" i="19"/>
  <c r="CU518" i="19" s="1"/>
  <c r="CU560" i="19" s="1"/>
  <c r="CU602" i="19" s="1"/>
  <c r="CU484" i="19"/>
  <c r="CU526" i="19" s="1"/>
  <c r="CU568" i="19" s="1"/>
  <c r="CU610" i="19" s="1"/>
  <c r="CU496" i="19"/>
  <c r="CU538" i="19" s="1"/>
  <c r="CU580" i="19" s="1"/>
  <c r="CU622" i="19" s="1"/>
  <c r="CU492" i="19"/>
  <c r="CU534" i="19" s="1"/>
  <c r="CU576" i="19" s="1"/>
  <c r="CU618" i="19" s="1"/>
  <c r="CU488" i="19"/>
  <c r="CU530" i="19" s="1"/>
  <c r="CU572" i="19" s="1"/>
  <c r="CU614" i="19" s="1"/>
  <c r="CU503" i="19"/>
  <c r="CU545" i="19" s="1"/>
  <c r="CU587" i="19" s="1"/>
  <c r="CU629" i="19" s="1"/>
  <c r="B51" i="19"/>
  <c r="B99" i="19" s="1"/>
  <c r="B55" i="19"/>
  <c r="B103" i="19" s="1"/>
  <c r="B59" i="19"/>
  <c r="B107" i="19" s="1"/>
  <c r="B63" i="19"/>
  <c r="B111" i="19" s="1"/>
  <c r="B67" i="19"/>
  <c r="B115" i="19" s="1"/>
  <c r="B71" i="19"/>
  <c r="B119" i="19" s="1"/>
  <c r="B27" i="19"/>
  <c r="B31" i="19"/>
  <c r="B35" i="19"/>
  <c r="B39" i="19"/>
  <c r="B43" i="19"/>
  <c r="B47" i="19"/>
  <c r="C27" i="19"/>
  <c r="C31" i="19"/>
  <c r="C35" i="19"/>
  <c r="C39" i="19"/>
  <c r="C43" i="19"/>
  <c r="C47" i="19"/>
  <c r="B52" i="19"/>
  <c r="B100" i="19" s="1"/>
  <c r="B56" i="19"/>
  <c r="B104" i="19" s="1"/>
  <c r="B60" i="19"/>
  <c r="B108" i="19" s="1"/>
  <c r="B64" i="19"/>
  <c r="B112" i="19" s="1"/>
  <c r="B68" i="19"/>
  <c r="B116" i="19" s="1"/>
  <c r="B72" i="19"/>
  <c r="B120" i="19" s="1"/>
  <c r="C28" i="19"/>
  <c r="C32" i="19"/>
  <c r="C36" i="19"/>
  <c r="C40" i="19"/>
  <c r="C44" i="19"/>
  <c r="C48" i="19"/>
  <c r="B53" i="19"/>
  <c r="B101" i="19" s="1"/>
  <c r="B57" i="19"/>
  <c r="B105" i="19" s="1"/>
  <c r="B61" i="19"/>
  <c r="B109" i="19" s="1"/>
  <c r="B65" i="19"/>
  <c r="B113" i="19" s="1"/>
  <c r="B69" i="19"/>
  <c r="B117" i="19" s="1"/>
  <c r="B73" i="19"/>
  <c r="B121" i="19" s="1"/>
  <c r="B29" i="19"/>
  <c r="B33" i="19"/>
  <c r="B37" i="19"/>
  <c r="B41" i="19"/>
  <c r="B45" i="19"/>
  <c r="B75" i="19"/>
  <c r="C29" i="19"/>
  <c r="C33" i="19"/>
  <c r="C37" i="19"/>
  <c r="C41" i="19"/>
  <c r="C45" i="19"/>
  <c r="B54" i="19"/>
  <c r="B102" i="19" s="1"/>
  <c r="B58" i="19"/>
  <c r="B106" i="19" s="1"/>
  <c r="B62" i="19"/>
  <c r="B110" i="19" s="1"/>
  <c r="B66" i="19"/>
  <c r="B114" i="19" s="1"/>
  <c r="B70" i="19"/>
  <c r="B118" i="19" s="1"/>
  <c r="B26" i="19"/>
  <c r="B30" i="19"/>
  <c r="B34" i="19"/>
  <c r="B38" i="19"/>
  <c r="B42" i="19"/>
  <c r="B46" i="19"/>
  <c r="B84" i="19"/>
  <c r="B88" i="19"/>
  <c r="B96" i="19"/>
  <c r="C26" i="19"/>
  <c r="C30" i="19"/>
  <c r="C34" i="19"/>
  <c r="C38" i="19"/>
  <c r="C42" i="19"/>
  <c r="C46" i="19"/>
  <c r="BV117" i="19"/>
  <c r="BV107" i="19"/>
  <c r="BV109" i="19"/>
  <c r="BV137" i="19"/>
  <c r="BV129" i="19"/>
  <c r="BV121" i="19"/>
  <c r="BV135" i="19"/>
  <c r="BV127" i="19"/>
  <c r="BV142" i="19"/>
  <c r="BV105" i="19"/>
  <c r="BV120" i="19"/>
  <c r="BV103" i="19"/>
  <c r="BV111" i="19"/>
  <c r="BV141" i="19"/>
  <c r="BV133" i="19"/>
  <c r="BV125" i="19"/>
  <c r="BV136" i="19"/>
  <c r="BV139" i="19"/>
  <c r="BV131" i="19"/>
  <c r="BV123" i="19"/>
  <c r="BV124" i="19"/>
  <c r="BV115" i="19"/>
  <c r="BV99" i="19"/>
  <c r="H45" i="17"/>
  <c r="H106" i="17" s="1"/>
  <c r="H44" i="17"/>
  <c r="H109" i="17" s="1"/>
  <c r="H43" i="17"/>
  <c r="H108" i="17" s="1"/>
  <c r="H42" i="17"/>
  <c r="H107" i="17" s="1"/>
  <c r="H41" i="17"/>
  <c r="H102" i="17" s="1"/>
  <c r="H40" i="17"/>
  <c r="H105" i="17" s="1"/>
  <c r="H39" i="17"/>
  <c r="H104" i="17" s="1"/>
  <c r="H38" i="17"/>
  <c r="H37" i="17"/>
  <c r="H68" i="17" s="1"/>
  <c r="H36" i="17"/>
  <c r="H101" i="17" s="1"/>
  <c r="H35" i="17"/>
  <c r="H100" i="17" s="1"/>
  <c r="H34" i="17"/>
  <c r="H33" i="17"/>
  <c r="H64" i="17" s="1"/>
  <c r="H32" i="17"/>
  <c r="H97" i="17" s="1"/>
  <c r="H31" i="17"/>
  <c r="H96" i="17" s="1"/>
  <c r="H30" i="17"/>
  <c r="H62" i="17" s="1"/>
  <c r="H29" i="17"/>
  <c r="H60" i="17" s="1"/>
  <c r="H28" i="17"/>
  <c r="H59" i="17" s="1"/>
  <c r="H27" i="17"/>
  <c r="H92" i="17" s="1"/>
  <c r="H26" i="17"/>
  <c r="H91" i="17" s="1"/>
  <c r="H25" i="17"/>
  <c r="H86" i="17" s="1"/>
  <c r="H24" i="17"/>
  <c r="H55" i="17" s="1"/>
  <c r="H23" i="17"/>
  <c r="H57" i="17" s="1"/>
  <c r="H22" i="17"/>
  <c r="H54" i="17" s="1"/>
  <c r="H21" i="17"/>
  <c r="H82" i="17" s="1"/>
  <c r="H20" i="17"/>
  <c r="H51" i="17" s="1"/>
  <c r="H19" i="17"/>
  <c r="H53" i="17" s="1"/>
  <c r="H18" i="17"/>
  <c r="H83" i="17" s="1"/>
  <c r="H17" i="17"/>
  <c r="H78" i="17" s="1"/>
  <c r="H16" i="17"/>
  <c r="H81" i="17" s="1"/>
  <c r="H15" i="17"/>
  <c r="H49" i="17" s="1"/>
  <c r="H14" i="17"/>
  <c r="H46" i="17" s="1"/>
  <c r="J12" i="17"/>
  <c r="H12" i="17"/>
  <c r="A2" i="18" s="1"/>
  <c r="G12" i="17"/>
  <c r="F12" i="17"/>
  <c r="D12" i="17"/>
  <c r="E12" i="17"/>
  <c r="C10" i="17"/>
  <c r="B8" i="17"/>
  <c r="C4" i="17"/>
  <c r="N2" i="17"/>
  <c r="C2" i="17"/>
  <c r="BX102" i="19"/>
  <c r="BX108" i="19"/>
  <c r="CA106" i="19"/>
  <c r="CA99" i="19"/>
  <c r="BX114" i="19"/>
  <c r="BX101" i="19"/>
  <c r="BX113" i="19"/>
  <c r="BX110" i="19"/>
  <c r="BX88" i="19"/>
  <c r="BX100" i="19"/>
  <c r="CA116" i="19"/>
  <c r="BX104" i="19"/>
  <c r="CA97" i="19"/>
  <c r="CA108" i="19"/>
  <c r="CA92" i="19"/>
  <c r="BX112" i="19"/>
  <c r="BX86" i="19"/>
  <c r="CA110" i="19"/>
  <c r="CA80" i="19"/>
  <c r="BX96" i="19"/>
  <c r="BX116" i="19"/>
  <c r="CA105" i="19"/>
  <c r="BX92" i="19"/>
  <c r="CA112" i="19"/>
  <c r="BX84" i="19"/>
  <c r="CA104" i="19"/>
  <c r="CA84" i="19"/>
  <c r="CA100" i="19"/>
  <c r="CA98" i="19"/>
  <c r="BX80" i="19"/>
  <c r="CA113" i="19"/>
  <c r="CA109" i="19"/>
  <c r="CA88" i="19"/>
  <c r="BX98" i="19"/>
  <c r="BX72" i="19"/>
  <c r="CA101" i="19"/>
  <c r="BX97" i="19"/>
  <c r="CA72" i="19"/>
  <c r="BX106" i="19"/>
  <c r="CA96" i="19"/>
  <c r="BX82" i="19"/>
  <c r="CA114" i="19"/>
  <c r="CA102" i="19"/>
  <c r="CA117" i="19"/>
  <c r="BX76" i="19"/>
  <c r="BX94" i="19"/>
  <c r="BY96" i="19" l="1"/>
  <c r="BY72" i="19"/>
  <c r="BW111" i="19"/>
  <c r="BW123" i="19"/>
  <c r="BW124" i="19"/>
  <c r="BW140" i="19"/>
  <c r="BW139" i="19"/>
  <c r="BW129" i="19"/>
  <c r="BW135" i="19"/>
  <c r="BW128" i="19"/>
  <c r="BW119" i="19"/>
  <c r="BW133" i="19"/>
  <c r="BW137" i="19"/>
  <c r="BW107" i="19"/>
  <c r="BW95" i="19"/>
  <c r="BW115" i="19"/>
  <c r="BW103" i="19"/>
  <c r="BW122" i="19"/>
  <c r="BW132" i="19"/>
  <c r="BW127" i="19"/>
  <c r="BW121" i="19"/>
  <c r="BW120" i="19"/>
  <c r="BW136" i="19"/>
  <c r="BW131" i="19"/>
  <c r="BW125" i="19"/>
  <c r="BY116" i="19"/>
  <c r="BY82" i="19"/>
  <c r="BY84" i="19"/>
  <c r="BY113" i="19"/>
  <c r="BY94" i="19"/>
  <c r="BY102" i="19"/>
  <c r="BY104" i="19"/>
  <c r="BY76" i="19"/>
  <c r="BY110" i="19"/>
  <c r="BY112" i="19"/>
  <c r="BY92" i="19"/>
  <c r="BY98" i="19"/>
  <c r="BY101" i="19"/>
  <c r="BY88" i="19"/>
  <c r="BY106" i="19"/>
  <c r="BY100" i="19"/>
  <c r="BY80" i="19"/>
  <c r="BY114" i="19"/>
  <c r="BY108" i="19"/>
  <c r="BY97" i="19"/>
  <c r="BY86" i="19"/>
  <c r="BZ230" i="19"/>
  <c r="BZ232" i="19"/>
  <c r="BZ202" i="19"/>
  <c r="BZ188" i="19"/>
  <c r="BZ226" i="19"/>
  <c r="BZ196" i="19"/>
  <c r="BZ190" i="19"/>
  <c r="BZ198" i="19"/>
  <c r="BZ220" i="19"/>
  <c r="BZ212" i="19"/>
  <c r="BZ214" i="19"/>
  <c r="BZ228" i="19"/>
  <c r="BZ222" i="19"/>
  <c r="BZ218" i="19"/>
  <c r="BZ210" i="19"/>
  <c r="BZ204" i="19"/>
  <c r="BZ194" i="19"/>
  <c r="BZ216" i="19"/>
  <c r="BZ224" i="19"/>
  <c r="BZ192" i="19"/>
  <c r="BZ208" i="19"/>
  <c r="BZ200" i="19"/>
  <c r="BZ206" i="19"/>
  <c r="BV122" i="19"/>
  <c r="BV154" i="19"/>
  <c r="BV156" i="19"/>
  <c r="BV165" i="19"/>
  <c r="BV138" i="19"/>
  <c r="BV146" i="19"/>
  <c r="BV162" i="19"/>
  <c r="BV148" i="19"/>
  <c r="BV164" i="19"/>
  <c r="BV126" i="19"/>
  <c r="BV128" i="19"/>
  <c r="BV150" i="19"/>
  <c r="BV144" i="19"/>
  <c r="BV160" i="19"/>
  <c r="BV130" i="19"/>
  <c r="BV147" i="19"/>
  <c r="BV159" i="19"/>
  <c r="BV134" i="19"/>
  <c r="BV143" i="19"/>
  <c r="BV158" i="19"/>
  <c r="BV152" i="19"/>
  <c r="BV132" i="19"/>
  <c r="BV140" i="19"/>
  <c r="H48" i="17"/>
  <c r="H74" i="17"/>
  <c r="H85" i="17"/>
  <c r="H56" i="17"/>
  <c r="H87" i="17"/>
  <c r="H69" i="17"/>
  <c r="H99" i="17"/>
  <c r="H66" i="17"/>
  <c r="H47" i="17"/>
  <c r="H52" i="17"/>
  <c r="H63" i="17"/>
  <c r="H93" i="17"/>
  <c r="H65" i="17"/>
  <c r="H75" i="17"/>
  <c r="H79" i="17"/>
  <c r="H88" i="17"/>
  <c r="H103" i="17"/>
  <c r="H70" i="17"/>
  <c r="H50" i="17"/>
  <c r="H67" i="17"/>
  <c r="H71" i="17"/>
  <c r="H72" i="17"/>
  <c r="H76" i="17"/>
  <c r="H80" i="17"/>
  <c r="H84" i="17"/>
  <c r="H89" i="17"/>
  <c r="H90" i="17"/>
  <c r="H94" i="17"/>
  <c r="H98" i="17"/>
  <c r="H58" i="17"/>
  <c r="H61" i="17"/>
  <c r="H73" i="17"/>
  <c r="H77" i="17"/>
  <c r="H95" i="17"/>
  <c r="H29" i="1"/>
  <c r="H28" i="1"/>
  <c r="H44" i="1" s="1"/>
  <c r="H27" i="1"/>
  <c r="N59" i="1" s="1"/>
  <c r="H26" i="1"/>
  <c r="H42" i="1" s="1"/>
  <c r="H25" i="1"/>
  <c r="N57" i="1" s="1"/>
  <c r="H24" i="1"/>
  <c r="H40" i="1" s="1"/>
  <c r="H23" i="1"/>
  <c r="N55" i="1" s="1"/>
  <c r="H22" i="1"/>
  <c r="N54" i="1" s="1"/>
  <c r="H21" i="1"/>
  <c r="N53" i="1" s="1"/>
  <c r="H20" i="1"/>
  <c r="H36" i="1" s="1"/>
  <c r="H19" i="1"/>
  <c r="N51" i="1" s="1"/>
  <c r="H18" i="1"/>
  <c r="H34" i="1" s="1"/>
  <c r="H17" i="1"/>
  <c r="N49" i="1" s="1"/>
  <c r="H16" i="1"/>
  <c r="H32" i="1" s="1"/>
  <c r="H15" i="1"/>
  <c r="N47" i="1" s="1"/>
  <c r="H14" i="1"/>
  <c r="H30" i="1" s="1"/>
  <c r="N29" i="1"/>
  <c r="H45" i="1" s="1"/>
  <c r="N28" i="1"/>
  <c r="H61" i="1" s="1"/>
  <c r="N27" i="1"/>
  <c r="H43" i="1" s="1"/>
  <c r="N26" i="1"/>
  <c r="H59" i="1" s="1"/>
  <c r="N25" i="1"/>
  <c r="H56" i="1" s="1"/>
  <c r="N24" i="1"/>
  <c r="H57" i="1" s="1"/>
  <c r="N23" i="1"/>
  <c r="H54" i="1" s="1"/>
  <c r="N22" i="1"/>
  <c r="H55" i="1" s="1"/>
  <c r="N21" i="1"/>
  <c r="H37" i="1" s="1"/>
  <c r="N20" i="1"/>
  <c r="N37" i="1" s="1"/>
  <c r="N19" i="1"/>
  <c r="H35" i="1" s="1"/>
  <c r="N18" i="1"/>
  <c r="H51" i="1" s="1"/>
  <c r="N17" i="1"/>
  <c r="H48" i="1" s="1"/>
  <c r="N16" i="1"/>
  <c r="H49" i="1" s="1"/>
  <c r="N15" i="1"/>
  <c r="H46" i="1" s="1"/>
  <c r="N14" i="1"/>
  <c r="N31" i="1" s="1"/>
  <c r="N61" i="1"/>
  <c r="CA140" i="19"/>
  <c r="BX115" i="19"/>
  <c r="CA95" i="19"/>
  <c r="CA131" i="19"/>
  <c r="BX107" i="19"/>
  <c r="CA103" i="19"/>
  <c r="CA136" i="19"/>
  <c r="BX135" i="19"/>
  <c r="CA122" i="19"/>
  <c r="BX99" i="19"/>
  <c r="BX103" i="19"/>
  <c r="CA127" i="19"/>
  <c r="BX123" i="19"/>
  <c r="CA111" i="19"/>
  <c r="BX131" i="19"/>
  <c r="CA120" i="19"/>
  <c r="BX105" i="19"/>
  <c r="BX117" i="19"/>
  <c r="BX119" i="19"/>
  <c r="CA139" i="19"/>
  <c r="BX136" i="19"/>
  <c r="BX109" i="19"/>
  <c r="BX121" i="19"/>
  <c r="CA123" i="19"/>
  <c r="BX137" i="19"/>
  <c r="BX124" i="19"/>
  <c r="CA128" i="19"/>
  <c r="CA137" i="19"/>
  <c r="CA107" i="19"/>
  <c r="BX125" i="19"/>
  <c r="CA129" i="19"/>
  <c r="BX133" i="19"/>
  <c r="BX120" i="19"/>
  <c r="CA135" i="19"/>
  <c r="BX127" i="19"/>
  <c r="CA125" i="19"/>
  <c r="BX129" i="19"/>
  <c r="CA115" i="19"/>
  <c r="BX95" i="19"/>
  <c r="BX139" i="19"/>
  <c r="CA119" i="19"/>
  <c r="CA124" i="19"/>
  <c r="CA132" i="19"/>
  <c r="CA133" i="19"/>
  <c r="CA121" i="19"/>
  <c r="BX111" i="19"/>
  <c r="N46" i="1" l="1"/>
  <c r="N50" i="1"/>
  <c r="N41" i="1"/>
  <c r="H38" i="1"/>
  <c r="N35" i="1"/>
  <c r="N56" i="1"/>
  <c r="N45" i="1"/>
  <c r="N48" i="1"/>
  <c r="N60" i="1"/>
  <c r="N52" i="1"/>
  <c r="N39" i="1"/>
  <c r="BY95" i="19"/>
  <c r="BY119" i="19"/>
  <c r="BW147" i="19"/>
  <c r="BW148" i="19"/>
  <c r="BW144" i="19"/>
  <c r="BW126" i="19"/>
  <c r="BW118" i="19"/>
  <c r="BW160" i="19"/>
  <c r="BW142" i="19"/>
  <c r="BW158" i="19"/>
  <c r="BW162" i="19"/>
  <c r="BW134" i="19"/>
  <c r="BW155" i="19"/>
  <c r="BW143" i="19"/>
  <c r="BW151" i="19"/>
  <c r="BW163" i="19"/>
  <c r="BW159" i="19"/>
  <c r="BW154" i="19"/>
  <c r="BW150" i="19"/>
  <c r="BW145" i="19"/>
  <c r="BW138" i="19"/>
  <c r="BW130" i="19"/>
  <c r="BW156" i="19"/>
  <c r="BW152" i="19"/>
  <c r="BW146" i="19"/>
  <c r="BY127" i="19"/>
  <c r="BY120" i="19"/>
  <c r="BY105" i="19"/>
  <c r="BY133" i="19"/>
  <c r="BY111" i="19"/>
  <c r="BY103" i="19"/>
  <c r="BY131" i="19"/>
  <c r="BY136" i="19"/>
  <c r="BY99" i="19"/>
  <c r="BY135" i="19"/>
  <c r="BY124" i="19"/>
  <c r="BY125" i="19"/>
  <c r="BY117" i="19"/>
  <c r="BY107" i="19"/>
  <c r="BY139" i="19"/>
  <c r="BY109" i="19"/>
  <c r="BY137" i="19"/>
  <c r="BY123" i="19"/>
  <c r="BY129" i="19"/>
  <c r="BY121" i="19"/>
  <c r="BY115" i="19"/>
  <c r="BZ229" i="19"/>
  <c r="BZ231" i="19"/>
  <c r="BZ247" i="19"/>
  <c r="BZ217" i="19"/>
  <c r="BZ233" i="19"/>
  <c r="BZ245" i="19"/>
  <c r="BZ243" i="19"/>
  <c r="BZ213" i="19"/>
  <c r="BZ249" i="19"/>
  <c r="BZ225" i="19"/>
  <c r="BZ253" i="19"/>
  <c r="BZ223" i="19"/>
  <c r="BZ215" i="19"/>
  <c r="BZ221" i="19"/>
  <c r="BZ239" i="19"/>
  <c r="BZ227" i="19"/>
  <c r="BZ241" i="19"/>
  <c r="BZ251" i="19"/>
  <c r="BZ235" i="19"/>
  <c r="BZ219" i="19"/>
  <c r="BZ211" i="19"/>
  <c r="BZ255" i="19"/>
  <c r="BZ237" i="19"/>
  <c r="BV163" i="19"/>
  <c r="BV166" i="19"/>
  <c r="BV153" i="19"/>
  <c r="BV187" i="19"/>
  <c r="BV155" i="19"/>
  <c r="BV181" i="19"/>
  <c r="BV157" i="19"/>
  <c r="BV170" i="19"/>
  <c r="BV183" i="19"/>
  <c r="BV173" i="19"/>
  <c r="BV149" i="19"/>
  <c r="BV171" i="19"/>
  <c r="BV169" i="19"/>
  <c r="BV188" i="19"/>
  <c r="BV177" i="19"/>
  <c r="BV175" i="19"/>
  <c r="BV182" i="19"/>
  <c r="BV167" i="19"/>
  <c r="BV151" i="19"/>
  <c r="BV185" i="19"/>
  <c r="BV161" i="19"/>
  <c r="BV179" i="19"/>
  <c r="BV145" i="19"/>
  <c r="H31" i="1"/>
  <c r="H39" i="1"/>
  <c r="H50" i="1"/>
  <c r="H58" i="1"/>
  <c r="H33" i="1"/>
  <c r="H41" i="1"/>
  <c r="H47" i="1"/>
  <c r="H52" i="1"/>
  <c r="H60" i="1"/>
  <c r="N33" i="1"/>
  <c r="H53" i="1"/>
  <c r="N38" i="1"/>
  <c r="N42" i="1"/>
  <c r="N30" i="1"/>
  <c r="N34" i="1"/>
  <c r="N58" i="1"/>
  <c r="N43" i="1"/>
  <c r="N32" i="1"/>
  <c r="N36" i="1"/>
  <c r="N40" i="1"/>
  <c r="N44" i="1"/>
  <c r="BX154" i="19"/>
  <c r="BX147" i="19"/>
  <c r="CA118" i="19"/>
  <c r="BX140" i="19"/>
  <c r="CA143" i="19"/>
  <c r="BX143" i="19"/>
  <c r="CA126" i="19"/>
  <c r="BX144" i="19"/>
  <c r="CA156" i="19"/>
  <c r="BX122" i="19"/>
  <c r="BX150" i="19"/>
  <c r="CA145" i="19"/>
  <c r="CA162" i="19"/>
  <c r="CA134" i="19"/>
  <c r="CA150" i="19"/>
  <c r="CA155" i="19"/>
  <c r="BX142" i="19"/>
  <c r="BX138" i="19"/>
  <c r="BX148" i="19"/>
  <c r="BX132" i="19"/>
  <c r="BX156" i="19"/>
  <c r="CA160" i="19"/>
  <c r="CA163" i="19"/>
  <c r="BX118" i="19"/>
  <c r="CA159" i="19"/>
  <c r="CA144" i="19"/>
  <c r="BX160" i="19"/>
  <c r="BX134" i="19"/>
  <c r="BX128" i="19"/>
  <c r="BX146" i="19"/>
  <c r="BX158" i="19"/>
  <c r="CA130" i="19"/>
  <c r="BX126" i="19"/>
  <c r="CA152" i="19"/>
  <c r="CA158" i="19"/>
  <c r="BX159" i="19"/>
  <c r="CA154" i="19"/>
  <c r="BX162" i="19"/>
  <c r="CA146" i="19"/>
  <c r="BX152" i="19"/>
  <c r="CA138" i="19"/>
  <c r="CA142" i="19"/>
  <c r="CA151" i="19"/>
  <c r="CA148" i="19"/>
  <c r="CA147" i="19"/>
  <c r="BX130" i="19"/>
  <c r="BY142" i="19" l="1"/>
  <c r="BY118" i="19"/>
  <c r="BW169" i="19"/>
  <c r="BW179" i="19"/>
  <c r="BW161" i="19"/>
  <c r="BW173" i="19"/>
  <c r="BW182" i="19"/>
  <c r="BW174" i="19"/>
  <c r="BW178" i="19"/>
  <c r="BW185" i="19"/>
  <c r="BW165" i="19"/>
  <c r="BW141" i="19"/>
  <c r="BW167" i="19"/>
  <c r="BW170" i="19"/>
  <c r="BW175" i="19"/>
  <c r="BW153" i="19"/>
  <c r="BW168" i="19"/>
  <c r="BW177" i="19"/>
  <c r="BW186" i="19"/>
  <c r="BW166" i="19"/>
  <c r="BW157" i="19"/>
  <c r="BW181" i="19"/>
  <c r="BW183" i="19"/>
  <c r="BW149" i="19"/>
  <c r="BW171" i="19"/>
  <c r="BY152" i="19"/>
  <c r="BY158" i="19"/>
  <c r="BY138" i="19"/>
  <c r="BY146" i="19"/>
  <c r="BY132" i="19"/>
  <c r="BY156" i="19"/>
  <c r="BY148" i="19"/>
  <c r="BY128" i="19"/>
  <c r="BY126" i="19"/>
  <c r="BY130" i="19"/>
  <c r="BY162" i="19"/>
  <c r="BY150" i="19"/>
  <c r="BY143" i="19"/>
  <c r="BY159" i="19"/>
  <c r="BY160" i="19"/>
  <c r="BY140" i="19"/>
  <c r="BY144" i="19"/>
  <c r="BY147" i="19"/>
  <c r="BY122" i="19"/>
  <c r="BY154" i="19"/>
  <c r="BY134" i="19"/>
  <c r="BZ260" i="19"/>
  <c r="BZ264" i="19"/>
  <c r="BZ238" i="19"/>
  <c r="BZ276" i="19"/>
  <c r="BZ272" i="19"/>
  <c r="BZ256" i="19"/>
  <c r="BZ252" i="19"/>
  <c r="BZ278" i="19"/>
  <c r="BZ242" i="19"/>
  <c r="BZ274" i="19"/>
  <c r="BZ250" i="19"/>
  <c r="BZ254" i="19"/>
  <c r="BZ244" i="19"/>
  <c r="BZ246" i="19"/>
  <c r="BZ248" i="19"/>
  <c r="BZ236" i="19"/>
  <c r="BZ268" i="19"/>
  <c r="BZ240" i="19"/>
  <c r="BZ234" i="19"/>
  <c r="BZ258" i="19"/>
  <c r="BZ262" i="19"/>
  <c r="BZ266" i="19"/>
  <c r="BZ270" i="19"/>
  <c r="BV174" i="19"/>
  <c r="BV192" i="19"/>
  <c r="BV206" i="19"/>
  <c r="BV176" i="19"/>
  <c r="BV202" i="19"/>
  <c r="BV208" i="19"/>
  <c r="BV190" i="19"/>
  <c r="BV198" i="19"/>
  <c r="BV194" i="19"/>
  <c r="BV196" i="19"/>
  <c r="BV193" i="19"/>
  <c r="BV204" i="19"/>
  <c r="BV210" i="19"/>
  <c r="BV189" i="19"/>
  <c r="BV211" i="19"/>
  <c r="BV168" i="19"/>
  <c r="BV184" i="19"/>
  <c r="BV205" i="19"/>
  <c r="BV200" i="19"/>
  <c r="BV172" i="19"/>
  <c r="BV180" i="19"/>
  <c r="BV178" i="19"/>
  <c r="BV186" i="19"/>
  <c r="R10" i="1"/>
  <c r="S12" i="1"/>
  <c r="B4" i="2"/>
  <c r="AP51" i="2"/>
  <c r="AP50" i="2"/>
  <c r="AP49" i="2"/>
  <c r="AP48" i="2"/>
  <c r="AP47" i="2"/>
  <c r="AP45" i="2"/>
  <c r="AP44" i="2"/>
  <c r="AP42" i="2"/>
  <c r="AP40" i="2"/>
  <c r="AP39" i="2"/>
  <c r="AP38" i="2"/>
  <c r="AP37" i="2"/>
  <c r="AP36" i="2"/>
  <c r="AP31" i="2"/>
  <c r="AP30" i="2"/>
  <c r="AP29" i="2"/>
  <c r="AP27" i="2"/>
  <c r="AP26" i="2"/>
  <c r="AP25" i="2"/>
  <c r="AP24" i="2"/>
  <c r="AP21" i="2"/>
  <c r="AP20" i="2"/>
  <c r="AP19" i="2"/>
  <c r="AP18" i="2"/>
  <c r="AP16" i="2"/>
  <c r="AP15" i="2"/>
  <c r="AP14" i="2"/>
  <c r="AP11" i="2"/>
  <c r="AP10" i="2"/>
  <c r="AP9" i="2"/>
  <c r="AP8" i="2"/>
  <c r="AP5" i="2"/>
  <c r="AP4" i="2"/>
  <c r="AT51" i="2"/>
  <c r="AT50" i="2"/>
  <c r="AT49" i="2"/>
  <c r="AT48" i="2"/>
  <c r="AT47" i="2"/>
  <c r="AT46" i="2"/>
  <c r="AT45" i="2"/>
  <c r="AT44" i="2"/>
  <c r="AT43" i="2"/>
  <c r="AT41" i="2"/>
  <c r="AT38" i="2"/>
  <c r="AT35" i="2"/>
  <c r="AT34" i="2"/>
  <c r="AT33" i="2"/>
  <c r="AT32" i="2"/>
  <c r="AT31" i="2"/>
  <c r="AT28" i="2"/>
  <c r="AT27" i="2"/>
  <c r="AT25" i="2"/>
  <c r="AT24" i="2"/>
  <c r="AT23" i="2"/>
  <c r="AT22" i="2"/>
  <c r="AT17" i="2"/>
  <c r="AT16" i="2"/>
  <c r="AT15" i="2"/>
  <c r="AT14" i="2"/>
  <c r="AT13" i="2"/>
  <c r="AT12" i="2"/>
  <c r="AT10" i="2"/>
  <c r="AT8" i="2"/>
  <c r="AT7" i="2"/>
  <c r="AT6" i="2"/>
  <c r="AT5" i="2"/>
  <c r="AT4" i="2"/>
  <c r="AQ51" i="2"/>
  <c r="AQ50" i="2"/>
  <c r="AQ49" i="2"/>
  <c r="AQ48" i="2"/>
  <c r="AQ47" i="2"/>
  <c r="AP46" i="2"/>
  <c r="AQ46" i="2"/>
  <c r="AQ45" i="2"/>
  <c r="AQ44" i="2"/>
  <c r="AP43" i="2"/>
  <c r="AQ43" i="2"/>
  <c r="AQ42" i="2"/>
  <c r="AP41" i="2"/>
  <c r="AQ41" i="2"/>
  <c r="AQ40" i="2"/>
  <c r="AQ39" i="2"/>
  <c r="AQ38" i="2"/>
  <c r="AQ37" i="2"/>
  <c r="AQ36" i="2"/>
  <c r="AP35" i="2"/>
  <c r="AQ35" i="2"/>
  <c r="AP34" i="2"/>
  <c r="AQ34" i="2"/>
  <c r="AP33" i="2"/>
  <c r="AQ33" i="2"/>
  <c r="AP32" i="2"/>
  <c r="AQ32" i="2"/>
  <c r="AQ31" i="2"/>
  <c r="AQ30" i="2"/>
  <c r="AQ29" i="2"/>
  <c r="AP28" i="2"/>
  <c r="AQ28" i="2"/>
  <c r="AQ27" i="2"/>
  <c r="AQ26" i="2"/>
  <c r="AQ25" i="2"/>
  <c r="AQ24" i="2"/>
  <c r="AP23" i="2"/>
  <c r="AQ23" i="2"/>
  <c r="AP22" i="2"/>
  <c r="AQ22" i="2"/>
  <c r="AQ21" i="2"/>
  <c r="AQ20" i="2"/>
  <c r="AQ19" i="2"/>
  <c r="AQ18" i="2"/>
  <c r="AP17" i="2"/>
  <c r="AQ17" i="2"/>
  <c r="AQ16" i="2"/>
  <c r="AQ15" i="2"/>
  <c r="AQ14" i="2"/>
  <c r="AP13" i="2"/>
  <c r="AQ13" i="2"/>
  <c r="AQ12" i="2"/>
  <c r="AQ11" i="2"/>
  <c r="AQ10" i="2"/>
  <c r="AQ9" i="2"/>
  <c r="AQ8" i="2"/>
  <c r="AP7" i="2"/>
  <c r="AQ7" i="2"/>
  <c r="AQ6" i="2"/>
  <c r="AQ5" i="2"/>
  <c r="AQ4" i="2"/>
  <c r="AU51" i="2"/>
  <c r="AU50" i="2"/>
  <c r="AU49" i="2"/>
  <c r="AU48" i="2"/>
  <c r="AU47" i="2"/>
  <c r="AU46" i="2"/>
  <c r="AU45" i="2"/>
  <c r="AU44" i="2"/>
  <c r="AU43" i="2"/>
  <c r="AT42" i="2"/>
  <c r="AU42" i="2"/>
  <c r="AU41" i="2"/>
  <c r="AT40" i="2"/>
  <c r="AU40" i="2"/>
  <c r="AT39" i="2"/>
  <c r="AU39" i="2"/>
  <c r="AU38" i="2"/>
  <c r="AT37" i="2"/>
  <c r="AU37" i="2"/>
  <c r="AT36" i="2"/>
  <c r="AU36" i="2"/>
  <c r="AU35" i="2"/>
  <c r="AU34" i="2"/>
  <c r="AU33" i="2"/>
  <c r="AU32" i="2"/>
  <c r="AU31" i="2"/>
  <c r="AT30" i="2"/>
  <c r="AU30" i="2"/>
  <c r="AT29" i="2"/>
  <c r="AU29" i="2"/>
  <c r="AU28" i="2"/>
  <c r="AU27" i="2"/>
  <c r="AT26" i="2"/>
  <c r="AU26" i="2"/>
  <c r="AU25" i="2"/>
  <c r="AU24" i="2"/>
  <c r="AU23" i="2"/>
  <c r="AU22" i="2"/>
  <c r="AT21" i="2"/>
  <c r="AU21" i="2"/>
  <c r="AT20" i="2"/>
  <c r="AU20" i="2"/>
  <c r="AT19" i="2"/>
  <c r="AU19" i="2"/>
  <c r="AT18" i="2"/>
  <c r="AU18" i="2"/>
  <c r="AU17" i="2"/>
  <c r="AU16" i="2"/>
  <c r="AU15" i="2"/>
  <c r="AU14" i="2"/>
  <c r="AU13" i="2"/>
  <c r="AU12" i="2"/>
  <c r="AT11" i="2"/>
  <c r="AU11" i="2"/>
  <c r="AU10" i="2"/>
  <c r="AU9" i="2"/>
  <c r="AU7" i="2"/>
  <c r="AU6" i="2"/>
  <c r="AU4" i="2"/>
  <c r="B5" i="2"/>
  <c r="C8" i="15" s="1"/>
  <c r="B6" i="2"/>
  <c r="AU5" i="2"/>
  <c r="B7" i="2"/>
  <c r="C10" i="15" s="1"/>
  <c r="S18" i="1"/>
  <c r="AP6" i="2"/>
  <c r="B11" i="2"/>
  <c r="B12" i="2"/>
  <c r="C12" i="15" s="1"/>
  <c r="B13" i="2"/>
  <c r="B14" i="2"/>
  <c r="C14" i="15" s="1"/>
  <c r="S24" i="1"/>
  <c r="B18" i="2"/>
  <c r="B20" i="2"/>
  <c r="AT9" i="2"/>
  <c r="B21" i="2"/>
  <c r="C18" i="15" s="1"/>
  <c r="S30" i="1"/>
  <c r="B25" i="2"/>
  <c r="B26" i="2"/>
  <c r="B27" i="2"/>
  <c r="B28" i="2"/>
  <c r="C22" i="15" s="1"/>
  <c r="S36" i="1"/>
  <c r="AP12" i="2"/>
  <c r="B33" i="2"/>
  <c r="C24" i="15" s="1"/>
  <c r="B34" i="2"/>
  <c r="B35" i="2"/>
  <c r="S42" i="1"/>
  <c r="B39" i="2"/>
  <c r="B40" i="2"/>
  <c r="C28" i="15" s="1"/>
  <c r="B41" i="2"/>
  <c r="B42" i="2"/>
  <c r="S48" i="1"/>
  <c r="B46" i="2"/>
  <c r="B47" i="2"/>
  <c r="B48" i="2"/>
  <c r="B49" i="2"/>
  <c r="S54" i="1"/>
  <c r="B53" i="2"/>
  <c r="B54" i="2"/>
  <c r="B55" i="2"/>
  <c r="B56" i="2"/>
  <c r="AA67" i="1"/>
  <c r="AC67" i="1"/>
  <c r="AA72" i="1"/>
  <c r="AC72" i="1"/>
  <c r="J79" i="1"/>
  <c r="L79" i="1"/>
  <c r="J85" i="1"/>
  <c r="L85" i="1"/>
  <c r="C4" i="1"/>
  <c r="C2" i="1"/>
  <c r="F118" i="1"/>
  <c r="C13" i="15"/>
  <c r="M2" i="15"/>
  <c r="N2" i="15"/>
  <c r="P2" i="15"/>
  <c r="P3" i="15"/>
  <c r="P4" i="15"/>
  <c r="P5" i="15"/>
  <c r="P6" i="15"/>
  <c r="P7" i="15"/>
  <c r="P8" i="15"/>
  <c r="P9" i="15"/>
  <c r="P10" i="15"/>
  <c r="P11" i="15"/>
  <c r="P12" i="15"/>
  <c r="P13" i="15"/>
  <c r="P14" i="15"/>
  <c r="P15" i="15"/>
  <c r="P16" i="15"/>
  <c r="P17" i="15"/>
  <c r="P18" i="15"/>
  <c r="P19" i="15"/>
  <c r="P20" i="15"/>
  <c r="P21" i="15"/>
  <c r="P22" i="15"/>
  <c r="P23" i="15"/>
  <c r="P24" i="15"/>
  <c r="P25" i="15"/>
  <c r="P26" i="15"/>
  <c r="P27" i="15"/>
  <c r="P28" i="15"/>
  <c r="P29" i="15"/>
  <c r="P30" i="15"/>
  <c r="P31" i="15"/>
  <c r="P32" i="15"/>
  <c r="P33" i="15"/>
  <c r="P34" i="15"/>
  <c r="P35" i="15"/>
  <c r="P36" i="15"/>
  <c r="P37" i="15"/>
  <c r="P38" i="15"/>
  <c r="P39" i="15"/>
  <c r="P40" i="15"/>
  <c r="P41" i="15"/>
  <c r="P42" i="15"/>
  <c r="P43" i="15"/>
  <c r="P44" i="15"/>
  <c r="P45" i="15"/>
  <c r="P46" i="15"/>
  <c r="P47" i="15"/>
  <c r="P48" i="15"/>
  <c r="P49" i="15"/>
  <c r="P50" i="15"/>
  <c r="P51" i="15"/>
  <c r="P52" i="15"/>
  <c r="P53" i="15"/>
  <c r="P54" i="15"/>
  <c r="P55" i="15"/>
  <c r="P56" i="15"/>
  <c r="P57" i="15"/>
  <c r="P58" i="15"/>
  <c r="P59" i="15"/>
  <c r="P60" i="15"/>
  <c r="P61" i="15"/>
  <c r="P62" i="15"/>
  <c r="P63" i="15"/>
  <c r="P64" i="15"/>
  <c r="P65" i="15"/>
  <c r="J97" i="1"/>
  <c r="L97" i="1"/>
  <c r="J91" i="1"/>
  <c r="L91" i="1"/>
  <c r="J73" i="1"/>
  <c r="L73" i="1"/>
  <c r="J67" i="1"/>
  <c r="L67" i="1"/>
  <c r="J109" i="1"/>
  <c r="L109" i="1"/>
  <c r="J103" i="1"/>
  <c r="L103" i="1"/>
  <c r="AA82" i="1"/>
  <c r="AC82" i="1"/>
  <c r="AA77" i="1"/>
  <c r="AC77" i="1"/>
  <c r="AA95" i="1"/>
  <c r="AC95" i="1"/>
  <c r="AA90" i="1"/>
  <c r="AC90" i="1"/>
  <c r="AA111" i="1"/>
  <c r="AC111" i="1"/>
  <c r="AC60" i="1"/>
  <c r="W62" i="1"/>
  <c r="W61" i="1"/>
  <c r="W60" i="1"/>
  <c r="T62" i="1"/>
  <c r="T61" i="1"/>
  <c r="T60" i="1"/>
  <c r="Y114" i="1"/>
  <c r="Y113" i="1"/>
  <c r="Y112" i="1"/>
  <c r="Y106" i="1"/>
  <c r="Y105" i="1"/>
  <c r="Y104" i="1"/>
  <c r="Y98" i="1"/>
  <c r="Y97" i="1"/>
  <c r="Y96" i="1"/>
  <c r="Y93" i="1"/>
  <c r="Y92" i="1"/>
  <c r="Y91" i="1"/>
  <c r="Y85" i="1"/>
  <c r="Y84" i="1"/>
  <c r="Y83" i="1"/>
  <c r="Y80" i="1"/>
  <c r="Y79" i="1"/>
  <c r="Y78" i="1"/>
  <c r="Y75" i="1"/>
  <c r="Y74" i="1"/>
  <c r="Y73" i="1"/>
  <c r="Y70" i="1"/>
  <c r="Y69" i="1"/>
  <c r="Y68" i="1"/>
  <c r="H112" i="1"/>
  <c r="H111" i="1"/>
  <c r="H110" i="1"/>
  <c r="H106" i="1"/>
  <c r="H105" i="1"/>
  <c r="H104" i="1"/>
  <c r="H100" i="1"/>
  <c r="H99" i="1"/>
  <c r="H98" i="1"/>
  <c r="H94" i="1"/>
  <c r="H93" i="1"/>
  <c r="H92" i="1"/>
  <c r="H88" i="1"/>
  <c r="H87" i="1"/>
  <c r="H86" i="1"/>
  <c r="H82" i="1"/>
  <c r="H81" i="1"/>
  <c r="H80" i="1"/>
  <c r="H76" i="1"/>
  <c r="H75" i="1"/>
  <c r="H74" i="1"/>
  <c r="H70" i="1"/>
  <c r="H69" i="1"/>
  <c r="H68" i="1"/>
  <c r="R109" i="1"/>
  <c r="R101" i="1"/>
  <c r="R88" i="1"/>
  <c r="R65" i="1"/>
  <c r="C65" i="1"/>
  <c r="C2" i="11"/>
  <c r="D2" i="11"/>
  <c r="E2" i="11"/>
  <c r="F2" i="11"/>
  <c r="G2" i="11"/>
  <c r="H2" i="11"/>
  <c r="I2" i="11"/>
  <c r="J2" i="11"/>
  <c r="K2" i="11"/>
  <c r="L2" i="11"/>
  <c r="M2" i="11"/>
  <c r="N2" i="11"/>
  <c r="O2" i="11"/>
  <c r="P2" i="11"/>
  <c r="Q2" i="11"/>
  <c r="R2" i="11"/>
  <c r="S2" i="11"/>
  <c r="T2" i="11"/>
  <c r="U2" i="11"/>
  <c r="V2" i="11"/>
  <c r="W2" i="11"/>
  <c r="X2" i="11"/>
  <c r="Y2" i="11"/>
  <c r="Z2" i="11"/>
  <c r="AB2" i="11"/>
  <c r="AD2" i="11"/>
  <c r="AE2" i="11"/>
  <c r="AF2" i="11"/>
  <c r="AG2" i="11"/>
  <c r="AH2" i="11"/>
  <c r="AI2" i="11"/>
  <c r="AJ2" i="11"/>
  <c r="AK2" i="11"/>
  <c r="AL2" i="11"/>
  <c r="AM2" i="11"/>
  <c r="AN2" i="11"/>
  <c r="AO2" i="11"/>
  <c r="AP2" i="11"/>
  <c r="AQ2" i="11"/>
  <c r="AR2" i="11"/>
  <c r="AS2" i="11"/>
  <c r="AT2" i="11"/>
  <c r="AU2" i="11"/>
  <c r="AV2" i="11"/>
  <c r="AC103" i="1"/>
  <c r="AA103" i="1"/>
  <c r="BF50" i="2"/>
  <c r="BF49" i="2"/>
  <c r="BF48" i="2"/>
  <c r="BF47" i="2"/>
  <c r="BF46" i="2"/>
  <c r="BF45" i="2"/>
  <c r="BF44" i="2"/>
  <c r="BF43" i="2"/>
  <c r="BF42" i="2"/>
  <c r="BF41" i="2"/>
  <c r="BF40" i="2"/>
  <c r="BF39" i="2"/>
  <c r="BF38" i="2"/>
  <c r="BF37" i="2"/>
  <c r="BF36" i="2"/>
  <c r="BF35" i="2"/>
  <c r="BF34" i="2"/>
  <c r="BF33" i="2"/>
  <c r="BF32" i="2"/>
  <c r="BF31" i="2"/>
  <c r="BF30" i="2"/>
  <c r="BF29" i="2"/>
  <c r="BF28" i="2"/>
  <c r="BF27" i="2"/>
  <c r="BF26" i="2"/>
  <c r="BF25" i="2"/>
  <c r="BF24" i="2"/>
  <c r="BF23" i="2"/>
  <c r="BF22" i="2"/>
  <c r="BF21" i="2"/>
  <c r="BF20" i="2"/>
  <c r="BF19" i="2"/>
  <c r="BF18" i="2"/>
  <c r="BF17" i="2"/>
  <c r="BF16" i="2"/>
  <c r="BF15" i="2"/>
  <c r="BF14" i="2"/>
  <c r="BF13" i="2"/>
  <c r="BF12" i="2"/>
  <c r="BF11" i="2"/>
  <c r="BF10" i="2"/>
  <c r="BF9" i="2"/>
  <c r="BF8" i="2"/>
  <c r="BF7" i="2"/>
  <c r="BF6" i="2"/>
  <c r="BF5" i="2"/>
  <c r="BF4" i="2"/>
  <c r="BF3" i="2"/>
  <c r="BG17" i="2"/>
  <c r="BI50" i="2"/>
  <c r="BI49" i="2"/>
  <c r="BI48" i="2"/>
  <c r="BI47" i="2"/>
  <c r="BI46" i="2"/>
  <c r="BI45" i="2"/>
  <c r="BI44" i="2"/>
  <c r="BI43" i="2"/>
  <c r="BI42" i="2"/>
  <c r="BI41" i="2"/>
  <c r="BI40" i="2"/>
  <c r="BI39" i="2"/>
  <c r="BI38" i="2"/>
  <c r="BI37" i="2"/>
  <c r="BI36" i="2"/>
  <c r="BI35" i="2"/>
  <c r="BI34" i="2"/>
  <c r="BI33" i="2"/>
  <c r="BI32" i="2"/>
  <c r="BI31" i="2"/>
  <c r="BI30" i="2"/>
  <c r="BI29" i="2"/>
  <c r="BI28" i="2"/>
  <c r="BI27" i="2"/>
  <c r="BI26" i="2"/>
  <c r="BI25" i="2"/>
  <c r="BI24" i="2"/>
  <c r="BI23" i="2"/>
  <c r="BI22" i="2"/>
  <c r="BI21" i="2"/>
  <c r="BI20" i="2"/>
  <c r="BI19" i="2"/>
  <c r="BI18" i="2"/>
  <c r="BI17" i="2"/>
  <c r="BI16" i="2"/>
  <c r="BI15" i="2"/>
  <c r="BI14" i="2"/>
  <c r="BI13" i="2"/>
  <c r="BI12" i="2"/>
  <c r="BI11" i="2"/>
  <c r="BI10" i="2"/>
  <c r="BI9" i="2"/>
  <c r="BI8" i="2"/>
  <c r="BI7" i="2"/>
  <c r="BI6" i="2"/>
  <c r="BI5" i="2"/>
  <c r="BI4" i="2"/>
  <c r="BI3" i="2"/>
  <c r="BH34" i="2"/>
  <c r="BH50" i="2"/>
  <c r="BG3" i="2"/>
  <c r="BG4" i="2"/>
  <c r="BG5" i="2"/>
  <c r="BG6" i="2"/>
  <c r="BG7" i="2"/>
  <c r="BG8" i="2"/>
  <c r="BG9" i="2"/>
  <c r="BG10" i="2"/>
  <c r="BG11" i="2"/>
  <c r="BG12" i="2"/>
  <c r="BG13" i="2"/>
  <c r="BG14" i="2"/>
  <c r="BG15" i="2"/>
  <c r="BG16" i="2"/>
  <c r="BG18" i="2"/>
  <c r="BG19" i="2"/>
  <c r="BG20" i="2"/>
  <c r="BG21" i="2"/>
  <c r="BG22" i="2"/>
  <c r="BG23" i="2"/>
  <c r="BG24" i="2"/>
  <c r="BG25" i="2"/>
  <c r="BG26" i="2"/>
  <c r="BG27" i="2"/>
  <c r="BG28" i="2"/>
  <c r="BG29" i="2"/>
  <c r="BG30" i="2"/>
  <c r="BG31" i="2"/>
  <c r="BG32" i="2"/>
  <c r="BG33" i="2"/>
  <c r="BG34" i="2"/>
  <c r="BG35" i="2"/>
  <c r="BG36" i="2"/>
  <c r="BG37" i="2"/>
  <c r="BG38" i="2"/>
  <c r="BG39" i="2"/>
  <c r="BG40" i="2"/>
  <c r="BG41" i="2"/>
  <c r="BG42" i="2"/>
  <c r="BG43" i="2"/>
  <c r="BG44" i="2"/>
  <c r="BG45" i="2"/>
  <c r="BG46" i="2"/>
  <c r="BG47" i="2"/>
  <c r="BG48" i="2"/>
  <c r="BG49" i="2"/>
  <c r="BG50" i="2"/>
  <c r="BH3" i="2"/>
  <c r="BH4" i="2"/>
  <c r="BH5" i="2"/>
  <c r="BH6" i="2"/>
  <c r="BH7" i="2"/>
  <c r="BH8" i="2"/>
  <c r="BH9" i="2"/>
  <c r="BH10" i="2"/>
  <c r="BH11" i="2"/>
  <c r="BH12" i="2"/>
  <c r="BH13" i="2"/>
  <c r="BH14" i="2"/>
  <c r="BH15" i="2"/>
  <c r="BH16" i="2"/>
  <c r="BH17" i="2"/>
  <c r="BH18" i="2"/>
  <c r="BH19" i="2"/>
  <c r="BH20" i="2"/>
  <c r="BH21" i="2"/>
  <c r="BH22" i="2"/>
  <c r="BH23" i="2"/>
  <c r="BH24" i="2"/>
  <c r="BH25" i="2"/>
  <c r="BH26" i="2"/>
  <c r="BH27" i="2"/>
  <c r="BH28" i="2"/>
  <c r="BH29" i="2"/>
  <c r="BH30" i="2"/>
  <c r="BH31" i="2"/>
  <c r="BH32" i="2"/>
  <c r="BH33" i="2"/>
  <c r="BH35" i="2"/>
  <c r="BH36" i="2"/>
  <c r="BH37" i="2"/>
  <c r="BH38" i="2"/>
  <c r="BH39" i="2"/>
  <c r="BH40" i="2"/>
  <c r="BH41" i="2"/>
  <c r="BH42" i="2"/>
  <c r="BH43" i="2"/>
  <c r="BH44" i="2"/>
  <c r="BH45" i="2"/>
  <c r="BH46" i="2"/>
  <c r="BH47" i="2"/>
  <c r="BH48" i="2"/>
  <c r="BH49" i="2"/>
  <c r="AR51" i="2"/>
  <c r="AR50" i="2"/>
  <c r="AR49" i="2"/>
  <c r="AR48" i="2"/>
  <c r="AR47" i="2"/>
  <c r="AR46" i="2"/>
  <c r="AR45" i="2"/>
  <c r="AR44" i="2"/>
  <c r="AR43" i="2"/>
  <c r="AR42" i="2"/>
  <c r="AR41" i="2"/>
  <c r="AR40" i="2"/>
  <c r="AR39" i="2"/>
  <c r="AR38" i="2"/>
  <c r="AR37" i="2"/>
  <c r="AR36" i="2"/>
  <c r="AR35" i="2"/>
  <c r="AR34" i="2"/>
  <c r="AR33" i="2"/>
  <c r="AR32" i="2"/>
  <c r="AR31" i="2"/>
  <c r="AR30" i="2"/>
  <c r="AR29" i="2"/>
  <c r="AR28" i="2"/>
  <c r="AR27" i="2"/>
  <c r="AR26" i="2"/>
  <c r="AR25" i="2"/>
  <c r="AR24" i="2"/>
  <c r="AR23" i="2"/>
  <c r="AR22" i="2"/>
  <c r="AR21" i="2"/>
  <c r="AR20" i="2"/>
  <c r="AR19" i="2"/>
  <c r="AR18" i="2"/>
  <c r="AR17" i="2"/>
  <c r="AR16" i="2"/>
  <c r="AR15" i="2"/>
  <c r="AR14" i="2"/>
  <c r="AR13" i="2"/>
  <c r="AR12" i="2"/>
  <c r="AR11" i="2"/>
  <c r="AR10" i="2"/>
  <c r="AR9" i="2"/>
  <c r="AR8" i="2"/>
  <c r="AR7" i="2"/>
  <c r="AR6" i="2"/>
  <c r="AR5" i="2"/>
  <c r="AR4" i="2"/>
  <c r="AV51" i="2"/>
  <c r="AV50" i="2"/>
  <c r="AV49" i="2"/>
  <c r="AV48" i="2"/>
  <c r="AV47" i="2"/>
  <c r="AV46" i="2"/>
  <c r="AV45" i="2"/>
  <c r="AV44" i="2"/>
  <c r="AV43" i="2"/>
  <c r="AV42" i="2"/>
  <c r="AV41" i="2"/>
  <c r="AV40" i="2"/>
  <c r="AV39" i="2"/>
  <c r="AV38" i="2"/>
  <c r="AV37" i="2"/>
  <c r="AV36" i="2"/>
  <c r="AV35" i="2"/>
  <c r="AV34" i="2"/>
  <c r="AV33" i="2"/>
  <c r="AV32" i="2"/>
  <c r="AV31" i="2"/>
  <c r="AV30" i="2"/>
  <c r="AV29" i="2"/>
  <c r="AV28" i="2"/>
  <c r="AV27" i="2"/>
  <c r="AV26" i="2"/>
  <c r="AV25" i="2"/>
  <c r="AV24" i="2"/>
  <c r="AV23" i="2"/>
  <c r="AV22" i="2"/>
  <c r="AV21" i="2"/>
  <c r="AV20" i="2"/>
  <c r="AV19" i="2"/>
  <c r="AV18" i="2"/>
  <c r="AV17" i="2"/>
  <c r="AV16" i="2"/>
  <c r="AV15" i="2"/>
  <c r="AV14" i="2"/>
  <c r="AV13" i="2"/>
  <c r="AV12" i="2"/>
  <c r="AV11" i="2"/>
  <c r="AV10" i="2"/>
  <c r="AV9" i="2"/>
  <c r="AV8" i="2"/>
  <c r="AV7" i="2"/>
  <c r="AV6" i="2"/>
  <c r="AV5" i="2"/>
  <c r="AV4" i="2"/>
  <c r="AW51" i="2"/>
  <c r="AS51" i="2"/>
  <c r="AW50" i="2"/>
  <c r="AS50" i="2"/>
  <c r="AW49" i="2"/>
  <c r="AS49" i="2"/>
  <c r="AW48" i="2"/>
  <c r="AS48" i="2"/>
  <c r="AW47" i="2"/>
  <c r="AS47" i="2"/>
  <c r="AW46" i="2"/>
  <c r="AS46" i="2"/>
  <c r="AW45" i="2"/>
  <c r="AS45" i="2"/>
  <c r="AW44" i="2"/>
  <c r="AS44" i="2"/>
  <c r="AW43" i="2"/>
  <c r="AS43" i="2"/>
  <c r="AW42" i="2"/>
  <c r="AS42" i="2"/>
  <c r="AW41" i="2"/>
  <c r="AS41" i="2"/>
  <c r="AW40" i="2"/>
  <c r="AS40" i="2"/>
  <c r="AW39" i="2"/>
  <c r="AS39" i="2"/>
  <c r="AW38" i="2"/>
  <c r="AS38" i="2"/>
  <c r="AW37" i="2"/>
  <c r="AS37" i="2"/>
  <c r="AW36" i="2"/>
  <c r="AS36" i="2"/>
  <c r="AW35" i="2"/>
  <c r="AS35" i="2"/>
  <c r="AW34" i="2"/>
  <c r="AS34" i="2"/>
  <c r="AW33" i="2"/>
  <c r="AS33" i="2"/>
  <c r="AW32" i="2"/>
  <c r="AS32" i="2"/>
  <c r="AW31" i="2"/>
  <c r="AS31" i="2"/>
  <c r="AW30" i="2"/>
  <c r="AS30" i="2"/>
  <c r="AW29" i="2"/>
  <c r="AS29" i="2"/>
  <c r="AW28" i="2"/>
  <c r="AS28" i="2"/>
  <c r="AW10" i="2"/>
  <c r="AS27" i="2"/>
  <c r="AW19" i="2"/>
  <c r="AS10" i="2"/>
  <c r="AS19" i="2"/>
  <c r="AS11" i="2"/>
  <c r="AS26" i="2"/>
  <c r="AW11" i="2"/>
  <c r="AW26" i="2"/>
  <c r="AW18" i="2"/>
  <c r="AS18" i="2"/>
  <c r="AW27" i="2"/>
  <c r="AW8" i="2"/>
  <c r="AS25" i="2"/>
  <c r="AW17" i="2"/>
  <c r="AS8" i="2"/>
  <c r="AS17" i="2"/>
  <c r="AW25" i="2"/>
  <c r="AW16" i="2"/>
  <c r="AW24" i="2"/>
  <c r="AS16" i="2"/>
  <c r="AS24" i="2"/>
  <c r="AW9" i="2"/>
  <c r="AS9" i="2"/>
  <c r="AS6" i="2"/>
  <c r="AS15" i="2"/>
  <c r="AS23" i="2"/>
  <c r="AW23" i="2"/>
  <c r="AW15" i="2"/>
  <c r="AW6" i="2"/>
  <c r="AW7" i="2"/>
  <c r="AS22" i="2"/>
  <c r="AS7" i="2"/>
  <c r="AW22" i="2"/>
  <c r="AW14" i="2"/>
  <c r="AS14" i="2"/>
  <c r="AS4" i="2"/>
  <c r="AS13" i="2"/>
  <c r="AS20" i="2"/>
  <c r="AW20" i="2"/>
  <c r="AW13" i="2"/>
  <c r="AW4" i="2"/>
  <c r="AW5" i="2"/>
  <c r="AS21" i="2"/>
  <c r="AS5" i="2"/>
  <c r="AW12" i="2"/>
  <c r="AS12" i="2"/>
  <c r="AW21" i="2"/>
  <c r="C15" i="15"/>
  <c r="C7" i="15"/>
  <c r="B32" i="2"/>
  <c r="C19" i="15"/>
  <c r="AU8" i="2"/>
  <c r="B19" i="2"/>
  <c r="CA161" i="19"/>
  <c r="BX149" i="19"/>
  <c r="BX163" i="19"/>
  <c r="BX166" i="19"/>
  <c r="CA178" i="19"/>
  <c r="BX181" i="19"/>
  <c r="CA183" i="19"/>
  <c r="CA170" i="19"/>
  <c r="CA174" i="19"/>
  <c r="BX145" i="19"/>
  <c r="BX167" i="19"/>
  <c r="BX157" i="19"/>
  <c r="CA182" i="19"/>
  <c r="BX151" i="19"/>
  <c r="BX179" i="19"/>
  <c r="CA186" i="19"/>
  <c r="CA141" i="19"/>
  <c r="BX141" i="19"/>
  <c r="CA177" i="19"/>
  <c r="BX175" i="19"/>
  <c r="BX155" i="19"/>
  <c r="BX182" i="19"/>
  <c r="CA167" i="19"/>
  <c r="CA168" i="19"/>
  <c r="BX173" i="19"/>
  <c r="CA153" i="19"/>
  <c r="CA175" i="19"/>
  <c r="CA185" i="19"/>
  <c r="CA157" i="19"/>
  <c r="CA169" i="19"/>
  <c r="BX183" i="19"/>
  <c r="BX161" i="19"/>
  <c r="CA166" i="19"/>
  <c r="BX165" i="19"/>
  <c r="BX153" i="19"/>
  <c r="CA179" i="19"/>
  <c r="BX177" i="19"/>
  <c r="BX169" i="19"/>
  <c r="BX171" i="19"/>
  <c r="CA171" i="19"/>
  <c r="CA173" i="19"/>
  <c r="BX185" i="19"/>
  <c r="CA181" i="19"/>
  <c r="BX170" i="19"/>
  <c r="CA165" i="19"/>
  <c r="CA149" i="19"/>
  <c r="R9" i="15" l="1"/>
  <c r="G41" i="2"/>
  <c r="F48" i="2"/>
  <c r="D2" i="19"/>
  <c r="D2" i="18"/>
  <c r="G32" i="2"/>
  <c r="R2" i="19"/>
  <c r="R2" i="18"/>
  <c r="C16" i="15"/>
  <c r="K2" i="19"/>
  <c r="K2" i="18"/>
  <c r="AF2" i="19"/>
  <c r="AF2" i="18"/>
  <c r="C35" i="15"/>
  <c r="AC2" i="19"/>
  <c r="AC2" i="18"/>
  <c r="C32" i="15"/>
  <c r="V2" i="19"/>
  <c r="V2" i="18"/>
  <c r="S2" i="19"/>
  <c r="S2" i="18"/>
  <c r="C21" i="15"/>
  <c r="P2" i="19"/>
  <c r="P2" i="18"/>
  <c r="M2" i="19"/>
  <c r="M2" i="18"/>
  <c r="F2" i="19"/>
  <c r="F2" i="18"/>
  <c r="AB2" i="19"/>
  <c r="AB2" i="18"/>
  <c r="C31" i="15"/>
  <c r="AE2" i="19"/>
  <c r="AE2" i="18"/>
  <c r="C38" i="15"/>
  <c r="Y2" i="19"/>
  <c r="Y2" i="18"/>
  <c r="C20" i="15"/>
  <c r="O2" i="19"/>
  <c r="O2" i="18"/>
  <c r="I2" i="19"/>
  <c r="BT171" i="19" s="1"/>
  <c r="I2" i="18"/>
  <c r="AD2" i="19"/>
  <c r="AD2" i="18"/>
  <c r="C37" i="15"/>
  <c r="AA2" i="19"/>
  <c r="AA2" i="18"/>
  <c r="C34" i="15"/>
  <c r="C29" i="15"/>
  <c r="X2" i="19"/>
  <c r="X2" i="18"/>
  <c r="C26" i="15"/>
  <c r="U2" i="19"/>
  <c r="U2" i="18"/>
  <c r="N2" i="19"/>
  <c r="N2" i="18"/>
  <c r="C17" i="15"/>
  <c r="L2" i="19"/>
  <c r="L2" i="18"/>
  <c r="H2" i="19"/>
  <c r="BT157" i="19" s="1"/>
  <c r="H2" i="18"/>
  <c r="C2" i="19"/>
  <c r="C2" i="18"/>
  <c r="B2" i="19"/>
  <c r="B2" i="18"/>
  <c r="C30" i="15"/>
  <c r="AG2" i="19"/>
  <c r="AG2" i="18"/>
  <c r="C36" i="15"/>
  <c r="Z2" i="19"/>
  <c r="Z2" i="18"/>
  <c r="C33" i="15"/>
  <c r="W2" i="19"/>
  <c r="W2" i="18"/>
  <c r="T2" i="19"/>
  <c r="T2" i="18"/>
  <c r="Q2" i="19"/>
  <c r="Q2" i="18"/>
  <c r="J2" i="19"/>
  <c r="J2" i="18"/>
  <c r="G2" i="19"/>
  <c r="G2" i="18"/>
  <c r="E2" i="19"/>
  <c r="E2" i="18"/>
  <c r="BY165" i="19"/>
  <c r="BY141" i="19"/>
  <c r="BW194" i="19"/>
  <c r="BW206" i="19"/>
  <c r="BT183" i="19"/>
  <c r="BW180" i="19"/>
  <c r="BW209" i="19"/>
  <c r="BT186" i="19"/>
  <c r="BW191" i="19"/>
  <c r="BW198" i="19"/>
  <c r="BT175" i="19"/>
  <c r="BW190" i="19"/>
  <c r="BW188" i="19"/>
  <c r="BT165" i="19"/>
  <c r="BW201" i="19"/>
  <c r="BW205" i="19"/>
  <c r="BT182" i="19"/>
  <c r="BW184" i="19"/>
  <c r="BW192" i="19"/>
  <c r="BT169" i="19"/>
  <c r="BW172" i="19"/>
  <c r="BW204" i="19"/>
  <c r="BT181" i="19"/>
  <c r="BW189" i="19"/>
  <c r="BW200" i="19"/>
  <c r="BT177" i="19"/>
  <c r="BW176" i="19"/>
  <c r="BW193" i="19"/>
  <c r="BT170" i="19"/>
  <c r="BW164" i="19"/>
  <c r="BW208" i="19"/>
  <c r="BT185" i="19"/>
  <c r="BW197" i="19"/>
  <c r="BW196" i="19"/>
  <c r="BT173" i="19"/>
  <c r="BW202" i="19"/>
  <c r="BT179" i="19"/>
  <c r="BY173" i="19"/>
  <c r="BY153" i="19"/>
  <c r="BY183" i="19"/>
  <c r="BY151" i="19"/>
  <c r="BY175" i="19"/>
  <c r="BY149" i="19"/>
  <c r="BY163" i="19"/>
  <c r="BY171" i="19"/>
  <c r="BY157" i="19"/>
  <c r="BY145" i="19"/>
  <c r="BY182" i="19"/>
  <c r="BY185" i="19"/>
  <c r="BY177" i="19"/>
  <c r="BY167" i="19"/>
  <c r="BY161" i="19"/>
  <c r="BY181" i="19"/>
  <c r="BY169" i="19"/>
  <c r="BY166" i="19"/>
  <c r="BY179" i="19"/>
  <c r="BY170" i="19"/>
  <c r="BY155" i="19"/>
  <c r="BZ293" i="19"/>
  <c r="BZ289" i="19"/>
  <c r="BZ281" i="19"/>
  <c r="BZ263" i="19"/>
  <c r="BZ259" i="19"/>
  <c r="BZ269" i="19"/>
  <c r="BZ277" i="19"/>
  <c r="BZ297" i="19"/>
  <c r="BZ301" i="19"/>
  <c r="BZ279" i="19"/>
  <c r="BZ299" i="19"/>
  <c r="BZ287" i="19"/>
  <c r="BZ285" i="19"/>
  <c r="BZ257" i="19"/>
  <c r="BZ291" i="19"/>
  <c r="BZ271" i="19"/>
  <c r="BZ267" i="19"/>
  <c r="BZ273" i="19"/>
  <c r="BZ265" i="19"/>
  <c r="BZ275" i="19"/>
  <c r="BZ295" i="19"/>
  <c r="BZ261" i="19"/>
  <c r="BZ283" i="19"/>
  <c r="BV201" i="19"/>
  <c r="BV195" i="19"/>
  <c r="BV191" i="19"/>
  <c r="BV212" i="19"/>
  <c r="BV199" i="19"/>
  <c r="BV228" i="19"/>
  <c r="BV227" i="19"/>
  <c r="BV219" i="19"/>
  <c r="BV221" i="19"/>
  <c r="BV231" i="19"/>
  <c r="BV215" i="19"/>
  <c r="BV203" i="19"/>
  <c r="BV207" i="19"/>
  <c r="BV216" i="19"/>
  <c r="BV197" i="19"/>
  <c r="BV209" i="19"/>
  <c r="BV223" i="19"/>
  <c r="BV234" i="19"/>
  <c r="BV233" i="19"/>
  <c r="BV217" i="19"/>
  <c r="BV213" i="19"/>
  <c r="BV225" i="19"/>
  <c r="BV229" i="19"/>
  <c r="E14" i="2"/>
  <c r="C48" i="2"/>
  <c r="C55" i="2"/>
  <c r="C12" i="2"/>
  <c r="D13" i="2"/>
  <c r="D56" i="2"/>
  <c r="D54" i="2"/>
  <c r="C11" i="2"/>
  <c r="C19" i="2"/>
  <c r="D39" i="2"/>
  <c r="E26" i="2"/>
  <c r="G49" i="2"/>
  <c r="F13" i="2"/>
  <c r="G21" i="2"/>
  <c r="F19" i="2"/>
  <c r="C20" i="2"/>
  <c r="C25" i="2"/>
  <c r="F28" i="2"/>
  <c r="E34" i="2"/>
  <c r="F56" i="2"/>
  <c r="D34" i="2"/>
  <c r="D33" i="2"/>
  <c r="D7" i="2"/>
  <c r="D47" i="2"/>
  <c r="D35" i="2"/>
  <c r="E7" i="2"/>
  <c r="E53" i="2"/>
  <c r="E32" i="2"/>
  <c r="D5" i="2"/>
  <c r="D12" i="2"/>
  <c r="G18" i="2"/>
  <c r="C7" i="2"/>
  <c r="F18" i="2"/>
  <c r="D40" i="2"/>
  <c r="C49" i="2"/>
  <c r="C46" i="2"/>
  <c r="E19" i="2"/>
  <c r="F55" i="2"/>
  <c r="F27" i="2"/>
  <c r="D53" i="2"/>
  <c r="D18" i="2"/>
  <c r="D32" i="2"/>
  <c r="D19" i="2"/>
  <c r="D46" i="2"/>
  <c r="D25" i="2"/>
  <c r="D41" i="2"/>
  <c r="D27" i="2"/>
  <c r="D14" i="2"/>
  <c r="C28" i="2"/>
  <c r="C35" i="2"/>
  <c r="C14" i="2"/>
  <c r="G46" i="2"/>
  <c r="G28" i="2"/>
  <c r="F53" i="2"/>
  <c r="F25" i="2"/>
  <c r="G4" i="2"/>
  <c r="F5" i="2"/>
  <c r="E20" i="2"/>
  <c r="E55" i="2"/>
  <c r="E40" i="2"/>
  <c r="C32" i="2"/>
  <c r="C4" i="2"/>
  <c r="G48" i="2"/>
  <c r="G35" i="2"/>
  <c r="F21" i="2"/>
  <c r="F6" i="2"/>
  <c r="F41" i="2"/>
  <c r="H41" i="2" s="1"/>
  <c r="G14" i="2"/>
  <c r="E11" i="2"/>
  <c r="E27" i="2"/>
  <c r="E5" i="2"/>
  <c r="E54" i="2"/>
  <c r="E35" i="2"/>
  <c r="G13" i="2"/>
  <c r="F35" i="2"/>
  <c r="D26" i="2"/>
  <c r="D55" i="2"/>
  <c r="D6" i="2"/>
  <c r="C27" i="2"/>
  <c r="G55" i="2"/>
  <c r="G34" i="2"/>
  <c r="F7" i="2"/>
  <c r="F46" i="2"/>
  <c r="E6" i="2"/>
  <c r="E48" i="2"/>
  <c r="E33" i="2"/>
  <c r="D11" i="2"/>
  <c r="F11" i="2"/>
  <c r="C11" i="15"/>
  <c r="G11" i="2"/>
  <c r="C27" i="15"/>
  <c r="G39" i="2"/>
  <c r="C39" i="2"/>
  <c r="E39" i="2"/>
  <c r="F39" i="2"/>
  <c r="F32" i="2"/>
  <c r="C23" i="15"/>
  <c r="C34" i="2"/>
  <c r="C25" i="15"/>
  <c r="F34" i="2"/>
  <c r="C9" i="15"/>
  <c r="C6" i="2"/>
  <c r="G6" i="2"/>
  <c r="D20" i="2"/>
  <c r="D28" i="2"/>
  <c r="D49" i="2"/>
  <c r="D21" i="2"/>
  <c r="D42" i="2"/>
  <c r="D4" i="2"/>
  <c r="C18" i="2"/>
  <c r="C5" i="2"/>
  <c r="C54" i="2"/>
  <c r="C56" i="2"/>
  <c r="C21" i="2"/>
  <c r="C33" i="2"/>
  <c r="C40" i="2"/>
  <c r="C42" i="2"/>
  <c r="C47" i="2"/>
  <c r="C53" i="2"/>
  <c r="D48" i="2"/>
  <c r="C26" i="2"/>
  <c r="E56" i="2"/>
  <c r="E28" i="2"/>
  <c r="E4" i="2"/>
  <c r="E47" i="2"/>
  <c r="E12" i="2"/>
  <c r="E13" i="2"/>
  <c r="E25" i="2"/>
  <c r="E46" i="2"/>
  <c r="E21" i="2"/>
  <c r="E42" i="2"/>
  <c r="E18" i="2"/>
  <c r="E49" i="2"/>
  <c r="F54" i="2"/>
  <c r="G47" i="2"/>
  <c r="G40" i="2"/>
  <c r="G25" i="2"/>
  <c r="G20" i="2"/>
  <c r="F4" i="2"/>
  <c r="F12" i="2"/>
  <c r="F33" i="2"/>
  <c r="G7" i="2"/>
  <c r="F26" i="2"/>
  <c r="F14" i="2"/>
  <c r="G56" i="2"/>
  <c r="G42" i="2"/>
  <c r="G26" i="2"/>
  <c r="G53" i="2"/>
  <c r="G19" i="2"/>
  <c r="F47" i="2"/>
  <c r="F49" i="2"/>
  <c r="F42" i="2"/>
  <c r="G27" i="2"/>
  <c r="G5" i="2"/>
  <c r="G54" i="2"/>
  <c r="F40" i="2"/>
  <c r="H40" i="2" s="1"/>
  <c r="G33" i="2"/>
  <c r="F20" i="2"/>
  <c r="G12" i="2"/>
  <c r="C41" i="2"/>
  <c r="E41" i="2"/>
  <c r="C13" i="2"/>
  <c r="R43" i="15"/>
  <c r="R38" i="15"/>
  <c r="R6" i="15"/>
  <c r="R15" i="15"/>
  <c r="R59" i="15"/>
  <c r="R50" i="15"/>
  <c r="R34" i="15"/>
  <c r="R18" i="15"/>
  <c r="R2" i="15"/>
  <c r="R47" i="15"/>
  <c r="R25" i="15"/>
  <c r="R5" i="15"/>
  <c r="R54" i="15"/>
  <c r="R22" i="15"/>
  <c r="R3" i="15"/>
  <c r="R64" i="15"/>
  <c r="R48" i="15"/>
  <c r="R32" i="15"/>
  <c r="R16" i="15"/>
  <c r="R13" i="15"/>
  <c r="R49" i="15"/>
  <c r="R31" i="15"/>
  <c r="R53" i="15"/>
  <c r="R19" i="15"/>
  <c r="R60" i="15"/>
  <c r="R44" i="15"/>
  <c r="R28" i="15"/>
  <c r="R12" i="15"/>
  <c r="R29" i="15"/>
  <c r="R63" i="15"/>
  <c r="R57" i="15"/>
  <c r="R55" i="15"/>
  <c r="R27" i="15"/>
  <c r="R51" i="15"/>
  <c r="R58" i="15"/>
  <c r="R52" i="15"/>
  <c r="R42" i="15"/>
  <c r="R36" i="15"/>
  <c r="R26" i="15"/>
  <c r="R20" i="15"/>
  <c r="R10" i="15"/>
  <c r="R4" i="15"/>
  <c r="R37" i="15"/>
  <c r="R61" i="15"/>
  <c r="R65" i="15"/>
  <c r="R33" i="15"/>
  <c r="R17" i="15"/>
  <c r="R11" i="15"/>
  <c r="R35" i="15"/>
  <c r="R62" i="15"/>
  <c r="R56" i="15"/>
  <c r="R46" i="15"/>
  <c r="R40" i="15"/>
  <c r="R30" i="15"/>
  <c r="R24" i="15"/>
  <c r="R14" i="15"/>
  <c r="R8" i="15"/>
  <c r="R21" i="15"/>
  <c r="R45" i="15"/>
  <c r="R41" i="15"/>
  <c r="R39" i="15"/>
  <c r="R23" i="15"/>
  <c r="R7" i="15"/>
  <c r="BX204" i="19"/>
  <c r="CA172" i="19"/>
  <c r="CA200" i="19"/>
  <c r="CA205" i="19"/>
  <c r="CA188" i="19"/>
  <c r="CA194" i="19"/>
  <c r="BX194" i="19"/>
  <c r="BX205" i="19"/>
  <c r="BX202" i="19"/>
  <c r="BX172" i="19"/>
  <c r="CA202" i="19"/>
  <c r="BX196" i="19"/>
  <c r="CA198" i="19"/>
  <c r="BX176" i="19"/>
  <c r="CA189" i="19"/>
  <c r="CA209" i="19"/>
  <c r="BX188" i="19"/>
  <c r="BX186" i="19"/>
  <c r="BX190" i="19"/>
  <c r="CA164" i="19"/>
  <c r="CA180" i="19"/>
  <c r="BX198" i="19"/>
  <c r="BX178" i="19"/>
  <c r="CA196" i="19"/>
  <c r="CA208" i="19"/>
  <c r="CA191" i="19"/>
  <c r="BX200" i="19"/>
  <c r="CA201" i="19"/>
  <c r="BX164" i="19"/>
  <c r="CA206" i="19"/>
  <c r="CA193" i="19"/>
  <c r="CA197" i="19"/>
  <c r="BX208" i="19"/>
  <c r="CA192" i="19"/>
  <c r="BX206" i="19"/>
  <c r="BX193" i="19"/>
  <c r="CA204" i="19"/>
  <c r="BX184" i="19"/>
  <c r="BX168" i="19"/>
  <c r="BX174" i="19"/>
  <c r="BX180" i="19"/>
  <c r="CA176" i="19"/>
  <c r="CA184" i="19"/>
  <c r="BX189" i="19"/>
  <c r="BX192" i="19"/>
  <c r="CA190" i="19"/>
  <c r="H32" i="2" l="1"/>
  <c r="I13" i="2"/>
  <c r="I54" i="2"/>
  <c r="I55" i="2"/>
  <c r="H48" i="2"/>
  <c r="I48" i="2"/>
  <c r="BT149" i="19"/>
  <c r="BT161" i="19"/>
  <c r="G35" i="1"/>
  <c r="F35" i="1" s="1"/>
  <c r="G56" i="17"/>
  <c r="F56" i="17" s="1"/>
  <c r="G42" i="1"/>
  <c r="F42" i="1" s="1"/>
  <c r="G70" i="17"/>
  <c r="F70" i="17" s="1"/>
  <c r="G45" i="1"/>
  <c r="F45" i="1" s="1"/>
  <c r="G76" i="17"/>
  <c r="F76" i="17" s="1"/>
  <c r="G48" i="1"/>
  <c r="F48" i="1" s="1"/>
  <c r="G82" i="17"/>
  <c r="F82" i="17" s="1"/>
  <c r="U95" i="1"/>
  <c r="T95" i="1" s="1"/>
  <c r="G73" i="21"/>
  <c r="F73" i="21" s="1"/>
  <c r="G43" i="1"/>
  <c r="F43" i="1" s="1"/>
  <c r="G72" i="17"/>
  <c r="F72" i="17" s="1"/>
  <c r="G34" i="1"/>
  <c r="F34" i="1" s="1"/>
  <c r="G54" i="17"/>
  <c r="F54" i="17" s="1"/>
  <c r="G51" i="1"/>
  <c r="F51" i="1" s="1"/>
  <c r="G88" i="17"/>
  <c r="F88" i="17" s="1"/>
  <c r="G33" i="1"/>
  <c r="F33" i="1" s="1"/>
  <c r="G52" i="17"/>
  <c r="F52" i="17" s="1"/>
  <c r="U90" i="1"/>
  <c r="T90" i="1" s="1"/>
  <c r="G71" i="21"/>
  <c r="F71" i="21" s="1"/>
  <c r="G16" i="1"/>
  <c r="F16" i="1" s="1"/>
  <c r="G18" i="17"/>
  <c r="F18" i="17" s="1"/>
  <c r="G73" i="1"/>
  <c r="F73" i="1" s="1"/>
  <c r="G43" i="21"/>
  <c r="F43" i="21" s="1"/>
  <c r="G56" i="1"/>
  <c r="F56" i="1" s="1"/>
  <c r="G98" i="17"/>
  <c r="F98" i="17" s="1"/>
  <c r="G44" i="1"/>
  <c r="F44" i="1" s="1"/>
  <c r="G74" i="17"/>
  <c r="F74" i="17" s="1"/>
  <c r="G59" i="1"/>
  <c r="F59" i="1" s="1"/>
  <c r="G104" i="17"/>
  <c r="F104" i="17" s="1"/>
  <c r="G67" i="1"/>
  <c r="F67" i="1" s="1"/>
  <c r="G41" i="21"/>
  <c r="F41" i="21" s="1"/>
  <c r="G50" i="1"/>
  <c r="F50" i="1" s="1"/>
  <c r="G86" i="17"/>
  <c r="F86" i="17" s="1"/>
  <c r="G20" i="1"/>
  <c r="F20" i="1" s="1"/>
  <c r="G26" i="17"/>
  <c r="F26" i="17" s="1"/>
  <c r="G52" i="1"/>
  <c r="F52" i="1" s="1"/>
  <c r="G90" i="17"/>
  <c r="F90" i="17" s="1"/>
  <c r="G47" i="1"/>
  <c r="F47" i="1" s="1"/>
  <c r="G80" i="17"/>
  <c r="F80" i="17" s="1"/>
  <c r="U111" i="1"/>
  <c r="T111" i="1" s="1"/>
  <c r="G83" i="21"/>
  <c r="F83" i="21" s="1"/>
  <c r="G22" i="1"/>
  <c r="F22" i="1" s="1"/>
  <c r="G30" i="17"/>
  <c r="F30" i="17" s="1"/>
  <c r="G54" i="1"/>
  <c r="F54" i="1" s="1"/>
  <c r="G94" i="17"/>
  <c r="F94" i="17" s="1"/>
  <c r="G39" i="1"/>
  <c r="F39" i="1" s="1"/>
  <c r="G64" i="17"/>
  <c r="F64" i="17" s="1"/>
  <c r="G41" i="1"/>
  <c r="F41" i="1" s="1"/>
  <c r="G68" i="17"/>
  <c r="F68" i="17" s="1"/>
  <c r="U77" i="1"/>
  <c r="T77" i="1" s="1"/>
  <c r="G64" i="21"/>
  <c r="F64" i="21" s="1"/>
  <c r="G61" i="1"/>
  <c r="F61" i="1" s="1"/>
  <c r="G108" i="17"/>
  <c r="F108" i="17" s="1"/>
  <c r="G60" i="1"/>
  <c r="F60" i="1" s="1"/>
  <c r="G106" i="17"/>
  <c r="F106" i="17" s="1"/>
  <c r="G91" i="1"/>
  <c r="F91" i="1" s="1"/>
  <c r="G49" i="21"/>
  <c r="F49" i="21" s="1"/>
  <c r="G14" i="1"/>
  <c r="F14" i="1" s="1"/>
  <c r="G14" i="17"/>
  <c r="F14" i="17" s="1"/>
  <c r="U72" i="1"/>
  <c r="T72" i="1" s="1"/>
  <c r="G62" i="21"/>
  <c r="F62" i="21" s="1"/>
  <c r="G55" i="1"/>
  <c r="F55" i="1" s="1"/>
  <c r="G96" i="17"/>
  <c r="F96" i="17" s="1"/>
  <c r="G53" i="1"/>
  <c r="F53" i="1" s="1"/>
  <c r="G92" i="17"/>
  <c r="F92" i="17" s="1"/>
  <c r="G26" i="1"/>
  <c r="F26" i="1" s="1"/>
  <c r="G38" i="17"/>
  <c r="F38" i="17" s="1"/>
  <c r="G58" i="1"/>
  <c r="F58" i="1" s="1"/>
  <c r="G102" i="17"/>
  <c r="F102" i="17" s="1"/>
  <c r="G23" i="1"/>
  <c r="F23" i="1" s="1"/>
  <c r="G32" i="17"/>
  <c r="F32" i="17" s="1"/>
  <c r="U82" i="1"/>
  <c r="T82" i="1" s="1"/>
  <c r="G66" i="21"/>
  <c r="F66" i="21" s="1"/>
  <c r="G32" i="1"/>
  <c r="F32" i="1" s="1"/>
  <c r="G50" i="17"/>
  <c r="F50" i="17" s="1"/>
  <c r="G79" i="1"/>
  <c r="F79" i="1" s="1"/>
  <c r="G45" i="21"/>
  <c r="F45" i="21" s="1"/>
  <c r="G97" i="1"/>
  <c r="F97" i="1" s="1"/>
  <c r="G51" i="21"/>
  <c r="F51" i="21" s="1"/>
  <c r="G24" i="1"/>
  <c r="F24" i="1" s="1"/>
  <c r="G34" i="17"/>
  <c r="F34" i="17" s="1"/>
  <c r="G31" i="1"/>
  <c r="F31" i="1" s="1"/>
  <c r="G48" i="17"/>
  <c r="F48" i="17" s="1"/>
  <c r="G25" i="1"/>
  <c r="F25" i="1" s="1"/>
  <c r="G36" i="17"/>
  <c r="F36" i="17" s="1"/>
  <c r="U103" i="1"/>
  <c r="T103" i="1" s="1"/>
  <c r="G78" i="21"/>
  <c r="F78" i="21" s="1"/>
  <c r="G17" i="1"/>
  <c r="F17" i="1" s="1"/>
  <c r="G20" i="17"/>
  <c r="F20" i="17" s="1"/>
  <c r="G30" i="1"/>
  <c r="F30" i="1" s="1"/>
  <c r="G46" i="17"/>
  <c r="F46" i="17" s="1"/>
  <c r="G27" i="1"/>
  <c r="F27" i="1" s="1"/>
  <c r="G40" i="17"/>
  <c r="F40" i="17" s="1"/>
  <c r="G19" i="1"/>
  <c r="F19" i="1" s="1"/>
  <c r="G24" i="17"/>
  <c r="F24" i="17" s="1"/>
  <c r="G57" i="1"/>
  <c r="F57" i="1" s="1"/>
  <c r="G100" i="17"/>
  <c r="F100" i="17" s="1"/>
  <c r="G36" i="1"/>
  <c r="F36" i="1" s="1"/>
  <c r="G58" i="17"/>
  <c r="F58" i="17" s="1"/>
  <c r="G103" i="1"/>
  <c r="F103" i="1" s="1"/>
  <c r="G53" i="21"/>
  <c r="F53" i="21" s="1"/>
  <c r="G29" i="1"/>
  <c r="F29" i="1" s="1"/>
  <c r="G44" i="17"/>
  <c r="F44" i="17" s="1"/>
  <c r="G49" i="1"/>
  <c r="F49" i="1" s="1"/>
  <c r="G84" i="17"/>
  <c r="F84" i="17" s="1"/>
  <c r="G38" i="1"/>
  <c r="F38" i="1" s="1"/>
  <c r="G62" i="17"/>
  <c r="F62" i="17" s="1"/>
  <c r="U67" i="1"/>
  <c r="T67" i="1" s="1"/>
  <c r="G60" i="21"/>
  <c r="F60" i="21" s="1"/>
  <c r="G109" i="1"/>
  <c r="F109" i="1" s="1"/>
  <c r="G55" i="21"/>
  <c r="F55" i="21" s="1"/>
  <c r="G40" i="1"/>
  <c r="F40" i="1" s="1"/>
  <c r="G66" i="17"/>
  <c r="F66" i="17" s="1"/>
  <c r="G85" i="1"/>
  <c r="F85" i="1" s="1"/>
  <c r="G47" i="21"/>
  <c r="F47" i="21" s="1"/>
  <c r="G28" i="1"/>
  <c r="F28" i="1" s="1"/>
  <c r="G42" i="17"/>
  <c r="F42" i="17" s="1"/>
  <c r="G15" i="1"/>
  <c r="F15" i="1" s="1"/>
  <c r="G16" i="17"/>
  <c r="F16" i="17" s="1"/>
  <c r="G37" i="1"/>
  <c r="F37" i="1" s="1"/>
  <c r="G60" i="17"/>
  <c r="F60" i="17" s="1"/>
  <c r="G46" i="1"/>
  <c r="F46" i="1" s="1"/>
  <c r="G78" i="17"/>
  <c r="F78" i="17" s="1"/>
  <c r="G18" i="1"/>
  <c r="F18" i="1" s="1"/>
  <c r="G22" i="17"/>
  <c r="F22" i="17" s="1"/>
  <c r="G21" i="1"/>
  <c r="F21" i="1" s="1"/>
  <c r="G28" i="17"/>
  <c r="F28" i="17" s="1"/>
  <c r="H56" i="2"/>
  <c r="BT141" i="19"/>
  <c r="BT153" i="19"/>
  <c r="H28" i="2"/>
  <c r="BT174" i="19"/>
  <c r="BT166" i="19"/>
  <c r="BT178" i="19"/>
  <c r="BT167" i="19"/>
  <c r="BT168" i="19"/>
  <c r="BT3" i="19"/>
  <c r="BT4" i="19" s="1"/>
  <c r="BT5" i="19" s="1"/>
  <c r="BT6" i="19" s="1"/>
  <c r="BT7" i="19" s="1"/>
  <c r="BT8" i="19" s="1"/>
  <c r="BT9" i="19" s="1"/>
  <c r="BT10" i="19" s="1"/>
  <c r="BT11" i="19" s="1"/>
  <c r="BT12" i="19" s="1"/>
  <c r="BT13" i="19" s="1"/>
  <c r="BT14" i="19" s="1"/>
  <c r="BT15" i="19" s="1"/>
  <c r="BT16" i="19" s="1"/>
  <c r="BT17" i="19" s="1"/>
  <c r="BT18" i="19" s="1"/>
  <c r="BT19" i="19" s="1"/>
  <c r="BT20" i="19" s="1"/>
  <c r="BT21" i="19" s="1"/>
  <c r="BT22" i="19" s="1"/>
  <c r="BT23" i="19" s="1"/>
  <c r="BT24" i="19" s="1"/>
  <c r="BT25" i="19" s="1"/>
  <c r="BT156" i="19"/>
  <c r="BT150" i="19"/>
  <c r="BT151" i="19"/>
  <c r="BT162" i="19"/>
  <c r="BT147" i="19"/>
  <c r="BT154" i="19"/>
  <c r="BT143" i="19"/>
  <c r="BT158" i="19"/>
  <c r="BT146" i="19"/>
  <c r="BT159" i="19"/>
  <c r="BT155" i="19"/>
  <c r="BT142" i="19"/>
  <c r="BT144" i="19"/>
  <c r="BT152" i="19"/>
  <c r="BT145" i="19"/>
  <c r="BT163" i="19"/>
  <c r="BT160" i="19"/>
  <c r="BT148" i="19"/>
  <c r="BT117" i="19"/>
  <c r="BT105" i="19"/>
  <c r="BT97" i="19"/>
  <c r="BT100" i="19"/>
  <c r="BT106" i="19"/>
  <c r="BT110" i="19"/>
  <c r="BT99" i="19"/>
  <c r="BT104" i="19"/>
  <c r="BT108" i="19"/>
  <c r="BT101" i="19"/>
  <c r="BT109" i="19"/>
  <c r="BT113" i="19"/>
  <c r="BT116" i="19"/>
  <c r="BT112" i="19"/>
  <c r="BT96" i="19"/>
  <c r="BT114" i="19"/>
  <c r="BT98" i="19"/>
  <c r="BT102" i="19"/>
  <c r="BT95" i="19"/>
  <c r="BT115" i="19"/>
  <c r="BT103" i="19"/>
  <c r="BT111" i="19"/>
  <c r="BT107" i="19"/>
  <c r="H55" i="2"/>
  <c r="BT91" i="19"/>
  <c r="BT87" i="19"/>
  <c r="BT73" i="19"/>
  <c r="BT82" i="19"/>
  <c r="BT89" i="19"/>
  <c r="BT83" i="19"/>
  <c r="BT93" i="19"/>
  <c r="BT94" i="19"/>
  <c r="BT78" i="19"/>
  <c r="BT77" i="19"/>
  <c r="BT79" i="19"/>
  <c r="BT85" i="19"/>
  <c r="BT90" i="19"/>
  <c r="BT74" i="19"/>
  <c r="BT75" i="19"/>
  <c r="BT81" i="19"/>
  <c r="BT86" i="19"/>
  <c r="BT76" i="19"/>
  <c r="BT84" i="19"/>
  <c r="BT92" i="19"/>
  <c r="BT88" i="19"/>
  <c r="BT72" i="19"/>
  <c r="BT80" i="19"/>
  <c r="BT31" i="19"/>
  <c r="BT47" i="19"/>
  <c r="BT32" i="19"/>
  <c r="BT48" i="19"/>
  <c r="BT37" i="19"/>
  <c r="BT35" i="19"/>
  <c r="BT26" i="19"/>
  <c r="BT34" i="19"/>
  <c r="BT36" i="19"/>
  <c r="BT41" i="19"/>
  <c r="BT38" i="19"/>
  <c r="BT39" i="19"/>
  <c r="BT28" i="19"/>
  <c r="BT42" i="19"/>
  <c r="BT40" i="19"/>
  <c r="BT29" i="19"/>
  <c r="BT45" i="19"/>
  <c r="BT27" i="19"/>
  <c r="BT43" i="19"/>
  <c r="BT46" i="19"/>
  <c r="BT44" i="19"/>
  <c r="BT33" i="19"/>
  <c r="BT30" i="19"/>
  <c r="BT124" i="19"/>
  <c r="BT121" i="19"/>
  <c r="BT119" i="19"/>
  <c r="BT139" i="19"/>
  <c r="BT132" i="19"/>
  <c r="BT128" i="19"/>
  <c r="BT136" i="19"/>
  <c r="BT127" i="19"/>
  <c r="BT133" i="19"/>
  <c r="BT123" i="19"/>
  <c r="BT125" i="19"/>
  <c r="BT137" i="19"/>
  <c r="BT135" i="19"/>
  <c r="BT120" i="19"/>
  <c r="BT140" i="19"/>
  <c r="BT131" i="19"/>
  <c r="BT122" i="19"/>
  <c r="BT129" i="19"/>
  <c r="BT118" i="19"/>
  <c r="BT130" i="19"/>
  <c r="BT126" i="19"/>
  <c r="BT138" i="19"/>
  <c r="BT134" i="19"/>
  <c r="BT53" i="19"/>
  <c r="BT55" i="19"/>
  <c r="BT63" i="19"/>
  <c r="BT71" i="19"/>
  <c r="BT50" i="19"/>
  <c r="BT62" i="19"/>
  <c r="BT64" i="19"/>
  <c r="BT56" i="19"/>
  <c r="BT68" i="19"/>
  <c r="BT54" i="19"/>
  <c r="BT51" i="19"/>
  <c r="BT59" i="19"/>
  <c r="BT67" i="19"/>
  <c r="BT58" i="19"/>
  <c r="BT70" i="19"/>
  <c r="BT52" i="19"/>
  <c r="BT60" i="19"/>
  <c r="BT66" i="19"/>
  <c r="BT65" i="19"/>
  <c r="BT57" i="19"/>
  <c r="BT69" i="19"/>
  <c r="BT49" i="19"/>
  <c r="BT61" i="19"/>
  <c r="BY164" i="19"/>
  <c r="BY188" i="19"/>
  <c r="BW225" i="19"/>
  <c r="BT202" i="19"/>
  <c r="BW220" i="19"/>
  <c r="BT197" i="19"/>
  <c r="BW187" i="19"/>
  <c r="BT164" i="19"/>
  <c r="BW199" i="19"/>
  <c r="BT176" i="19"/>
  <c r="BW212" i="19"/>
  <c r="BT189" i="19"/>
  <c r="BW195" i="19"/>
  <c r="BT172" i="19"/>
  <c r="BW207" i="19"/>
  <c r="BT184" i="19"/>
  <c r="BW224" i="19"/>
  <c r="BT201" i="19"/>
  <c r="BW213" i="19"/>
  <c r="BT190" i="19"/>
  <c r="BW214" i="19"/>
  <c r="BT191" i="19"/>
  <c r="BW203" i="19"/>
  <c r="BT180" i="19"/>
  <c r="BW217" i="19"/>
  <c r="BT194" i="19"/>
  <c r="BW219" i="19"/>
  <c r="BT196" i="19"/>
  <c r="BW231" i="19"/>
  <c r="BT208" i="19"/>
  <c r="BW216" i="19"/>
  <c r="BT193" i="19"/>
  <c r="BW223" i="19"/>
  <c r="BT200" i="19"/>
  <c r="BW227" i="19"/>
  <c r="BT204" i="19"/>
  <c r="BW215" i="19"/>
  <c r="BT192" i="19"/>
  <c r="BW228" i="19"/>
  <c r="BT205" i="19"/>
  <c r="BW211" i="19"/>
  <c r="BT188" i="19"/>
  <c r="BW221" i="19"/>
  <c r="BT198" i="19"/>
  <c r="BW232" i="19"/>
  <c r="BT209" i="19"/>
  <c r="BW229" i="19"/>
  <c r="BT206" i="19"/>
  <c r="BY194" i="19"/>
  <c r="BY180" i="19"/>
  <c r="BY189" i="19"/>
  <c r="BY192" i="19"/>
  <c r="BY178" i="19"/>
  <c r="BY208" i="19"/>
  <c r="BY172" i="19"/>
  <c r="BY200" i="19"/>
  <c r="BY198" i="19"/>
  <c r="BY168" i="19"/>
  <c r="BY186" i="19"/>
  <c r="BY196" i="19"/>
  <c r="BY206" i="19"/>
  <c r="BY174" i="19"/>
  <c r="BY204" i="19"/>
  <c r="BY202" i="19"/>
  <c r="BY193" i="19"/>
  <c r="BY205" i="19"/>
  <c r="BY190" i="19"/>
  <c r="BY184" i="19"/>
  <c r="BY176" i="19"/>
  <c r="BZ318" i="19"/>
  <c r="BZ290" i="19"/>
  <c r="BZ314" i="19"/>
  <c r="BZ322" i="19"/>
  <c r="BZ282" i="19"/>
  <c r="BZ288" i="19"/>
  <c r="BZ308" i="19"/>
  <c r="BZ300" i="19"/>
  <c r="BZ304" i="19"/>
  <c r="BZ316" i="19"/>
  <c r="BZ298" i="19"/>
  <c r="BZ294" i="19"/>
  <c r="BZ310" i="19"/>
  <c r="BZ302" i="19"/>
  <c r="BZ286" i="19"/>
  <c r="BZ284" i="19"/>
  <c r="BZ296" i="19"/>
  <c r="BZ280" i="19"/>
  <c r="BZ320" i="19"/>
  <c r="BZ292" i="19"/>
  <c r="BZ312" i="19"/>
  <c r="BZ306" i="19"/>
  <c r="BZ324" i="19"/>
  <c r="BV252" i="19"/>
  <c r="BV236" i="19"/>
  <c r="BV256" i="19"/>
  <c r="BV246" i="19"/>
  <c r="BV220" i="19"/>
  <c r="BV230" i="19"/>
  <c r="BV238" i="19"/>
  <c r="BV250" i="19"/>
  <c r="BV222" i="19"/>
  <c r="BV224" i="19"/>
  <c r="BV218" i="19"/>
  <c r="BV254" i="19"/>
  <c r="BV248" i="19"/>
  <c r="BV240" i="19"/>
  <c r="BV257" i="19"/>
  <c r="BV232" i="19"/>
  <c r="BV239" i="19"/>
  <c r="BV226" i="19"/>
  <c r="BV242" i="19"/>
  <c r="BV251" i="19"/>
  <c r="BV235" i="19"/>
  <c r="BV214" i="19"/>
  <c r="BV244" i="19"/>
  <c r="H20" i="2"/>
  <c r="H27" i="2"/>
  <c r="H49" i="2"/>
  <c r="I11" i="2"/>
  <c r="I7" i="2"/>
  <c r="I12" i="2"/>
  <c r="I19" i="2"/>
  <c r="I47" i="2"/>
  <c r="I20" i="2"/>
  <c r="H13" i="2"/>
  <c r="I56" i="2"/>
  <c r="I39" i="2"/>
  <c r="I33" i="2"/>
  <c r="H21" i="2"/>
  <c r="I28" i="2"/>
  <c r="I49" i="2"/>
  <c r="H19" i="2"/>
  <c r="I26" i="2"/>
  <c r="I41" i="2"/>
  <c r="H53" i="2"/>
  <c r="H6" i="2"/>
  <c r="H25" i="2"/>
  <c r="I4" i="2"/>
  <c r="H47" i="2"/>
  <c r="I32" i="2"/>
  <c r="I46" i="2"/>
  <c r="H18" i="2"/>
  <c r="H42" i="2"/>
  <c r="H4" i="2"/>
  <c r="I53" i="2"/>
  <c r="I5" i="2"/>
  <c r="H7" i="2"/>
  <c r="I6" i="2"/>
  <c r="I34" i="2"/>
  <c r="I35" i="2"/>
  <c r="H46" i="2"/>
  <c r="I25" i="2"/>
  <c r="H14" i="2"/>
  <c r="I40" i="2"/>
  <c r="H35" i="2"/>
  <c r="I21" i="2"/>
  <c r="I14" i="2"/>
  <c r="I42" i="2"/>
  <c r="H34" i="2"/>
  <c r="H39" i="2"/>
  <c r="I27" i="2"/>
  <c r="H5" i="2"/>
  <c r="I18" i="2"/>
  <c r="H33" i="2"/>
  <c r="H54" i="2"/>
  <c r="H11" i="2"/>
  <c r="H12" i="2"/>
  <c r="H26" i="2"/>
  <c r="CA228" i="19"/>
  <c r="BX213" i="19"/>
  <c r="BX221" i="19"/>
  <c r="BX187" i="19"/>
  <c r="BX229" i="19"/>
  <c r="CA232" i="19"/>
  <c r="BX201" i="19"/>
  <c r="BX219" i="19"/>
  <c r="CA215" i="19"/>
  <c r="CA227" i="19"/>
  <c r="BX215" i="19"/>
  <c r="BX203" i="19"/>
  <c r="CA213" i="19"/>
  <c r="BX212" i="19"/>
  <c r="CA229" i="19"/>
  <c r="CA214" i="19"/>
  <c r="CA220" i="19"/>
  <c r="BX223" i="19"/>
  <c r="CA216" i="19"/>
  <c r="BX227" i="19"/>
  <c r="CA212" i="19"/>
  <c r="BX207" i="19"/>
  <c r="CA223" i="19"/>
  <c r="BX199" i="19"/>
  <c r="BX231" i="19"/>
  <c r="CA217" i="19"/>
  <c r="BX217" i="19"/>
  <c r="BX197" i="19"/>
  <c r="BX228" i="19"/>
  <c r="CA224" i="19"/>
  <c r="CA207" i="19"/>
  <c r="CA231" i="19"/>
  <c r="CA203" i="19"/>
  <c r="CA199" i="19"/>
  <c r="BX209" i="19"/>
  <c r="CA221" i="19"/>
  <c r="BX191" i="19"/>
  <c r="CA195" i="19"/>
  <c r="BX225" i="19"/>
  <c r="CA187" i="19"/>
  <c r="BX211" i="19"/>
  <c r="CA219" i="19"/>
  <c r="BX195" i="19"/>
  <c r="BX216" i="19"/>
  <c r="CA211" i="19"/>
  <c r="CA225" i="19"/>
  <c r="BY187" i="19" l="1"/>
  <c r="BY211" i="19"/>
  <c r="BW252" i="19"/>
  <c r="BT229" i="19"/>
  <c r="BW244" i="19"/>
  <c r="BT221" i="19"/>
  <c r="BW251" i="19"/>
  <c r="BT228" i="19"/>
  <c r="BW250" i="19"/>
  <c r="BT227" i="19"/>
  <c r="BW239" i="19"/>
  <c r="BT216" i="19"/>
  <c r="BW242" i="19"/>
  <c r="BT219" i="19"/>
  <c r="BW226" i="19"/>
  <c r="BT203" i="19"/>
  <c r="BW236" i="19"/>
  <c r="BT213" i="19"/>
  <c r="BW230" i="19"/>
  <c r="BT207" i="19"/>
  <c r="BW235" i="19"/>
  <c r="BT212" i="19"/>
  <c r="BW210" i="19"/>
  <c r="BT187" i="19"/>
  <c r="BW248" i="19"/>
  <c r="BT225" i="19"/>
  <c r="BW255" i="19"/>
  <c r="BT232" i="19"/>
  <c r="BW234" i="19"/>
  <c r="BT211" i="19"/>
  <c r="BW238" i="19"/>
  <c r="BT215" i="19"/>
  <c r="BW246" i="19"/>
  <c r="BT223" i="19"/>
  <c r="BW254" i="19"/>
  <c r="BT231" i="19"/>
  <c r="BW240" i="19"/>
  <c r="BT217" i="19"/>
  <c r="BW237" i="19"/>
  <c r="BT214" i="19"/>
  <c r="BW247" i="19"/>
  <c r="BT224" i="19"/>
  <c r="BW218" i="19"/>
  <c r="BT195" i="19"/>
  <c r="BW222" i="19"/>
  <c r="BT199" i="19"/>
  <c r="BW243" i="19"/>
  <c r="BT220" i="19"/>
  <c r="BY191" i="19"/>
  <c r="BY207" i="19"/>
  <c r="BY212" i="19"/>
  <c r="BY225" i="19"/>
  <c r="BY197" i="19"/>
  <c r="BY228" i="19"/>
  <c r="BY231" i="19"/>
  <c r="BY223" i="19"/>
  <c r="BY219" i="19"/>
  <c r="BY195" i="19"/>
  <c r="BY203" i="19"/>
  <c r="BY201" i="19"/>
  <c r="BY213" i="19"/>
  <c r="BY216" i="19"/>
  <c r="BY199" i="19"/>
  <c r="BY229" i="19"/>
  <c r="BY209" i="19"/>
  <c r="BY227" i="19"/>
  <c r="BY221" i="19"/>
  <c r="BY215" i="19"/>
  <c r="BY217" i="19"/>
  <c r="BZ329" i="19"/>
  <c r="BZ315" i="19"/>
  <c r="BZ303" i="19"/>
  <c r="BZ307" i="19"/>
  <c r="BZ325" i="19"/>
  <c r="BZ317" i="19"/>
  <c r="BZ339" i="19"/>
  <c r="BZ323" i="19"/>
  <c r="BZ311" i="19"/>
  <c r="BZ345" i="19"/>
  <c r="BZ313" i="19"/>
  <c r="BZ347" i="19"/>
  <c r="BZ335" i="19"/>
  <c r="BZ343" i="19"/>
  <c r="BZ319" i="19"/>
  <c r="BZ309" i="19"/>
  <c r="BZ333" i="19"/>
  <c r="BZ321" i="19"/>
  <c r="BZ327" i="19"/>
  <c r="BZ331" i="19"/>
  <c r="BZ305" i="19"/>
  <c r="BZ337" i="19"/>
  <c r="BZ341" i="19"/>
  <c r="BV274" i="19"/>
  <c r="BV249" i="19"/>
  <c r="BV255" i="19"/>
  <c r="BV263" i="19"/>
  <c r="BV277" i="19"/>
  <c r="BV273" i="19"/>
  <c r="BV267" i="19"/>
  <c r="BV258" i="19"/>
  <c r="BV265" i="19"/>
  <c r="BV262" i="19"/>
  <c r="BV280" i="19"/>
  <c r="BV271" i="19"/>
  <c r="BV241" i="19"/>
  <c r="BV245" i="19"/>
  <c r="BV261" i="19"/>
  <c r="BV243" i="19"/>
  <c r="BV279" i="19"/>
  <c r="BV275" i="19"/>
  <c r="BV247" i="19"/>
  <c r="BV253" i="19"/>
  <c r="BV269" i="19"/>
  <c r="BV259" i="19"/>
  <c r="BV237" i="19"/>
  <c r="K12" i="2"/>
  <c r="K49" i="2"/>
  <c r="M46" i="2"/>
  <c r="K56" i="2"/>
  <c r="K54" i="2"/>
  <c r="N47" i="2"/>
  <c r="K42" i="2"/>
  <c r="L46" i="2"/>
  <c r="K53" i="2"/>
  <c r="K48" i="2"/>
  <c r="K14" i="2"/>
  <c r="K39" i="2"/>
  <c r="K46" i="2"/>
  <c r="L20" i="2"/>
  <c r="K55" i="2"/>
  <c r="M12" i="2"/>
  <c r="M55" i="2"/>
  <c r="L48" i="2"/>
  <c r="K33" i="2"/>
  <c r="K32" i="2"/>
  <c r="K35" i="2"/>
  <c r="K4" i="2"/>
  <c r="M48" i="2"/>
  <c r="L39" i="2"/>
  <c r="K5" i="2"/>
  <c r="N5" i="2"/>
  <c r="K7" i="2"/>
  <c r="N18" i="2"/>
  <c r="K27" i="2"/>
  <c r="K18" i="2"/>
  <c r="K19" i="2"/>
  <c r="K6" i="2"/>
  <c r="K34" i="2"/>
  <c r="K11" i="2"/>
  <c r="K47" i="2"/>
  <c r="M47" i="2"/>
  <c r="L56" i="2"/>
  <c r="K13" i="2"/>
  <c r="M54" i="2"/>
  <c r="M6" i="2"/>
  <c r="N4" i="2"/>
  <c r="L49" i="2"/>
  <c r="N48" i="2"/>
  <c r="L4" i="2"/>
  <c r="M4" i="2"/>
  <c r="N6" i="2"/>
  <c r="N49" i="2"/>
  <c r="M42" i="2"/>
  <c r="N54" i="2"/>
  <c r="N46" i="2"/>
  <c r="N42" i="2"/>
  <c r="L5" i="2"/>
  <c r="L7" i="2"/>
  <c r="M7" i="2"/>
  <c r="M49" i="2"/>
  <c r="M5" i="2"/>
  <c r="L6" i="2"/>
  <c r="N7" i="2"/>
  <c r="L47" i="2"/>
  <c r="K20" i="2"/>
  <c r="L33" i="2"/>
  <c r="N56" i="2"/>
  <c r="M53" i="2"/>
  <c r="N55" i="2"/>
  <c r="M28" i="2"/>
  <c r="K25" i="2"/>
  <c r="N32" i="2"/>
  <c r="L53" i="2"/>
  <c r="L55" i="2"/>
  <c r="N40" i="2"/>
  <c r="M56" i="2"/>
  <c r="N41" i="2"/>
  <c r="M33" i="2"/>
  <c r="N53" i="2"/>
  <c r="L54" i="2"/>
  <c r="K26" i="2"/>
  <c r="K28" i="2"/>
  <c r="M19" i="2"/>
  <c r="M18" i="2"/>
  <c r="L19" i="2"/>
  <c r="K21" i="2"/>
  <c r="L40" i="2"/>
  <c r="N39" i="2"/>
  <c r="L42" i="2"/>
  <c r="M41" i="2"/>
  <c r="N20" i="2"/>
  <c r="M21" i="2"/>
  <c r="M20" i="2"/>
  <c r="M25" i="2"/>
  <c r="M39" i="2"/>
  <c r="M40" i="2"/>
  <c r="L41" i="2"/>
  <c r="K40" i="2"/>
  <c r="K41" i="2"/>
  <c r="N19" i="2"/>
  <c r="L21" i="2"/>
  <c r="L18" i="2"/>
  <c r="N21" i="2"/>
  <c r="M13" i="2"/>
  <c r="N13" i="2"/>
  <c r="L34" i="2"/>
  <c r="L14" i="2"/>
  <c r="L12" i="2"/>
  <c r="N34" i="2"/>
  <c r="L35" i="2"/>
  <c r="N12" i="2"/>
  <c r="M34" i="2"/>
  <c r="M35" i="2"/>
  <c r="N35" i="2"/>
  <c r="M32" i="2"/>
  <c r="N14" i="2"/>
  <c r="L13" i="2"/>
  <c r="L26" i="2"/>
  <c r="N28" i="2"/>
  <c r="M27" i="2"/>
  <c r="L27" i="2"/>
  <c r="M26" i="2"/>
  <c r="L11" i="2"/>
  <c r="N25" i="2"/>
  <c r="L28" i="2"/>
  <c r="L25" i="2"/>
  <c r="M14" i="2"/>
  <c r="N11" i="2"/>
  <c r="M11" i="2"/>
  <c r="N26" i="2"/>
  <c r="N27" i="2"/>
  <c r="L32" i="2"/>
  <c r="N33" i="2"/>
  <c r="CA251" i="19"/>
  <c r="BX218" i="19"/>
  <c r="BX230" i="19"/>
  <c r="CA230" i="19"/>
  <c r="CA218" i="19"/>
  <c r="CA234" i="19"/>
  <c r="CA246" i="19"/>
  <c r="BX226" i="19"/>
  <c r="CA248" i="19"/>
  <c r="CA243" i="19"/>
  <c r="BX214" i="19"/>
  <c r="BX246" i="19"/>
  <c r="CA254" i="19"/>
  <c r="CA239" i="19"/>
  <c r="BX224" i="19"/>
  <c r="CA222" i="19"/>
  <c r="BX244" i="19"/>
  <c r="CA210" i="19"/>
  <c r="BX232" i="19"/>
  <c r="CA238" i="19"/>
  <c r="BX210" i="19"/>
  <c r="CA250" i="19"/>
  <c r="BX222" i="19"/>
  <c r="BX250" i="19"/>
  <c r="BX235" i="19"/>
  <c r="BX240" i="19"/>
  <c r="CA226" i="19"/>
  <c r="BX252" i="19"/>
  <c r="BX242" i="19"/>
  <c r="CA255" i="19"/>
  <c r="BX251" i="19"/>
  <c r="BX254" i="19"/>
  <c r="CA236" i="19"/>
  <c r="BX239" i="19"/>
  <c r="CA240" i="19"/>
  <c r="CA235" i="19"/>
  <c r="CA252" i="19"/>
  <c r="BX220" i="19"/>
  <c r="BX238" i="19"/>
  <c r="CA244" i="19"/>
  <c r="CA242" i="19"/>
  <c r="BX234" i="19"/>
  <c r="CA247" i="19"/>
  <c r="BX248" i="19"/>
  <c r="CA237" i="19"/>
  <c r="BX236" i="19"/>
  <c r="BY210" i="19" l="1"/>
  <c r="BY234" i="19"/>
  <c r="BW266" i="19"/>
  <c r="BT243" i="19"/>
  <c r="BW241" i="19"/>
  <c r="BT218" i="19"/>
  <c r="BW260" i="19"/>
  <c r="BT237" i="19"/>
  <c r="BW277" i="19"/>
  <c r="BT254" i="19"/>
  <c r="BW261" i="19"/>
  <c r="BT238" i="19"/>
  <c r="BW278" i="19"/>
  <c r="BT255" i="19"/>
  <c r="BW233" i="19"/>
  <c r="BT210" i="19"/>
  <c r="BW253" i="19"/>
  <c r="BT230" i="19"/>
  <c r="BW249" i="19"/>
  <c r="BT226" i="19"/>
  <c r="BW262" i="19"/>
  <c r="BT239" i="19"/>
  <c r="BW274" i="19"/>
  <c r="BT251" i="19"/>
  <c r="BW275" i="19"/>
  <c r="BT252" i="19"/>
  <c r="BW245" i="19"/>
  <c r="BT222" i="19"/>
  <c r="BW270" i="19"/>
  <c r="BT247" i="19"/>
  <c r="BW263" i="19"/>
  <c r="BT240" i="19"/>
  <c r="BW269" i="19"/>
  <c r="BT246" i="19"/>
  <c r="BW257" i="19"/>
  <c r="BT234" i="19"/>
  <c r="BW271" i="19"/>
  <c r="BT248" i="19"/>
  <c r="BW258" i="19"/>
  <c r="BT235" i="19"/>
  <c r="BW259" i="19"/>
  <c r="BT236" i="19"/>
  <c r="BW265" i="19"/>
  <c r="BT242" i="19"/>
  <c r="BW273" i="19"/>
  <c r="BT250" i="19"/>
  <c r="BW267" i="19"/>
  <c r="BT244" i="19"/>
  <c r="BY220" i="19"/>
  <c r="BY235" i="19"/>
  <c r="BY214" i="19"/>
  <c r="BY238" i="19"/>
  <c r="BY244" i="19"/>
  <c r="BY236" i="19"/>
  <c r="BY222" i="19"/>
  <c r="BY250" i="19"/>
  <c r="BY246" i="19"/>
  <c r="BY218" i="19"/>
  <c r="BY254" i="19"/>
  <c r="BY230" i="19"/>
  <c r="BY248" i="19"/>
  <c r="BY240" i="19"/>
  <c r="BY224" i="19"/>
  <c r="BY232" i="19"/>
  <c r="BY252" i="19"/>
  <c r="BY239" i="19"/>
  <c r="BY226" i="19"/>
  <c r="BY242" i="19"/>
  <c r="BY251" i="19"/>
  <c r="BZ330" i="19"/>
  <c r="BZ350" i="19"/>
  <c r="BZ344" i="19"/>
  <c r="BZ368" i="19"/>
  <c r="BZ364" i="19"/>
  <c r="BZ342" i="19"/>
  <c r="BZ360" i="19"/>
  <c r="BZ354" i="19"/>
  <c r="BZ332" i="19"/>
  <c r="BZ366" i="19"/>
  <c r="BZ370" i="19"/>
  <c r="BZ346" i="19"/>
  <c r="BZ340" i="19"/>
  <c r="BZ338" i="19"/>
  <c r="BZ326" i="19"/>
  <c r="BZ328" i="19"/>
  <c r="BZ356" i="19"/>
  <c r="BZ358" i="19"/>
  <c r="BZ336" i="19"/>
  <c r="BZ334" i="19"/>
  <c r="BZ362" i="19"/>
  <c r="BZ348" i="19"/>
  <c r="BZ352" i="19"/>
  <c r="BV292" i="19"/>
  <c r="BV264" i="19"/>
  <c r="BV282" i="19"/>
  <c r="BV298" i="19"/>
  <c r="BV266" i="19"/>
  <c r="BV268" i="19"/>
  <c r="BV285" i="19"/>
  <c r="BV281" i="19"/>
  <c r="BV296" i="19"/>
  <c r="BV286" i="19"/>
  <c r="BV272" i="19"/>
  <c r="BV276" i="19"/>
  <c r="BV294" i="19"/>
  <c r="BV260" i="19"/>
  <c r="BV270" i="19"/>
  <c r="BV302" i="19"/>
  <c r="BV284" i="19"/>
  <c r="BV303" i="19"/>
  <c r="BV288" i="19"/>
  <c r="BV290" i="19"/>
  <c r="BV300" i="19"/>
  <c r="BV278" i="19"/>
  <c r="BV297" i="19"/>
  <c r="A49" i="2"/>
  <c r="A33" i="2"/>
  <c r="A54" i="2"/>
  <c r="A46" i="2"/>
  <c r="A4" i="2"/>
  <c r="A48" i="2"/>
  <c r="A42" i="2"/>
  <c r="A5" i="2"/>
  <c r="A47" i="2"/>
  <c r="A18" i="2"/>
  <c r="A39" i="2"/>
  <c r="A13" i="2"/>
  <c r="A56" i="2"/>
  <c r="A7" i="2"/>
  <c r="A6" i="2"/>
  <c r="A40" i="2"/>
  <c r="A32" i="2"/>
  <c r="A25" i="2"/>
  <c r="A41" i="2"/>
  <c r="A20" i="2"/>
  <c r="A19" i="2"/>
  <c r="A53" i="2"/>
  <c r="A55" i="2"/>
  <c r="A21" i="2"/>
  <c r="A34" i="2"/>
  <c r="A28" i="2"/>
  <c r="A14" i="2"/>
  <c r="A11" i="2"/>
  <c r="A26" i="2"/>
  <c r="A35" i="2"/>
  <c r="A12" i="2"/>
  <c r="A27" i="2"/>
  <c r="BX247" i="19"/>
  <c r="CA271" i="19"/>
  <c r="CA275" i="19"/>
  <c r="CA263" i="19"/>
  <c r="BX245" i="19"/>
  <c r="BX237" i="19"/>
  <c r="CA265" i="19"/>
  <c r="BX262" i="19"/>
  <c r="CA249" i="19"/>
  <c r="CA257" i="19"/>
  <c r="CA278" i="19"/>
  <c r="BX259" i="19"/>
  <c r="CA260" i="19"/>
  <c r="BX267" i="19"/>
  <c r="CA241" i="19"/>
  <c r="BX241" i="19"/>
  <c r="CA259" i="19"/>
  <c r="BX257" i="19"/>
  <c r="CA258" i="19"/>
  <c r="BX253" i="19"/>
  <c r="BX258" i="19"/>
  <c r="CA253" i="19"/>
  <c r="CA245" i="19"/>
  <c r="BX274" i="19"/>
  <c r="BX255" i="19"/>
  <c r="BX243" i="19"/>
  <c r="CA262" i="19"/>
  <c r="BX263" i="19"/>
  <c r="BX275" i="19"/>
  <c r="CA266" i="19"/>
  <c r="CA274" i="19"/>
  <c r="BX269" i="19"/>
  <c r="CA269" i="19"/>
  <c r="BX277" i="19"/>
  <c r="BX233" i="19"/>
  <c r="BX265" i="19"/>
  <c r="BX273" i="19"/>
  <c r="CA273" i="19"/>
  <c r="BX271" i="19"/>
  <c r="BX261" i="19"/>
  <c r="CA270" i="19"/>
  <c r="BX249" i="19"/>
  <c r="CA267" i="19"/>
  <c r="CA277" i="19"/>
  <c r="CA261" i="19"/>
  <c r="CA233" i="19"/>
  <c r="P48" i="2" l="1"/>
  <c r="W48" i="2" s="1"/>
  <c r="BY257" i="19"/>
  <c r="BY233" i="19"/>
  <c r="BW290" i="19"/>
  <c r="BT267" i="19"/>
  <c r="BW288" i="19"/>
  <c r="BT265" i="19"/>
  <c r="BW281" i="19"/>
  <c r="BT258" i="19"/>
  <c r="BW280" i="19"/>
  <c r="BT257" i="19"/>
  <c r="BW286" i="19"/>
  <c r="BT263" i="19"/>
  <c r="BW268" i="19"/>
  <c r="BT245" i="19"/>
  <c r="BW297" i="19"/>
  <c r="BT274" i="19"/>
  <c r="BW272" i="19"/>
  <c r="BT249" i="19"/>
  <c r="BW256" i="19"/>
  <c r="BT233" i="19"/>
  <c r="BW284" i="19"/>
  <c r="BT261" i="19"/>
  <c r="BW283" i="19"/>
  <c r="BT260" i="19"/>
  <c r="BW289" i="19"/>
  <c r="BT266" i="19"/>
  <c r="BW296" i="19"/>
  <c r="BT273" i="19"/>
  <c r="BW282" i="19"/>
  <c r="BT259" i="19"/>
  <c r="BW294" i="19"/>
  <c r="BT271" i="19"/>
  <c r="BW292" i="19"/>
  <c r="BT269" i="19"/>
  <c r="BW293" i="19"/>
  <c r="BT270" i="19"/>
  <c r="BW298" i="19"/>
  <c r="BT275" i="19"/>
  <c r="BW285" i="19"/>
  <c r="BT262" i="19"/>
  <c r="BW276" i="19"/>
  <c r="BT253" i="19"/>
  <c r="BW301" i="19"/>
  <c r="BT278" i="19"/>
  <c r="BW300" i="19"/>
  <c r="BT277" i="19"/>
  <c r="BW264" i="19"/>
  <c r="BT241" i="19"/>
  <c r="BY255" i="19"/>
  <c r="BY237" i="19"/>
  <c r="BY245" i="19"/>
  <c r="BY277" i="19"/>
  <c r="BY271" i="19"/>
  <c r="BY243" i="19"/>
  <c r="BY267" i="19"/>
  <c r="BY253" i="19"/>
  <c r="BY275" i="19"/>
  <c r="BY265" i="19"/>
  <c r="BY249" i="19"/>
  <c r="BY259" i="19"/>
  <c r="BY263" i="19"/>
  <c r="BY241" i="19"/>
  <c r="BY261" i="19"/>
  <c r="BY273" i="19"/>
  <c r="BY269" i="19"/>
  <c r="BY258" i="19"/>
  <c r="BY274" i="19"/>
  <c r="BY247" i="19"/>
  <c r="BY262" i="19"/>
  <c r="BZ371" i="19"/>
  <c r="BZ357" i="19"/>
  <c r="BZ381" i="19"/>
  <c r="BZ351" i="19"/>
  <c r="BZ361" i="19"/>
  <c r="BZ369" i="19"/>
  <c r="BZ389" i="19"/>
  <c r="BZ377" i="19"/>
  <c r="BZ365" i="19"/>
  <c r="BZ391" i="19"/>
  <c r="BZ373" i="19"/>
  <c r="BZ375" i="19"/>
  <c r="BZ385" i="19"/>
  <c r="BZ359" i="19"/>
  <c r="BZ379" i="19"/>
  <c r="BZ349" i="19"/>
  <c r="BZ363" i="19"/>
  <c r="BZ393" i="19"/>
  <c r="BZ355" i="19"/>
  <c r="BZ383" i="19"/>
  <c r="BZ387" i="19"/>
  <c r="BZ367" i="19"/>
  <c r="BZ353" i="19"/>
  <c r="BV301" i="19"/>
  <c r="BV320" i="19"/>
  <c r="BV323" i="19"/>
  <c r="BV311" i="19"/>
  <c r="BV307" i="19"/>
  <c r="BV293" i="19"/>
  <c r="BV317" i="19"/>
  <c r="BV295" i="19"/>
  <c r="BV319" i="19"/>
  <c r="BV308" i="19"/>
  <c r="BV289" i="19"/>
  <c r="BV305" i="19"/>
  <c r="BV315" i="19"/>
  <c r="BV313" i="19"/>
  <c r="BV326" i="19"/>
  <c r="BV325" i="19"/>
  <c r="BV283" i="19"/>
  <c r="BV299" i="19"/>
  <c r="BV309" i="19"/>
  <c r="BV304" i="19"/>
  <c r="BV291" i="19"/>
  <c r="BV321" i="19"/>
  <c r="BV287" i="19"/>
  <c r="P46" i="2"/>
  <c r="V46" i="2" s="1"/>
  <c r="P19" i="2"/>
  <c r="V19" i="2" s="1"/>
  <c r="P47" i="2"/>
  <c r="Q47" i="2" s="1"/>
  <c r="P49" i="2"/>
  <c r="Q49" i="2" s="1"/>
  <c r="P5" i="2"/>
  <c r="Q5" i="2" s="1"/>
  <c r="P6" i="2"/>
  <c r="V6" i="2" s="1"/>
  <c r="P4" i="2"/>
  <c r="T4" i="2" s="1"/>
  <c r="P32" i="2"/>
  <c r="V32" i="2" s="1"/>
  <c r="P11" i="2"/>
  <c r="U11" i="2" s="1"/>
  <c r="P41" i="2"/>
  <c r="Q41" i="2" s="1"/>
  <c r="P40" i="2"/>
  <c r="U40" i="2" s="1"/>
  <c r="P21" i="2"/>
  <c r="R21" i="2" s="1"/>
  <c r="P42" i="2"/>
  <c r="Q42" i="2" s="1"/>
  <c r="P20" i="2"/>
  <c r="W20" i="2" s="1"/>
  <c r="P34" i="2"/>
  <c r="W34" i="2" s="1"/>
  <c r="P18" i="2"/>
  <c r="V18" i="2" s="1"/>
  <c r="P39" i="2"/>
  <c r="V39" i="2" s="1"/>
  <c r="P7" i="2"/>
  <c r="R7" i="2" s="1"/>
  <c r="P35" i="2"/>
  <c r="U35" i="2" s="1"/>
  <c r="P55" i="2"/>
  <c r="U55" i="2" s="1"/>
  <c r="P56" i="2"/>
  <c r="U56" i="2" s="1"/>
  <c r="P25" i="2"/>
  <c r="W25" i="2" s="1"/>
  <c r="P54" i="2"/>
  <c r="V54" i="2" s="1"/>
  <c r="P53" i="2"/>
  <c r="S53" i="2" s="1"/>
  <c r="P12" i="2"/>
  <c r="T12" i="2" s="1"/>
  <c r="P33" i="2"/>
  <c r="R33" i="2" s="1"/>
  <c r="P27" i="2"/>
  <c r="S27" i="2" s="1"/>
  <c r="P14" i="2"/>
  <c r="S14" i="2" s="1"/>
  <c r="P13" i="2"/>
  <c r="T13" i="2" s="1"/>
  <c r="P26" i="2"/>
  <c r="W26" i="2" s="1"/>
  <c r="P28" i="2"/>
  <c r="T28" i="2" s="1"/>
  <c r="S49" i="2"/>
  <c r="S11" i="2"/>
  <c r="Q48" i="2"/>
  <c r="U48" i="2"/>
  <c r="CA288" i="19"/>
  <c r="BX296" i="19"/>
  <c r="BX298" i="19"/>
  <c r="CA281" i="19"/>
  <c r="BX288" i="19"/>
  <c r="CA300" i="19"/>
  <c r="CA280" i="19"/>
  <c r="BX294" i="19"/>
  <c r="CA256" i="19"/>
  <c r="CA294" i="19"/>
  <c r="CA282" i="19"/>
  <c r="BX285" i="19"/>
  <c r="BX270" i="19"/>
  <c r="CA264" i="19"/>
  <c r="BX300" i="19"/>
  <c r="CA285" i="19"/>
  <c r="BX292" i="19"/>
  <c r="BX280" i="19"/>
  <c r="BX268" i="19"/>
  <c r="CA268" i="19"/>
  <c r="CA301" i="19"/>
  <c r="BX266" i="19"/>
  <c r="CA293" i="19"/>
  <c r="BX276" i="19"/>
  <c r="BX260" i="19"/>
  <c r="CA272" i="19"/>
  <c r="BX286" i="19"/>
  <c r="CA298" i="19"/>
  <c r="CA297" i="19"/>
  <c r="CA284" i="19"/>
  <c r="CA276" i="19"/>
  <c r="CA290" i="19"/>
  <c r="BX290" i="19"/>
  <c r="BX281" i="19"/>
  <c r="BX256" i="19"/>
  <c r="CA296" i="19"/>
  <c r="BX272" i="19"/>
  <c r="CA283" i="19"/>
  <c r="CA286" i="19"/>
  <c r="BX297" i="19"/>
  <c r="BX282" i="19"/>
  <c r="BX264" i="19"/>
  <c r="BX284" i="19"/>
  <c r="CA289" i="19"/>
  <c r="CA292" i="19"/>
  <c r="BX278" i="19"/>
  <c r="R48" i="2" l="1"/>
  <c r="T48" i="2"/>
  <c r="V48" i="2"/>
  <c r="S48" i="2"/>
  <c r="S32" i="2"/>
  <c r="U32" i="2"/>
  <c r="T32" i="2"/>
  <c r="R32" i="2"/>
  <c r="T49" i="2"/>
  <c r="Q32" i="2"/>
  <c r="R46" i="2"/>
  <c r="U42" i="2"/>
  <c r="W39" i="2"/>
  <c r="BY256" i="19"/>
  <c r="BY280" i="19"/>
  <c r="BW287" i="19"/>
  <c r="BT264" i="19"/>
  <c r="BW324" i="19"/>
  <c r="BT301" i="19"/>
  <c r="BW308" i="19"/>
  <c r="BT285" i="19"/>
  <c r="BW316" i="19"/>
  <c r="BT293" i="19"/>
  <c r="BW317" i="19"/>
  <c r="BT294" i="19"/>
  <c r="BW319" i="19"/>
  <c r="BT296" i="19"/>
  <c r="BW306" i="19"/>
  <c r="BT283" i="19"/>
  <c r="BW279" i="19"/>
  <c r="BT256" i="19"/>
  <c r="BW320" i="19"/>
  <c r="BT297" i="19"/>
  <c r="BW309" i="19"/>
  <c r="BT286" i="19"/>
  <c r="BW304" i="19"/>
  <c r="BT281" i="19"/>
  <c r="BW313" i="19"/>
  <c r="BT290" i="19"/>
  <c r="BW323" i="19"/>
  <c r="BT300" i="19"/>
  <c r="BW299" i="19"/>
  <c r="BT276" i="19"/>
  <c r="BW321" i="19"/>
  <c r="BT298" i="19"/>
  <c r="BW315" i="19"/>
  <c r="BT292" i="19"/>
  <c r="BW305" i="19"/>
  <c r="BT282" i="19"/>
  <c r="BW312" i="19"/>
  <c r="BT289" i="19"/>
  <c r="BW307" i="19"/>
  <c r="BT284" i="19"/>
  <c r="BW295" i="19"/>
  <c r="BT272" i="19"/>
  <c r="BW291" i="19"/>
  <c r="BT268" i="19"/>
  <c r="BW303" i="19"/>
  <c r="BT280" i="19"/>
  <c r="BW311" i="19"/>
  <c r="BT288" i="19"/>
  <c r="BY298" i="19"/>
  <c r="BY276" i="19"/>
  <c r="BY285" i="19"/>
  <c r="BY297" i="19"/>
  <c r="BY260" i="19"/>
  <c r="BY272" i="19"/>
  <c r="BY264" i="19"/>
  <c r="BY292" i="19"/>
  <c r="BY284" i="19"/>
  <c r="BY300" i="19"/>
  <c r="BY290" i="19"/>
  <c r="BY270" i="19"/>
  <c r="BY268" i="19"/>
  <c r="BY266" i="19"/>
  <c r="BY281" i="19"/>
  <c r="BY282" i="19"/>
  <c r="BY288" i="19"/>
  <c r="BY286" i="19"/>
  <c r="BY296" i="19"/>
  <c r="BY278" i="19"/>
  <c r="BY294" i="19"/>
  <c r="BZ390" i="19"/>
  <c r="BZ406" i="19"/>
  <c r="BZ416" i="19"/>
  <c r="BZ372" i="19"/>
  <c r="BZ382" i="19"/>
  <c r="BZ398" i="19"/>
  <c r="BZ414" i="19"/>
  <c r="BZ400" i="19"/>
  <c r="BZ392" i="19"/>
  <c r="BZ374" i="19"/>
  <c r="BZ380" i="19"/>
  <c r="BZ376" i="19"/>
  <c r="BZ410" i="19"/>
  <c r="BZ378" i="19"/>
  <c r="BZ386" i="19"/>
  <c r="BZ402" i="19"/>
  <c r="BZ408" i="19"/>
  <c r="BZ396" i="19"/>
  <c r="BZ388" i="19"/>
  <c r="BZ412" i="19"/>
  <c r="BZ384" i="19"/>
  <c r="BZ404" i="19"/>
  <c r="BZ394" i="19"/>
  <c r="W11" i="2"/>
  <c r="R5" i="2"/>
  <c r="U46" i="2"/>
  <c r="U5" i="2"/>
  <c r="W46" i="2"/>
  <c r="W56" i="2"/>
  <c r="T42" i="2"/>
  <c r="Q11" i="2"/>
  <c r="V5" i="2"/>
  <c r="T46" i="2"/>
  <c r="W12" i="2"/>
  <c r="R11" i="2"/>
  <c r="S5" i="2"/>
  <c r="W5" i="2"/>
  <c r="S46" i="2"/>
  <c r="Q46" i="2"/>
  <c r="W19" i="2"/>
  <c r="U12" i="2"/>
  <c r="T11" i="2"/>
  <c r="V11" i="2"/>
  <c r="T5" i="2"/>
  <c r="R39" i="2"/>
  <c r="V12" i="2"/>
  <c r="Q12" i="2"/>
  <c r="R12" i="2"/>
  <c r="S12" i="2"/>
  <c r="V56" i="2"/>
  <c r="BV310" i="19"/>
  <c r="BV314" i="19"/>
  <c r="BV332" i="19"/>
  <c r="BV306" i="19"/>
  <c r="BV338" i="19"/>
  <c r="BV312" i="19"/>
  <c r="BV342" i="19"/>
  <c r="BV340" i="19"/>
  <c r="BV330" i="19"/>
  <c r="BV346" i="19"/>
  <c r="BV369" i="19" s="1"/>
  <c r="BV324" i="19"/>
  <c r="BV343" i="19"/>
  <c r="BV348" i="19"/>
  <c r="BV371" i="19" s="1"/>
  <c r="BV344" i="19"/>
  <c r="BV327" i="19"/>
  <c r="BV322" i="19"/>
  <c r="BV336" i="19"/>
  <c r="BV328" i="19"/>
  <c r="BV331" i="19"/>
  <c r="BV318" i="19"/>
  <c r="BV316" i="19"/>
  <c r="BV334" i="19"/>
  <c r="BV349" i="19"/>
  <c r="BV372" i="19" s="1"/>
  <c r="V49" i="2"/>
  <c r="U49" i="2"/>
  <c r="W49" i="2"/>
  <c r="W32" i="2"/>
  <c r="R49" i="2"/>
  <c r="R19" i="2"/>
  <c r="V47" i="2"/>
  <c r="U19" i="2"/>
  <c r="S35" i="2"/>
  <c r="Q34" i="2"/>
  <c r="W40" i="2"/>
  <c r="V40" i="2"/>
  <c r="U41" i="2"/>
  <c r="T35" i="2"/>
  <c r="W47" i="2"/>
  <c r="R4" i="2"/>
  <c r="T34" i="2"/>
  <c r="S19" i="2"/>
  <c r="Q19" i="2"/>
  <c r="W35" i="2"/>
  <c r="R35" i="2"/>
  <c r="U47" i="2"/>
  <c r="R27" i="2"/>
  <c r="S4" i="2"/>
  <c r="V25" i="2"/>
  <c r="U6" i="2"/>
  <c r="T19" i="2"/>
  <c r="Q35" i="2"/>
  <c r="T47" i="2"/>
  <c r="S47" i="2"/>
  <c r="Q40" i="2"/>
  <c r="S40" i="2"/>
  <c r="Q27" i="2"/>
  <c r="Q4" i="2"/>
  <c r="U34" i="2"/>
  <c r="R34" i="2"/>
  <c r="V35" i="2"/>
  <c r="R47" i="2"/>
  <c r="T40" i="2"/>
  <c r="R40" i="2"/>
  <c r="U4" i="2"/>
  <c r="V4" i="2"/>
  <c r="V34" i="2"/>
  <c r="W27" i="2"/>
  <c r="W4" i="2"/>
  <c r="S34" i="2"/>
  <c r="R26" i="2"/>
  <c r="W13" i="2"/>
  <c r="R41" i="2"/>
  <c r="T26" i="2"/>
  <c r="W6" i="2"/>
  <c r="T7" i="2"/>
  <c r="T20" i="2"/>
  <c r="T33" i="2"/>
  <c r="Q7" i="2"/>
  <c r="V20" i="2"/>
  <c r="S33" i="2"/>
  <c r="U25" i="2"/>
  <c r="W7" i="2"/>
  <c r="U7" i="2"/>
  <c r="W41" i="2"/>
  <c r="S7" i="2"/>
  <c r="V7" i="2"/>
  <c r="S41" i="2"/>
  <c r="T41" i="2"/>
  <c r="R20" i="2"/>
  <c r="Q20" i="2"/>
  <c r="Q33" i="2"/>
  <c r="V33" i="2"/>
  <c r="T25" i="2"/>
  <c r="U26" i="2"/>
  <c r="V26" i="2"/>
  <c r="S6" i="2"/>
  <c r="T6" i="2"/>
  <c r="U20" i="2"/>
  <c r="U33" i="2"/>
  <c r="Q25" i="2"/>
  <c r="R25" i="2"/>
  <c r="S26" i="2"/>
  <c r="Q6" i="2"/>
  <c r="R6" i="2"/>
  <c r="V41" i="2"/>
  <c r="S20" i="2"/>
  <c r="W33" i="2"/>
  <c r="S25" i="2"/>
  <c r="Q26" i="2"/>
  <c r="V13" i="2"/>
  <c r="V27" i="2"/>
  <c r="T27" i="2"/>
  <c r="U27" i="2"/>
  <c r="S39" i="2"/>
  <c r="Q13" i="2"/>
  <c r="T56" i="2"/>
  <c r="Q56" i="2"/>
  <c r="W42" i="2"/>
  <c r="T39" i="2"/>
  <c r="Q39" i="2"/>
  <c r="R13" i="2"/>
  <c r="S13" i="2"/>
  <c r="S56" i="2"/>
  <c r="R56" i="2"/>
  <c r="V42" i="2"/>
  <c r="R42" i="2"/>
  <c r="U39" i="2"/>
  <c r="U13" i="2"/>
  <c r="S42" i="2"/>
  <c r="S18" i="2"/>
  <c r="Q18" i="2"/>
  <c r="V21" i="2"/>
  <c r="S21" i="2"/>
  <c r="T53" i="2"/>
  <c r="U18" i="2"/>
  <c r="T21" i="2"/>
  <c r="W21" i="2"/>
  <c r="R18" i="2"/>
  <c r="T18" i="2"/>
  <c r="Q21" i="2"/>
  <c r="W18" i="2"/>
  <c r="U21" i="2"/>
  <c r="R55" i="2"/>
  <c r="Q55" i="2"/>
  <c r="W55" i="2"/>
  <c r="S55" i="2"/>
  <c r="V55" i="2"/>
  <c r="R53" i="2"/>
  <c r="T14" i="2"/>
  <c r="T55" i="2"/>
  <c r="Q14" i="2"/>
  <c r="Q53" i="2"/>
  <c r="W53" i="2"/>
  <c r="V14" i="2"/>
  <c r="V53" i="2"/>
  <c r="W14" i="2"/>
  <c r="U14" i="2"/>
  <c r="U53" i="2"/>
  <c r="R14" i="2"/>
  <c r="S54" i="2"/>
  <c r="R54" i="2"/>
  <c r="W54" i="2"/>
  <c r="T54" i="2"/>
  <c r="Q54" i="2"/>
  <c r="U54" i="2"/>
  <c r="R28" i="2"/>
  <c r="W28" i="2"/>
  <c r="Q28" i="2"/>
  <c r="S28" i="2"/>
  <c r="V28" i="2"/>
  <c r="U28" i="2"/>
  <c r="BX293" i="19"/>
  <c r="CA307" i="19"/>
  <c r="CA311" i="19"/>
  <c r="BX299" i="19"/>
  <c r="BX313" i="19"/>
  <c r="CA319" i="19"/>
  <c r="CA303" i="19"/>
  <c r="BX311" i="19"/>
  <c r="BX305" i="19"/>
  <c r="CA312" i="19"/>
  <c r="BX289" i="19"/>
  <c r="BX321" i="19"/>
  <c r="BX320" i="19"/>
  <c r="BX307" i="19"/>
  <c r="CA320" i="19"/>
  <c r="BX303" i="19"/>
  <c r="CA321" i="19"/>
  <c r="CA305" i="19"/>
  <c r="BX319" i="19"/>
  <c r="BX283" i="19"/>
  <c r="CA279" i="19"/>
  <c r="BX279" i="19"/>
  <c r="CA316" i="19"/>
  <c r="CA299" i="19"/>
  <c r="BX295" i="19"/>
  <c r="BX309" i="19"/>
  <c r="CA308" i="19"/>
  <c r="BX287" i="19"/>
  <c r="BX301" i="19"/>
  <c r="CA306" i="19"/>
  <c r="BX315" i="19"/>
  <c r="CA317" i="19"/>
  <c r="CA313" i="19"/>
  <c r="BX304" i="19"/>
  <c r="CA295" i="19"/>
  <c r="CA315" i="19"/>
  <c r="BX291" i="19"/>
  <c r="CA324" i="19"/>
  <c r="CA287" i="19"/>
  <c r="BX308" i="19"/>
  <c r="CA309" i="19"/>
  <c r="CA323" i="19"/>
  <c r="CA291" i="19"/>
  <c r="CA304" i="19"/>
  <c r="BX323" i="19"/>
  <c r="BX317" i="19"/>
  <c r="Y49" i="2" l="1"/>
  <c r="Y11" i="2"/>
  <c r="Y47" i="2"/>
  <c r="Y46" i="2"/>
  <c r="BY303" i="19"/>
  <c r="BY279" i="19"/>
  <c r="BV392" i="19"/>
  <c r="BV394" i="19"/>
  <c r="BW334" i="19"/>
  <c r="BT311" i="19"/>
  <c r="BW314" i="19"/>
  <c r="BT291" i="19"/>
  <c r="BW330" i="19"/>
  <c r="BT307" i="19"/>
  <c r="BW328" i="19"/>
  <c r="BT305" i="19"/>
  <c r="BW344" i="19"/>
  <c r="BT321" i="19"/>
  <c r="BW346" i="19"/>
  <c r="BT323" i="19"/>
  <c r="BW327" i="19"/>
  <c r="BT304" i="19"/>
  <c r="BW343" i="19"/>
  <c r="BT320" i="19"/>
  <c r="BW329" i="19"/>
  <c r="BT306" i="19"/>
  <c r="BW340" i="19"/>
  <c r="BT317" i="19"/>
  <c r="BW331" i="19"/>
  <c r="BT308" i="19"/>
  <c r="BW310" i="19"/>
  <c r="BT287" i="19"/>
  <c r="BV395" i="19"/>
  <c r="BW326" i="19"/>
  <c r="BT303" i="19"/>
  <c r="BW318" i="19"/>
  <c r="BT295" i="19"/>
  <c r="BW335" i="19"/>
  <c r="BT312" i="19"/>
  <c r="BW338" i="19"/>
  <c r="BT315" i="19"/>
  <c r="BW322" i="19"/>
  <c r="BT299" i="19"/>
  <c r="BW336" i="19"/>
  <c r="BT313" i="19"/>
  <c r="BW332" i="19"/>
  <c r="BT309" i="19"/>
  <c r="BW302" i="19"/>
  <c r="BT279" i="19"/>
  <c r="BW342" i="19"/>
  <c r="BT319" i="19"/>
  <c r="BW339" i="19"/>
  <c r="BT316" i="19"/>
  <c r="BW347" i="19"/>
  <c r="BT324" i="19"/>
  <c r="BY301" i="19"/>
  <c r="BY320" i="19"/>
  <c r="BY289" i="19"/>
  <c r="BY287" i="19"/>
  <c r="BY307" i="19"/>
  <c r="BY295" i="19"/>
  <c r="BY323" i="19"/>
  <c r="BY308" i="19"/>
  <c r="BY293" i="19"/>
  <c r="BY317" i="19"/>
  <c r="BY313" i="19"/>
  <c r="BY319" i="19"/>
  <c r="BY283" i="19"/>
  <c r="BY305" i="19"/>
  <c r="BY304" i="19"/>
  <c r="BY315" i="19"/>
  <c r="BY309" i="19"/>
  <c r="BY311" i="19"/>
  <c r="BY299" i="19"/>
  <c r="BY291" i="19"/>
  <c r="BY321" i="19"/>
  <c r="BZ417" i="19"/>
  <c r="BZ411" i="19"/>
  <c r="BZ409" i="19"/>
  <c r="BZ403" i="19"/>
  <c r="BZ437" i="19"/>
  <c r="BZ439" i="19"/>
  <c r="BZ413" i="19"/>
  <c r="BZ407" i="19"/>
  <c r="BZ431" i="19"/>
  <c r="BZ433" i="19"/>
  <c r="BZ405" i="19"/>
  <c r="BZ427" i="19"/>
  <c r="BZ435" i="19"/>
  <c r="BZ419" i="19"/>
  <c r="BZ425" i="19"/>
  <c r="BZ401" i="19"/>
  <c r="BZ399" i="19"/>
  <c r="BZ397" i="19"/>
  <c r="BZ423" i="19"/>
  <c r="BZ421" i="19"/>
  <c r="BZ395" i="19"/>
  <c r="BZ429" i="19"/>
  <c r="BZ415" i="19"/>
  <c r="Y48" i="2"/>
  <c r="BV354" i="19"/>
  <c r="BV377" i="19" s="1"/>
  <c r="BV350" i="19"/>
  <c r="BV373" i="19" s="1"/>
  <c r="BV333" i="19"/>
  <c r="BV357" i="19"/>
  <c r="BV380" i="19" s="1"/>
  <c r="BV341" i="19"/>
  <c r="BV351" i="19"/>
  <c r="BV374" i="19" s="1"/>
  <c r="BV345" i="19"/>
  <c r="BV368" i="19" s="1"/>
  <c r="BV367" i="19"/>
  <c r="BV390" i="19" s="1"/>
  <c r="BV363" i="19"/>
  <c r="BV386" i="19" s="1"/>
  <c r="BV335" i="19"/>
  <c r="BV337" i="19"/>
  <c r="BV366" i="19"/>
  <c r="BV389" i="19" s="1"/>
  <c r="BV329" i="19"/>
  <c r="BV339" i="19"/>
  <c r="BV359" i="19"/>
  <c r="BV382" i="19" s="1"/>
  <c r="BV347" i="19"/>
  <c r="BV370" i="19" s="1"/>
  <c r="BV353" i="19"/>
  <c r="BV376" i="19" s="1"/>
  <c r="BV365" i="19"/>
  <c r="BV388" i="19" s="1"/>
  <c r="BV361" i="19"/>
  <c r="BV384" i="19" s="1"/>
  <c r="BV355" i="19"/>
  <c r="BV378" i="19" s="1"/>
  <c r="Y4" i="2"/>
  <c r="Y19" i="2"/>
  <c r="Y25" i="2"/>
  <c r="Y26" i="2"/>
  <c r="Y35" i="2"/>
  <c r="Y18" i="2"/>
  <c r="Y5" i="2"/>
  <c r="Y41" i="2"/>
  <c r="Y39" i="2"/>
  <c r="Y34" i="2"/>
  <c r="Y32" i="2"/>
  <c r="Y6" i="2"/>
  <c r="Y33" i="2"/>
  <c r="Y7" i="2"/>
  <c r="Y40" i="2"/>
  <c r="Y42" i="2"/>
  <c r="Y12" i="2"/>
  <c r="Y20" i="2"/>
  <c r="Y14" i="2"/>
  <c r="Y21" i="2"/>
  <c r="Y13" i="2"/>
  <c r="Y54" i="2"/>
  <c r="Y53" i="2"/>
  <c r="Y55" i="2"/>
  <c r="Y56" i="2"/>
  <c r="Y27" i="2"/>
  <c r="Y28" i="2"/>
  <c r="CA335" i="19"/>
  <c r="CA327" i="19"/>
  <c r="BX318" i="19"/>
  <c r="BX340" i="19"/>
  <c r="BX302" i="19"/>
  <c r="CA331" i="19"/>
  <c r="CA343" i="19"/>
  <c r="BX326" i="19"/>
  <c r="BX346" i="19"/>
  <c r="BX310" i="19"/>
  <c r="BX306" i="19"/>
  <c r="BX312" i="19"/>
  <c r="CA332" i="19"/>
  <c r="BX334" i="19"/>
  <c r="BX328" i="19"/>
  <c r="CA347" i="19"/>
  <c r="CA318" i="19"/>
  <c r="CA346" i="19"/>
  <c r="BX332" i="19"/>
  <c r="BX347" i="19"/>
  <c r="CA336" i="19"/>
  <c r="CA342" i="19"/>
  <c r="BX342" i="19"/>
  <c r="BX344" i="19"/>
  <c r="BX322" i="19"/>
  <c r="CA322" i="19"/>
  <c r="BX343" i="19"/>
  <c r="CA328" i="19"/>
  <c r="CA326" i="19"/>
  <c r="BX324" i="19"/>
  <c r="CA339" i="19"/>
  <c r="CA344" i="19"/>
  <c r="CA340" i="19"/>
  <c r="CA314" i="19"/>
  <c r="BX331" i="19"/>
  <c r="BX314" i="19"/>
  <c r="CA310" i="19"/>
  <c r="BX330" i="19"/>
  <c r="BX338" i="19"/>
  <c r="BX327" i="19"/>
  <c r="BX316" i="19"/>
  <c r="BX336" i="19"/>
  <c r="CA329" i="19"/>
  <c r="CA334" i="19"/>
  <c r="CA302" i="19"/>
  <c r="CA330" i="19"/>
  <c r="CA338" i="19"/>
  <c r="BY302" i="19" l="1"/>
  <c r="BY346" i="19"/>
  <c r="BY326" i="19"/>
  <c r="BV399" i="19"/>
  <c r="BV409" i="19"/>
  <c r="BV400" i="19"/>
  <c r="BW362" i="19"/>
  <c r="BT339" i="19"/>
  <c r="BW325" i="19"/>
  <c r="BT302" i="19"/>
  <c r="BW359" i="19"/>
  <c r="BT336" i="19"/>
  <c r="BW361" i="19"/>
  <c r="BT338" i="19"/>
  <c r="BW341" i="19"/>
  <c r="BT318" i="19"/>
  <c r="BV417" i="19"/>
  <c r="BV411" i="19"/>
  <c r="BV396" i="19"/>
  <c r="BV401" i="19"/>
  <c r="BV393" i="19"/>
  <c r="BV412" i="19"/>
  <c r="BV413" i="19"/>
  <c r="BV403" i="19"/>
  <c r="BW333" i="19"/>
  <c r="BT310" i="19"/>
  <c r="BW363" i="19"/>
  <c r="BT340" i="19"/>
  <c r="BW366" i="19"/>
  <c r="BT343" i="19"/>
  <c r="BT346" i="19"/>
  <c r="BW369" i="19"/>
  <c r="BW351" i="19"/>
  <c r="BT328" i="19"/>
  <c r="BW337" i="19"/>
  <c r="BT314" i="19"/>
  <c r="BV415" i="19"/>
  <c r="BV397" i="19"/>
  <c r="BV407" i="19"/>
  <c r="BV405" i="19"/>
  <c r="BV391" i="19"/>
  <c r="BT347" i="19"/>
  <c r="BW370" i="19"/>
  <c r="BW365" i="19"/>
  <c r="BT342" i="19"/>
  <c r="BW355" i="19"/>
  <c r="BT332" i="19"/>
  <c r="BW345" i="19"/>
  <c r="BT322" i="19"/>
  <c r="BW358" i="19"/>
  <c r="BT335" i="19"/>
  <c r="BW349" i="19"/>
  <c r="BT326" i="19"/>
  <c r="BV418" i="19"/>
  <c r="BW354" i="19"/>
  <c r="BT331" i="19"/>
  <c r="BW352" i="19"/>
  <c r="BT329" i="19"/>
  <c r="BW350" i="19"/>
  <c r="BT327" i="19"/>
  <c r="BW367" i="19"/>
  <c r="BT344" i="19"/>
  <c r="BW353" i="19"/>
  <c r="BT330" i="19"/>
  <c r="BW357" i="19"/>
  <c r="BT334" i="19"/>
  <c r="BY331" i="19"/>
  <c r="BY316" i="19"/>
  <c r="BY328" i="19"/>
  <c r="BY330" i="19"/>
  <c r="BY332" i="19"/>
  <c r="BY334" i="19"/>
  <c r="BY336" i="19"/>
  <c r="BY322" i="19"/>
  <c r="BY318" i="19"/>
  <c r="BY342" i="19"/>
  <c r="BY312" i="19"/>
  <c r="BY343" i="19"/>
  <c r="BY327" i="19"/>
  <c r="BY306" i="19"/>
  <c r="BY324" i="19"/>
  <c r="BY344" i="19"/>
  <c r="BY347" i="19"/>
  <c r="BY338" i="19"/>
  <c r="BY314" i="19"/>
  <c r="BY310" i="19"/>
  <c r="BY340" i="19"/>
  <c r="BZ418" i="19"/>
  <c r="BZ422" i="19"/>
  <c r="BZ448" i="19"/>
  <c r="BZ458" i="19"/>
  <c r="BZ432" i="19"/>
  <c r="BZ440" i="19"/>
  <c r="BZ452" i="19"/>
  <c r="BZ444" i="19"/>
  <c r="BZ462" i="19"/>
  <c r="BZ450" i="19"/>
  <c r="BZ420" i="19"/>
  <c r="BZ424" i="19"/>
  <c r="BZ442" i="19"/>
  <c r="BZ456" i="19"/>
  <c r="BZ430" i="19"/>
  <c r="BZ426" i="19"/>
  <c r="BZ434" i="19"/>
  <c r="BZ438" i="19"/>
  <c r="BZ446" i="19"/>
  <c r="BZ454" i="19"/>
  <c r="BZ436" i="19"/>
  <c r="BZ460" i="19"/>
  <c r="BZ428" i="19"/>
  <c r="BV352" i="19"/>
  <c r="BV375" i="19" s="1"/>
  <c r="BV360" i="19"/>
  <c r="BV383" i="19" s="1"/>
  <c r="BV364" i="19"/>
  <c r="BV387" i="19" s="1"/>
  <c r="BV356" i="19"/>
  <c r="BV379" i="19" s="1"/>
  <c r="BV362" i="19"/>
  <c r="BV385" i="19" s="1"/>
  <c r="BV358" i="19"/>
  <c r="BV381" i="19" s="1"/>
  <c r="AY20" i="2"/>
  <c r="AY15" i="2"/>
  <c r="BD17" i="2"/>
  <c r="BA37" i="2"/>
  <c r="BA30" i="2"/>
  <c r="BB48" i="2"/>
  <c r="AZ42" i="2"/>
  <c r="BA33" i="2"/>
  <c r="BA41" i="2"/>
  <c r="BD26" i="2"/>
  <c r="BB26" i="2"/>
  <c r="AY21" i="2"/>
  <c r="BA31" i="2"/>
  <c r="BB6" i="2"/>
  <c r="BC15" i="2"/>
  <c r="BA19" i="2"/>
  <c r="AZ29" i="2"/>
  <c r="AZ32" i="2"/>
  <c r="AZ37" i="2"/>
  <c r="BC43" i="2"/>
  <c r="BC47" i="2"/>
  <c r="BD16" i="2"/>
  <c r="BC42" i="2"/>
  <c r="AY30" i="2"/>
  <c r="BC41" i="2"/>
  <c r="BD23" i="2"/>
  <c r="AZ8" i="2"/>
  <c r="BD28" i="2"/>
  <c r="BD15" i="2"/>
  <c r="AY8" i="2"/>
  <c r="BA36" i="2"/>
  <c r="AY37" i="2"/>
  <c r="AY19" i="2"/>
  <c r="BB19" i="2"/>
  <c r="BD47" i="2"/>
  <c r="BC26" i="2"/>
  <c r="AZ34" i="2"/>
  <c r="BC45" i="2"/>
  <c r="BA42" i="2"/>
  <c r="BC51" i="2"/>
  <c r="BC37" i="2"/>
  <c r="AY43" i="2"/>
  <c r="BA15" i="2"/>
  <c r="AZ41" i="2"/>
  <c r="BD22" i="2"/>
  <c r="BB40" i="2"/>
  <c r="AZ9" i="2"/>
  <c r="AY4" i="2"/>
  <c r="BA29" i="2"/>
  <c r="BC38" i="2"/>
  <c r="BD48" i="2"/>
  <c r="AY31" i="2"/>
  <c r="BD9" i="2"/>
  <c r="AZ50" i="2"/>
  <c r="BD6" i="2"/>
  <c r="AZ40" i="2"/>
  <c r="BC31" i="2"/>
  <c r="BD31" i="2"/>
  <c r="BA45" i="2"/>
  <c r="AZ23" i="2"/>
  <c r="AY18" i="2"/>
  <c r="BC24" i="2"/>
  <c r="AY34" i="2"/>
  <c r="AY24" i="2"/>
  <c r="BB4" i="2"/>
  <c r="AZ33" i="2"/>
  <c r="BB34" i="2"/>
  <c r="BA9" i="2"/>
  <c r="BC33" i="2"/>
  <c r="BA14" i="2"/>
  <c r="BC25" i="2"/>
  <c r="BC34" i="2"/>
  <c r="AZ48" i="2"/>
  <c r="AZ36" i="2"/>
  <c r="AZ35" i="2"/>
  <c r="BA46" i="2"/>
  <c r="BB15" i="2"/>
  <c r="AZ10" i="2"/>
  <c r="AZ14" i="2"/>
  <c r="BA16" i="2"/>
  <c r="AY46" i="2"/>
  <c r="AZ22" i="2"/>
  <c r="AY47" i="2"/>
  <c r="BB18" i="2"/>
  <c r="AY13" i="2"/>
  <c r="AY42" i="2"/>
  <c r="BA20" i="2"/>
  <c r="BB31" i="2"/>
  <c r="AZ18" i="2"/>
  <c r="BC8" i="2"/>
  <c r="BD5" i="2"/>
  <c r="BB27" i="2"/>
  <c r="BC17" i="2"/>
  <c r="BD36" i="2"/>
  <c r="AZ6" i="2"/>
  <c r="BB38" i="2"/>
  <c r="AY12" i="2"/>
  <c r="AY48" i="2"/>
  <c r="BD49" i="2"/>
  <c r="BA12" i="2"/>
  <c r="BD8" i="2"/>
  <c r="BA11" i="2"/>
  <c r="AY23" i="2"/>
  <c r="BB37" i="2"/>
  <c r="BB21" i="2"/>
  <c r="AY36" i="2"/>
  <c r="AZ15" i="2"/>
  <c r="AZ20" i="2"/>
  <c r="BB25" i="2"/>
  <c r="AZ39" i="2"/>
  <c r="AZ19" i="2"/>
  <c r="AZ5" i="2"/>
  <c r="BC49" i="2"/>
  <c r="AY28" i="2"/>
  <c r="BB16" i="2"/>
  <c r="BD41" i="2"/>
  <c r="BD12" i="2"/>
  <c r="BD45" i="2"/>
  <c r="BD46" i="2"/>
  <c r="AY35" i="2"/>
  <c r="BC11" i="2"/>
  <c r="BD13" i="2"/>
  <c r="BD24" i="2"/>
  <c r="BD30" i="2"/>
  <c r="BC18" i="2"/>
  <c r="BB41" i="2"/>
  <c r="BA23" i="2"/>
  <c r="BB45" i="2"/>
  <c r="BB42" i="2"/>
  <c r="BB35" i="2"/>
  <c r="BB14" i="2"/>
  <c r="AY9" i="2"/>
  <c r="BD14" i="2"/>
  <c r="BA50" i="2"/>
  <c r="BB11" i="2"/>
  <c r="BA7" i="2"/>
  <c r="BB7" i="2"/>
  <c r="BB50" i="2"/>
  <c r="AY41" i="2"/>
  <c r="AZ26" i="2"/>
  <c r="BA48" i="2"/>
  <c r="BD42" i="2"/>
  <c r="BC7" i="2"/>
  <c r="AZ44" i="2"/>
  <c r="BD19" i="2"/>
  <c r="BA35" i="2"/>
  <c r="AZ30" i="2"/>
  <c r="BC6" i="2"/>
  <c r="BB5" i="2"/>
  <c r="BB33" i="2"/>
  <c r="AZ21" i="2"/>
  <c r="BC46" i="2"/>
  <c r="AY7" i="2"/>
  <c r="AZ43" i="2"/>
  <c r="AY40" i="2"/>
  <c r="BC20" i="2"/>
  <c r="BC4" i="2"/>
  <c r="AZ12" i="2"/>
  <c r="BC19" i="2"/>
  <c r="AY49" i="2"/>
  <c r="AZ17" i="2"/>
  <c r="AY44" i="2"/>
  <c r="BB32" i="2"/>
  <c r="BD33" i="2"/>
  <c r="BD4" i="2"/>
  <c r="BD37" i="2"/>
  <c r="BD38" i="2"/>
  <c r="AY25" i="2"/>
  <c r="AY39" i="2"/>
  <c r="BC9" i="2"/>
  <c r="AY11" i="2"/>
  <c r="BB8" i="2"/>
  <c r="BB44" i="2"/>
  <c r="BA25" i="2"/>
  <c r="BA4" i="2"/>
  <c r="AZ47" i="2"/>
  <c r="BA38" i="2"/>
  <c r="BD43" i="2"/>
  <c r="BB10" i="2"/>
  <c r="BA5" i="2"/>
  <c r="BA24" i="2"/>
  <c r="BD50" i="2"/>
  <c r="BC44" i="2"/>
  <c r="BD7" i="2"/>
  <c r="BA43" i="2"/>
  <c r="BC16" i="2"/>
  <c r="AY6" i="2"/>
  <c r="BD20" i="2"/>
  <c r="BD21" i="2"/>
  <c r="BD40" i="2"/>
  <c r="BD34" i="2"/>
  <c r="BC23" i="2"/>
  <c r="AY14" i="2"/>
  <c r="BA27" i="2"/>
  <c r="AY29" i="2"/>
  <c r="AY26" i="2"/>
  <c r="BD29" i="2"/>
  <c r="AY51" i="2"/>
  <c r="AZ31" i="2"/>
  <c r="BA10" i="2"/>
  <c r="BC28" i="2"/>
  <c r="BB17" i="2"/>
  <c r="BD35" i="2"/>
  <c r="BA51" i="2"/>
  <c r="AZ51" i="2"/>
  <c r="BC27" i="2"/>
  <c r="BB39" i="2"/>
  <c r="AY27" i="2"/>
  <c r="AZ49" i="2"/>
  <c r="AZ24" i="2"/>
  <c r="AY50" i="2"/>
  <c r="BB29" i="2"/>
  <c r="AZ13" i="2"/>
  <c r="BB28" i="2"/>
  <c r="BA40" i="2"/>
  <c r="BC13" i="2"/>
  <c r="BB12" i="2"/>
  <c r="BC12" i="2"/>
  <c r="AY10" i="2"/>
  <c r="BD25" i="2"/>
  <c r="BB30" i="2"/>
  <c r="BC35" i="2"/>
  <c r="AY32" i="2"/>
  <c r="BA18" i="2"/>
  <c r="BB49" i="2"/>
  <c r="AZ27" i="2"/>
  <c r="BB20" i="2"/>
  <c r="BB9" i="2"/>
  <c r="BB46" i="2"/>
  <c r="BD18" i="2"/>
  <c r="BB22" i="2"/>
  <c r="BB13" i="2"/>
  <c r="AZ25" i="2"/>
  <c r="AY33" i="2"/>
  <c r="BB24" i="2"/>
  <c r="AY16" i="2"/>
  <c r="BA17" i="2"/>
  <c r="BD44" i="2"/>
  <c r="AZ4" i="2"/>
  <c r="BA34" i="2"/>
  <c r="BD39" i="2"/>
  <c r="AZ38" i="2"/>
  <c r="AY22" i="2"/>
  <c r="BB47" i="2"/>
  <c r="BB36" i="2"/>
  <c r="BA49" i="2"/>
  <c r="BA44" i="2"/>
  <c r="BA8" i="2"/>
  <c r="BC39" i="2"/>
  <c r="BA39" i="2"/>
  <c r="BB43" i="2"/>
  <c r="BC10" i="2"/>
  <c r="BC36" i="2"/>
  <c r="BA22" i="2"/>
  <c r="AZ28" i="2"/>
  <c r="BD27" i="2"/>
  <c r="BC40" i="2"/>
  <c r="AZ11" i="2"/>
  <c r="BC21" i="2"/>
  <c r="BA28" i="2"/>
  <c r="BA21" i="2"/>
  <c r="BA32" i="2"/>
  <c r="BA6" i="2"/>
  <c r="AZ7" i="2"/>
  <c r="BD11" i="2"/>
  <c r="BC14" i="2"/>
  <c r="BC32" i="2"/>
  <c r="AY38" i="2"/>
  <c r="BA13" i="2"/>
  <c r="BD32" i="2"/>
  <c r="BD10" i="2"/>
  <c r="BA26" i="2"/>
  <c r="BC50" i="2"/>
  <c r="BB51" i="2"/>
  <c r="BD51" i="2"/>
  <c r="BC30" i="2"/>
  <c r="BB23" i="2"/>
  <c r="BC48" i="2"/>
  <c r="AY45" i="2"/>
  <c r="BC5" i="2"/>
  <c r="BA47" i="2"/>
  <c r="AZ46" i="2"/>
  <c r="BC22" i="2"/>
  <c r="AZ45" i="2"/>
  <c r="AZ16" i="2"/>
  <c r="AY5" i="2"/>
  <c r="BC29" i="2"/>
  <c r="AY17" i="2"/>
  <c r="CA361" i="19"/>
  <c r="BX353" i="19"/>
  <c r="BX366" i="19"/>
  <c r="CA358" i="19"/>
  <c r="CA362" i="19"/>
  <c r="CA363" i="19"/>
  <c r="CA369" i="19"/>
  <c r="BX355" i="19"/>
  <c r="CA352" i="19"/>
  <c r="BX352" i="19"/>
  <c r="CA354" i="19"/>
  <c r="CA367" i="19"/>
  <c r="CA359" i="19"/>
  <c r="BX354" i="19"/>
  <c r="BX363" i="19"/>
  <c r="BX369" i="19"/>
  <c r="BX345" i="19"/>
  <c r="BX365" i="19"/>
  <c r="BX333" i="19"/>
  <c r="CA355" i="19"/>
  <c r="BX357" i="19"/>
  <c r="BX350" i="19"/>
  <c r="BX361" i="19"/>
  <c r="BX367" i="19"/>
  <c r="BX325" i="19"/>
  <c r="BX349" i="19"/>
  <c r="CA333" i="19"/>
  <c r="CA349" i="19"/>
  <c r="CA351" i="19"/>
  <c r="CA350" i="19"/>
  <c r="CA341" i="19"/>
  <c r="CA370" i="19"/>
  <c r="BX337" i="19"/>
  <c r="BX359" i="19"/>
  <c r="CA365" i="19"/>
  <c r="CA337" i="19"/>
  <c r="BX329" i="19"/>
  <c r="CA357" i="19"/>
  <c r="CA353" i="19"/>
  <c r="CA345" i="19"/>
  <c r="BX335" i="19"/>
  <c r="BX351" i="19"/>
  <c r="BX341" i="19"/>
  <c r="BX370" i="19"/>
  <c r="CA366" i="19"/>
  <c r="BX339" i="19"/>
  <c r="BX358" i="19"/>
  <c r="CA325" i="19"/>
  <c r="BX362" i="19"/>
  <c r="BY349" i="19" l="1"/>
  <c r="BY345" i="19"/>
  <c r="BY365" i="19"/>
  <c r="BY369" i="19"/>
  <c r="BY353" i="19"/>
  <c r="BY350" i="19"/>
  <c r="BY354" i="19"/>
  <c r="BY370" i="19"/>
  <c r="BY363" i="19"/>
  <c r="BY359" i="19"/>
  <c r="BY355" i="19"/>
  <c r="BY357" i="19"/>
  <c r="BY367" i="19"/>
  <c r="BY351" i="19"/>
  <c r="BY366" i="19"/>
  <c r="BY361" i="19"/>
  <c r="BY325" i="19"/>
  <c r="BT349" i="19"/>
  <c r="BW372" i="19"/>
  <c r="BT345" i="19"/>
  <c r="BW368" i="19"/>
  <c r="BT365" i="19"/>
  <c r="BW388" i="19"/>
  <c r="BV428" i="19"/>
  <c r="BT369" i="19"/>
  <c r="BW392" i="19"/>
  <c r="BV426" i="19"/>
  <c r="BV424" i="19"/>
  <c r="BV422" i="19"/>
  <c r="BV404" i="19"/>
  <c r="BV406" i="19"/>
  <c r="BT353" i="19"/>
  <c r="BW376" i="19"/>
  <c r="BT350" i="19"/>
  <c r="BW373" i="19"/>
  <c r="BT354" i="19"/>
  <c r="BW377" i="19"/>
  <c r="BW393" i="19"/>
  <c r="BT370" i="19"/>
  <c r="BV430" i="19"/>
  <c r="BW360" i="19"/>
  <c r="BT337" i="19"/>
  <c r="BT363" i="19"/>
  <c r="BW386" i="19"/>
  <c r="BV436" i="19"/>
  <c r="BV419" i="19"/>
  <c r="BW364" i="19"/>
  <c r="BT341" i="19"/>
  <c r="BT359" i="19"/>
  <c r="BW382" i="19"/>
  <c r="BT362" i="19"/>
  <c r="BW385" i="19"/>
  <c r="BV410" i="19"/>
  <c r="BV408" i="19"/>
  <c r="BV398" i="19"/>
  <c r="BV441" i="19"/>
  <c r="BT358" i="19"/>
  <c r="BW381" i="19"/>
  <c r="BT355" i="19"/>
  <c r="BW378" i="19"/>
  <c r="BV420" i="19"/>
  <c r="BV435" i="19"/>
  <c r="BV434" i="19"/>
  <c r="BV423" i="19"/>
  <c r="BV402" i="19"/>
  <c r="BT357" i="19"/>
  <c r="BW380" i="19"/>
  <c r="BT367" i="19"/>
  <c r="BW390" i="19"/>
  <c r="BT352" i="19"/>
  <c r="BW375" i="19"/>
  <c r="BV414" i="19"/>
  <c r="BV438" i="19"/>
  <c r="BT351" i="19"/>
  <c r="BW374" i="19"/>
  <c r="BT366" i="19"/>
  <c r="BW389" i="19"/>
  <c r="BW356" i="19"/>
  <c r="BT333" i="19"/>
  <c r="BV416" i="19"/>
  <c r="BV440" i="19"/>
  <c r="BT361" i="19"/>
  <c r="BW384" i="19"/>
  <c r="BW348" i="19"/>
  <c r="BT325" i="19"/>
  <c r="BV432" i="19"/>
  <c r="BY358" i="19"/>
  <c r="BY333" i="19"/>
  <c r="BY352" i="19"/>
  <c r="BY339" i="19"/>
  <c r="BY337" i="19"/>
  <c r="BY341" i="19"/>
  <c r="BY362" i="19"/>
  <c r="BY329" i="19"/>
  <c r="BY335" i="19"/>
  <c r="BZ459" i="19"/>
  <c r="BZ457" i="19"/>
  <c r="BZ465" i="19"/>
  <c r="BZ485" i="19"/>
  <c r="BZ455" i="19"/>
  <c r="BZ471" i="19"/>
  <c r="BZ483" i="19"/>
  <c r="BZ461" i="19"/>
  <c r="BZ447" i="19"/>
  <c r="BZ463" i="19"/>
  <c r="BZ445" i="19"/>
  <c r="BZ477" i="19"/>
  <c r="BZ449" i="19"/>
  <c r="BZ479" i="19"/>
  <c r="BZ473" i="19"/>
  <c r="BZ467" i="19"/>
  <c r="BZ481" i="19"/>
  <c r="BZ451" i="19"/>
  <c r="BZ469" i="19"/>
  <c r="BZ453" i="19"/>
  <c r="BZ443" i="19"/>
  <c r="BZ475" i="19"/>
  <c r="BZ441" i="19"/>
  <c r="Z11" i="2"/>
  <c r="AB7" i="2"/>
  <c r="AA20" i="2"/>
  <c r="AB14" i="2"/>
  <c r="AD26" i="2"/>
  <c r="AA56" i="2"/>
  <c r="Z6" i="2"/>
  <c r="AA32" i="2"/>
  <c r="AD32" i="2"/>
  <c r="AA18" i="2"/>
  <c r="AA54" i="2"/>
  <c r="AD40" i="2"/>
  <c r="AD11" i="2"/>
  <c r="AB40" i="2"/>
  <c r="AD13" i="2"/>
  <c r="AA49" i="2"/>
  <c r="AB19" i="2"/>
  <c r="AB55" i="2"/>
  <c r="AB32" i="2"/>
  <c r="AA40" i="2"/>
  <c r="AA4" i="2"/>
  <c r="Z54" i="2"/>
  <c r="AD7" i="2"/>
  <c r="AA41" i="2"/>
  <c r="AD5" i="2"/>
  <c r="AA34" i="2"/>
  <c r="AA11" i="2"/>
  <c r="AD39" i="2"/>
  <c r="AA47" i="2"/>
  <c r="AD55" i="2"/>
  <c r="AB4" i="2"/>
  <c r="AD35" i="2"/>
  <c r="AC27" i="2"/>
  <c r="AB18" i="2"/>
  <c r="Z34" i="2"/>
  <c r="AB11" i="2"/>
  <c r="AC56" i="2"/>
  <c r="AB21" i="2"/>
  <c r="AB5" i="2"/>
  <c r="Z53" i="2"/>
  <c r="AB34" i="2"/>
  <c r="AA21" i="2"/>
  <c r="AB26" i="2"/>
  <c r="AD25" i="2"/>
  <c r="AB48" i="2"/>
  <c r="AD54" i="2"/>
  <c r="AD14" i="2"/>
  <c r="AD20" i="2"/>
  <c r="AD42" i="2"/>
  <c r="AD19" i="2"/>
  <c r="AB25" i="2"/>
  <c r="AC41" i="2"/>
  <c r="AB54" i="2"/>
  <c r="AD12" i="2"/>
  <c r="AB27" i="2"/>
  <c r="AB49" i="2"/>
  <c r="AB20" i="2"/>
  <c r="AC18" i="2"/>
  <c r="Z13" i="2"/>
  <c r="AD34" i="2"/>
  <c r="Z41" i="2"/>
  <c r="AA33" i="2"/>
  <c r="AA13" i="2"/>
  <c r="AA48" i="2"/>
  <c r="Z14" i="2"/>
  <c r="AD18" i="2"/>
  <c r="AD56" i="2"/>
  <c r="AB12" i="2"/>
  <c r="AB6" i="2"/>
  <c r="AA55" i="2"/>
  <c r="AB39" i="2"/>
  <c r="AB42" i="2"/>
  <c r="AB47" i="2"/>
  <c r="AA53" i="2"/>
  <c r="AD48" i="2"/>
  <c r="AB56" i="2"/>
  <c r="Z12" i="2"/>
  <c r="AD33" i="2"/>
  <c r="AB28" i="2"/>
  <c r="AA25" i="2"/>
  <c r="AD6" i="2"/>
  <c r="AB46" i="2"/>
  <c r="AA35" i="2"/>
  <c r="AA27" i="2"/>
  <c r="AA39" i="2"/>
  <c r="AA19" i="2"/>
  <c r="AB13" i="2"/>
  <c r="Z7" i="2"/>
  <c r="AA26" i="2"/>
  <c r="AC14" i="2"/>
  <c r="AD49" i="2"/>
  <c r="AA46" i="2"/>
  <c r="AB53" i="2"/>
  <c r="AA14" i="2"/>
  <c r="AD4" i="2"/>
  <c r="AB35" i="2"/>
  <c r="AC55" i="2"/>
  <c r="AA12" i="2"/>
  <c r="AB33" i="2"/>
  <c r="AD53" i="2"/>
  <c r="AA6" i="2"/>
  <c r="AA42" i="2"/>
  <c r="AD27" i="2"/>
  <c r="AD28" i="2"/>
  <c r="AA7" i="2"/>
  <c r="AD41" i="2"/>
  <c r="AD21" i="2"/>
  <c r="AD46" i="2"/>
  <c r="AD47" i="2"/>
  <c r="AA5" i="2"/>
  <c r="Z4" i="2"/>
  <c r="AB41" i="2"/>
  <c r="Z26" i="2"/>
  <c r="AC35" i="2"/>
  <c r="AC49" i="2"/>
  <c r="AC20" i="2"/>
  <c r="AE20" i="2" s="1"/>
  <c r="Z27" i="2"/>
  <c r="Z20" i="2"/>
  <c r="Z42" i="2"/>
  <c r="Z18" i="2"/>
  <c r="AC34" i="2"/>
  <c r="AC11" i="2"/>
  <c r="AC4" i="2"/>
  <c r="AE4" i="2" s="1"/>
  <c r="AC5" i="2"/>
  <c r="AC42" i="2"/>
  <c r="Z47" i="2"/>
  <c r="AC13" i="2"/>
  <c r="AE13" i="2" s="1"/>
  <c r="Z48" i="2"/>
  <c r="AF48" i="2" s="1"/>
  <c r="Z55" i="2"/>
  <c r="AC54" i="2"/>
  <c r="AC21" i="2"/>
  <c r="Z35" i="2"/>
  <c r="AC28" i="2"/>
  <c r="Z32" i="2"/>
  <c r="AC7" i="2"/>
  <c r="AC53" i="2"/>
  <c r="AC6" i="2"/>
  <c r="AE6" i="2" s="1"/>
  <c r="Z56" i="2"/>
  <c r="AF56" i="2" s="1"/>
  <c r="Z46" i="2"/>
  <c r="AC47" i="2"/>
  <c r="AC25" i="2"/>
  <c r="AC19" i="2"/>
  <c r="AE19" i="2" s="1"/>
  <c r="Z49" i="2"/>
  <c r="AC40" i="2"/>
  <c r="AE40" i="2" s="1"/>
  <c r="Z5" i="2"/>
  <c r="Z39" i="2"/>
  <c r="AC48" i="2"/>
  <c r="AE48" i="2" s="1"/>
  <c r="AC32" i="2"/>
  <c r="AC26" i="2"/>
  <c r="Z33" i="2"/>
  <c r="AF33" i="2" s="1"/>
  <c r="Z19" i="2"/>
  <c r="Z28" i="2"/>
  <c r="Z40" i="2"/>
  <c r="AC12" i="2"/>
  <c r="AE12" i="2" s="1"/>
  <c r="AA28" i="2"/>
  <c r="AC46" i="2"/>
  <c r="AC39" i="2"/>
  <c r="Z25" i="2"/>
  <c r="AC33" i="2"/>
  <c r="Z21" i="2"/>
  <c r="CA368" i="19"/>
  <c r="CA386" i="19"/>
  <c r="CA348" i="19"/>
  <c r="BX364" i="19"/>
  <c r="BX373" i="19"/>
  <c r="CA375" i="19"/>
  <c r="CA372" i="19"/>
  <c r="CA393" i="19"/>
  <c r="CA378" i="19"/>
  <c r="CA384" i="19"/>
  <c r="CA389" i="19"/>
  <c r="CA388" i="19"/>
  <c r="BX360" i="19"/>
  <c r="BX384" i="19"/>
  <c r="BX386" i="19"/>
  <c r="CA392" i="19"/>
  <c r="BX389" i="19"/>
  <c r="BX368" i="19"/>
  <c r="BX380" i="19"/>
  <c r="CA374" i="19"/>
  <c r="CA356" i="19"/>
  <c r="BX376" i="19"/>
  <c r="BX377" i="19"/>
  <c r="CA377" i="19"/>
  <c r="CA381" i="19"/>
  <c r="BX372" i="19"/>
  <c r="BX356" i="19"/>
  <c r="BX375" i="19"/>
  <c r="CA390" i="19"/>
  <c r="BX385" i="19"/>
  <c r="BX392" i="19"/>
  <c r="CA373" i="19"/>
  <c r="CA376" i="19"/>
  <c r="CA382" i="19"/>
  <c r="CA385" i="19"/>
  <c r="CA360" i="19"/>
  <c r="BX390" i="19"/>
  <c r="BX378" i="19"/>
  <c r="CA380" i="19"/>
  <c r="BX348" i="19"/>
  <c r="CA364" i="19"/>
  <c r="BX393" i="19"/>
  <c r="BX388" i="19"/>
  <c r="BX382" i="19"/>
  <c r="BX381" i="19"/>
  <c r="BX374" i="19"/>
  <c r="AE7" i="2" l="1"/>
  <c r="AE49" i="2"/>
  <c r="AF40" i="2"/>
  <c r="AE42" i="2"/>
  <c r="AF26" i="2"/>
  <c r="AE46" i="2"/>
  <c r="AF47" i="2"/>
  <c r="AF4" i="2"/>
  <c r="AE53" i="2"/>
  <c r="AE54" i="2"/>
  <c r="AE21" i="2"/>
  <c r="AE11" i="2"/>
  <c r="AE32" i="2"/>
  <c r="AE5" i="2"/>
  <c r="AE27" i="2"/>
  <c r="AF21" i="2"/>
  <c r="AF18" i="2"/>
  <c r="AF49" i="2"/>
  <c r="AF25" i="2"/>
  <c r="AF41" i="2"/>
  <c r="AF46" i="2"/>
  <c r="BY389" i="19"/>
  <c r="BY390" i="19"/>
  <c r="BY360" i="19"/>
  <c r="BY377" i="19"/>
  <c r="BY376" i="19"/>
  <c r="BY368" i="19"/>
  <c r="BY348" i="19"/>
  <c r="BY378" i="19"/>
  <c r="BY385" i="19"/>
  <c r="BY386" i="19"/>
  <c r="BY384" i="19"/>
  <c r="BY374" i="19"/>
  <c r="BY375" i="19"/>
  <c r="BY380" i="19"/>
  <c r="BY364" i="19"/>
  <c r="BY373" i="19"/>
  <c r="BY388" i="19"/>
  <c r="BY372" i="19"/>
  <c r="BY356" i="19"/>
  <c r="BY381" i="19"/>
  <c r="BY382" i="19"/>
  <c r="BY393" i="19"/>
  <c r="BY392" i="19"/>
  <c r="BV463" i="19"/>
  <c r="BT389" i="19"/>
  <c r="BW412" i="19"/>
  <c r="BV461" i="19"/>
  <c r="BW413" i="19"/>
  <c r="BT390" i="19"/>
  <c r="BV425" i="19"/>
  <c r="BV443" i="19"/>
  <c r="BV433" i="19"/>
  <c r="BV459" i="19"/>
  <c r="BT360" i="19"/>
  <c r="BW383" i="19"/>
  <c r="BT377" i="19"/>
  <c r="BW400" i="19"/>
  <c r="BW399" i="19"/>
  <c r="BT376" i="19"/>
  <c r="BV445" i="19"/>
  <c r="BW391" i="19"/>
  <c r="BT368" i="19"/>
  <c r="BT348" i="19"/>
  <c r="BW371" i="19"/>
  <c r="BV439" i="19"/>
  <c r="BV437" i="19"/>
  <c r="BV446" i="19"/>
  <c r="BW401" i="19"/>
  <c r="BT378" i="19"/>
  <c r="BV464" i="19"/>
  <c r="BT385" i="19"/>
  <c r="BW408" i="19"/>
  <c r="BW409" i="19"/>
  <c r="BT386" i="19"/>
  <c r="BV453" i="19"/>
  <c r="BV447" i="19"/>
  <c r="BV451" i="19"/>
  <c r="BW407" i="19"/>
  <c r="BT384" i="19"/>
  <c r="BW397" i="19"/>
  <c r="BT374" i="19"/>
  <c r="BT375" i="19"/>
  <c r="BW398" i="19"/>
  <c r="BW403" i="19"/>
  <c r="BT380" i="19"/>
  <c r="BV457" i="19"/>
  <c r="BV421" i="19"/>
  <c r="BT364" i="19"/>
  <c r="BW387" i="19"/>
  <c r="BT373" i="19"/>
  <c r="BW396" i="19"/>
  <c r="BV429" i="19"/>
  <c r="BV449" i="19"/>
  <c r="BW411" i="19"/>
  <c r="BT388" i="19"/>
  <c r="BW395" i="19"/>
  <c r="BT372" i="19"/>
  <c r="BV455" i="19"/>
  <c r="BT356" i="19"/>
  <c r="BW379" i="19"/>
  <c r="BV458" i="19"/>
  <c r="BT381" i="19"/>
  <c r="BW404" i="19"/>
  <c r="BV431" i="19"/>
  <c r="BW405" i="19"/>
  <c r="BT382" i="19"/>
  <c r="BV442" i="19"/>
  <c r="BW416" i="19"/>
  <c r="BT393" i="19"/>
  <c r="BV427" i="19"/>
  <c r="BW415" i="19"/>
  <c r="BT392" i="19"/>
  <c r="BZ466" i="19"/>
  <c r="BZ472" i="19"/>
  <c r="BZ482" i="19"/>
  <c r="BZ498" i="19"/>
  <c r="BZ476" i="19"/>
  <c r="BZ490" i="19"/>
  <c r="BZ502" i="19"/>
  <c r="BZ500" i="19"/>
  <c r="BZ486" i="19"/>
  <c r="BZ484" i="19"/>
  <c r="BZ494" i="19"/>
  <c r="BZ508" i="19"/>
  <c r="BZ474" i="19"/>
  <c r="BZ480" i="19"/>
  <c r="BZ492" i="19"/>
  <c r="BZ504" i="19"/>
  <c r="BZ496" i="19"/>
  <c r="BZ468" i="19"/>
  <c r="BZ470" i="19"/>
  <c r="BZ506" i="19"/>
  <c r="BZ478" i="19"/>
  <c r="BZ488" i="19"/>
  <c r="BZ464" i="19"/>
  <c r="AF39" i="2"/>
  <c r="AE47" i="2"/>
  <c r="AF27" i="2"/>
  <c r="AE56" i="2"/>
  <c r="AF55" i="2"/>
  <c r="AF20" i="2"/>
  <c r="AF34" i="2"/>
  <c r="AF54" i="2"/>
  <c r="AF5" i="2"/>
  <c r="AF19" i="2"/>
  <c r="AF42" i="2"/>
  <c r="AF12" i="2"/>
  <c r="AF14" i="2"/>
  <c r="AF28" i="2"/>
  <c r="AF35" i="2"/>
  <c r="AF7" i="2"/>
  <c r="AE25" i="2"/>
  <c r="AF53" i="2"/>
  <c r="AF11" i="2"/>
  <c r="AF13" i="2"/>
  <c r="AF32" i="2"/>
  <c r="AF6" i="2"/>
  <c r="AE34" i="2"/>
  <c r="AE41" i="2"/>
  <c r="AE35" i="2"/>
  <c r="AE26" i="2"/>
  <c r="AE39" i="2"/>
  <c r="AE14" i="2"/>
  <c r="AE28" i="2"/>
  <c r="AE18" i="2"/>
  <c r="AE55" i="2"/>
  <c r="AE33" i="2"/>
  <c r="BX399" i="19"/>
  <c r="BX379" i="19"/>
  <c r="CA371" i="19"/>
  <c r="CA407" i="19"/>
  <c r="CA399" i="19"/>
  <c r="BX405" i="19"/>
  <c r="BX415" i="19"/>
  <c r="CA409" i="19"/>
  <c r="CA387" i="19"/>
  <c r="CA416" i="19"/>
  <c r="CA383" i="19"/>
  <c r="CA412" i="19"/>
  <c r="BX397" i="19"/>
  <c r="CA379" i="19"/>
  <c r="CA401" i="19"/>
  <c r="CA395" i="19"/>
  <c r="CA400" i="19"/>
  <c r="BX398" i="19"/>
  <c r="BX411" i="19"/>
  <c r="CA397" i="19"/>
  <c r="CA415" i="19"/>
  <c r="CA398" i="19"/>
  <c r="BX395" i="19"/>
  <c r="BX416" i="19"/>
  <c r="BX407" i="19"/>
  <c r="BX409" i="19"/>
  <c r="BX383" i="19"/>
  <c r="CA413" i="19"/>
  <c r="BX387" i="19"/>
  <c r="CA411" i="19"/>
  <c r="CA404" i="19"/>
  <c r="CA405" i="19"/>
  <c r="BX391" i="19"/>
  <c r="BX403" i="19"/>
  <c r="BX413" i="19"/>
  <c r="BX404" i="19"/>
  <c r="CA391" i="19"/>
  <c r="CA408" i="19"/>
  <c r="BX401" i="19"/>
  <c r="BX412" i="19"/>
  <c r="BX408" i="19"/>
  <c r="BX400" i="19"/>
  <c r="BX371" i="19"/>
  <c r="CA396" i="19"/>
  <c r="BX396" i="19"/>
  <c r="CA403" i="19"/>
  <c r="AG49" i="2" l="1"/>
  <c r="AG47" i="2"/>
  <c r="AG46" i="2"/>
  <c r="AG48" i="2"/>
  <c r="AG19" i="2"/>
  <c r="AH46" i="2"/>
  <c r="AI48" i="2"/>
  <c r="AG42" i="2"/>
  <c r="AI49" i="2"/>
  <c r="BY415" i="19"/>
  <c r="BY404" i="19"/>
  <c r="BY383" i="19"/>
  <c r="BY405" i="19"/>
  <c r="BY387" i="19"/>
  <c r="BY409" i="19"/>
  <c r="BY391" i="19"/>
  <c r="BY400" i="19"/>
  <c r="BY416" i="19"/>
  <c r="BY379" i="19"/>
  <c r="BY395" i="19"/>
  <c r="BY403" i="19"/>
  <c r="BY397" i="19"/>
  <c r="BY408" i="19"/>
  <c r="BY401" i="19"/>
  <c r="BY371" i="19"/>
  <c r="BY413" i="19"/>
  <c r="BY396" i="19"/>
  <c r="BY398" i="19"/>
  <c r="BY411" i="19"/>
  <c r="BY407" i="19"/>
  <c r="BY399" i="19"/>
  <c r="BY412" i="19"/>
  <c r="BW438" i="19"/>
  <c r="BT415" i="19"/>
  <c r="BW427" i="19"/>
  <c r="BT404" i="19"/>
  <c r="BT383" i="19"/>
  <c r="BW406" i="19"/>
  <c r="BV466" i="19"/>
  <c r="BW428" i="19"/>
  <c r="BT405" i="19"/>
  <c r="BV481" i="19"/>
  <c r="BV472" i="19"/>
  <c r="BT387" i="19"/>
  <c r="BW410" i="19"/>
  <c r="BV474" i="19"/>
  <c r="BW432" i="19"/>
  <c r="BT409" i="19"/>
  <c r="BV462" i="19"/>
  <c r="BT391" i="19"/>
  <c r="BW414" i="19"/>
  <c r="BW423" i="19"/>
  <c r="BT400" i="19"/>
  <c r="BV482" i="19"/>
  <c r="BW439" i="19"/>
  <c r="BT416" i="19"/>
  <c r="BV454" i="19"/>
  <c r="BT379" i="19"/>
  <c r="BW402" i="19"/>
  <c r="BT395" i="19"/>
  <c r="BW418" i="19"/>
  <c r="BV452" i="19"/>
  <c r="BT403" i="19"/>
  <c r="BW426" i="19"/>
  <c r="BW420" i="19"/>
  <c r="BT397" i="19"/>
  <c r="BV470" i="19"/>
  <c r="BW431" i="19"/>
  <c r="BT408" i="19"/>
  <c r="BW424" i="19"/>
  <c r="BT401" i="19"/>
  <c r="BT371" i="19"/>
  <c r="BW394" i="19"/>
  <c r="BV468" i="19"/>
  <c r="BV456" i="19"/>
  <c r="BW436" i="19"/>
  <c r="BT413" i="19"/>
  <c r="BV486" i="19"/>
  <c r="BV444" i="19"/>
  <c r="BV465" i="19"/>
  <c r="BW419" i="19"/>
  <c r="BT396" i="19"/>
  <c r="BW421" i="19"/>
  <c r="BT398" i="19"/>
  <c r="BV476" i="19"/>
  <c r="BV469" i="19"/>
  <c r="BV484" i="19"/>
  <c r="BV450" i="19"/>
  <c r="BV478" i="19"/>
  <c r="BW434" i="19"/>
  <c r="BT411" i="19"/>
  <c r="BV480" i="19"/>
  <c r="BW430" i="19"/>
  <c r="BT407" i="19"/>
  <c r="BV487" i="19"/>
  <c r="BV460" i="19"/>
  <c r="BT399" i="19"/>
  <c r="BW422" i="19"/>
  <c r="BV448" i="19"/>
  <c r="BW435" i="19"/>
  <c r="BT412" i="19"/>
  <c r="BZ487" i="19"/>
  <c r="BZ501" i="19"/>
  <c r="BZ519" i="19"/>
  <c r="BZ515" i="19"/>
  <c r="BZ497" i="19"/>
  <c r="BZ517" i="19"/>
  <c r="BZ509" i="19"/>
  <c r="BZ525" i="19"/>
  <c r="BZ499" i="19"/>
  <c r="BZ505" i="19"/>
  <c r="BZ489" i="19"/>
  <c r="BZ503" i="19"/>
  <c r="BZ511" i="19"/>
  <c r="BZ529" i="19"/>
  <c r="BZ491" i="19"/>
  <c r="BZ527" i="19"/>
  <c r="BZ531" i="19"/>
  <c r="BZ507" i="19"/>
  <c r="BZ523" i="19"/>
  <c r="BZ513" i="19"/>
  <c r="BZ521" i="19"/>
  <c r="BZ495" i="19"/>
  <c r="BZ493" i="19"/>
  <c r="AI47" i="2"/>
  <c r="AI46" i="2"/>
  <c r="AH49" i="2"/>
  <c r="AH47" i="2"/>
  <c r="AH48" i="2"/>
  <c r="AG28" i="2"/>
  <c r="AG56" i="2"/>
  <c r="AH4" i="2"/>
  <c r="AG40" i="2"/>
  <c r="AG39" i="2"/>
  <c r="AG41" i="2"/>
  <c r="AH40" i="2"/>
  <c r="AG13" i="2"/>
  <c r="AH19" i="2"/>
  <c r="AG18" i="2"/>
  <c r="AG21" i="2"/>
  <c r="AG20" i="2"/>
  <c r="AI41" i="2"/>
  <c r="AI27" i="2"/>
  <c r="AG54" i="2"/>
  <c r="AI6" i="2"/>
  <c r="AH42" i="2"/>
  <c r="AH39" i="2"/>
  <c r="AH6" i="2"/>
  <c r="AG7" i="2"/>
  <c r="AH27" i="2"/>
  <c r="AH26" i="2"/>
  <c r="AG6" i="2"/>
  <c r="AI35" i="2"/>
  <c r="AH32" i="2"/>
  <c r="AH33" i="2"/>
  <c r="AI32" i="2"/>
  <c r="AI33" i="2"/>
  <c r="AH34" i="2"/>
  <c r="AH35" i="2"/>
  <c r="AG32" i="2"/>
  <c r="AI34" i="2"/>
  <c r="AI42" i="2"/>
  <c r="AI28" i="2"/>
  <c r="AG25" i="2"/>
  <c r="AI26" i="2"/>
  <c r="AH5" i="2"/>
  <c r="AI5" i="2"/>
  <c r="AG34" i="2"/>
  <c r="AI19" i="2"/>
  <c r="AI18" i="2"/>
  <c r="AG35" i="2"/>
  <c r="AG26" i="2"/>
  <c r="AI20" i="2"/>
  <c r="AG27" i="2"/>
  <c r="AH41" i="2"/>
  <c r="AI39" i="2"/>
  <c r="AI40" i="2"/>
  <c r="AH28" i="2"/>
  <c r="AI25" i="2"/>
  <c r="AH7" i="2"/>
  <c r="AI4" i="2"/>
  <c r="AH20" i="2"/>
  <c r="AI21" i="2"/>
  <c r="AH21" i="2"/>
  <c r="AG14" i="2"/>
  <c r="AG5" i="2"/>
  <c r="AH25" i="2"/>
  <c r="AH18" i="2"/>
  <c r="AG33" i="2"/>
  <c r="AG4" i="2"/>
  <c r="AI7" i="2"/>
  <c r="AG11" i="2"/>
  <c r="AH13" i="2"/>
  <c r="AH12" i="2"/>
  <c r="AH14" i="2"/>
  <c r="AI13" i="2"/>
  <c r="AI11" i="2"/>
  <c r="AI14" i="2"/>
  <c r="AH11" i="2"/>
  <c r="AI12" i="2"/>
  <c r="AI53" i="2"/>
  <c r="AG53" i="2"/>
  <c r="AH54" i="2"/>
  <c r="AI54" i="2"/>
  <c r="AI56" i="2"/>
  <c r="AI55" i="2"/>
  <c r="AH56" i="2"/>
  <c r="AH55" i="2"/>
  <c r="AH53" i="2"/>
  <c r="AG55" i="2"/>
  <c r="AG12" i="2"/>
  <c r="BX422" i="19"/>
  <c r="CA420" i="19"/>
  <c r="CA439" i="19"/>
  <c r="BX436" i="19"/>
  <c r="CA423" i="19"/>
  <c r="BX421" i="19"/>
  <c r="BX427" i="19"/>
  <c r="BX418" i="19"/>
  <c r="BX419" i="19"/>
  <c r="BX438" i="19"/>
  <c r="CA427" i="19"/>
  <c r="CA394" i="19"/>
  <c r="BX394" i="19"/>
  <c r="CA419" i="19"/>
  <c r="CA435" i="19"/>
  <c r="CA426" i="19"/>
  <c r="CA430" i="19"/>
  <c r="BX420" i="19"/>
  <c r="BX414" i="19"/>
  <c r="BX439" i="19"/>
  <c r="CA428" i="19"/>
  <c r="CA418" i="19"/>
  <c r="BX434" i="19"/>
  <c r="CA422" i="19"/>
  <c r="BX435" i="19"/>
  <c r="BX406" i="19"/>
  <c r="BX430" i="19"/>
  <c r="CA431" i="19"/>
  <c r="CA402" i="19"/>
  <c r="BX426" i="19"/>
  <c r="BX402" i="19"/>
  <c r="CA410" i="19"/>
  <c r="CA438" i="19"/>
  <c r="BX428" i="19"/>
  <c r="CA406" i="19"/>
  <c r="CA414" i="19"/>
  <c r="BX431" i="19"/>
  <c r="CA432" i="19"/>
  <c r="BX432" i="19"/>
  <c r="BX423" i="19"/>
  <c r="BX424" i="19"/>
  <c r="CA424" i="19"/>
  <c r="BX410" i="19"/>
  <c r="CA434" i="19"/>
  <c r="CA421" i="19"/>
  <c r="CA436" i="19"/>
  <c r="X46" i="2" l="1"/>
  <c r="X47" i="2"/>
  <c r="X49" i="2"/>
  <c r="AL46" i="2"/>
  <c r="AN46" i="2" s="1"/>
  <c r="AM46" i="2" s="1"/>
  <c r="AL49" i="2"/>
  <c r="AN49" i="2" s="1"/>
  <c r="BY436" i="19"/>
  <c r="BY431" i="19"/>
  <c r="BY402" i="19"/>
  <c r="BY414" i="19"/>
  <c r="BY432" i="19"/>
  <c r="BY427" i="19"/>
  <c r="BY422" i="19"/>
  <c r="BY434" i="19"/>
  <c r="BY424" i="19"/>
  <c r="BY406" i="19"/>
  <c r="BY430" i="19"/>
  <c r="BY419" i="19"/>
  <c r="BY394" i="19"/>
  <c r="BY420" i="19"/>
  <c r="BY418" i="19"/>
  <c r="BY410" i="19"/>
  <c r="BY438" i="19"/>
  <c r="BY435" i="19"/>
  <c r="BY426" i="19"/>
  <c r="BY423" i="19"/>
  <c r="BY428" i="19"/>
  <c r="BY421" i="19"/>
  <c r="BY439" i="19"/>
  <c r="BV483" i="19"/>
  <c r="BV473" i="19"/>
  <c r="BV488" i="19"/>
  <c r="BW459" i="19"/>
  <c r="BT436" i="19"/>
  <c r="BW454" i="19"/>
  <c r="BT431" i="19"/>
  <c r="BV510" i="19"/>
  <c r="BV507" i="19"/>
  <c r="BV467" i="19"/>
  <c r="BV493" i="19"/>
  <c r="BW425" i="19"/>
  <c r="BT402" i="19"/>
  <c r="BW437" i="19"/>
  <c r="BT414" i="19"/>
  <c r="BW455" i="19"/>
  <c r="BT432" i="19"/>
  <c r="BV495" i="19"/>
  <c r="BW450" i="19"/>
  <c r="BT427" i="19"/>
  <c r="BW445" i="19"/>
  <c r="BT422" i="19"/>
  <c r="BW457" i="19"/>
  <c r="BT434" i="19"/>
  <c r="BV492" i="19"/>
  <c r="BV509" i="19"/>
  <c r="BV491" i="19"/>
  <c r="BW447" i="19"/>
  <c r="BT424" i="19"/>
  <c r="BV475" i="19"/>
  <c r="BV505" i="19"/>
  <c r="BV497" i="19"/>
  <c r="BV504" i="19"/>
  <c r="BW429" i="19"/>
  <c r="BT406" i="19"/>
  <c r="BW453" i="19"/>
  <c r="BT430" i="19"/>
  <c r="BV501" i="19"/>
  <c r="BV499" i="19"/>
  <c r="BW442" i="19"/>
  <c r="BT419" i="19"/>
  <c r="BW417" i="19"/>
  <c r="BT394" i="19"/>
  <c r="BW443" i="19"/>
  <c r="BT420" i="19"/>
  <c r="BW441" i="19"/>
  <c r="BT418" i="19"/>
  <c r="BV477" i="19"/>
  <c r="BV485" i="19"/>
  <c r="BW433" i="19"/>
  <c r="BT410" i="19"/>
  <c r="BW461" i="19"/>
  <c r="BT438" i="19"/>
  <c r="BW458" i="19"/>
  <c r="BT435" i="19"/>
  <c r="BV503" i="19"/>
  <c r="BW449" i="19"/>
  <c r="BT426" i="19"/>
  <c r="BW446" i="19"/>
  <c r="BT423" i="19"/>
  <c r="BW451" i="19"/>
  <c r="BT428" i="19"/>
  <c r="BV471" i="19"/>
  <c r="BW444" i="19"/>
  <c r="BT421" i="19"/>
  <c r="BV479" i="19"/>
  <c r="BW462" i="19"/>
  <c r="BT439" i="19"/>
  <c r="BV489" i="19"/>
  <c r="BZ518" i="19"/>
  <c r="BZ536" i="19"/>
  <c r="BZ530" i="19"/>
  <c r="BZ550" i="19"/>
  <c r="BZ552" i="19"/>
  <c r="BZ526" i="19"/>
  <c r="BZ528" i="19"/>
  <c r="BZ548" i="19"/>
  <c r="BZ540" i="19"/>
  <c r="BZ538" i="19"/>
  <c r="BZ524" i="19"/>
  <c r="BZ516" i="19"/>
  <c r="BZ544" i="19"/>
  <c r="BZ546" i="19"/>
  <c r="BZ554" i="19"/>
  <c r="BZ514" i="19"/>
  <c r="BZ534" i="19"/>
  <c r="BZ512" i="19"/>
  <c r="BZ522" i="19"/>
  <c r="BZ532" i="19"/>
  <c r="BZ520" i="19"/>
  <c r="BZ542" i="19"/>
  <c r="BZ510" i="19"/>
  <c r="AL48" i="2"/>
  <c r="AN48" i="2" s="1"/>
  <c r="X48" i="2"/>
  <c r="AL47" i="2"/>
  <c r="AN47" i="2" s="1"/>
  <c r="X40" i="2"/>
  <c r="X41" i="2"/>
  <c r="AL40" i="2"/>
  <c r="AN40" i="2" s="1"/>
  <c r="X21" i="2"/>
  <c r="AL28" i="2"/>
  <c r="AN28" i="2" s="1"/>
  <c r="X18" i="2"/>
  <c r="X28" i="2"/>
  <c r="X13" i="2"/>
  <c r="AL20" i="2"/>
  <c r="AN20" i="2" s="1"/>
  <c r="AL56" i="2"/>
  <c r="AN56" i="2" s="1"/>
  <c r="AL54" i="2"/>
  <c r="AN54" i="2" s="1"/>
  <c r="AL39" i="2"/>
  <c r="AN39" i="2" s="1"/>
  <c r="AM39" i="2" s="1"/>
  <c r="AL42" i="2"/>
  <c r="AN42" i="2" s="1"/>
  <c r="AL13" i="2"/>
  <c r="AN13" i="2" s="1"/>
  <c r="X54" i="2"/>
  <c r="AL19" i="2"/>
  <c r="AN19" i="2" s="1"/>
  <c r="AL33" i="2"/>
  <c r="X33" i="2"/>
  <c r="X20" i="2"/>
  <c r="AL55" i="2"/>
  <c r="X55" i="2"/>
  <c r="AL11" i="2"/>
  <c r="X11" i="2"/>
  <c r="AL41" i="2"/>
  <c r="AL18" i="2"/>
  <c r="AL7" i="2"/>
  <c r="AL5" i="2"/>
  <c r="AL21" i="2"/>
  <c r="X42" i="2"/>
  <c r="X53" i="2"/>
  <c r="AL53" i="2"/>
  <c r="X14" i="2"/>
  <c r="AL14" i="2"/>
  <c r="AL6" i="2"/>
  <c r="AL4" i="2"/>
  <c r="X27" i="2"/>
  <c r="AL27" i="2"/>
  <c r="X56" i="2"/>
  <c r="AL26" i="2"/>
  <c r="X26" i="2"/>
  <c r="AL34" i="2"/>
  <c r="X34" i="2"/>
  <c r="X25" i="2"/>
  <c r="AL25" i="2"/>
  <c r="X39" i="2"/>
  <c r="X32" i="2"/>
  <c r="AL32" i="2"/>
  <c r="X19" i="2"/>
  <c r="X12" i="2"/>
  <c r="AL12" i="2"/>
  <c r="X35" i="2"/>
  <c r="AL35" i="2"/>
  <c r="CA449" i="19"/>
  <c r="BX459" i="19"/>
  <c r="CA451" i="19"/>
  <c r="BX445" i="19"/>
  <c r="CA429" i="19"/>
  <c r="BX454" i="19"/>
  <c r="CA453" i="19"/>
  <c r="CA461" i="19"/>
  <c r="BX450" i="19"/>
  <c r="BX442" i="19"/>
  <c r="BX444" i="19"/>
  <c r="CA450" i="19"/>
  <c r="CA445" i="19"/>
  <c r="BX453" i="19"/>
  <c r="CA433" i="19"/>
  <c r="BX461" i="19"/>
  <c r="BX443" i="19"/>
  <c r="CA442" i="19"/>
  <c r="CA457" i="19"/>
  <c r="BX441" i="19"/>
  <c r="BX457" i="19"/>
  <c r="CA443" i="19"/>
  <c r="BX451" i="19"/>
  <c r="CA454" i="19"/>
  <c r="CA455" i="19"/>
  <c r="BX429" i="19"/>
  <c r="BX437" i="19"/>
  <c r="BX449" i="19"/>
  <c r="CA417" i="19"/>
  <c r="BX458" i="19"/>
  <c r="BX455" i="19"/>
  <c r="BX446" i="19"/>
  <c r="BX417" i="19"/>
  <c r="BX462" i="19"/>
  <c r="CA459" i="19"/>
  <c r="CA425" i="19"/>
  <c r="CA447" i="19"/>
  <c r="CA437" i="19"/>
  <c r="CA446" i="19"/>
  <c r="BX433" i="19"/>
  <c r="CA444" i="19"/>
  <c r="BX425" i="19"/>
  <c r="BX447" i="19"/>
  <c r="CA441" i="19"/>
  <c r="CA458" i="19"/>
  <c r="CA462" i="19"/>
  <c r="AM47" i="2" l="1"/>
  <c r="AM48" i="2" s="1"/>
  <c r="AM49" i="2" s="1"/>
  <c r="AJ49" i="1" s="1"/>
  <c r="AK46" i="2" s="1"/>
  <c r="BY451" i="19"/>
  <c r="BY449" i="19"/>
  <c r="BY445" i="19"/>
  <c r="BY444" i="19"/>
  <c r="BY461" i="19"/>
  <c r="BY443" i="19"/>
  <c r="BY442" i="19"/>
  <c r="BY453" i="19"/>
  <c r="BY447" i="19"/>
  <c r="BY455" i="19"/>
  <c r="BY425" i="19"/>
  <c r="BY459" i="19"/>
  <c r="BY462" i="19"/>
  <c r="BY446" i="19"/>
  <c r="BY457" i="19"/>
  <c r="BY450" i="19"/>
  <c r="BY458" i="19"/>
  <c r="BY433" i="19"/>
  <c r="BY441" i="19"/>
  <c r="BY417" i="19"/>
  <c r="BY429" i="19"/>
  <c r="BY437" i="19"/>
  <c r="BY454" i="19"/>
  <c r="BV512" i="19"/>
  <c r="BW474" i="19"/>
  <c r="BT451" i="19"/>
  <c r="BW472" i="19"/>
  <c r="BT449" i="19"/>
  <c r="BV508" i="19"/>
  <c r="BV527" i="19"/>
  <c r="BV515" i="19"/>
  <c r="BW468" i="19"/>
  <c r="BT445" i="19"/>
  <c r="BV530" i="19"/>
  <c r="BV506" i="19"/>
  <c r="BW467" i="19"/>
  <c r="BT444" i="19"/>
  <c r="BV526" i="19"/>
  <c r="BW484" i="19"/>
  <c r="BT461" i="19"/>
  <c r="BV500" i="19"/>
  <c r="BW466" i="19"/>
  <c r="BT443" i="19"/>
  <c r="BW465" i="19"/>
  <c r="BT442" i="19"/>
  <c r="BW476" i="19"/>
  <c r="BT453" i="19"/>
  <c r="BV520" i="19"/>
  <c r="BW470" i="19"/>
  <c r="BT447" i="19"/>
  <c r="BW478" i="19"/>
  <c r="BT455" i="19"/>
  <c r="BW448" i="19"/>
  <c r="BT425" i="19"/>
  <c r="BV533" i="19"/>
  <c r="BW482" i="19"/>
  <c r="BT459" i="19"/>
  <c r="BW485" i="19"/>
  <c r="BT462" i="19"/>
  <c r="BV494" i="19"/>
  <c r="BW469" i="19"/>
  <c r="BT446" i="19"/>
  <c r="BV522" i="19"/>
  <c r="BV528" i="19"/>
  <c r="BV514" i="19"/>
  <c r="BW480" i="19"/>
  <c r="BT457" i="19"/>
  <c r="BW473" i="19"/>
  <c r="BT450" i="19"/>
  <c r="BV516" i="19"/>
  <c r="BV511" i="19"/>
  <c r="BV502" i="19"/>
  <c r="BW481" i="19"/>
  <c r="BT458" i="19"/>
  <c r="BW456" i="19"/>
  <c r="BT433" i="19"/>
  <c r="BW464" i="19"/>
  <c r="BT441" i="19"/>
  <c r="BW440" i="19"/>
  <c r="BT417" i="19"/>
  <c r="BV524" i="19"/>
  <c r="BW452" i="19"/>
  <c r="BT429" i="19"/>
  <c r="BV498" i="19"/>
  <c r="BV532" i="19"/>
  <c r="BV518" i="19"/>
  <c r="BW460" i="19"/>
  <c r="BT437" i="19"/>
  <c r="BV490" i="19"/>
  <c r="BW477" i="19"/>
  <c r="BT454" i="19"/>
  <c r="BV496" i="19"/>
  <c r="BZ569" i="19"/>
  <c r="BZ571" i="19"/>
  <c r="BZ573" i="19"/>
  <c r="BZ565" i="19"/>
  <c r="BZ555" i="19"/>
  <c r="BZ535" i="19"/>
  <c r="BZ537" i="19"/>
  <c r="BZ539" i="19"/>
  <c r="BZ561" i="19"/>
  <c r="BZ549" i="19"/>
  <c r="BZ559" i="19"/>
  <c r="BZ577" i="19"/>
  <c r="BZ575" i="19"/>
  <c r="BZ533" i="19"/>
  <c r="BZ543" i="19"/>
  <c r="BZ545" i="19"/>
  <c r="BZ557" i="19"/>
  <c r="BZ567" i="19"/>
  <c r="BZ547" i="19"/>
  <c r="BZ563" i="19"/>
  <c r="BZ551" i="19"/>
  <c r="BZ553" i="19"/>
  <c r="BZ541" i="19"/>
  <c r="AM40" i="2"/>
  <c r="AN12" i="2"/>
  <c r="AN26" i="2"/>
  <c r="AN32" i="2"/>
  <c r="AM32" i="2" s="1"/>
  <c r="AN25" i="2"/>
  <c r="AM25" i="2" s="1"/>
  <c r="AN4" i="2"/>
  <c r="AM4" i="2" s="1"/>
  <c r="AN7" i="2"/>
  <c r="AN21" i="2"/>
  <c r="AN35" i="2"/>
  <c r="AN5" i="2"/>
  <c r="AN33" i="2"/>
  <c r="AN6" i="2"/>
  <c r="AN53" i="2"/>
  <c r="AM53" i="2" s="1"/>
  <c r="AN18" i="2"/>
  <c r="AM18" i="2" s="1"/>
  <c r="AN11" i="2"/>
  <c r="AM11" i="2" s="1"/>
  <c r="AN34" i="2"/>
  <c r="AN27" i="2"/>
  <c r="AN14" i="2"/>
  <c r="AN41" i="2"/>
  <c r="AN55" i="2"/>
  <c r="CA472" i="19"/>
  <c r="BX474" i="19"/>
  <c r="CA456" i="19"/>
  <c r="BX472" i="19"/>
  <c r="BX467" i="19"/>
  <c r="CA452" i="19"/>
  <c r="BX484" i="19"/>
  <c r="CA466" i="19"/>
  <c r="CA477" i="19"/>
  <c r="CA482" i="19"/>
  <c r="CA468" i="19"/>
  <c r="BX465" i="19"/>
  <c r="BX456" i="19"/>
  <c r="BX476" i="19"/>
  <c r="CA476" i="19"/>
  <c r="BX478" i="19"/>
  <c r="CA480" i="19"/>
  <c r="BX477" i="19"/>
  <c r="CA464" i="19"/>
  <c r="BX448" i="19"/>
  <c r="BX440" i="19"/>
  <c r="CA467" i="19"/>
  <c r="CA484" i="19"/>
  <c r="CA481" i="19"/>
  <c r="BX482" i="19"/>
  <c r="CA474" i="19"/>
  <c r="CA440" i="19"/>
  <c r="BX464" i="19"/>
  <c r="BX452" i="19"/>
  <c r="CA485" i="19"/>
  <c r="BX468" i="19"/>
  <c r="CA460" i="19"/>
  <c r="CA470" i="19"/>
  <c r="CA448" i="19"/>
  <c r="BX480" i="19"/>
  <c r="CA473" i="19"/>
  <c r="CA465" i="19"/>
  <c r="CA478" i="19"/>
  <c r="BX460" i="19"/>
  <c r="BX485" i="19"/>
  <c r="BX466" i="19"/>
  <c r="BX470" i="19"/>
  <c r="CA469" i="19"/>
  <c r="BX473" i="19"/>
  <c r="BX481" i="19"/>
  <c r="BX469" i="19"/>
  <c r="BY473" i="19" l="1"/>
  <c r="BY482" i="19"/>
  <c r="BY465" i="19"/>
  <c r="BY467" i="19"/>
  <c r="BY468" i="19"/>
  <c r="BY460" i="19"/>
  <c r="BY440" i="19"/>
  <c r="BY456" i="19"/>
  <c r="BY478" i="19"/>
  <c r="BY484" i="19"/>
  <c r="BY472" i="19"/>
  <c r="BY477" i="19"/>
  <c r="BY452" i="19"/>
  <c r="BY480" i="19"/>
  <c r="BY485" i="19"/>
  <c r="BY476" i="19"/>
  <c r="BY466" i="19"/>
  <c r="BY464" i="19"/>
  <c r="BY481" i="19"/>
  <c r="BY469" i="19"/>
  <c r="BY448" i="19"/>
  <c r="BY470" i="19"/>
  <c r="BY474" i="19"/>
  <c r="BV519" i="19"/>
  <c r="BV521" i="19"/>
  <c r="BV525" i="19"/>
  <c r="BW496" i="19"/>
  <c r="BT473" i="19"/>
  <c r="BV551" i="19"/>
  <c r="BV517" i="19"/>
  <c r="BW505" i="19"/>
  <c r="BT482" i="19"/>
  <c r="BV543" i="19"/>
  <c r="BW488" i="19"/>
  <c r="BT465" i="19"/>
  <c r="BW490" i="19"/>
  <c r="BT467" i="19"/>
  <c r="BW491" i="19"/>
  <c r="BT468" i="19"/>
  <c r="BV535" i="19"/>
  <c r="BW483" i="19"/>
  <c r="BT460" i="19"/>
  <c r="BW463" i="19"/>
  <c r="BT440" i="19"/>
  <c r="BW479" i="19"/>
  <c r="BT456" i="19"/>
  <c r="BV534" i="19"/>
  <c r="BV545" i="19"/>
  <c r="BV556" i="19"/>
  <c r="BW501" i="19"/>
  <c r="BT478" i="19"/>
  <c r="BW507" i="19"/>
  <c r="BT484" i="19"/>
  <c r="BV529" i="19"/>
  <c r="BV538" i="19"/>
  <c r="BW495" i="19"/>
  <c r="BT472" i="19"/>
  <c r="BW500" i="19"/>
  <c r="BT477" i="19"/>
  <c r="BV541" i="19"/>
  <c r="BW475" i="19"/>
  <c r="BT452" i="19"/>
  <c r="BV539" i="19"/>
  <c r="BW503" i="19"/>
  <c r="BT480" i="19"/>
  <c r="BW508" i="19"/>
  <c r="BT485" i="19"/>
  <c r="BW499" i="19"/>
  <c r="BT476" i="19"/>
  <c r="BW489" i="19"/>
  <c r="BT466" i="19"/>
  <c r="BV549" i="19"/>
  <c r="BV553" i="19"/>
  <c r="BV550" i="19"/>
  <c r="BV513" i="19"/>
  <c r="BV555" i="19"/>
  <c r="BV547" i="19"/>
  <c r="BW487" i="19"/>
  <c r="BT464" i="19"/>
  <c r="BW504" i="19"/>
  <c r="BT481" i="19"/>
  <c r="BV537" i="19"/>
  <c r="BW492" i="19"/>
  <c r="BT469" i="19"/>
  <c r="BW471" i="19"/>
  <c r="BT448" i="19"/>
  <c r="BW493" i="19"/>
  <c r="BT470" i="19"/>
  <c r="BV523" i="19"/>
  <c r="BV531" i="19"/>
  <c r="BW497" i="19"/>
  <c r="BT474" i="19"/>
  <c r="BZ576" i="19"/>
  <c r="BZ564" i="19"/>
  <c r="BZ574" i="19"/>
  <c r="BZ570" i="19"/>
  <c r="BZ566" i="19"/>
  <c r="BZ598" i="19"/>
  <c r="BZ582" i="19"/>
  <c r="BZ584" i="19"/>
  <c r="BZ578" i="19"/>
  <c r="BZ596" i="19"/>
  <c r="BZ592" i="19"/>
  <c r="BZ556" i="19"/>
  <c r="BZ558" i="19"/>
  <c r="BZ586" i="19"/>
  <c r="BZ590" i="19"/>
  <c r="BZ568" i="19"/>
  <c r="BZ600" i="19"/>
  <c r="BZ572" i="19"/>
  <c r="BZ562" i="19"/>
  <c r="BZ588" i="19"/>
  <c r="BZ594" i="19"/>
  <c r="BZ560" i="19"/>
  <c r="BZ580" i="19"/>
  <c r="AJ52" i="1"/>
  <c r="AJ50" i="1"/>
  <c r="AK47" i="2" s="1"/>
  <c r="AJ51" i="1"/>
  <c r="AM33" i="2"/>
  <c r="AM41" i="2"/>
  <c r="AM42" i="2" s="1"/>
  <c r="AM5" i="2"/>
  <c r="AM6" i="2" s="1"/>
  <c r="AM7" i="2" s="1"/>
  <c r="AJ16" i="1" s="1"/>
  <c r="AM26" i="2"/>
  <c r="AM27" i="2" s="1"/>
  <c r="AM19" i="2"/>
  <c r="AM20" i="2" s="1"/>
  <c r="AM21" i="2" s="1"/>
  <c r="AM54" i="2"/>
  <c r="AM55" i="2" s="1"/>
  <c r="AM56" i="2" s="1"/>
  <c r="AJ57" i="1" s="1"/>
  <c r="AM12" i="2"/>
  <c r="AM13" i="2" s="1"/>
  <c r="AM14" i="2" s="1"/>
  <c r="BX488" i="19"/>
  <c r="BX505" i="19"/>
  <c r="BX507" i="19"/>
  <c r="BX496" i="19"/>
  <c r="CA479" i="19"/>
  <c r="CA492" i="19"/>
  <c r="BX490" i="19"/>
  <c r="BX508" i="19"/>
  <c r="BX492" i="19"/>
  <c r="CA489" i="19"/>
  <c r="CA495" i="19"/>
  <c r="BX503" i="19"/>
  <c r="BX491" i="19"/>
  <c r="CA497" i="19"/>
  <c r="CA496" i="19"/>
  <c r="BX497" i="19"/>
  <c r="BX500" i="19"/>
  <c r="CA491" i="19"/>
  <c r="CA505" i="19"/>
  <c r="BX504" i="19"/>
  <c r="CA463" i="19"/>
  <c r="BX483" i="19"/>
  <c r="BX487" i="19"/>
  <c r="CA503" i="19"/>
  <c r="BX495" i="19"/>
  <c r="CA475" i="19"/>
  <c r="BX475" i="19"/>
  <c r="BX463" i="19"/>
  <c r="BX479" i="19"/>
  <c r="BX489" i="19"/>
  <c r="CA508" i="19"/>
  <c r="BX471" i="19"/>
  <c r="CA490" i="19"/>
  <c r="BX501" i="19"/>
  <c r="CA501" i="19"/>
  <c r="CA504" i="19"/>
  <c r="BX493" i="19"/>
  <c r="CA499" i="19"/>
  <c r="CA493" i="19"/>
  <c r="BX499" i="19"/>
  <c r="CA507" i="19"/>
  <c r="CA471" i="19"/>
  <c r="CA483" i="19"/>
  <c r="CA500" i="19"/>
  <c r="CA487" i="19"/>
  <c r="CA488" i="19"/>
  <c r="BY487" i="19" l="1"/>
  <c r="BY489" i="19"/>
  <c r="BY508" i="19"/>
  <c r="BY500" i="19"/>
  <c r="BY463" i="19"/>
  <c r="BY504" i="19"/>
  <c r="BY499" i="19"/>
  <c r="BY503" i="19"/>
  <c r="BY479" i="19"/>
  <c r="BY483" i="19"/>
  <c r="BY497" i="19"/>
  <c r="BY493" i="19"/>
  <c r="BY492" i="19"/>
  <c r="BY495" i="19"/>
  <c r="BY507" i="19"/>
  <c r="BY491" i="19"/>
  <c r="BY488" i="19"/>
  <c r="BY471" i="19"/>
  <c r="BY475" i="19"/>
  <c r="BY501" i="19"/>
  <c r="BY490" i="19"/>
  <c r="BY505" i="19"/>
  <c r="BY496" i="19"/>
  <c r="BV554" i="19"/>
  <c r="BV560" i="19"/>
  <c r="BW510" i="19"/>
  <c r="BT487" i="19"/>
  <c r="BV573" i="19"/>
  <c r="BW512" i="19"/>
  <c r="BT489" i="19"/>
  <c r="BW531" i="19"/>
  <c r="BT508" i="19"/>
  <c r="BW523" i="19"/>
  <c r="BT500" i="19"/>
  <c r="BV561" i="19"/>
  <c r="BV557" i="19"/>
  <c r="BW486" i="19"/>
  <c r="BT463" i="19"/>
  <c r="BW527" i="19"/>
  <c r="BT504" i="19"/>
  <c r="BV578" i="19"/>
  <c r="BV572" i="19"/>
  <c r="BW522" i="19"/>
  <c r="BT499" i="19"/>
  <c r="BW526" i="19"/>
  <c r="BT503" i="19"/>
  <c r="BV564" i="19"/>
  <c r="BV579" i="19"/>
  <c r="BW502" i="19"/>
  <c r="BT479" i="19"/>
  <c r="BW506" i="19"/>
  <c r="BT483" i="19"/>
  <c r="BW520" i="19"/>
  <c r="BT497" i="19"/>
  <c r="BW516" i="19"/>
  <c r="BT493" i="19"/>
  <c r="BW515" i="19"/>
  <c r="BT492" i="19"/>
  <c r="BV536" i="19"/>
  <c r="BV562" i="19"/>
  <c r="BW518" i="19"/>
  <c r="BT495" i="19"/>
  <c r="BW530" i="19"/>
  <c r="BT507" i="19"/>
  <c r="BV568" i="19"/>
  <c r="BW514" i="19"/>
  <c r="BT491" i="19"/>
  <c r="BW511" i="19"/>
  <c r="BT488" i="19"/>
  <c r="BV540" i="19"/>
  <c r="BV548" i="19"/>
  <c r="BV566" i="19"/>
  <c r="BV574" i="19"/>
  <c r="BV544" i="19"/>
  <c r="BV546" i="19"/>
  <c r="BW494" i="19"/>
  <c r="BT471" i="19"/>
  <c r="BV570" i="19"/>
  <c r="BV576" i="19"/>
  <c r="BW498" i="19"/>
  <c r="BT475" i="19"/>
  <c r="BV552" i="19"/>
  <c r="BW524" i="19"/>
  <c r="BT501" i="19"/>
  <c r="BV558" i="19"/>
  <c r="BW513" i="19"/>
  <c r="BT490" i="19"/>
  <c r="BV542" i="19"/>
  <c r="BW528" i="19"/>
  <c r="BT505" i="19"/>
  <c r="BW519" i="19"/>
  <c r="BT496" i="19"/>
  <c r="BZ613" i="19"/>
  <c r="BZ601" i="19"/>
  <c r="BZ605" i="19"/>
  <c r="BZ597" i="19"/>
  <c r="BZ583" i="19"/>
  <c r="BZ611" i="19"/>
  <c r="BZ595" i="19"/>
  <c r="BZ591" i="19"/>
  <c r="BZ579" i="19"/>
  <c r="BZ619" i="19"/>
  <c r="BZ607" i="19"/>
  <c r="BZ621" i="19"/>
  <c r="BZ587" i="19"/>
  <c r="BZ609" i="19"/>
  <c r="BZ593" i="19"/>
  <c r="BZ603" i="19"/>
  <c r="BZ617" i="19"/>
  <c r="BZ585" i="19"/>
  <c r="BZ623" i="19"/>
  <c r="BZ581" i="19"/>
  <c r="BZ615" i="19"/>
  <c r="BZ589" i="19"/>
  <c r="BZ599" i="19"/>
  <c r="AK48" i="2"/>
  <c r="AJ28" i="1"/>
  <c r="AM34" i="2"/>
  <c r="AM35" i="2" s="1"/>
  <c r="AJ37" i="1" s="1"/>
  <c r="AK32" i="2" s="1"/>
  <c r="AJ26" i="1"/>
  <c r="AK49" i="2"/>
  <c r="AJ25" i="1"/>
  <c r="AK18" i="2" s="1"/>
  <c r="AJ27" i="1"/>
  <c r="AM28" i="2"/>
  <c r="AJ32" i="1" s="1"/>
  <c r="AJ55" i="1"/>
  <c r="AK53" i="2" s="1"/>
  <c r="AJ13" i="1"/>
  <c r="AK4" i="2" s="1"/>
  <c r="AJ19" i="1"/>
  <c r="AJ21" i="1"/>
  <c r="AJ45" i="1"/>
  <c r="AJ44" i="1"/>
  <c r="AJ14" i="1"/>
  <c r="AJ20" i="1"/>
  <c r="AJ56" i="1"/>
  <c r="AJ22" i="1"/>
  <c r="AJ46" i="1"/>
  <c r="AJ15" i="1"/>
  <c r="AJ58" i="1"/>
  <c r="AJ43" i="1"/>
  <c r="BX523" i="19"/>
  <c r="CA527" i="19"/>
  <c r="CA522" i="19"/>
  <c r="BX515" i="19"/>
  <c r="CA494" i="19"/>
  <c r="CA523" i="19"/>
  <c r="BX518" i="19"/>
  <c r="CA502" i="19"/>
  <c r="BX519" i="19"/>
  <c r="BX514" i="19"/>
  <c r="CA531" i="19"/>
  <c r="BX520" i="19"/>
  <c r="BX511" i="19"/>
  <c r="CA519" i="19"/>
  <c r="CA506" i="19"/>
  <c r="BX528" i="19"/>
  <c r="BX494" i="19"/>
  <c r="CA520" i="19"/>
  <c r="CA514" i="19"/>
  <c r="BX510" i="19"/>
  <c r="CA528" i="19"/>
  <c r="BX530" i="19"/>
  <c r="BX526" i="19"/>
  <c r="CA516" i="19"/>
  <c r="BX498" i="19"/>
  <c r="CA526" i="19"/>
  <c r="CA518" i="19"/>
  <c r="BX506" i="19"/>
  <c r="BX527" i="19"/>
  <c r="CA498" i="19"/>
  <c r="BX522" i="19"/>
  <c r="BX524" i="19"/>
  <c r="BX502" i="19"/>
  <c r="BX513" i="19"/>
  <c r="BX531" i="19"/>
  <c r="BX516" i="19"/>
  <c r="CA510" i="19"/>
  <c r="CA486" i="19"/>
  <c r="CA511" i="19"/>
  <c r="CA512" i="19"/>
  <c r="CA513" i="19"/>
  <c r="CA524" i="19"/>
  <c r="BX486" i="19"/>
  <c r="CA530" i="19"/>
  <c r="BX512" i="19"/>
  <c r="CA515" i="19"/>
  <c r="BY530" i="19" l="1"/>
  <c r="BY516" i="19"/>
  <c r="BY506" i="19"/>
  <c r="BY522" i="19"/>
  <c r="BY527" i="19"/>
  <c r="BY531" i="19"/>
  <c r="BY498" i="19"/>
  <c r="BY494" i="19"/>
  <c r="BY519" i="19"/>
  <c r="BY524" i="19"/>
  <c r="BY514" i="19"/>
  <c r="BY510" i="19"/>
  <c r="BY513" i="19"/>
  <c r="BY528" i="19"/>
  <c r="BY518" i="19"/>
  <c r="BY515" i="19"/>
  <c r="BY520" i="19"/>
  <c r="BY502" i="19"/>
  <c r="BY526" i="19"/>
  <c r="BY486" i="19"/>
  <c r="BY523" i="19"/>
  <c r="BY512" i="19"/>
  <c r="BY511" i="19"/>
  <c r="BV571" i="19"/>
  <c r="BW553" i="19"/>
  <c r="BT530" i="19"/>
  <c r="BV559" i="19"/>
  <c r="BW539" i="19"/>
  <c r="BT516" i="19"/>
  <c r="BW529" i="19"/>
  <c r="BT506" i="19"/>
  <c r="BV587" i="19"/>
  <c r="BW545" i="19"/>
  <c r="BT522" i="19"/>
  <c r="BW550" i="19"/>
  <c r="BT527" i="19"/>
  <c r="BV584" i="19"/>
  <c r="BW554" i="19"/>
  <c r="BT531" i="19"/>
  <c r="BV565" i="19"/>
  <c r="BW521" i="19"/>
  <c r="BT498" i="19"/>
  <c r="BW517" i="19"/>
  <c r="BT494" i="19"/>
  <c r="BW542" i="19"/>
  <c r="BT519" i="19"/>
  <c r="BW547" i="19"/>
  <c r="BT524" i="19"/>
  <c r="BV599" i="19"/>
  <c r="BV569" i="19"/>
  <c r="BV567" i="19"/>
  <c r="BV563" i="19"/>
  <c r="BW537" i="19"/>
  <c r="BT514" i="19"/>
  <c r="BV595" i="19"/>
  <c r="BW533" i="19"/>
  <c r="BT510" i="19"/>
  <c r="BW536" i="19"/>
  <c r="BT513" i="19"/>
  <c r="BV575" i="19"/>
  <c r="BV593" i="19"/>
  <c r="BW551" i="19"/>
  <c r="BT528" i="19"/>
  <c r="BV581" i="19"/>
  <c r="BV597" i="19"/>
  <c r="BV591" i="19"/>
  <c r="BW541" i="19"/>
  <c r="BT518" i="19"/>
  <c r="BW538" i="19"/>
  <c r="BT515" i="19"/>
  <c r="BW543" i="19"/>
  <c r="BT520" i="19"/>
  <c r="BW525" i="19"/>
  <c r="BT502" i="19"/>
  <c r="BW549" i="19"/>
  <c r="BT526" i="19"/>
  <c r="BV601" i="19"/>
  <c r="BW509" i="19"/>
  <c r="BT486" i="19"/>
  <c r="BW546" i="19"/>
  <c r="BT523" i="19"/>
  <c r="BW535" i="19"/>
  <c r="BT512" i="19"/>
  <c r="BV583" i="19"/>
  <c r="BV589" i="19"/>
  <c r="BW534" i="19"/>
  <c r="BT511" i="19"/>
  <c r="BV585" i="19"/>
  <c r="BV602" i="19"/>
  <c r="BV580" i="19"/>
  <c r="BV596" i="19"/>
  <c r="BV577" i="19"/>
  <c r="BZ622" i="19"/>
  <c r="BZ638" i="19"/>
  <c r="BZ646" i="19"/>
  <c r="BZ640" i="19"/>
  <c r="BZ616" i="19"/>
  <c r="BZ610" i="19"/>
  <c r="BZ630" i="19"/>
  <c r="BZ602" i="19"/>
  <c r="BZ618" i="19"/>
  <c r="BZ606" i="19"/>
  <c r="BZ628" i="19"/>
  <c r="BZ636" i="19"/>
  <c r="BZ604" i="19"/>
  <c r="BZ612" i="19"/>
  <c r="BZ608" i="19"/>
  <c r="BZ626" i="19"/>
  <c r="BZ632" i="19"/>
  <c r="BZ644" i="19"/>
  <c r="BZ642" i="19"/>
  <c r="BZ614" i="19"/>
  <c r="BZ634" i="19"/>
  <c r="BZ620" i="19"/>
  <c r="BZ624" i="19"/>
  <c r="AJ49" i="2"/>
  <c r="AK19" i="2"/>
  <c r="AK55" i="2"/>
  <c r="AK5" i="2"/>
  <c r="AK21" i="2"/>
  <c r="AJ40" i="1"/>
  <c r="AK20" i="2"/>
  <c r="AJ39" i="1"/>
  <c r="AJ48" i="2"/>
  <c r="AJ46" i="2"/>
  <c r="AJ38" i="1"/>
  <c r="AK7" i="2"/>
  <c r="AJ47" i="2"/>
  <c r="AJ33" i="1"/>
  <c r="AJ31" i="1"/>
  <c r="AJ34" i="1"/>
  <c r="AK40" i="2"/>
  <c r="AK42" i="2"/>
  <c r="AK39" i="2"/>
  <c r="AK41" i="2"/>
  <c r="AK6" i="2"/>
  <c r="AK56" i="2"/>
  <c r="AK54" i="2"/>
  <c r="AK13" i="2"/>
  <c r="AK12" i="2"/>
  <c r="AK11" i="2"/>
  <c r="AK14" i="2"/>
  <c r="CA545" i="19"/>
  <c r="CA525" i="19"/>
  <c r="BX541" i="19"/>
  <c r="BX533" i="19"/>
  <c r="BX538" i="19"/>
  <c r="BX545" i="19"/>
  <c r="BX509" i="19"/>
  <c r="BX521" i="19"/>
  <c r="CA539" i="19"/>
  <c r="CA538" i="19"/>
  <c r="BX546" i="19"/>
  <c r="BX553" i="19"/>
  <c r="CA554" i="19"/>
  <c r="CA550" i="19"/>
  <c r="CA547" i="19"/>
  <c r="BX529" i="19"/>
  <c r="BX534" i="19"/>
  <c r="BX535" i="19"/>
  <c r="BX525" i="19"/>
  <c r="CA537" i="19"/>
  <c r="BX547" i="19"/>
  <c r="CA535" i="19"/>
  <c r="CA542" i="19"/>
  <c r="BX543" i="19"/>
  <c r="BX539" i="19"/>
  <c r="BX550" i="19"/>
  <c r="CA509" i="19"/>
  <c r="BX517" i="19"/>
  <c r="CA551" i="19"/>
  <c r="CA521" i="19"/>
  <c r="CA549" i="19"/>
  <c r="BX542" i="19"/>
  <c r="BX536" i="19"/>
  <c r="CA546" i="19"/>
  <c r="CA533" i="19"/>
  <c r="CA553" i="19"/>
  <c r="CA543" i="19"/>
  <c r="CA534" i="19"/>
  <c r="CA529" i="19"/>
  <c r="CA517" i="19"/>
  <c r="CA536" i="19"/>
  <c r="BX554" i="19"/>
  <c r="BX549" i="19"/>
  <c r="CA541" i="19"/>
  <c r="BX551" i="19"/>
  <c r="BX537" i="19"/>
  <c r="O48" i="2" l="1"/>
  <c r="O47" i="2"/>
  <c r="O46" i="2"/>
  <c r="O49" i="2"/>
  <c r="BY546" i="19"/>
  <c r="BY533" i="19"/>
  <c r="BY539" i="19"/>
  <c r="BY549" i="19"/>
  <c r="BY543" i="19"/>
  <c r="BY541" i="19"/>
  <c r="BY547" i="19"/>
  <c r="BY517" i="19"/>
  <c r="BY550" i="19"/>
  <c r="BY534" i="19"/>
  <c r="BY535" i="19"/>
  <c r="BY509" i="19"/>
  <c r="BY551" i="19"/>
  <c r="BY536" i="19"/>
  <c r="BY554" i="19"/>
  <c r="BY529" i="19"/>
  <c r="BY525" i="19"/>
  <c r="BY538" i="19"/>
  <c r="BY537" i="19"/>
  <c r="BY542" i="19"/>
  <c r="BY521" i="19"/>
  <c r="BY545" i="19"/>
  <c r="BY553" i="19"/>
  <c r="BV600" i="19"/>
  <c r="BV608" i="19"/>
  <c r="BV606" i="19"/>
  <c r="BW569" i="19"/>
  <c r="BT546" i="19"/>
  <c r="BV604" i="19"/>
  <c r="BV598" i="19"/>
  <c r="BW556" i="19"/>
  <c r="BT533" i="19"/>
  <c r="BV586" i="19"/>
  <c r="BV588" i="19"/>
  <c r="BV610" i="19"/>
  <c r="BW562" i="19"/>
  <c r="BT539" i="19"/>
  <c r="BV594" i="19"/>
  <c r="BV619" i="19"/>
  <c r="BW572" i="19"/>
  <c r="BT549" i="19"/>
  <c r="BW566" i="19"/>
  <c r="BT543" i="19"/>
  <c r="BW564" i="19"/>
  <c r="BT541" i="19"/>
  <c r="BV618" i="19"/>
  <c r="BV590" i="19"/>
  <c r="BW570" i="19"/>
  <c r="BT547" i="19"/>
  <c r="BW540" i="19"/>
  <c r="BT517" i="19"/>
  <c r="BW573" i="19"/>
  <c r="BT550" i="19"/>
  <c r="BV582" i="19"/>
  <c r="BV603" i="19"/>
  <c r="BW557" i="19"/>
  <c r="BT534" i="19"/>
  <c r="BW558" i="19"/>
  <c r="BT535" i="19"/>
  <c r="BW532" i="19"/>
  <c r="BT509" i="19"/>
  <c r="BV614" i="19"/>
  <c r="BW574" i="19"/>
  <c r="BT551" i="19"/>
  <c r="BW559" i="19"/>
  <c r="BT536" i="19"/>
  <c r="BV592" i="19"/>
  <c r="BW577" i="19"/>
  <c r="BT554" i="19"/>
  <c r="BW552" i="19"/>
  <c r="BT529" i="19"/>
  <c r="BV625" i="19"/>
  <c r="BV612" i="19"/>
  <c r="BV624" i="19"/>
  <c r="BW548" i="19"/>
  <c r="BT525" i="19"/>
  <c r="BW561" i="19"/>
  <c r="BT538" i="19"/>
  <c r="BV620" i="19"/>
  <c r="BV616" i="19"/>
  <c r="BW560" i="19"/>
  <c r="BT537" i="19"/>
  <c r="BV622" i="19"/>
  <c r="BW565" i="19"/>
  <c r="BT542" i="19"/>
  <c r="BW544" i="19"/>
  <c r="BT521" i="19"/>
  <c r="BV607" i="19"/>
  <c r="BW568" i="19"/>
  <c r="BT545" i="19"/>
  <c r="BW576" i="19"/>
  <c r="BT553" i="19"/>
  <c r="BZ643" i="19"/>
  <c r="BZ637" i="19"/>
  <c r="BZ667" i="19"/>
  <c r="BZ649" i="19"/>
  <c r="BZ635" i="19"/>
  <c r="BZ659" i="19"/>
  <c r="BZ629" i="19"/>
  <c r="BZ625" i="19"/>
  <c r="BZ633" i="19"/>
  <c r="BZ663" i="19"/>
  <c r="BZ661" i="19"/>
  <c r="BZ647" i="19"/>
  <c r="BZ657" i="19"/>
  <c r="BZ665" i="19"/>
  <c r="BZ655" i="19"/>
  <c r="BZ631" i="19"/>
  <c r="BZ627" i="19"/>
  <c r="BZ651" i="19"/>
  <c r="BZ641" i="19"/>
  <c r="BZ653" i="19"/>
  <c r="BZ639" i="19"/>
  <c r="BZ669" i="19"/>
  <c r="BZ645" i="19"/>
  <c r="AJ5" i="2"/>
  <c r="X5" i="2" s="1"/>
  <c r="AJ19" i="2"/>
  <c r="AJ20" i="2"/>
  <c r="AJ18" i="2"/>
  <c r="AJ21" i="2"/>
  <c r="AJ55" i="2"/>
  <c r="AJ6" i="2"/>
  <c r="X6" i="2" s="1"/>
  <c r="AK33" i="2"/>
  <c r="AK35" i="2"/>
  <c r="AK34" i="2"/>
  <c r="AJ7" i="2"/>
  <c r="X7" i="2" s="1"/>
  <c r="AJ53" i="2"/>
  <c r="AJ54" i="2"/>
  <c r="AJ4" i="2"/>
  <c r="AJ56" i="2"/>
  <c r="AK26" i="2"/>
  <c r="AK27" i="2"/>
  <c r="AK25" i="2"/>
  <c r="AK28" i="2"/>
  <c r="AJ14" i="2"/>
  <c r="AJ13" i="2"/>
  <c r="AJ12" i="2"/>
  <c r="AJ11" i="2"/>
  <c r="AJ42" i="2"/>
  <c r="AJ40" i="2"/>
  <c r="AJ41" i="2"/>
  <c r="AJ39" i="2"/>
  <c r="BX566" i="19"/>
  <c r="CA548" i="19"/>
  <c r="CA564" i="19"/>
  <c r="CA570" i="19"/>
  <c r="CA573" i="19"/>
  <c r="BX570" i="19"/>
  <c r="CA532" i="19"/>
  <c r="BX562" i="19"/>
  <c r="BX564" i="19"/>
  <c r="CA561" i="19"/>
  <c r="CA565" i="19"/>
  <c r="BX559" i="19"/>
  <c r="CA568" i="19"/>
  <c r="BX576" i="19"/>
  <c r="CA562" i="19"/>
  <c r="BX532" i="19"/>
  <c r="BX560" i="19"/>
  <c r="CA559" i="19"/>
  <c r="CA569" i="19"/>
  <c r="BX561" i="19"/>
  <c r="BX573" i="19"/>
  <c r="CA574" i="19"/>
  <c r="BX540" i="19"/>
  <c r="CA556" i="19"/>
  <c r="BX557" i="19"/>
  <c r="BX558" i="19"/>
  <c r="CA552" i="19"/>
  <c r="CA572" i="19"/>
  <c r="BX565" i="19"/>
  <c r="BX556" i="19"/>
  <c r="BX548" i="19"/>
  <c r="CA540" i="19"/>
  <c r="CA560" i="19"/>
  <c r="BX574" i="19"/>
  <c r="CA557" i="19"/>
  <c r="CA544" i="19"/>
  <c r="CA558" i="19"/>
  <c r="CA566" i="19"/>
  <c r="CA576" i="19"/>
  <c r="BX569" i="19"/>
  <c r="BX552" i="19"/>
  <c r="BX577" i="19"/>
  <c r="BX568" i="19"/>
  <c r="CA577" i="19"/>
  <c r="BX572" i="19"/>
  <c r="BX544" i="19"/>
  <c r="X4" i="2" l="1"/>
  <c r="O6" i="2"/>
  <c r="O5" i="2"/>
  <c r="O4" i="2"/>
  <c r="O7" i="2"/>
  <c r="O56" i="2"/>
  <c r="O55" i="2"/>
  <c r="O54" i="2"/>
  <c r="O53" i="2"/>
  <c r="O20" i="2"/>
  <c r="O19" i="2"/>
  <c r="O18" i="2"/>
  <c r="O21" i="2"/>
  <c r="O41" i="2"/>
  <c r="O40" i="2"/>
  <c r="O39" i="2"/>
  <c r="O42" i="2"/>
  <c r="O14" i="2"/>
  <c r="O13" i="2"/>
  <c r="O12" i="2"/>
  <c r="O11" i="2"/>
  <c r="BY565" i="19"/>
  <c r="BY577" i="19"/>
  <c r="BY532" i="19"/>
  <c r="BY557" i="19"/>
  <c r="BY573" i="19"/>
  <c r="BY570" i="19"/>
  <c r="BY564" i="19"/>
  <c r="BY572" i="19"/>
  <c r="BY568" i="19"/>
  <c r="BY560" i="19"/>
  <c r="BY561" i="19"/>
  <c r="BY559" i="19"/>
  <c r="BY562" i="19"/>
  <c r="BY576" i="19"/>
  <c r="BY548" i="19"/>
  <c r="BY574" i="19"/>
  <c r="BY544" i="19"/>
  <c r="BY552" i="19"/>
  <c r="BY558" i="19"/>
  <c r="BY540" i="19"/>
  <c r="BY566" i="19"/>
  <c r="BY556" i="19"/>
  <c r="BY569" i="19"/>
  <c r="BV630" i="19"/>
  <c r="BW588" i="19"/>
  <c r="BT565" i="19"/>
  <c r="BV639" i="19"/>
  <c r="BV648" i="19"/>
  <c r="BW600" i="19"/>
  <c r="BT577" i="19"/>
  <c r="BW555" i="19"/>
  <c r="BT532" i="19"/>
  <c r="BW580" i="19"/>
  <c r="BT557" i="19"/>
  <c r="BW596" i="19"/>
  <c r="BT573" i="19"/>
  <c r="BW593" i="19"/>
  <c r="BT570" i="19"/>
  <c r="BW587" i="19"/>
  <c r="BT564" i="19"/>
  <c r="BW595" i="19"/>
  <c r="BT572" i="19"/>
  <c r="BW591" i="19"/>
  <c r="BT568" i="19"/>
  <c r="BW583" i="19"/>
  <c r="BT560" i="19"/>
  <c r="BW584" i="19"/>
  <c r="BT561" i="19"/>
  <c r="BV635" i="19"/>
  <c r="BW582" i="19"/>
  <c r="BT559" i="19"/>
  <c r="BW585" i="19"/>
  <c r="BT562" i="19"/>
  <c r="BV623" i="19"/>
  <c r="BW599" i="19"/>
  <c r="BT576" i="19"/>
  <c r="BV645" i="19"/>
  <c r="BV643" i="19"/>
  <c r="BW571" i="19"/>
  <c r="BT548" i="19"/>
  <c r="BV615" i="19"/>
  <c r="BW597" i="19"/>
  <c r="BT574" i="19"/>
  <c r="BV626" i="19"/>
  <c r="BV613" i="19"/>
  <c r="BV642" i="19"/>
  <c r="BW567" i="19"/>
  <c r="BT544" i="19"/>
  <c r="BV647" i="19"/>
  <c r="BW575" i="19"/>
  <c r="BT552" i="19"/>
  <c r="BV637" i="19"/>
  <c r="BW581" i="19"/>
  <c r="BT558" i="19"/>
  <c r="BV605" i="19"/>
  <c r="BW563" i="19"/>
  <c r="BT540" i="19"/>
  <c r="BV641" i="19"/>
  <c r="BW589" i="19"/>
  <c r="BT566" i="19"/>
  <c r="BV633" i="19"/>
  <c r="BW579" i="19"/>
  <c r="BT556" i="19"/>
  <c r="BW592" i="19"/>
  <c r="BT569" i="19"/>
  <c r="BV617" i="19"/>
  <c r="BV611" i="19"/>
  <c r="BV621" i="19"/>
  <c r="BV629" i="19"/>
  <c r="BV609" i="19"/>
  <c r="BV627" i="19"/>
  <c r="BV631" i="19"/>
  <c r="BZ668" i="19"/>
  <c r="BZ662" i="19"/>
  <c r="BZ664" i="19"/>
  <c r="BZ650" i="19"/>
  <c r="BZ678" i="19"/>
  <c r="BZ680" i="19"/>
  <c r="BZ684" i="19"/>
  <c r="BZ656" i="19"/>
  <c r="BZ652" i="19"/>
  <c r="BZ658" i="19"/>
  <c r="BZ666" i="19"/>
  <c r="BZ692" i="19"/>
  <c r="BZ688" i="19"/>
  <c r="BZ674" i="19"/>
  <c r="BZ676" i="19"/>
  <c r="BZ654" i="19"/>
  <c r="BZ670" i="19"/>
  <c r="BZ686" i="19"/>
  <c r="BZ648" i="19"/>
  <c r="BZ682" i="19"/>
  <c r="BZ672" i="19"/>
  <c r="BZ660" i="19"/>
  <c r="BZ690" i="19"/>
  <c r="AJ35" i="2"/>
  <c r="T52" i="1"/>
  <c r="T49" i="1"/>
  <c r="T51" i="1"/>
  <c r="AJ34" i="2"/>
  <c r="AJ32" i="2"/>
  <c r="AJ33" i="2"/>
  <c r="T50" i="1"/>
  <c r="AJ25" i="2"/>
  <c r="AJ27" i="2"/>
  <c r="AJ26" i="2"/>
  <c r="AJ28" i="2"/>
  <c r="BX575" i="19"/>
  <c r="CA591" i="19"/>
  <c r="BX581" i="19"/>
  <c r="BX597" i="19"/>
  <c r="BX588" i="19"/>
  <c r="CA563" i="19"/>
  <c r="BX593" i="19"/>
  <c r="BX589" i="19"/>
  <c r="CA597" i="19"/>
  <c r="CA575" i="19"/>
  <c r="CA595" i="19"/>
  <c r="CA593" i="19"/>
  <c r="BX571" i="19"/>
  <c r="BX580" i="19"/>
  <c r="BX599" i="19"/>
  <c r="CA567" i="19"/>
  <c r="CA580" i="19"/>
  <c r="CA596" i="19"/>
  <c r="CA584" i="19"/>
  <c r="CA587" i="19"/>
  <c r="BX585" i="19"/>
  <c r="BX567" i="19"/>
  <c r="CA579" i="19"/>
  <c r="BX595" i="19"/>
  <c r="BX555" i="19"/>
  <c r="BX563" i="19"/>
  <c r="CA582" i="19"/>
  <c r="BX587" i="19"/>
  <c r="BX582" i="19"/>
  <c r="BX584" i="19"/>
  <c r="CA555" i="19"/>
  <c r="CA589" i="19"/>
  <c r="CA599" i="19"/>
  <c r="BX600" i="19"/>
  <c r="CA585" i="19"/>
  <c r="BX596" i="19"/>
  <c r="CA592" i="19"/>
  <c r="CA571" i="19"/>
  <c r="BX583" i="19"/>
  <c r="BX592" i="19"/>
  <c r="CA583" i="19"/>
  <c r="BX591" i="19"/>
  <c r="CA581" i="19"/>
  <c r="CA600" i="19"/>
  <c r="CA588" i="19"/>
  <c r="BX579" i="19"/>
  <c r="O34" i="2" l="1"/>
  <c r="O33" i="2"/>
  <c r="O32" i="2"/>
  <c r="O35" i="2"/>
  <c r="O27" i="2"/>
  <c r="O26" i="2"/>
  <c r="O25" i="2"/>
  <c r="O28" i="2"/>
  <c r="AA52" i="1"/>
  <c r="AA51" i="1"/>
  <c r="T28" i="1"/>
  <c r="X28" i="1" s="1"/>
  <c r="T27" i="1"/>
  <c r="AC27" i="1" s="1"/>
  <c r="T55" i="1"/>
  <c r="X55" i="1" s="1"/>
  <c r="T25" i="1"/>
  <c r="AC25" i="1" s="1"/>
  <c r="T26" i="1"/>
  <c r="X26" i="1" s="1"/>
  <c r="BY581" i="19"/>
  <c r="BY584" i="19"/>
  <c r="BY591" i="19"/>
  <c r="BY587" i="19"/>
  <c r="BY596" i="19"/>
  <c r="BY555" i="19"/>
  <c r="BY589" i="19"/>
  <c r="BY567" i="19"/>
  <c r="BY571" i="19"/>
  <c r="BY599" i="19"/>
  <c r="BY579" i="19"/>
  <c r="BY575" i="19"/>
  <c r="BY597" i="19"/>
  <c r="BY592" i="19"/>
  <c r="BY563" i="19"/>
  <c r="BY585" i="19"/>
  <c r="BY582" i="19"/>
  <c r="BY583" i="19"/>
  <c r="BY595" i="19"/>
  <c r="BY593" i="19"/>
  <c r="BY580" i="19"/>
  <c r="BY600" i="19"/>
  <c r="BY588" i="19"/>
  <c r="BV646" i="19"/>
  <c r="BV671" i="19"/>
  <c r="BV653" i="19"/>
  <c r="BV652" i="19"/>
  <c r="BV656" i="19"/>
  <c r="BW604" i="19"/>
  <c r="BT581" i="19"/>
  <c r="BV670" i="19"/>
  <c r="BV636" i="19"/>
  <c r="BV638" i="19"/>
  <c r="BV668" i="19"/>
  <c r="BW607" i="19"/>
  <c r="BT584" i="19"/>
  <c r="BW614" i="19"/>
  <c r="BT591" i="19"/>
  <c r="BW610" i="19"/>
  <c r="BT587" i="19"/>
  <c r="BW619" i="19"/>
  <c r="BT596" i="19"/>
  <c r="BW578" i="19"/>
  <c r="BT555" i="19"/>
  <c r="BV662" i="19"/>
  <c r="BV650" i="19"/>
  <c r="BV634" i="19"/>
  <c r="BW612" i="19"/>
  <c r="BT589" i="19"/>
  <c r="BV628" i="19"/>
  <c r="BW590" i="19"/>
  <c r="BT567" i="19"/>
  <c r="BW594" i="19"/>
  <c r="BT571" i="19"/>
  <c r="BW622" i="19"/>
  <c r="BT599" i="19"/>
  <c r="BV632" i="19"/>
  <c r="BV640" i="19"/>
  <c r="BW602" i="19"/>
  <c r="BT579" i="19"/>
  <c r="BV664" i="19"/>
  <c r="BW598" i="19"/>
  <c r="BT575" i="19"/>
  <c r="BV665" i="19"/>
  <c r="BW620" i="19"/>
  <c r="BT597" i="19"/>
  <c r="BV666" i="19"/>
  <c r="BV654" i="19"/>
  <c r="BV644" i="19"/>
  <c r="BW615" i="19"/>
  <c r="BT592" i="19"/>
  <c r="BW586" i="19"/>
  <c r="BT563" i="19"/>
  <c r="BV660" i="19"/>
  <c r="BV649" i="19"/>
  <c r="BW608" i="19"/>
  <c r="BT585" i="19"/>
  <c r="BW605" i="19"/>
  <c r="BT582" i="19"/>
  <c r="BV658" i="19"/>
  <c r="BW606" i="19"/>
  <c r="BT583" i="19"/>
  <c r="BW618" i="19"/>
  <c r="BT595" i="19"/>
  <c r="BW616" i="19"/>
  <c r="BT593" i="19"/>
  <c r="BW603" i="19"/>
  <c r="BT580" i="19"/>
  <c r="BW623" i="19"/>
  <c r="BT600" i="19"/>
  <c r="BW611" i="19"/>
  <c r="BT588" i="19"/>
  <c r="BZ713" i="19"/>
  <c r="BZ693" i="19"/>
  <c r="BZ699" i="19"/>
  <c r="BZ711" i="19"/>
  <c r="BZ689" i="19"/>
  <c r="BZ707" i="19"/>
  <c r="BZ701" i="19"/>
  <c r="BZ687" i="19"/>
  <c r="BZ691" i="19"/>
  <c r="BZ677" i="19"/>
  <c r="BZ681" i="19"/>
  <c r="BZ679" i="19"/>
  <c r="BZ673" i="19"/>
  <c r="BZ705" i="19"/>
  <c r="BZ683" i="19"/>
  <c r="BZ709" i="19"/>
  <c r="BZ697" i="19"/>
  <c r="BZ715" i="19"/>
  <c r="BZ703" i="19"/>
  <c r="BZ685" i="19"/>
  <c r="BZ671" i="19"/>
  <c r="BZ675" i="19"/>
  <c r="BZ695" i="19"/>
  <c r="W51" i="1"/>
  <c r="T14" i="1"/>
  <c r="W14" i="1" s="1"/>
  <c r="Y52" i="1"/>
  <c r="X52" i="1"/>
  <c r="AC52" i="1"/>
  <c r="AC51" i="1"/>
  <c r="T58" i="1"/>
  <c r="W58" i="1" s="1"/>
  <c r="W52" i="1"/>
  <c r="X49" i="1"/>
  <c r="Y49" i="1"/>
  <c r="AC49" i="1"/>
  <c r="AA49" i="1"/>
  <c r="W49" i="1"/>
  <c r="T16" i="1"/>
  <c r="T13" i="1"/>
  <c r="AA13" i="1" s="1"/>
  <c r="T15" i="1"/>
  <c r="T56" i="1"/>
  <c r="AA56" i="1" s="1"/>
  <c r="X51" i="1"/>
  <c r="Y51" i="1"/>
  <c r="T57" i="1"/>
  <c r="W50" i="1"/>
  <c r="AA50" i="1"/>
  <c r="X50" i="1"/>
  <c r="Y50" i="1"/>
  <c r="AC50" i="1"/>
  <c r="T22" i="1"/>
  <c r="T19" i="1"/>
  <c r="T20" i="1"/>
  <c r="T21" i="1"/>
  <c r="Y27" i="1"/>
  <c r="T46" i="1"/>
  <c r="T45" i="1"/>
  <c r="T44" i="1"/>
  <c r="T43" i="1"/>
  <c r="BX611" i="19"/>
  <c r="BX618" i="19"/>
  <c r="CA604" i="19"/>
  <c r="CA586" i="19"/>
  <c r="BX623" i="19"/>
  <c r="BX605" i="19"/>
  <c r="CA594" i="19"/>
  <c r="CA619" i="19"/>
  <c r="CA578" i="19"/>
  <c r="BX616" i="19"/>
  <c r="CA614" i="19"/>
  <c r="BX590" i="19"/>
  <c r="BX603" i="19"/>
  <c r="BX608" i="19"/>
  <c r="CA611" i="19"/>
  <c r="CA608" i="19"/>
  <c r="CA605" i="19"/>
  <c r="BX615" i="19"/>
  <c r="CA598" i="19"/>
  <c r="CA603" i="19"/>
  <c r="BX620" i="19"/>
  <c r="CA618" i="19"/>
  <c r="CA622" i="19"/>
  <c r="CA607" i="19"/>
  <c r="BX606" i="19"/>
  <c r="BX607" i="19"/>
  <c r="CA612" i="19"/>
  <c r="CA606" i="19"/>
  <c r="BX610" i="19"/>
  <c r="CA616" i="19"/>
  <c r="CA620" i="19"/>
  <c r="CA623" i="19"/>
  <c r="BX594" i="19"/>
  <c r="BX602" i="19"/>
  <c r="BX604" i="19"/>
  <c r="CA615" i="19"/>
  <c r="BX598" i="19"/>
  <c r="BX586" i="19"/>
  <c r="BX614" i="19"/>
  <c r="CA590" i="19"/>
  <c r="BX622" i="19"/>
  <c r="BX619" i="19"/>
  <c r="CA602" i="19"/>
  <c r="BX612" i="19"/>
  <c r="CA610" i="19"/>
  <c r="BX578" i="19"/>
  <c r="AA27" i="1" l="1"/>
  <c r="AC28" i="1"/>
  <c r="X27" i="1"/>
  <c r="W26" i="1"/>
  <c r="W27" i="1"/>
  <c r="W28" i="1"/>
  <c r="AA28" i="1"/>
  <c r="Y28" i="1"/>
  <c r="Y26" i="1"/>
  <c r="AA26" i="1"/>
  <c r="AC26" i="1"/>
  <c r="W55" i="1"/>
  <c r="AC58" i="1"/>
  <c r="AC57" i="1"/>
  <c r="AC16" i="1"/>
  <c r="X15" i="1"/>
  <c r="X14" i="1"/>
  <c r="X25" i="1"/>
  <c r="AA14" i="1"/>
  <c r="Y55" i="1"/>
  <c r="AC55" i="1"/>
  <c r="AA55" i="1"/>
  <c r="AA25" i="1"/>
  <c r="Y25" i="1"/>
  <c r="W25" i="1"/>
  <c r="X56" i="1"/>
  <c r="Y16" i="1"/>
  <c r="W16" i="1"/>
  <c r="W56" i="1"/>
  <c r="AA16" i="1"/>
  <c r="X16" i="1"/>
  <c r="AA57" i="1"/>
  <c r="Y57" i="1"/>
  <c r="Y14" i="1"/>
  <c r="X57" i="1"/>
  <c r="BY605" i="19"/>
  <c r="BY615" i="19"/>
  <c r="BY620" i="19"/>
  <c r="BY594" i="19"/>
  <c r="BY598" i="19"/>
  <c r="BY623" i="19"/>
  <c r="BY616" i="19"/>
  <c r="BY606" i="19"/>
  <c r="BY608" i="19"/>
  <c r="BY586" i="19"/>
  <c r="BY612" i="19"/>
  <c r="BY578" i="19"/>
  <c r="BY610" i="19"/>
  <c r="BY607" i="19"/>
  <c r="BY611" i="19"/>
  <c r="BY603" i="19"/>
  <c r="BY618" i="19"/>
  <c r="BY602" i="19"/>
  <c r="BY622" i="19"/>
  <c r="BY590" i="19"/>
  <c r="BY619" i="19"/>
  <c r="BY614" i="19"/>
  <c r="BY604" i="19"/>
  <c r="BW628" i="19"/>
  <c r="BT605" i="19"/>
  <c r="BW638" i="19"/>
  <c r="BT615" i="19"/>
  <c r="BV663" i="19"/>
  <c r="BV651" i="19"/>
  <c r="BW643" i="19"/>
  <c r="BT620" i="19"/>
  <c r="BW617" i="19"/>
  <c r="BT594" i="19"/>
  <c r="BV659" i="19"/>
  <c r="BV679" i="19"/>
  <c r="BV669" i="19"/>
  <c r="BV683" i="19"/>
  <c r="BW621" i="19"/>
  <c r="BT598" i="19"/>
  <c r="BV673" i="19"/>
  <c r="BW646" i="19"/>
  <c r="BT623" i="19"/>
  <c r="BW639" i="19"/>
  <c r="BT616" i="19"/>
  <c r="BW629" i="19"/>
  <c r="BT606" i="19"/>
  <c r="BV667" i="19"/>
  <c r="BV687" i="19"/>
  <c r="BV655" i="19"/>
  <c r="BV681" i="19"/>
  <c r="BW631" i="19"/>
  <c r="BT608" i="19"/>
  <c r="BW609" i="19"/>
  <c r="BT586" i="19"/>
  <c r="BV677" i="19"/>
  <c r="BV688" i="19"/>
  <c r="BW635" i="19"/>
  <c r="BT612" i="19"/>
  <c r="BW601" i="19"/>
  <c r="BT578" i="19"/>
  <c r="BW633" i="19"/>
  <c r="BT610" i="19"/>
  <c r="BW630" i="19"/>
  <c r="BT607" i="19"/>
  <c r="BV693" i="19"/>
  <c r="BV675" i="19"/>
  <c r="BW634" i="19"/>
  <c r="BT611" i="19"/>
  <c r="BW626" i="19"/>
  <c r="BT603" i="19"/>
  <c r="BW641" i="19"/>
  <c r="BT618" i="19"/>
  <c r="BV672" i="19"/>
  <c r="BV689" i="19"/>
  <c r="BW625" i="19"/>
  <c r="BT602" i="19"/>
  <c r="BW645" i="19"/>
  <c r="BT622" i="19"/>
  <c r="BW613" i="19"/>
  <c r="BT590" i="19"/>
  <c r="BV657" i="19"/>
  <c r="BV691" i="19"/>
  <c r="BV676" i="19"/>
  <c r="BV685" i="19"/>
  <c r="BW642" i="19"/>
  <c r="BT619" i="19"/>
  <c r="BW637" i="19"/>
  <c r="BT614" i="19"/>
  <c r="BV661" i="19"/>
  <c r="BW627" i="19"/>
  <c r="BT604" i="19"/>
  <c r="BV694" i="19"/>
  <c r="BZ698" i="19"/>
  <c r="BZ708" i="19"/>
  <c r="BZ738" i="19"/>
  <c r="BZ732" i="19"/>
  <c r="BZ728" i="19"/>
  <c r="BZ702" i="19"/>
  <c r="BZ700" i="19"/>
  <c r="BZ710" i="19"/>
  <c r="BZ730" i="19"/>
  <c r="BZ734" i="19"/>
  <c r="BZ716" i="19"/>
  <c r="BZ718" i="19"/>
  <c r="BZ694" i="19"/>
  <c r="BZ726" i="19"/>
  <c r="BZ720" i="19"/>
  <c r="BZ706" i="19"/>
  <c r="BZ696" i="19"/>
  <c r="BZ704" i="19"/>
  <c r="BZ714" i="19"/>
  <c r="BZ724" i="19"/>
  <c r="BZ712" i="19"/>
  <c r="BZ722" i="19"/>
  <c r="BZ736" i="19"/>
  <c r="W13" i="1"/>
  <c r="AC13" i="1"/>
  <c r="AA58" i="1"/>
  <c r="X13" i="1"/>
  <c r="X58" i="1"/>
  <c r="Y56" i="1"/>
  <c r="Y58" i="1"/>
  <c r="AC56" i="1"/>
  <c r="Y15" i="1"/>
  <c r="AC14" i="1"/>
  <c r="W57" i="1"/>
  <c r="Y13" i="1"/>
  <c r="AC15" i="1"/>
  <c r="W15" i="1"/>
  <c r="AA15" i="1"/>
  <c r="V52" i="1"/>
  <c r="V49" i="1"/>
  <c r="H97" i="1" s="1"/>
  <c r="V51" i="1"/>
  <c r="T40" i="1"/>
  <c r="T39" i="1"/>
  <c r="T38" i="1"/>
  <c r="T37" i="1"/>
  <c r="V50" i="1"/>
  <c r="N109" i="1" s="1"/>
  <c r="T34" i="1"/>
  <c r="T33" i="1"/>
  <c r="T32" i="1"/>
  <c r="T31" i="1"/>
  <c r="Y44" i="1"/>
  <c r="W44" i="1"/>
  <c r="AC44" i="1"/>
  <c r="AA44" i="1"/>
  <c r="X44" i="1"/>
  <c r="Y19" i="1"/>
  <c r="X19" i="1"/>
  <c r="AC19" i="1"/>
  <c r="AA19" i="1"/>
  <c r="W19" i="1"/>
  <c r="AA22" i="1"/>
  <c r="W22" i="1"/>
  <c r="X22" i="1"/>
  <c r="Y22" i="1"/>
  <c r="AC22" i="1"/>
  <c r="AC45" i="1"/>
  <c r="Y45" i="1"/>
  <c r="AA45" i="1"/>
  <c r="W45" i="1"/>
  <c r="X45" i="1"/>
  <c r="AC46" i="1"/>
  <c r="AA46" i="1"/>
  <c r="X46" i="1"/>
  <c r="Y46" i="1"/>
  <c r="W46" i="1"/>
  <c r="X21" i="1"/>
  <c r="AC21" i="1"/>
  <c r="Y21" i="1"/>
  <c r="W21" i="1"/>
  <c r="AA21" i="1"/>
  <c r="Y43" i="1"/>
  <c r="AA43" i="1"/>
  <c r="X43" i="1"/>
  <c r="W43" i="1"/>
  <c r="AC43" i="1"/>
  <c r="AC20" i="1"/>
  <c r="AA20" i="1"/>
  <c r="X20" i="1"/>
  <c r="Y20" i="1"/>
  <c r="W20" i="1"/>
  <c r="CA613" i="19"/>
  <c r="CA637" i="19"/>
  <c r="CA631" i="19"/>
  <c r="BX621" i="19"/>
  <c r="BX613" i="19"/>
  <c r="BX627" i="19"/>
  <c r="BX641" i="19"/>
  <c r="BX633" i="19"/>
  <c r="BX635" i="19"/>
  <c r="BX617" i="19"/>
  <c r="CA645" i="19"/>
  <c r="CA625" i="19"/>
  <c r="CA639" i="19"/>
  <c r="BX634" i="19"/>
  <c r="CA628" i="19"/>
  <c r="BX629" i="19"/>
  <c r="BX645" i="19"/>
  <c r="BX642" i="19"/>
  <c r="CA642" i="19"/>
  <c r="CA630" i="19"/>
  <c r="CA626" i="19"/>
  <c r="CA633" i="19"/>
  <c r="CA629" i="19"/>
  <c r="BX639" i="19"/>
  <c r="CA609" i="19"/>
  <c r="CA635" i="19"/>
  <c r="CA634" i="19"/>
  <c r="BX631" i="19"/>
  <c r="BX637" i="19"/>
  <c r="CA617" i="19"/>
  <c r="CA646" i="19"/>
  <c r="BX638" i="19"/>
  <c r="BX609" i="19"/>
  <c r="CA643" i="19"/>
  <c r="BX625" i="19"/>
  <c r="BX601" i="19"/>
  <c r="CA627" i="19"/>
  <c r="CA641" i="19"/>
  <c r="BX626" i="19"/>
  <c r="CA638" i="19"/>
  <c r="BX646" i="19"/>
  <c r="CA621" i="19"/>
  <c r="CA601" i="19"/>
  <c r="BX643" i="19"/>
  <c r="BX630" i="19"/>
  <c r="BX628" i="19"/>
  <c r="V55" i="1" l="1"/>
  <c r="H109" i="1" s="1"/>
  <c r="H55" i="21" s="1"/>
  <c r="AW2" i="19" s="1"/>
  <c r="AW24" i="19" s="1"/>
  <c r="AX47" i="19" s="1"/>
  <c r="V27" i="1"/>
  <c r="V26" i="1"/>
  <c r="N85" i="1" s="1"/>
  <c r="DH7" i="19" s="1"/>
  <c r="V28" i="1"/>
  <c r="V25" i="1"/>
  <c r="H73" i="1" s="1"/>
  <c r="DH5" i="19" s="1"/>
  <c r="V14" i="1"/>
  <c r="N79" i="1" s="1"/>
  <c r="H46" i="21" s="1"/>
  <c r="AN2" i="19" s="1"/>
  <c r="H56" i="21"/>
  <c r="AX2" i="19" s="1"/>
  <c r="AX24" i="19" s="1"/>
  <c r="AW47" i="19" s="1"/>
  <c r="DH11" i="19"/>
  <c r="V16" i="1"/>
  <c r="V57" i="1"/>
  <c r="AE82" i="1"/>
  <c r="H51" i="21"/>
  <c r="AS2" i="19" s="1"/>
  <c r="AS25" i="19" s="1"/>
  <c r="AT48" i="19" s="1"/>
  <c r="AE72" i="1"/>
  <c r="V56" i="1"/>
  <c r="N97" i="1" s="1"/>
  <c r="V15" i="1"/>
  <c r="V13" i="1"/>
  <c r="BY637" i="19"/>
  <c r="BY617" i="19"/>
  <c r="BY628" i="19"/>
  <c r="BY627" i="19"/>
  <c r="BY642" i="19"/>
  <c r="BY613" i="19"/>
  <c r="BY625" i="19"/>
  <c r="BY641" i="19"/>
  <c r="BY634" i="19"/>
  <c r="BY630" i="19"/>
  <c r="BY601" i="19"/>
  <c r="BY631" i="19"/>
  <c r="BY639" i="19"/>
  <c r="BY621" i="19"/>
  <c r="BY643" i="19"/>
  <c r="BY638" i="19"/>
  <c r="BY645" i="19"/>
  <c r="BY626" i="19"/>
  <c r="BY633" i="19"/>
  <c r="BY635" i="19"/>
  <c r="BY609" i="19"/>
  <c r="BY629" i="19"/>
  <c r="BY646" i="19"/>
  <c r="BW660" i="19"/>
  <c r="BT637" i="19"/>
  <c r="BV711" i="19"/>
  <c r="BV710" i="19"/>
  <c r="BV696" i="19"/>
  <c r="BV692" i="19"/>
  <c r="BW640" i="19"/>
  <c r="BT617" i="19"/>
  <c r="BV686" i="19"/>
  <c r="BW651" i="19"/>
  <c r="BT628" i="19"/>
  <c r="BW650" i="19"/>
  <c r="BT627" i="19"/>
  <c r="BV684" i="19"/>
  <c r="BW665" i="19"/>
  <c r="BT642" i="19"/>
  <c r="BV699" i="19"/>
  <c r="BW636" i="19"/>
  <c r="BT613" i="19"/>
  <c r="BW648" i="19"/>
  <c r="BT625" i="19"/>
  <c r="BW664" i="19"/>
  <c r="BT641" i="19"/>
  <c r="BW657" i="19"/>
  <c r="BT634" i="19"/>
  <c r="BW653" i="19"/>
  <c r="BT630" i="19"/>
  <c r="BW624" i="19"/>
  <c r="BT601" i="19"/>
  <c r="BV700" i="19"/>
  <c r="BW654" i="19"/>
  <c r="BT631" i="19"/>
  <c r="BV690" i="19"/>
  <c r="BW662" i="19"/>
  <c r="BT639" i="19"/>
  <c r="BV702" i="19"/>
  <c r="BV717" i="19"/>
  <c r="BV708" i="19"/>
  <c r="BV714" i="19"/>
  <c r="BV712" i="19"/>
  <c r="BV698" i="19"/>
  <c r="BV704" i="19"/>
  <c r="BW644" i="19"/>
  <c r="BT621" i="19"/>
  <c r="BV682" i="19"/>
  <c r="BW666" i="19"/>
  <c r="BT643" i="19"/>
  <c r="BW661" i="19"/>
  <c r="BT638" i="19"/>
  <c r="BV680" i="19"/>
  <c r="BW668" i="19"/>
  <c r="BT645" i="19"/>
  <c r="BV695" i="19"/>
  <c r="BW649" i="19"/>
  <c r="BT626" i="19"/>
  <c r="BV716" i="19"/>
  <c r="BW656" i="19"/>
  <c r="BT633" i="19"/>
  <c r="BW658" i="19"/>
  <c r="BT635" i="19"/>
  <c r="BW632" i="19"/>
  <c r="BT609" i="19"/>
  <c r="BV678" i="19"/>
  <c r="BW652" i="19"/>
  <c r="BT629" i="19"/>
  <c r="BW669" i="19"/>
  <c r="BT646" i="19"/>
  <c r="BV706" i="19"/>
  <c r="BV674" i="19"/>
  <c r="BZ735" i="19"/>
  <c r="BZ737" i="19"/>
  <c r="BZ717" i="19"/>
  <c r="BZ723" i="19"/>
  <c r="BZ721" i="19"/>
  <c r="BZ727" i="19"/>
  <c r="BZ729" i="19"/>
  <c r="BZ733" i="19"/>
  <c r="BZ725" i="19"/>
  <c r="BZ731" i="19"/>
  <c r="BZ719" i="19"/>
  <c r="V58" i="1"/>
  <c r="Y37" i="1"/>
  <c r="AC37" i="1"/>
  <c r="W37" i="1"/>
  <c r="X37" i="1"/>
  <c r="AA37" i="1"/>
  <c r="AA39" i="1"/>
  <c r="AC39" i="1"/>
  <c r="X39" i="1"/>
  <c r="Y39" i="1"/>
  <c r="W39" i="1"/>
  <c r="AC38" i="1"/>
  <c r="Y38" i="1"/>
  <c r="X38" i="1"/>
  <c r="W38" i="1"/>
  <c r="AA38" i="1"/>
  <c r="AC40" i="1"/>
  <c r="AA40" i="1"/>
  <c r="X40" i="1"/>
  <c r="Y40" i="1"/>
  <c r="W40" i="1"/>
  <c r="V22" i="1"/>
  <c r="Y33" i="1"/>
  <c r="W33" i="1"/>
  <c r="X33" i="1"/>
  <c r="AA33" i="1"/>
  <c r="AC33" i="1"/>
  <c r="AC34" i="1"/>
  <c r="AA34" i="1"/>
  <c r="W34" i="1"/>
  <c r="X34" i="1"/>
  <c r="Y34" i="1"/>
  <c r="AC31" i="1"/>
  <c r="W31" i="1"/>
  <c r="AA31" i="1"/>
  <c r="Y31" i="1"/>
  <c r="X31" i="1"/>
  <c r="AA32" i="1"/>
  <c r="W32" i="1"/>
  <c r="AC32" i="1"/>
  <c r="X32" i="1"/>
  <c r="Y32" i="1"/>
  <c r="V21" i="1"/>
  <c r="V20" i="1"/>
  <c r="N67" i="1" s="1"/>
  <c r="V43" i="1"/>
  <c r="H103" i="1" s="1"/>
  <c r="V46" i="1"/>
  <c r="V45" i="1"/>
  <c r="V19" i="1"/>
  <c r="H79" i="1" s="1"/>
  <c r="V44" i="1"/>
  <c r="N91" i="1" s="1"/>
  <c r="CA661" i="19"/>
  <c r="BX636" i="19"/>
  <c r="CA632" i="19"/>
  <c r="CA669" i="19"/>
  <c r="CA656" i="19"/>
  <c r="CA662" i="19"/>
  <c r="BX644" i="19"/>
  <c r="CA666" i="19"/>
  <c r="CA652" i="19"/>
  <c r="BX648" i="19"/>
  <c r="CA650" i="19"/>
  <c r="BX660" i="19"/>
  <c r="BX653" i="19"/>
  <c r="BX657" i="19"/>
  <c r="BX651" i="19"/>
  <c r="CA624" i="19"/>
  <c r="BX632" i="19"/>
  <c r="CA665" i="19"/>
  <c r="CA668" i="19"/>
  <c r="CA648" i="19"/>
  <c r="BX668" i="19"/>
  <c r="CA664" i="19"/>
  <c r="BX656" i="19"/>
  <c r="CA653" i="19"/>
  <c r="CA658" i="19"/>
  <c r="BX654" i="19"/>
  <c r="BX661" i="19"/>
  <c r="CA640" i="19"/>
  <c r="BX650" i="19"/>
  <c r="BX665" i="19"/>
  <c r="CA657" i="19"/>
  <c r="BX624" i="19"/>
  <c r="BX666" i="19"/>
  <c r="CA636" i="19"/>
  <c r="BX669" i="19"/>
  <c r="BX640" i="19"/>
  <c r="BX649" i="19"/>
  <c r="CA654" i="19"/>
  <c r="CA651" i="19"/>
  <c r="CA644" i="19"/>
  <c r="CA649" i="19"/>
  <c r="BX662" i="19"/>
  <c r="BX652" i="19"/>
  <c r="CA660" i="19"/>
  <c r="BX664" i="19"/>
  <c r="BX658" i="19"/>
  <c r="H48" i="21" l="1"/>
  <c r="AP2" i="19" s="1"/>
  <c r="AP23" i="19" s="1"/>
  <c r="AO46" i="19" s="1"/>
  <c r="H43" i="21"/>
  <c r="AK2" i="19" s="1"/>
  <c r="AK3" i="19" s="1"/>
  <c r="AL26" i="19" s="1"/>
  <c r="AS14" i="19"/>
  <c r="AT37" i="19" s="1"/>
  <c r="AS7" i="19"/>
  <c r="AT30" i="19" s="1"/>
  <c r="AX13" i="19"/>
  <c r="AW36" i="19" s="1"/>
  <c r="AS20" i="19"/>
  <c r="AT43" i="19" s="1"/>
  <c r="AS10" i="19"/>
  <c r="AT33" i="19" s="1"/>
  <c r="AS3" i="19"/>
  <c r="AT26" i="19" s="1"/>
  <c r="AX19" i="19"/>
  <c r="AW42" i="19" s="1"/>
  <c r="AS18" i="19"/>
  <c r="AT41" i="19" s="1"/>
  <c r="AX7" i="19"/>
  <c r="AW30" i="19" s="1"/>
  <c r="AS4" i="19"/>
  <c r="AT27" i="19" s="1"/>
  <c r="AS12" i="19"/>
  <c r="AT35" i="19" s="1"/>
  <c r="AS19" i="19"/>
  <c r="AT42" i="19" s="1"/>
  <c r="AX11" i="19"/>
  <c r="AW34" i="19" s="1"/>
  <c r="AX21" i="19"/>
  <c r="AW44" i="19" s="1"/>
  <c r="AS8" i="19"/>
  <c r="AT31" i="19" s="1"/>
  <c r="AS15" i="19"/>
  <c r="AT38" i="19" s="1"/>
  <c r="AS24" i="19"/>
  <c r="AT47" i="19" s="1"/>
  <c r="AX5" i="19"/>
  <c r="AW28" i="19" s="1"/>
  <c r="AX15" i="19"/>
  <c r="AW38" i="19" s="1"/>
  <c r="AS6" i="19"/>
  <c r="AT29" i="19" s="1"/>
  <c r="AS11" i="19"/>
  <c r="AT34" i="19" s="1"/>
  <c r="AS16" i="19"/>
  <c r="AT39" i="19" s="1"/>
  <c r="AS22" i="19"/>
  <c r="AT45" i="19" s="1"/>
  <c r="AX9" i="19"/>
  <c r="AW32" i="19" s="1"/>
  <c r="AX17" i="19"/>
  <c r="AW40" i="19" s="1"/>
  <c r="AX23" i="19"/>
  <c r="AW46" i="19" s="1"/>
  <c r="AP24" i="19"/>
  <c r="AO47" i="19" s="1"/>
  <c r="AX25" i="19"/>
  <c r="AW48" i="19" s="1"/>
  <c r="AW22" i="19"/>
  <c r="AX45" i="19" s="1"/>
  <c r="AP18" i="19"/>
  <c r="AO41" i="19" s="1"/>
  <c r="AP3" i="19"/>
  <c r="AO26" i="19" s="1"/>
  <c r="AP20" i="19"/>
  <c r="AO43" i="19" s="1"/>
  <c r="H67" i="1"/>
  <c r="H41" i="21" s="1"/>
  <c r="AI2" i="19" s="1"/>
  <c r="H63" i="21"/>
  <c r="BC2" i="19" s="1"/>
  <c r="BC11" i="19" s="1"/>
  <c r="BB34" i="19" s="1"/>
  <c r="DI5" i="19"/>
  <c r="DH6" i="19"/>
  <c r="AN3" i="19"/>
  <c r="AM26" i="19" s="1"/>
  <c r="AN16" i="19"/>
  <c r="AM39" i="19" s="1"/>
  <c r="AN7" i="19"/>
  <c r="AM30" i="19" s="1"/>
  <c r="AS23" i="19"/>
  <c r="AT46" i="19" s="1"/>
  <c r="AP5" i="19"/>
  <c r="AO28" i="19" s="1"/>
  <c r="AP9" i="19"/>
  <c r="AO32" i="19" s="1"/>
  <c r="AP13" i="19"/>
  <c r="AO36" i="19" s="1"/>
  <c r="AP17" i="19"/>
  <c r="AO40" i="19" s="1"/>
  <c r="AP21" i="19"/>
  <c r="AO44" i="19" s="1"/>
  <c r="AP25" i="19"/>
  <c r="AO48" i="19" s="1"/>
  <c r="AX6" i="19"/>
  <c r="AW29" i="19" s="1"/>
  <c r="AX10" i="19"/>
  <c r="AW33" i="19" s="1"/>
  <c r="AX14" i="19"/>
  <c r="AW37" i="19" s="1"/>
  <c r="AX18" i="19"/>
  <c r="AW41" i="19" s="1"/>
  <c r="AX22" i="19"/>
  <c r="AW45" i="19" s="1"/>
  <c r="AX3" i="19"/>
  <c r="AW26" i="19" s="1"/>
  <c r="AN19" i="19"/>
  <c r="AM42" i="19" s="1"/>
  <c r="AS5" i="19"/>
  <c r="AT28" i="19" s="1"/>
  <c r="AS9" i="19"/>
  <c r="AT32" i="19" s="1"/>
  <c r="AS13" i="19"/>
  <c r="AT36" i="19" s="1"/>
  <c r="AS17" i="19"/>
  <c r="AT40" i="19" s="1"/>
  <c r="AS21" i="19"/>
  <c r="AT44" i="19" s="1"/>
  <c r="AW3" i="19"/>
  <c r="AX26" i="19" s="1"/>
  <c r="AP7" i="19"/>
  <c r="AO30" i="19" s="1"/>
  <c r="AP11" i="19"/>
  <c r="AO34" i="19" s="1"/>
  <c r="AP15" i="19"/>
  <c r="AO38" i="19" s="1"/>
  <c r="AP19" i="19"/>
  <c r="AO42" i="19" s="1"/>
  <c r="AX4" i="19"/>
  <c r="AW27" i="19" s="1"/>
  <c r="AX8" i="19"/>
  <c r="AW31" i="19" s="1"/>
  <c r="AX12" i="19"/>
  <c r="AW35" i="19" s="1"/>
  <c r="AX16" i="19"/>
  <c r="AW39" i="19" s="1"/>
  <c r="AX20" i="19"/>
  <c r="AW43" i="19" s="1"/>
  <c r="AN12" i="19"/>
  <c r="AM35" i="19" s="1"/>
  <c r="H52" i="21"/>
  <c r="AT2" i="19" s="1"/>
  <c r="AT3" i="19" s="1"/>
  <c r="AS26" i="19" s="1"/>
  <c r="DH9" i="19"/>
  <c r="AN8" i="19"/>
  <c r="AM31" i="19" s="1"/>
  <c r="AN21" i="19"/>
  <c r="AM44" i="19" s="1"/>
  <c r="AN5" i="19"/>
  <c r="AM28" i="19" s="1"/>
  <c r="AN13" i="19"/>
  <c r="AM36" i="19" s="1"/>
  <c r="AN23" i="19"/>
  <c r="AM46" i="19" s="1"/>
  <c r="AN11" i="19"/>
  <c r="AM34" i="19" s="1"/>
  <c r="AN17" i="19"/>
  <c r="AM40" i="19" s="1"/>
  <c r="AN24" i="19"/>
  <c r="AM47" i="19" s="1"/>
  <c r="AN4" i="19"/>
  <c r="AM27" i="19" s="1"/>
  <c r="AN9" i="19"/>
  <c r="AM32" i="19" s="1"/>
  <c r="AN15" i="19"/>
  <c r="AM38" i="19" s="1"/>
  <c r="AN20" i="19"/>
  <c r="AM43" i="19" s="1"/>
  <c r="AN25" i="19"/>
  <c r="AM48" i="19" s="1"/>
  <c r="H50" i="21"/>
  <c r="AR2" i="19" s="1"/>
  <c r="AR24" i="19" s="1"/>
  <c r="AQ47" i="19" s="1"/>
  <c r="DH8" i="19"/>
  <c r="AN6" i="19"/>
  <c r="AM29" i="19" s="1"/>
  <c r="AN10" i="19"/>
  <c r="AM33" i="19" s="1"/>
  <c r="AN14" i="19"/>
  <c r="AM37" i="19" s="1"/>
  <c r="AN18" i="19"/>
  <c r="AM41" i="19" s="1"/>
  <c r="AN22" i="19"/>
  <c r="AM45" i="19" s="1"/>
  <c r="H42" i="21"/>
  <c r="AJ2" i="19" s="1"/>
  <c r="AJ3" i="19" s="1"/>
  <c r="AI26" i="19" s="1"/>
  <c r="DH4" i="19"/>
  <c r="AT11" i="19"/>
  <c r="AS34" i="19" s="1"/>
  <c r="AW6" i="19"/>
  <c r="AX29" i="19" s="1"/>
  <c r="AW10" i="19"/>
  <c r="AX33" i="19" s="1"/>
  <c r="AW14" i="19"/>
  <c r="AX37" i="19" s="1"/>
  <c r="AW18" i="19"/>
  <c r="AX41" i="19" s="1"/>
  <c r="AW5" i="19"/>
  <c r="AX28" i="19" s="1"/>
  <c r="AW9" i="19"/>
  <c r="AX32" i="19" s="1"/>
  <c r="AW13" i="19"/>
  <c r="AX36" i="19" s="1"/>
  <c r="AW17" i="19"/>
  <c r="AX40" i="19" s="1"/>
  <c r="AW21" i="19"/>
  <c r="AX44" i="19" s="1"/>
  <c r="AW25" i="19"/>
  <c r="AX48" i="19" s="1"/>
  <c r="AW7" i="19"/>
  <c r="AX30" i="19" s="1"/>
  <c r="AW11" i="19"/>
  <c r="AX34" i="19" s="1"/>
  <c r="AW15" i="19"/>
  <c r="AX38" i="19" s="1"/>
  <c r="AW19" i="19"/>
  <c r="AX42" i="19" s="1"/>
  <c r="AW23" i="19"/>
  <c r="AX46" i="19" s="1"/>
  <c r="AW4" i="19"/>
  <c r="AX27" i="19" s="1"/>
  <c r="AW8" i="19"/>
  <c r="AX31" i="19" s="1"/>
  <c r="AW12" i="19"/>
  <c r="AX35" i="19" s="1"/>
  <c r="AW16" i="19"/>
  <c r="AX39" i="19" s="1"/>
  <c r="AW20" i="19"/>
  <c r="AX43" i="19" s="1"/>
  <c r="H67" i="21"/>
  <c r="BG2" i="19" s="1"/>
  <c r="BG10" i="19" s="1"/>
  <c r="BF33" i="19" s="1"/>
  <c r="AE95" i="1"/>
  <c r="H53" i="21"/>
  <c r="AU2" i="19" s="1"/>
  <c r="AU24" i="19" s="1"/>
  <c r="AV47" i="19" s="1"/>
  <c r="Y82" i="1"/>
  <c r="H45" i="21"/>
  <c r="AM2" i="19" s="1"/>
  <c r="AM24" i="19" s="1"/>
  <c r="AN47" i="19" s="1"/>
  <c r="Y77" i="1"/>
  <c r="BY660" i="19"/>
  <c r="BY658" i="19"/>
  <c r="BY668" i="19"/>
  <c r="BY644" i="19"/>
  <c r="BY654" i="19"/>
  <c r="BY665" i="19"/>
  <c r="BY669" i="19"/>
  <c r="BY649" i="19"/>
  <c r="BY666" i="19"/>
  <c r="BY662" i="19"/>
  <c r="BY653" i="19"/>
  <c r="BY664" i="19"/>
  <c r="BY636" i="19"/>
  <c r="BY632" i="19"/>
  <c r="BY656" i="19"/>
  <c r="BY652" i="19"/>
  <c r="BY661" i="19"/>
  <c r="BY624" i="19"/>
  <c r="BY657" i="19"/>
  <c r="BY648" i="19"/>
  <c r="BY650" i="19"/>
  <c r="BY640" i="19"/>
  <c r="BY651" i="19"/>
  <c r="BV709" i="19"/>
  <c r="BV719" i="19"/>
  <c r="BW683" i="19"/>
  <c r="BT660" i="19"/>
  <c r="BV701" i="19"/>
  <c r="BW681" i="19"/>
  <c r="BT658" i="19"/>
  <c r="BW691" i="19"/>
  <c r="BT668" i="19"/>
  <c r="BW667" i="19"/>
  <c r="BT644" i="19"/>
  <c r="BV737" i="19"/>
  <c r="BW677" i="19"/>
  <c r="BT654" i="19"/>
  <c r="BW688" i="19"/>
  <c r="BT665" i="19"/>
  <c r="BW692" i="19"/>
  <c r="BT669" i="19"/>
  <c r="BW672" i="19"/>
  <c r="BT649" i="19"/>
  <c r="BV703" i="19"/>
  <c r="BW689" i="19"/>
  <c r="BT666" i="19"/>
  <c r="BV727" i="19"/>
  <c r="BV731" i="19"/>
  <c r="BW685" i="19"/>
  <c r="BT662" i="19"/>
  <c r="BV723" i="19"/>
  <c r="BW676" i="19"/>
  <c r="BT653" i="19"/>
  <c r="BW687" i="19"/>
  <c r="BT664" i="19"/>
  <c r="BW659" i="19"/>
  <c r="BT636" i="19"/>
  <c r="BV707" i="19"/>
  <c r="BV697" i="19"/>
  <c r="BW655" i="19"/>
  <c r="BT632" i="19"/>
  <c r="BW679" i="19"/>
  <c r="BT656" i="19"/>
  <c r="BV718" i="19"/>
  <c r="BV705" i="19"/>
  <c r="BV721" i="19"/>
  <c r="BV713" i="19"/>
  <c r="BV722" i="19"/>
  <c r="BV733" i="19"/>
  <c r="BV729" i="19"/>
  <c r="BW675" i="19"/>
  <c r="BT652" i="19"/>
  <c r="BW684" i="19"/>
  <c r="BT661" i="19"/>
  <c r="BV735" i="19"/>
  <c r="BV725" i="19"/>
  <c r="BW647" i="19"/>
  <c r="BT624" i="19"/>
  <c r="BW680" i="19"/>
  <c r="BT657" i="19"/>
  <c r="BW671" i="19"/>
  <c r="BT648" i="19"/>
  <c r="BW673" i="19"/>
  <c r="BT650" i="19"/>
  <c r="BW663" i="19"/>
  <c r="BT640" i="19"/>
  <c r="BV734" i="19"/>
  <c r="BW674" i="19"/>
  <c r="BT651" i="19"/>
  <c r="BV715" i="19"/>
  <c r="V38" i="1"/>
  <c r="N103" i="1" s="1"/>
  <c r="V37" i="1"/>
  <c r="H91" i="1" s="1"/>
  <c r="V39" i="1"/>
  <c r="V40" i="1"/>
  <c r="V33" i="1"/>
  <c r="V34" i="1"/>
  <c r="V31" i="1"/>
  <c r="H85" i="1" s="1"/>
  <c r="V32" i="1"/>
  <c r="N73" i="1" s="1"/>
  <c r="CA687" i="19"/>
  <c r="BX692" i="19"/>
  <c r="CA647" i="19"/>
  <c r="CA689" i="19"/>
  <c r="CA673" i="19"/>
  <c r="CA679" i="19"/>
  <c r="CA680" i="19"/>
  <c r="CA674" i="19"/>
  <c r="BX687" i="19"/>
  <c r="CA676" i="19"/>
  <c r="BX674" i="19"/>
  <c r="CA659" i="19"/>
  <c r="BX691" i="19"/>
  <c r="CA692" i="19"/>
  <c r="BX679" i="19"/>
  <c r="BX685" i="19"/>
  <c r="BX671" i="19"/>
  <c r="BX673" i="19"/>
  <c r="BX676" i="19"/>
  <c r="CA691" i="19"/>
  <c r="CA681" i="19"/>
  <c r="BX688" i="19"/>
  <c r="BX689" i="19"/>
  <c r="BX659" i="19"/>
  <c r="BX680" i="19"/>
  <c r="BX655" i="19"/>
  <c r="BX647" i="19"/>
  <c r="CA663" i="19"/>
  <c r="CA671" i="19"/>
  <c r="CA667" i="19"/>
  <c r="CA688" i="19"/>
  <c r="BX684" i="19"/>
  <c r="BX675" i="19"/>
  <c r="CA655" i="19"/>
  <c r="CA685" i="19"/>
  <c r="BX681" i="19"/>
  <c r="BX663" i="19"/>
  <c r="BX683" i="19"/>
  <c r="BX672" i="19"/>
  <c r="BX677" i="19"/>
  <c r="BX667" i="19"/>
  <c r="CA683" i="19"/>
  <c r="CA675" i="19"/>
  <c r="CA684" i="19"/>
  <c r="CA672" i="19"/>
  <c r="CA677" i="19"/>
  <c r="AK9" i="19" l="1"/>
  <c r="AL32" i="19" s="1"/>
  <c r="AK7" i="19"/>
  <c r="AL30" i="19" s="1"/>
  <c r="AK4" i="19"/>
  <c r="AL27" i="19" s="1"/>
  <c r="AP12" i="19"/>
  <c r="AO35" i="19" s="1"/>
  <c r="AP10" i="19"/>
  <c r="AO33" i="19" s="1"/>
  <c r="AP16" i="19"/>
  <c r="AO39" i="19" s="1"/>
  <c r="AP4" i="19"/>
  <c r="AO27" i="19" s="1"/>
  <c r="AP8" i="19"/>
  <c r="AO31" i="19" s="1"/>
  <c r="AP14" i="19"/>
  <c r="AO37" i="19" s="1"/>
  <c r="AP6" i="19"/>
  <c r="AO29" i="19" s="1"/>
  <c r="AK25" i="19"/>
  <c r="AL48" i="19" s="1"/>
  <c r="AK23" i="19"/>
  <c r="AL46" i="19" s="1"/>
  <c r="AK24" i="19"/>
  <c r="AL47" i="19" s="1"/>
  <c r="AK14" i="19"/>
  <c r="AL37" i="19" s="1"/>
  <c r="AJ12" i="19"/>
  <c r="AI35" i="19" s="1"/>
  <c r="AK22" i="19"/>
  <c r="AL45" i="19" s="1"/>
  <c r="AK6" i="19"/>
  <c r="AL29" i="19" s="1"/>
  <c r="AK17" i="19"/>
  <c r="AL40" i="19" s="1"/>
  <c r="AK15" i="19"/>
  <c r="AL38" i="19" s="1"/>
  <c r="AK12" i="19"/>
  <c r="AL35" i="19" s="1"/>
  <c r="AK18" i="19"/>
  <c r="AL41" i="19" s="1"/>
  <c r="AK13" i="19"/>
  <c r="AL36" i="19" s="1"/>
  <c r="AK11" i="19"/>
  <c r="AL34" i="19" s="1"/>
  <c r="AK20" i="19"/>
  <c r="AL43" i="19" s="1"/>
  <c r="AK10" i="19"/>
  <c r="AL33" i="19" s="1"/>
  <c r="AK21" i="19"/>
  <c r="AL44" i="19" s="1"/>
  <c r="AK5" i="19"/>
  <c r="AL28" i="19" s="1"/>
  <c r="AK19" i="19"/>
  <c r="AL42" i="19" s="1"/>
  <c r="AK8" i="19"/>
  <c r="AL31" i="19" s="1"/>
  <c r="AK16" i="19"/>
  <c r="AL39" i="19" s="1"/>
  <c r="BC8" i="19"/>
  <c r="BB31" i="19" s="1"/>
  <c r="AR7" i="19"/>
  <c r="AQ30" i="19" s="1"/>
  <c r="AR22" i="19"/>
  <c r="AQ45" i="19" s="1"/>
  <c r="BC3" i="19"/>
  <c r="BB26" i="19" s="1"/>
  <c r="AR18" i="19"/>
  <c r="AQ41" i="19" s="1"/>
  <c r="BC10" i="19"/>
  <c r="BB33" i="19" s="1"/>
  <c r="AR11" i="19"/>
  <c r="AQ34" i="19" s="1"/>
  <c r="AR3" i="19"/>
  <c r="AQ26" i="19" s="1"/>
  <c r="BC24" i="19"/>
  <c r="BB47" i="19" s="1"/>
  <c r="BC19" i="19"/>
  <c r="BB42" i="19" s="1"/>
  <c r="AR4" i="19"/>
  <c r="AQ27" i="19" s="1"/>
  <c r="BC17" i="19"/>
  <c r="BB40" i="19" s="1"/>
  <c r="AR6" i="19"/>
  <c r="AQ29" i="19" s="1"/>
  <c r="AR10" i="19"/>
  <c r="AQ33" i="19" s="1"/>
  <c r="AR14" i="19"/>
  <c r="AQ37" i="19" s="1"/>
  <c r="AR17" i="19"/>
  <c r="AQ40" i="19" s="1"/>
  <c r="AR21" i="19"/>
  <c r="AQ44" i="19" s="1"/>
  <c r="AR25" i="19"/>
  <c r="AQ48" i="19" s="1"/>
  <c r="BC4" i="19"/>
  <c r="BB27" i="19" s="1"/>
  <c r="BC20" i="19"/>
  <c r="BB43" i="19" s="1"/>
  <c r="BC13" i="19"/>
  <c r="BB36" i="19" s="1"/>
  <c r="BC6" i="19"/>
  <c r="BB29" i="19" s="1"/>
  <c r="BC22" i="19"/>
  <c r="BB45" i="19" s="1"/>
  <c r="BC15" i="19"/>
  <c r="BB38" i="19" s="1"/>
  <c r="AR8" i="19"/>
  <c r="AQ31" i="19" s="1"/>
  <c r="AR12" i="19"/>
  <c r="AQ35" i="19" s="1"/>
  <c r="AR15" i="19"/>
  <c r="AQ38" i="19" s="1"/>
  <c r="AR19" i="19"/>
  <c r="AQ42" i="19" s="1"/>
  <c r="AR23" i="19"/>
  <c r="AQ46" i="19" s="1"/>
  <c r="BC12" i="19"/>
  <c r="BB35" i="19" s="1"/>
  <c r="BC5" i="19"/>
  <c r="BB28" i="19" s="1"/>
  <c r="BC21" i="19"/>
  <c r="BB44" i="19" s="1"/>
  <c r="BC14" i="19"/>
  <c r="BB37" i="19" s="1"/>
  <c r="BC7" i="19"/>
  <c r="BB30" i="19" s="1"/>
  <c r="BC23" i="19"/>
  <c r="BB46" i="19" s="1"/>
  <c r="AR5" i="19"/>
  <c r="AQ28" i="19" s="1"/>
  <c r="AR9" i="19"/>
  <c r="AQ32" i="19" s="1"/>
  <c r="AR13" i="19"/>
  <c r="AQ36" i="19" s="1"/>
  <c r="AR16" i="19"/>
  <c r="AQ39" i="19" s="1"/>
  <c r="AR20" i="19"/>
  <c r="AQ43" i="19" s="1"/>
  <c r="BC16" i="19"/>
  <c r="BB39" i="19" s="1"/>
  <c r="BC9" i="19"/>
  <c r="BB32" i="19" s="1"/>
  <c r="BC25" i="19"/>
  <c r="BB48" i="19" s="1"/>
  <c r="BC18" i="19"/>
  <c r="BB41" i="19" s="1"/>
  <c r="AP22" i="19"/>
  <c r="AO45" i="19" s="1"/>
  <c r="AU3" i="19"/>
  <c r="AV26" i="19" s="1"/>
  <c r="AT18" i="19"/>
  <c r="AS41" i="19" s="1"/>
  <c r="AT12" i="19"/>
  <c r="AS35" i="19" s="1"/>
  <c r="AT6" i="19"/>
  <c r="AS29" i="19" s="1"/>
  <c r="AT9" i="19"/>
  <c r="AS32" i="19" s="1"/>
  <c r="AT22" i="19"/>
  <c r="AS45" i="19" s="1"/>
  <c r="AT5" i="19"/>
  <c r="AS28" i="19" s="1"/>
  <c r="AT21" i="19"/>
  <c r="AS44" i="19" s="1"/>
  <c r="AT4" i="19"/>
  <c r="AS27" i="19" s="1"/>
  <c r="AT19" i="19"/>
  <c r="AS42" i="19" s="1"/>
  <c r="AT15" i="19"/>
  <c r="AS38" i="19" s="1"/>
  <c r="AT25" i="19"/>
  <c r="AS48" i="19" s="1"/>
  <c r="AT20" i="19"/>
  <c r="AS43" i="19" s="1"/>
  <c r="AM23" i="19"/>
  <c r="AN46" i="19" s="1"/>
  <c r="AT14" i="19"/>
  <c r="AS37" i="19" s="1"/>
  <c r="AT13" i="19"/>
  <c r="AS36" i="19" s="1"/>
  <c r="AT16" i="19"/>
  <c r="AS39" i="19" s="1"/>
  <c r="AT23" i="19"/>
  <c r="AS46" i="19" s="1"/>
  <c r="AT10" i="19"/>
  <c r="AS33" i="19" s="1"/>
  <c r="AT17" i="19"/>
  <c r="AS40" i="19" s="1"/>
  <c r="AT24" i="19"/>
  <c r="AS47" i="19" s="1"/>
  <c r="AT8" i="19"/>
  <c r="AS31" i="19" s="1"/>
  <c r="AT7" i="19"/>
  <c r="AS30" i="19" s="1"/>
  <c r="AJ16" i="19"/>
  <c r="AI39" i="19" s="1"/>
  <c r="Y67" i="1"/>
  <c r="H60" i="21" s="1"/>
  <c r="AZ2" i="19" s="1"/>
  <c r="AZ22" i="19" s="1"/>
  <c r="BA45" i="19" s="1"/>
  <c r="AJ19" i="19"/>
  <c r="AI42" i="19" s="1"/>
  <c r="AJ8" i="19"/>
  <c r="AI31" i="19" s="1"/>
  <c r="AJ23" i="19"/>
  <c r="AI46" i="19" s="1"/>
  <c r="DG2" i="19"/>
  <c r="DG19" i="19" s="1"/>
  <c r="H66" i="21"/>
  <c r="BF2" i="19" s="1"/>
  <c r="BF11" i="19" s="1"/>
  <c r="BG34" i="19" s="1"/>
  <c r="DI7" i="19"/>
  <c r="H64" i="21"/>
  <c r="BD2" i="19" s="1"/>
  <c r="BD14" i="19" s="1"/>
  <c r="BE37" i="19" s="1"/>
  <c r="DI6" i="19"/>
  <c r="H54" i="21"/>
  <c r="AV2" i="19" s="1"/>
  <c r="AV23" i="19" s="1"/>
  <c r="AU46" i="19" s="1"/>
  <c r="DH10" i="19"/>
  <c r="AJ5" i="19"/>
  <c r="AI28" i="19" s="1"/>
  <c r="AJ9" i="19"/>
  <c r="AI32" i="19" s="1"/>
  <c r="AJ13" i="19"/>
  <c r="AI36" i="19" s="1"/>
  <c r="AJ17" i="19"/>
  <c r="AI40" i="19" s="1"/>
  <c r="AJ20" i="19"/>
  <c r="AI43" i="19" s="1"/>
  <c r="AJ24" i="19"/>
  <c r="AI47" i="19" s="1"/>
  <c r="AJ6" i="19"/>
  <c r="AI29" i="19" s="1"/>
  <c r="AJ10" i="19"/>
  <c r="AI33" i="19" s="1"/>
  <c r="AJ14" i="19"/>
  <c r="AI37" i="19" s="1"/>
  <c r="AJ4" i="19"/>
  <c r="AI27" i="19" s="1"/>
  <c r="AJ21" i="19"/>
  <c r="AI44" i="19" s="1"/>
  <c r="AJ25" i="19"/>
  <c r="AI48" i="19" s="1"/>
  <c r="AJ7" i="19"/>
  <c r="AI30" i="19" s="1"/>
  <c r="AJ11" i="19"/>
  <c r="AI34" i="19" s="1"/>
  <c r="AJ15" i="19"/>
  <c r="AI38" i="19" s="1"/>
  <c r="AJ18" i="19"/>
  <c r="AI41" i="19" s="1"/>
  <c r="AJ22" i="19"/>
  <c r="AI45" i="19" s="1"/>
  <c r="AM19" i="19"/>
  <c r="AN42" i="19" s="1"/>
  <c r="AM7" i="19"/>
  <c r="AN30" i="19" s="1"/>
  <c r="AU6" i="19"/>
  <c r="AV29" i="19" s="1"/>
  <c r="AU22" i="19"/>
  <c r="AV45" i="19" s="1"/>
  <c r="AM15" i="19"/>
  <c r="AN38" i="19" s="1"/>
  <c r="AU10" i="19"/>
  <c r="AV33" i="19" s="1"/>
  <c r="AM11" i="19"/>
  <c r="AN34" i="19" s="1"/>
  <c r="AM5" i="19"/>
  <c r="AN28" i="19" s="1"/>
  <c r="AM9" i="19"/>
  <c r="AN32" i="19" s="1"/>
  <c r="AM13" i="19"/>
  <c r="AN36" i="19" s="1"/>
  <c r="AM17" i="19"/>
  <c r="AN40" i="19" s="1"/>
  <c r="AM21" i="19"/>
  <c r="AN44" i="19" s="1"/>
  <c r="AM25" i="19"/>
  <c r="AN48" i="19" s="1"/>
  <c r="AU14" i="19"/>
  <c r="AV37" i="19" s="1"/>
  <c r="AM6" i="19"/>
  <c r="AN29" i="19" s="1"/>
  <c r="AM10" i="19"/>
  <c r="AN33" i="19" s="1"/>
  <c r="AM14" i="19"/>
  <c r="AN37" i="19" s="1"/>
  <c r="AM18" i="19"/>
  <c r="AN41" i="19" s="1"/>
  <c r="AM22" i="19"/>
  <c r="AN45" i="19" s="1"/>
  <c r="AM3" i="19"/>
  <c r="AN26" i="19" s="1"/>
  <c r="AU18" i="19"/>
  <c r="AV41" i="19" s="1"/>
  <c r="AM4" i="19"/>
  <c r="AN27" i="19" s="1"/>
  <c r="AM8" i="19"/>
  <c r="AN31" i="19" s="1"/>
  <c r="AM12" i="19"/>
  <c r="AN35" i="19" s="1"/>
  <c r="AM16" i="19"/>
  <c r="AN39" i="19" s="1"/>
  <c r="AM20" i="19"/>
  <c r="AN43" i="19" s="1"/>
  <c r="AU5" i="19"/>
  <c r="AV28" i="19" s="1"/>
  <c r="AU9" i="19"/>
  <c r="AV32" i="19" s="1"/>
  <c r="AU13" i="19"/>
  <c r="AV36" i="19" s="1"/>
  <c r="AU17" i="19"/>
  <c r="AV40" i="19" s="1"/>
  <c r="AU21" i="19"/>
  <c r="AV44" i="19" s="1"/>
  <c r="AU25" i="19"/>
  <c r="AV48" i="19" s="1"/>
  <c r="AU7" i="19"/>
  <c r="AV30" i="19" s="1"/>
  <c r="AU11" i="19"/>
  <c r="AV34" i="19" s="1"/>
  <c r="AU15" i="19"/>
  <c r="AV38" i="19" s="1"/>
  <c r="AU19" i="19"/>
  <c r="AV42" i="19" s="1"/>
  <c r="AU23" i="19"/>
  <c r="AV46" i="19" s="1"/>
  <c r="AU4" i="19"/>
  <c r="AV27" i="19" s="1"/>
  <c r="AU8" i="19"/>
  <c r="AV31" i="19" s="1"/>
  <c r="AU12" i="19"/>
  <c r="AV35" i="19" s="1"/>
  <c r="AU16" i="19"/>
  <c r="AV39" i="19" s="1"/>
  <c r="AU20" i="19"/>
  <c r="AV43" i="19" s="1"/>
  <c r="H74" i="21"/>
  <c r="BL2" i="19" s="1"/>
  <c r="BL8" i="19" s="1"/>
  <c r="BK31" i="19" s="1"/>
  <c r="AE111" i="1"/>
  <c r="BG13" i="19"/>
  <c r="BF36" i="19" s="1"/>
  <c r="BG5" i="19"/>
  <c r="BF28" i="19" s="1"/>
  <c r="BG8" i="19"/>
  <c r="BF31" i="19" s="1"/>
  <c r="BG23" i="19"/>
  <c r="BF46" i="19" s="1"/>
  <c r="BG3" i="19"/>
  <c r="BF26" i="19" s="1"/>
  <c r="BG18" i="19"/>
  <c r="BF41" i="19" s="1"/>
  <c r="BG21" i="19"/>
  <c r="BF44" i="19" s="1"/>
  <c r="BG16" i="19"/>
  <c r="BF39" i="19" s="1"/>
  <c r="BG11" i="19"/>
  <c r="BF34" i="19" s="1"/>
  <c r="BG6" i="19"/>
  <c r="BF29" i="19" s="1"/>
  <c r="BG24" i="19"/>
  <c r="BF47" i="19" s="1"/>
  <c r="BG19" i="19"/>
  <c r="BF42" i="19" s="1"/>
  <c r="BG14" i="19"/>
  <c r="BF37" i="19" s="1"/>
  <c r="BG9" i="19"/>
  <c r="BF32" i="19" s="1"/>
  <c r="BG4" i="19"/>
  <c r="BF27" i="19" s="1"/>
  <c r="BG22" i="19"/>
  <c r="BF45" i="19" s="1"/>
  <c r="BG17" i="19"/>
  <c r="BF40" i="19" s="1"/>
  <c r="BG12" i="19"/>
  <c r="BF35" i="19" s="1"/>
  <c r="BG7" i="19"/>
  <c r="BF30" i="19" s="1"/>
  <c r="BG25" i="19"/>
  <c r="BF48" i="19" s="1"/>
  <c r="BG20" i="19"/>
  <c r="BF43" i="19" s="1"/>
  <c r="BG15" i="19"/>
  <c r="BF38" i="19" s="1"/>
  <c r="BL24" i="19"/>
  <c r="BK47" i="19" s="1"/>
  <c r="H49" i="21"/>
  <c r="AQ2" i="19" s="1"/>
  <c r="AQ3" i="19" s="1"/>
  <c r="AR26" i="19" s="1"/>
  <c r="Y72" i="1"/>
  <c r="H47" i="21"/>
  <c r="AO2" i="19" s="1"/>
  <c r="AO3" i="19" s="1"/>
  <c r="AP26" i="19" s="1"/>
  <c r="AE77" i="1"/>
  <c r="H44" i="21"/>
  <c r="AL2" i="19" s="1"/>
  <c r="AL25" i="19" s="1"/>
  <c r="AK48" i="19" s="1"/>
  <c r="AE67" i="1"/>
  <c r="AI3" i="19"/>
  <c r="AJ26" i="19" s="1"/>
  <c r="AI25" i="19"/>
  <c r="AJ48" i="19" s="1"/>
  <c r="AI24" i="19"/>
  <c r="AJ47" i="19" s="1"/>
  <c r="AI23" i="19"/>
  <c r="AJ46" i="19" s="1"/>
  <c r="AI22" i="19"/>
  <c r="AJ45" i="19" s="1"/>
  <c r="AI21" i="19"/>
  <c r="AJ44" i="19" s="1"/>
  <c r="AI20" i="19"/>
  <c r="AJ43" i="19" s="1"/>
  <c r="AI19" i="19"/>
  <c r="AJ42" i="19" s="1"/>
  <c r="AI18" i="19"/>
  <c r="AJ41" i="19" s="1"/>
  <c r="AI17" i="19"/>
  <c r="AJ40" i="19" s="1"/>
  <c r="AI16" i="19"/>
  <c r="AJ39" i="19" s="1"/>
  <c r="AI15" i="19"/>
  <c r="AJ38" i="19" s="1"/>
  <c r="AI14" i="19"/>
  <c r="AJ37" i="19" s="1"/>
  <c r="AI13" i="19"/>
  <c r="AJ36" i="19" s="1"/>
  <c r="AI12" i="19"/>
  <c r="AJ35" i="19" s="1"/>
  <c r="AI11" i="19"/>
  <c r="AJ34" i="19" s="1"/>
  <c r="AI10" i="19"/>
  <c r="AJ33" i="19" s="1"/>
  <c r="AI9" i="19"/>
  <c r="AJ32" i="19" s="1"/>
  <c r="AI8" i="19"/>
  <c r="AJ31" i="19" s="1"/>
  <c r="AI7" i="19"/>
  <c r="AJ30" i="19" s="1"/>
  <c r="AI6" i="19"/>
  <c r="AJ29" i="19" s="1"/>
  <c r="AI5" i="19"/>
  <c r="AJ28" i="19" s="1"/>
  <c r="AI4" i="19"/>
  <c r="AJ27" i="19" s="1"/>
  <c r="BY655" i="19"/>
  <c r="BY659" i="19"/>
  <c r="BY676" i="19"/>
  <c r="BY692" i="19"/>
  <c r="BY677" i="19"/>
  <c r="BY673" i="19"/>
  <c r="BY680" i="19"/>
  <c r="BY675" i="19"/>
  <c r="BY663" i="19"/>
  <c r="BY671" i="19"/>
  <c r="BY647" i="19"/>
  <c r="BY684" i="19"/>
  <c r="BY691" i="19"/>
  <c r="BY674" i="19"/>
  <c r="BY679" i="19"/>
  <c r="BY687" i="19"/>
  <c r="BY672" i="19"/>
  <c r="BY688" i="19"/>
  <c r="BY683" i="19"/>
  <c r="BY685" i="19"/>
  <c r="BY689" i="19"/>
  <c r="BY667" i="19"/>
  <c r="BY681" i="19"/>
  <c r="BV738" i="19"/>
  <c r="BW678" i="19"/>
  <c r="BT655" i="19"/>
  <c r="BW682" i="19"/>
  <c r="BT659" i="19"/>
  <c r="BW699" i="19"/>
  <c r="BT676" i="19"/>
  <c r="BV726" i="19"/>
  <c r="BW715" i="19"/>
  <c r="BT692" i="19"/>
  <c r="BW700" i="19"/>
  <c r="BT677" i="19"/>
  <c r="BV724" i="19"/>
  <c r="BV732" i="19"/>
  <c r="BW696" i="19"/>
  <c r="BT673" i="19"/>
  <c r="BW703" i="19"/>
  <c r="BT680" i="19"/>
  <c r="BW698" i="19"/>
  <c r="BT675" i="19"/>
  <c r="BW686" i="19"/>
  <c r="BT663" i="19"/>
  <c r="BW694" i="19"/>
  <c r="BT671" i="19"/>
  <c r="BW670" i="19"/>
  <c r="BT647" i="19"/>
  <c r="BW707" i="19"/>
  <c r="BT684" i="19"/>
  <c r="BV736" i="19"/>
  <c r="BV720" i="19"/>
  <c r="BW714" i="19"/>
  <c r="BT691" i="19"/>
  <c r="BW697" i="19"/>
  <c r="BT674" i="19"/>
  <c r="BW702" i="19"/>
  <c r="BT679" i="19"/>
  <c r="BV730" i="19"/>
  <c r="BW710" i="19"/>
  <c r="BT687" i="19"/>
  <c r="BW695" i="19"/>
  <c r="BT672" i="19"/>
  <c r="BW711" i="19"/>
  <c r="BT688" i="19"/>
  <c r="BW706" i="19"/>
  <c r="BT683" i="19"/>
  <c r="BV728" i="19"/>
  <c r="BW708" i="19"/>
  <c r="BT685" i="19"/>
  <c r="BW712" i="19"/>
  <c r="BT689" i="19"/>
  <c r="BW690" i="19"/>
  <c r="BT667" i="19"/>
  <c r="BW704" i="19"/>
  <c r="BT681" i="19"/>
  <c r="CA695" i="19"/>
  <c r="BX710" i="19"/>
  <c r="CA712" i="19"/>
  <c r="CA698" i="19"/>
  <c r="CA678" i="19"/>
  <c r="CA694" i="19"/>
  <c r="BX698" i="19"/>
  <c r="BX706" i="19"/>
  <c r="BX695" i="19"/>
  <c r="BX702" i="19"/>
  <c r="BX714" i="19"/>
  <c r="CA714" i="19"/>
  <c r="CA707" i="19"/>
  <c r="CA700" i="19"/>
  <c r="BX682" i="19"/>
  <c r="BX690" i="19"/>
  <c r="BX670" i="19"/>
  <c r="BX697" i="19"/>
  <c r="CA702" i="19"/>
  <c r="CA682" i="19"/>
  <c r="BX703" i="19"/>
  <c r="CA703" i="19"/>
  <c r="BX694" i="19"/>
  <c r="BX704" i="19"/>
  <c r="BX696" i="19"/>
  <c r="BX715" i="19"/>
  <c r="CA696" i="19"/>
  <c r="CA708" i="19"/>
  <c r="BX699" i="19"/>
  <c r="CA670" i="19"/>
  <c r="BX686" i="19"/>
  <c r="BX700" i="19"/>
  <c r="CA686" i="19"/>
  <c r="BX678" i="19"/>
  <c r="BX711" i="19"/>
  <c r="CA710" i="19"/>
  <c r="BX707" i="19"/>
  <c r="BX708" i="19"/>
  <c r="CA690" i="19"/>
  <c r="CA711" i="19"/>
  <c r="CA699" i="19"/>
  <c r="CA704" i="19"/>
  <c r="CA706" i="19"/>
  <c r="BX712" i="19"/>
  <c r="CA715" i="19"/>
  <c r="CA697" i="19"/>
  <c r="AV16" i="19" l="1"/>
  <c r="AU39" i="19" s="1"/>
  <c r="BF20" i="19"/>
  <c r="BG43" i="19" s="1"/>
  <c r="AV21" i="19"/>
  <c r="AU44" i="19" s="1"/>
  <c r="BF25" i="19"/>
  <c r="BG48" i="19" s="1"/>
  <c r="Y90" i="1"/>
  <c r="DJ4" i="19" s="1"/>
  <c r="AV17" i="19"/>
  <c r="AU40" i="19" s="1"/>
  <c r="BF7" i="19"/>
  <c r="BG30" i="19" s="1"/>
  <c r="AV7" i="19"/>
  <c r="AU30" i="19" s="1"/>
  <c r="AV25" i="19"/>
  <c r="AU48" i="19" s="1"/>
  <c r="BF17" i="19"/>
  <c r="BG40" i="19" s="1"/>
  <c r="BF22" i="19"/>
  <c r="BG45" i="19" s="1"/>
  <c r="AV11" i="19"/>
  <c r="AU34" i="19" s="1"/>
  <c r="BF14" i="19"/>
  <c r="BG37" i="19" s="1"/>
  <c r="BD19" i="19"/>
  <c r="BE42" i="19" s="1"/>
  <c r="BD11" i="19"/>
  <c r="BE34" i="19" s="1"/>
  <c r="BD12" i="19"/>
  <c r="BE35" i="19" s="1"/>
  <c r="BD25" i="19"/>
  <c r="BE48" i="19" s="1"/>
  <c r="BD5" i="19"/>
  <c r="BE28" i="19" s="1"/>
  <c r="BD22" i="19"/>
  <c r="BE45" i="19" s="1"/>
  <c r="AV15" i="19"/>
  <c r="AU38" i="19" s="1"/>
  <c r="AV6" i="19"/>
  <c r="AU29" i="19" s="1"/>
  <c r="AV10" i="19"/>
  <c r="AU33" i="19" s="1"/>
  <c r="AV14" i="19"/>
  <c r="AU37" i="19" s="1"/>
  <c r="AV20" i="19"/>
  <c r="AU43" i="19" s="1"/>
  <c r="AV24" i="19"/>
  <c r="AU47" i="19" s="1"/>
  <c r="BF4" i="19"/>
  <c r="BG27" i="19" s="1"/>
  <c r="BF3" i="19"/>
  <c r="BG26" i="19" s="1"/>
  <c r="BF19" i="19"/>
  <c r="BG42" i="19" s="1"/>
  <c r="BF12" i="19"/>
  <c r="BG35" i="19" s="1"/>
  <c r="BF9" i="19"/>
  <c r="BG32" i="19" s="1"/>
  <c r="BF6" i="19"/>
  <c r="BG29" i="19" s="1"/>
  <c r="AV4" i="19"/>
  <c r="AU27" i="19" s="1"/>
  <c r="AV8" i="19"/>
  <c r="AU31" i="19" s="1"/>
  <c r="AV12" i="19"/>
  <c r="AU35" i="19" s="1"/>
  <c r="AV18" i="19"/>
  <c r="AU41" i="19" s="1"/>
  <c r="AV22" i="19"/>
  <c r="AU45" i="19" s="1"/>
  <c r="AV3" i="19"/>
  <c r="AU26" i="19" s="1"/>
  <c r="BF15" i="19"/>
  <c r="BG38" i="19" s="1"/>
  <c r="BF8" i="19"/>
  <c r="BG31" i="19" s="1"/>
  <c r="BF5" i="19"/>
  <c r="BG28" i="19" s="1"/>
  <c r="BF23" i="19"/>
  <c r="BG46" i="19" s="1"/>
  <c r="BF16" i="19"/>
  <c r="BG39" i="19" s="1"/>
  <c r="AV5" i="19"/>
  <c r="AU28" i="19" s="1"/>
  <c r="AV9" i="19"/>
  <c r="AU32" i="19" s="1"/>
  <c r="AV13" i="19"/>
  <c r="AU36" i="19" s="1"/>
  <c r="AV19" i="19"/>
  <c r="AU42" i="19" s="1"/>
  <c r="BF13" i="19"/>
  <c r="BG36" i="19" s="1"/>
  <c r="BF10" i="19"/>
  <c r="BG33" i="19" s="1"/>
  <c r="BF24" i="19"/>
  <c r="BG47" i="19" s="1"/>
  <c r="BF21" i="19"/>
  <c r="BG44" i="19" s="1"/>
  <c r="BF18" i="19"/>
  <c r="BG41" i="19" s="1"/>
  <c r="AQ15" i="19"/>
  <c r="AR38" i="19" s="1"/>
  <c r="DG18" i="19"/>
  <c r="DG16" i="19"/>
  <c r="DG17" i="19"/>
  <c r="DG14" i="19"/>
  <c r="DG15" i="19"/>
  <c r="DG12" i="19"/>
  <c r="DG13" i="19"/>
  <c r="AO8" i="19"/>
  <c r="AP31" i="19" s="1"/>
  <c r="DG10" i="19"/>
  <c r="DG11" i="19"/>
  <c r="DG8" i="19"/>
  <c r="DG9" i="19"/>
  <c r="DG6" i="19"/>
  <c r="DG7" i="19"/>
  <c r="BD8" i="19"/>
  <c r="BE31" i="19" s="1"/>
  <c r="BD20" i="19"/>
  <c r="BE43" i="19" s="1"/>
  <c r="BD13" i="19"/>
  <c r="BE36" i="19" s="1"/>
  <c r="BD10" i="19"/>
  <c r="BE33" i="19" s="1"/>
  <c r="BD7" i="19"/>
  <c r="BE30" i="19" s="1"/>
  <c r="BD21" i="19"/>
  <c r="BE44" i="19" s="1"/>
  <c r="AZ7" i="19"/>
  <c r="BA30" i="19" s="1"/>
  <c r="BD18" i="19"/>
  <c r="BE41" i="19" s="1"/>
  <c r="BD15" i="19"/>
  <c r="BE38" i="19" s="1"/>
  <c r="BD4" i="19"/>
  <c r="BE27" i="19" s="1"/>
  <c r="BD3" i="19"/>
  <c r="BE26" i="19" s="1"/>
  <c r="BD23" i="19"/>
  <c r="BE46" i="19" s="1"/>
  <c r="BD16" i="19"/>
  <c r="BE39" i="19" s="1"/>
  <c r="BD9" i="19"/>
  <c r="BE32" i="19" s="1"/>
  <c r="BD6" i="19"/>
  <c r="BE29" i="19" s="1"/>
  <c r="BD24" i="19"/>
  <c r="BE47" i="19" s="1"/>
  <c r="BD17" i="19"/>
  <c r="BE40" i="19" s="1"/>
  <c r="DG4" i="19"/>
  <c r="DG5" i="19"/>
  <c r="H61" i="21"/>
  <c r="BA2" i="19" s="1"/>
  <c r="BA21" i="19" s="1"/>
  <c r="AZ44" i="19" s="1"/>
  <c r="DI4" i="19"/>
  <c r="BL23" i="19"/>
  <c r="BK46" i="19" s="1"/>
  <c r="AQ19" i="19"/>
  <c r="AR42" i="19" s="1"/>
  <c r="AQ7" i="19"/>
  <c r="AR30" i="19" s="1"/>
  <c r="AQ23" i="19"/>
  <c r="AR46" i="19" s="1"/>
  <c r="AQ11" i="19"/>
  <c r="AR34" i="19" s="1"/>
  <c r="AL10" i="19"/>
  <c r="AK33" i="19" s="1"/>
  <c r="AZ4" i="19"/>
  <c r="BA27" i="19" s="1"/>
  <c r="AZ15" i="19"/>
  <c r="BA38" i="19" s="1"/>
  <c r="AL4" i="19"/>
  <c r="AK27" i="19" s="1"/>
  <c r="AZ19" i="19"/>
  <c r="BA42" i="19" s="1"/>
  <c r="AO11" i="19"/>
  <c r="AP34" i="19" s="1"/>
  <c r="BL16" i="19"/>
  <c r="BK39" i="19" s="1"/>
  <c r="AO19" i="19"/>
  <c r="AP42" i="19" s="1"/>
  <c r="BL13" i="19"/>
  <c r="BK36" i="19" s="1"/>
  <c r="AO23" i="19"/>
  <c r="AP46" i="19" s="1"/>
  <c r="BL5" i="19"/>
  <c r="BK28" i="19" s="1"/>
  <c r="BL10" i="19"/>
  <c r="BK33" i="19" s="1"/>
  <c r="AQ4" i="19"/>
  <c r="AR27" i="19" s="1"/>
  <c r="AQ12" i="19"/>
  <c r="AR35" i="19" s="1"/>
  <c r="AQ20" i="19"/>
  <c r="AR43" i="19" s="1"/>
  <c r="AQ5" i="19"/>
  <c r="AR28" i="19" s="1"/>
  <c r="AQ9" i="19"/>
  <c r="AR32" i="19" s="1"/>
  <c r="AQ13" i="19"/>
  <c r="AR36" i="19" s="1"/>
  <c r="AQ17" i="19"/>
  <c r="AR40" i="19" s="1"/>
  <c r="AQ21" i="19"/>
  <c r="AR44" i="19" s="1"/>
  <c r="AL15" i="19"/>
  <c r="AK38" i="19" s="1"/>
  <c r="AZ11" i="19"/>
  <c r="BA34" i="19" s="1"/>
  <c r="AZ20" i="19"/>
  <c r="BA43" i="19" s="1"/>
  <c r="BL19" i="19"/>
  <c r="BK42" i="19" s="1"/>
  <c r="BL12" i="19"/>
  <c r="BK35" i="19" s="1"/>
  <c r="BL9" i="19"/>
  <c r="BK32" i="19" s="1"/>
  <c r="BL6" i="19"/>
  <c r="BK29" i="19" s="1"/>
  <c r="BL20" i="19"/>
  <c r="BK43" i="19" s="1"/>
  <c r="BL17" i="19"/>
  <c r="BK40" i="19" s="1"/>
  <c r="AQ8" i="19"/>
  <c r="AR31" i="19" s="1"/>
  <c r="AQ16" i="19"/>
  <c r="AR39" i="19" s="1"/>
  <c r="AQ24" i="19"/>
  <c r="AR47" i="19" s="1"/>
  <c r="BL21" i="19"/>
  <c r="BK44" i="19" s="1"/>
  <c r="BL18" i="19"/>
  <c r="BK41" i="19" s="1"/>
  <c r="BL11" i="19"/>
  <c r="BK34" i="19" s="1"/>
  <c r="BL4" i="19"/>
  <c r="BK27" i="19" s="1"/>
  <c r="BL3" i="19"/>
  <c r="BK26" i="19" s="1"/>
  <c r="AQ25" i="19"/>
  <c r="AR48" i="19" s="1"/>
  <c r="AQ6" i="19"/>
  <c r="AR29" i="19" s="1"/>
  <c r="AQ10" i="19"/>
  <c r="AR33" i="19" s="1"/>
  <c r="AQ14" i="19"/>
  <c r="AR37" i="19" s="1"/>
  <c r="AQ18" i="19"/>
  <c r="AR41" i="19" s="1"/>
  <c r="AQ22" i="19"/>
  <c r="AR45" i="19" s="1"/>
  <c r="AL3" i="19"/>
  <c r="AK26" i="19" s="1"/>
  <c r="AZ3" i="19"/>
  <c r="BA26" i="19" s="1"/>
  <c r="AZ12" i="19"/>
  <c r="BA35" i="19" s="1"/>
  <c r="AZ23" i="19"/>
  <c r="BA46" i="19" s="1"/>
  <c r="BL14" i="19"/>
  <c r="BK37" i="19" s="1"/>
  <c r="BL7" i="19"/>
  <c r="BK30" i="19" s="1"/>
  <c r="BL25" i="19"/>
  <c r="BK48" i="19" s="1"/>
  <c r="BL22" i="19"/>
  <c r="BK45" i="19" s="1"/>
  <c r="BL15" i="19"/>
  <c r="BK38" i="19" s="1"/>
  <c r="AO7" i="19"/>
  <c r="AP30" i="19" s="1"/>
  <c r="AO16" i="19"/>
  <c r="AP39" i="19" s="1"/>
  <c r="AO15" i="19"/>
  <c r="AP38" i="19" s="1"/>
  <c r="AO24" i="19"/>
  <c r="AP47" i="19" s="1"/>
  <c r="AL20" i="19"/>
  <c r="AK43" i="19" s="1"/>
  <c r="AZ8" i="19"/>
  <c r="BA31" i="19" s="1"/>
  <c r="AZ16" i="19"/>
  <c r="BA39" i="19" s="1"/>
  <c r="AL6" i="19"/>
  <c r="AK29" i="19" s="1"/>
  <c r="AL11" i="19"/>
  <c r="AK34" i="19" s="1"/>
  <c r="AL16" i="19"/>
  <c r="AK39" i="19" s="1"/>
  <c r="AL22" i="19"/>
  <c r="AK45" i="19" s="1"/>
  <c r="AZ24" i="19"/>
  <c r="BA47" i="19" s="1"/>
  <c r="AL7" i="19"/>
  <c r="AK30" i="19" s="1"/>
  <c r="AL12" i="19"/>
  <c r="AK35" i="19" s="1"/>
  <c r="AL18" i="19"/>
  <c r="AK41" i="19" s="1"/>
  <c r="AL23" i="19"/>
  <c r="AK46" i="19" s="1"/>
  <c r="AZ5" i="19"/>
  <c r="BA28" i="19" s="1"/>
  <c r="AZ9" i="19"/>
  <c r="BA32" i="19" s="1"/>
  <c r="AZ13" i="19"/>
  <c r="BA36" i="19" s="1"/>
  <c r="AZ17" i="19"/>
  <c r="BA40" i="19" s="1"/>
  <c r="AZ21" i="19"/>
  <c r="BA44" i="19" s="1"/>
  <c r="AZ25" i="19"/>
  <c r="BA48" i="19" s="1"/>
  <c r="AL8" i="19"/>
  <c r="AK31" i="19" s="1"/>
  <c r="AL14" i="19"/>
  <c r="AK37" i="19" s="1"/>
  <c r="AL19" i="19"/>
  <c r="AK42" i="19" s="1"/>
  <c r="AL24" i="19"/>
  <c r="AK47" i="19" s="1"/>
  <c r="AZ6" i="19"/>
  <c r="BA29" i="19" s="1"/>
  <c r="AZ10" i="19"/>
  <c r="BA33" i="19" s="1"/>
  <c r="AZ14" i="19"/>
  <c r="BA37" i="19" s="1"/>
  <c r="AZ18" i="19"/>
  <c r="BA41" i="19" s="1"/>
  <c r="H84" i="21"/>
  <c r="BR2" i="19" s="1"/>
  <c r="BR8" i="19" s="1"/>
  <c r="BQ31" i="19" s="1"/>
  <c r="N118" i="1"/>
  <c r="H87" i="21" s="1"/>
  <c r="H71" i="21"/>
  <c r="BI2" i="19" s="1"/>
  <c r="BI24" i="19" s="1"/>
  <c r="BJ47" i="19" s="1"/>
  <c r="H65" i="21"/>
  <c r="BE2" i="19" s="1"/>
  <c r="BE18" i="19" s="1"/>
  <c r="BD41" i="19" s="1"/>
  <c r="Y95" i="1"/>
  <c r="DJ5" i="19" s="1"/>
  <c r="AO4" i="19"/>
  <c r="AP27" i="19" s="1"/>
  <c r="AO12" i="19"/>
  <c r="AP35" i="19" s="1"/>
  <c r="AO20" i="19"/>
  <c r="AP43" i="19" s="1"/>
  <c r="AL5" i="19"/>
  <c r="AK28" i="19" s="1"/>
  <c r="AL9" i="19"/>
  <c r="AK32" i="19" s="1"/>
  <c r="AL13" i="19"/>
  <c r="AK36" i="19" s="1"/>
  <c r="AL17" i="19"/>
  <c r="AK40" i="19" s="1"/>
  <c r="AL21" i="19"/>
  <c r="AK44" i="19" s="1"/>
  <c r="H62" i="21"/>
  <c r="BB2" i="19" s="1"/>
  <c r="BB24" i="19" s="1"/>
  <c r="BC47" i="19" s="1"/>
  <c r="AE90" i="1"/>
  <c r="Y111" i="1" s="1"/>
  <c r="H83" i="21" s="1"/>
  <c r="BQ2" i="19" s="1"/>
  <c r="AO5" i="19"/>
  <c r="AP28" i="19" s="1"/>
  <c r="AO9" i="19"/>
  <c r="AP32" i="19" s="1"/>
  <c r="AO13" i="19"/>
  <c r="AP36" i="19" s="1"/>
  <c r="AO17" i="19"/>
  <c r="AP40" i="19" s="1"/>
  <c r="AO21" i="19"/>
  <c r="AP44" i="19" s="1"/>
  <c r="AO25" i="19"/>
  <c r="AP48" i="19" s="1"/>
  <c r="AO6" i="19"/>
  <c r="AP29" i="19" s="1"/>
  <c r="AO10" i="19"/>
  <c r="AP33" i="19" s="1"/>
  <c r="AO14" i="19"/>
  <c r="AP37" i="19" s="1"/>
  <c r="AO18" i="19"/>
  <c r="AP41" i="19" s="1"/>
  <c r="AO22" i="19"/>
  <c r="AP45" i="19" s="1"/>
  <c r="BY697" i="19"/>
  <c r="BY670" i="19"/>
  <c r="BY686" i="19"/>
  <c r="BY703" i="19"/>
  <c r="BY715" i="19"/>
  <c r="BY706" i="19"/>
  <c r="BY695" i="19"/>
  <c r="BY682" i="19"/>
  <c r="BY702" i="19"/>
  <c r="BY714" i="19"/>
  <c r="BY707" i="19"/>
  <c r="BY694" i="19"/>
  <c r="BY698" i="19"/>
  <c r="BY696" i="19"/>
  <c r="BY700" i="19"/>
  <c r="BY704" i="19"/>
  <c r="BY712" i="19"/>
  <c r="BY690" i="19"/>
  <c r="BY708" i="19"/>
  <c r="BY711" i="19"/>
  <c r="BY710" i="19"/>
  <c r="BY699" i="19"/>
  <c r="BY678" i="19"/>
  <c r="BW720" i="19"/>
  <c r="BT697" i="19"/>
  <c r="BW693" i="19"/>
  <c r="BT670" i="19"/>
  <c r="BW709" i="19"/>
  <c r="BT686" i="19"/>
  <c r="BW726" i="19"/>
  <c r="BT703" i="19"/>
  <c r="BW738" i="19"/>
  <c r="BT715" i="19"/>
  <c r="BW729" i="19"/>
  <c r="BT706" i="19"/>
  <c r="BW718" i="19"/>
  <c r="BT695" i="19"/>
  <c r="BW705" i="19"/>
  <c r="BT682" i="19"/>
  <c r="BW725" i="19"/>
  <c r="BT702" i="19"/>
  <c r="BW737" i="19"/>
  <c r="BT714" i="19"/>
  <c r="BW730" i="19"/>
  <c r="BT707" i="19"/>
  <c r="BW717" i="19"/>
  <c r="BT694" i="19"/>
  <c r="BW721" i="19"/>
  <c r="BT698" i="19"/>
  <c r="BW719" i="19"/>
  <c r="BT696" i="19"/>
  <c r="BW723" i="19"/>
  <c r="BT700" i="19"/>
  <c r="BW727" i="19"/>
  <c r="BT704" i="19"/>
  <c r="BW735" i="19"/>
  <c r="BT712" i="19"/>
  <c r="BW713" i="19"/>
  <c r="BT690" i="19"/>
  <c r="BW731" i="19"/>
  <c r="BT708" i="19"/>
  <c r="BW734" i="19"/>
  <c r="BT711" i="19"/>
  <c r="BW733" i="19"/>
  <c r="BT710" i="19"/>
  <c r="BW722" i="19"/>
  <c r="BT699" i="19"/>
  <c r="BW701" i="19"/>
  <c r="BT678" i="19"/>
  <c r="BX719" i="19"/>
  <c r="CA723" i="19"/>
  <c r="BX721" i="19"/>
  <c r="CA709" i="19"/>
  <c r="BX717" i="19"/>
  <c r="BX727" i="19"/>
  <c r="BX725" i="19"/>
  <c r="BX720" i="19"/>
  <c r="BX705" i="19"/>
  <c r="CA727" i="19"/>
  <c r="BX693" i="19"/>
  <c r="BX713" i="19"/>
  <c r="CA730" i="19"/>
  <c r="CA719" i="19"/>
  <c r="CA721" i="19"/>
  <c r="BX723" i="19"/>
  <c r="CA720" i="19"/>
  <c r="BX722" i="19"/>
  <c r="CA737" i="19"/>
  <c r="BX737" i="19"/>
  <c r="BX731" i="19"/>
  <c r="CA713" i="19"/>
  <c r="CA726" i="19"/>
  <c r="BX735" i="19"/>
  <c r="CA735" i="19"/>
  <c r="CA733" i="19"/>
  <c r="CA738" i="19"/>
  <c r="CA731" i="19"/>
  <c r="BX734" i="19"/>
  <c r="BX730" i="19"/>
  <c r="CA701" i="19"/>
  <c r="BX738" i="19"/>
  <c r="CA729" i="19"/>
  <c r="BX701" i="19"/>
  <c r="BX733" i="19"/>
  <c r="CA693" i="19"/>
  <c r="CA717" i="19"/>
  <c r="CA725" i="19"/>
  <c r="CA718" i="19"/>
  <c r="BX718" i="19"/>
  <c r="BX709" i="19"/>
  <c r="BX729" i="19"/>
  <c r="CA734" i="19"/>
  <c r="BX726" i="19"/>
  <c r="CA705" i="19"/>
  <c r="CA722" i="19"/>
  <c r="BA16" i="19" l="1"/>
  <c r="AZ39" i="19" s="1"/>
  <c r="BA19" i="19"/>
  <c r="AZ42" i="19" s="1"/>
  <c r="BA11" i="19"/>
  <c r="AZ34" i="19" s="1"/>
  <c r="BA14" i="19"/>
  <c r="AZ37" i="19" s="1"/>
  <c r="BA6" i="19"/>
  <c r="AZ29" i="19" s="1"/>
  <c r="BA24" i="19"/>
  <c r="AZ47" i="19" s="1"/>
  <c r="BE20" i="19"/>
  <c r="BD43" i="19" s="1"/>
  <c r="BE13" i="19"/>
  <c r="BD36" i="19" s="1"/>
  <c r="BA9" i="19"/>
  <c r="AZ32" i="19" s="1"/>
  <c r="BA4" i="19"/>
  <c r="AZ27" i="19" s="1"/>
  <c r="BA22" i="19"/>
  <c r="AZ45" i="19" s="1"/>
  <c r="BA17" i="19"/>
  <c r="AZ40" i="19" s="1"/>
  <c r="BA12" i="19"/>
  <c r="AZ35" i="19" s="1"/>
  <c r="BA7" i="19"/>
  <c r="AZ30" i="19" s="1"/>
  <c r="BE11" i="19"/>
  <c r="BD34" i="19" s="1"/>
  <c r="BE19" i="19"/>
  <c r="BD42" i="19" s="1"/>
  <c r="BA25" i="19"/>
  <c r="AZ48" i="19" s="1"/>
  <c r="BA20" i="19"/>
  <c r="AZ43" i="19" s="1"/>
  <c r="BA15" i="19"/>
  <c r="AZ38" i="19" s="1"/>
  <c r="BA10" i="19"/>
  <c r="AZ33" i="19" s="1"/>
  <c r="BA5" i="19"/>
  <c r="AZ28" i="19" s="1"/>
  <c r="BA23" i="19"/>
  <c r="AZ46" i="19" s="1"/>
  <c r="BE8" i="19"/>
  <c r="BD31" i="19" s="1"/>
  <c r="BA18" i="19"/>
  <c r="AZ41" i="19" s="1"/>
  <c r="BA13" i="19"/>
  <c r="AZ36" i="19" s="1"/>
  <c r="BA8" i="19"/>
  <c r="AZ31" i="19" s="1"/>
  <c r="BA3" i="19"/>
  <c r="AZ26" i="19" s="1"/>
  <c r="BE16" i="19"/>
  <c r="BD39" i="19" s="1"/>
  <c r="BE9" i="19"/>
  <c r="BD32" i="19" s="1"/>
  <c r="BE6" i="19"/>
  <c r="BD29" i="19" s="1"/>
  <c r="BE24" i="19"/>
  <c r="BD47" i="19" s="1"/>
  <c r="BE23" i="19"/>
  <c r="BD46" i="19" s="1"/>
  <c r="BE3" i="19"/>
  <c r="BD26" i="19" s="1"/>
  <c r="BE17" i="19"/>
  <c r="BD40" i="19" s="1"/>
  <c r="BE25" i="19"/>
  <c r="BD48" i="19" s="1"/>
  <c r="BE22" i="19"/>
  <c r="BD45" i="19" s="1"/>
  <c r="BE5" i="19"/>
  <c r="BD28" i="19" s="1"/>
  <c r="BE14" i="19"/>
  <c r="BD37" i="19" s="1"/>
  <c r="BE21" i="19"/>
  <c r="BD44" i="19" s="1"/>
  <c r="BE7" i="19"/>
  <c r="BD30" i="19" s="1"/>
  <c r="BE4" i="19"/>
  <c r="BD27" i="19" s="1"/>
  <c r="BE10" i="19"/>
  <c r="BD33" i="19" s="1"/>
  <c r="BE15" i="19"/>
  <c r="BD38" i="19" s="1"/>
  <c r="BE12" i="19"/>
  <c r="BD35" i="19" s="1"/>
  <c r="BI11" i="19"/>
  <c r="BJ34" i="19" s="1"/>
  <c r="BI8" i="19"/>
  <c r="BJ31" i="19" s="1"/>
  <c r="BI5" i="19"/>
  <c r="BJ28" i="19" s="1"/>
  <c r="BI9" i="19"/>
  <c r="BJ32" i="19" s="1"/>
  <c r="BI25" i="19"/>
  <c r="BJ48" i="19" s="1"/>
  <c r="BR15" i="19"/>
  <c r="BQ38" i="19" s="1"/>
  <c r="BB21" i="19"/>
  <c r="BC44" i="19" s="1"/>
  <c r="BI14" i="19"/>
  <c r="BJ37" i="19" s="1"/>
  <c r="BI16" i="19"/>
  <c r="BJ39" i="19" s="1"/>
  <c r="BI13" i="19"/>
  <c r="BJ36" i="19" s="1"/>
  <c r="BI3" i="19"/>
  <c r="BJ26" i="19" s="1"/>
  <c r="BI7" i="19"/>
  <c r="BJ30" i="19" s="1"/>
  <c r="BR19" i="19"/>
  <c r="BQ42" i="19" s="1"/>
  <c r="BR16" i="19"/>
  <c r="BQ39" i="19" s="1"/>
  <c r="BI22" i="19"/>
  <c r="BJ45" i="19" s="1"/>
  <c r="BI17" i="19"/>
  <c r="BJ40" i="19" s="1"/>
  <c r="BI21" i="19"/>
  <c r="BJ44" i="19" s="1"/>
  <c r="BI18" i="19"/>
  <c r="BJ41" i="19" s="1"/>
  <c r="BI15" i="19"/>
  <c r="BJ38" i="19" s="1"/>
  <c r="BI12" i="19"/>
  <c r="BJ35" i="19" s="1"/>
  <c r="BR22" i="19"/>
  <c r="BQ45" i="19" s="1"/>
  <c r="BR7" i="19"/>
  <c r="BQ30" i="19" s="1"/>
  <c r="BI4" i="19"/>
  <c r="BJ27" i="19" s="1"/>
  <c r="BI6" i="19"/>
  <c r="BJ29" i="19" s="1"/>
  <c r="BI19" i="19"/>
  <c r="BJ42" i="19" s="1"/>
  <c r="BI23" i="19"/>
  <c r="BJ46" i="19" s="1"/>
  <c r="BI20" i="19"/>
  <c r="BJ43" i="19" s="1"/>
  <c r="BI10" i="19"/>
  <c r="BJ33" i="19" s="1"/>
  <c r="BR3" i="19"/>
  <c r="BQ26" i="19" s="1"/>
  <c r="BR14" i="19"/>
  <c r="BQ37" i="19" s="1"/>
  <c r="BR9" i="19"/>
  <c r="BQ32" i="19" s="1"/>
  <c r="BR4" i="19"/>
  <c r="BQ27" i="19" s="1"/>
  <c r="BR10" i="19"/>
  <c r="BQ33" i="19" s="1"/>
  <c r="BR5" i="19"/>
  <c r="BQ28" i="19" s="1"/>
  <c r="BR23" i="19"/>
  <c r="BQ46" i="19" s="1"/>
  <c r="BR17" i="19"/>
  <c r="BQ40" i="19" s="1"/>
  <c r="BR24" i="19"/>
  <c r="BQ47" i="19" s="1"/>
  <c r="BR18" i="19"/>
  <c r="BQ41" i="19" s="1"/>
  <c r="BR13" i="19"/>
  <c r="BQ36" i="19" s="1"/>
  <c r="BR20" i="19"/>
  <c r="BQ43" i="19" s="1"/>
  <c r="BR25" i="19"/>
  <c r="BQ48" i="19" s="1"/>
  <c r="BR11" i="19"/>
  <c r="BQ34" i="19" s="1"/>
  <c r="BR12" i="19"/>
  <c r="BQ35" i="19" s="1"/>
  <c r="BR21" i="19"/>
  <c r="BQ44" i="19" s="1"/>
  <c r="BR6" i="19"/>
  <c r="BQ29" i="19" s="1"/>
  <c r="BB10" i="19"/>
  <c r="BC33" i="19" s="1"/>
  <c r="BB16" i="19"/>
  <c r="BC39" i="19" s="1"/>
  <c r="BB13" i="19"/>
  <c r="BC36" i="19" s="1"/>
  <c r="BB17" i="19"/>
  <c r="BC40" i="19" s="1"/>
  <c r="BB12" i="19"/>
  <c r="BC35" i="19" s="1"/>
  <c r="BB5" i="19"/>
  <c r="BC28" i="19" s="1"/>
  <c r="BB22" i="19"/>
  <c r="BC45" i="19" s="1"/>
  <c r="BB6" i="19"/>
  <c r="BC29" i="19" s="1"/>
  <c r="BB23" i="19"/>
  <c r="BC46" i="19" s="1"/>
  <c r="BB15" i="19"/>
  <c r="BC38" i="19" s="1"/>
  <c r="BB18" i="19"/>
  <c r="BC41" i="19" s="1"/>
  <c r="BB8" i="19"/>
  <c r="BC31" i="19" s="1"/>
  <c r="BB25" i="19"/>
  <c r="BC48" i="19" s="1"/>
  <c r="BB20" i="19"/>
  <c r="BC43" i="19" s="1"/>
  <c r="BB9" i="19"/>
  <c r="BC32" i="19" s="1"/>
  <c r="BB3" i="19"/>
  <c r="BC26" i="19" s="1"/>
  <c r="BB4" i="19"/>
  <c r="BC27" i="19" s="1"/>
  <c r="BB7" i="19"/>
  <c r="BC30" i="19" s="1"/>
  <c r="BB19" i="19"/>
  <c r="BC42" i="19" s="1"/>
  <c r="H73" i="21"/>
  <c r="BK2" i="19" s="1"/>
  <c r="BK14" i="19" s="1"/>
  <c r="BL37" i="19" s="1"/>
  <c r="AE103" i="1"/>
  <c r="H79" i="21" s="1"/>
  <c r="BO2" i="19" s="1"/>
  <c r="H72" i="21"/>
  <c r="BJ2" i="19" s="1"/>
  <c r="BJ17" i="19" s="1"/>
  <c r="BI40" i="19" s="1"/>
  <c r="Y103" i="1"/>
  <c r="BQ3" i="19"/>
  <c r="BR26" i="19" s="1"/>
  <c r="BQ22" i="19"/>
  <c r="BR45" i="19" s="1"/>
  <c r="BQ18" i="19"/>
  <c r="BR41" i="19" s="1"/>
  <c r="BQ14" i="19"/>
  <c r="BR37" i="19" s="1"/>
  <c r="BQ10" i="19"/>
  <c r="BR33" i="19" s="1"/>
  <c r="BQ6" i="19"/>
  <c r="BR29" i="19" s="1"/>
  <c r="BQ25" i="19"/>
  <c r="BR48" i="19" s="1"/>
  <c r="BQ21" i="19"/>
  <c r="BR44" i="19" s="1"/>
  <c r="BQ17" i="19"/>
  <c r="BR40" i="19" s="1"/>
  <c r="BQ13" i="19"/>
  <c r="BR36" i="19" s="1"/>
  <c r="BQ9" i="19"/>
  <c r="BR32" i="19" s="1"/>
  <c r="BQ5" i="19"/>
  <c r="BR28" i="19" s="1"/>
  <c r="BQ24" i="19"/>
  <c r="BR47" i="19" s="1"/>
  <c r="BQ20" i="19"/>
  <c r="BR43" i="19" s="1"/>
  <c r="BQ16" i="19"/>
  <c r="BR39" i="19" s="1"/>
  <c r="BQ12" i="19"/>
  <c r="BR35" i="19" s="1"/>
  <c r="BQ8" i="19"/>
  <c r="BR31" i="19" s="1"/>
  <c r="BQ4" i="19"/>
  <c r="BR27" i="19" s="1"/>
  <c r="BQ23" i="19"/>
  <c r="BR46" i="19" s="1"/>
  <c r="BQ19" i="19"/>
  <c r="BR42" i="19" s="1"/>
  <c r="BQ15" i="19"/>
  <c r="BR38" i="19" s="1"/>
  <c r="BQ11" i="19"/>
  <c r="BR34" i="19" s="1"/>
  <c r="BQ7" i="19"/>
  <c r="BR30" i="19" s="1"/>
  <c r="BB11" i="19"/>
  <c r="BC34" i="19" s="1"/>
  <c r="BB14" i="19"/>
  <c r="BC37" i="19" s="1"/>
  <c r="BY701" i="19"/>
  <c r="BY722" i="19"/>
  <c r="BY733" i="19"/>
  <c r="BY734" i="19"/>
  <c r="BY731" i="19"/>
  <c r="BY713" i="19"/>
  <c r="BY735" i="19"/>
  <c r="BY727" i="19"/>
  <c r="BY723" i="19"/>
  <c r="BY719" i="19"/>
  <c r="BY721" i="19"/>
  <c r="BY717" i="19"/>
  <c r="BY730" i="19"/>
  <c r="BY737" i="19"/>
  <c r="BY725" i="19"/>
  <c r="BY705" i="19"/>
  <c r="BY718" i="19"/>
  <c r="BY729" i="19"/>
  <c r="BY738" i="19"/>
  <c r="BY726" i="19"/>
  <c r="BY709" i="19"/>
  <c r="BY693" i="19"/>
  <c r="BY720" i="19"/>
  <c r="BW724" i="19"/>
  <c r="BT701" i="19"/>
  <c r="BT722" i="19"/>
  <c r="BT733" i="19"/>
  <c r="BT734" i="19"/>
  <c r="BT731" i="19"/>
  <c r="BW736" i="19"/>
  <c r="BT713" i="19"/>
  <c r="BT735" i="19"/>
  <c r="BT727" i="19"/>
  <c r="BT723" i="19"/>
  <c r="BT719" i="19"/>
  <c r="BT721" i="19"/>
  <c r="BT717" i="19"/>
  <c r="BT730" i="19"/>
  <c r="BT737" i="19"/>
  <c r="BT725" i="19"/>
  <c r="BW728" i="19"/>
  <c r="BT705" i="19"/>
  <c r="BT718" i="19"/>
  <c r="BT729" i="19"/>
  <c r="BT738" i="19"/>
  <c r="BT726" i="19"/>
  <c r="BW732" i="19"/>
  <c r="BT709" i="19"/>
  <c r="BW716" i="19"/>
  <c r="BT693" i="19"/>
  <c r="BT720" i="19"/>
  <c r="BX732" i="19"/>
  <c r="BX724" i="19"/>
  <c r="CA724" i="19"/>
  <c r="CA716" i="19"/>
  <c r="CA728" i="19"/>
  <c r="BX736" i="19"/>
  <c r="CA732" i="19"/>
  <c r="BX728" i="19"/>
  <c r="CA736" i="19"/>
  <c r="BX716" i="19"/>
  <c r="BJ24" i="19" l="1"/>
  <c r="BI47" i="19" s="1"/>
  <c r="BK11" i="19"/>
  <c r="BL34" i="19" s="1"/>
  <c r="BJ10" i="19"/>
  <c r="BI33" i="19" s="1"/>
  <c r="H78" i="21"/>
  <c r="BN2" i="19" s="1"/>
  <c r="BN24" i="19" s="1"/>
  <c r="BO47" i="19" s="1"/>
  <c r="BJ18" i="19"/>
  <c r="BI41" i="19" s="1"/>
  <c r="BJ19" i="19"/>
  <c r="BI42" i="19" s="1"/>
  <c r="BJ16" i="19"/>
  <c r="BI39" i="19" s="1"/>
  <c r="BK8" i="19"/>
  <c r="BL31" i="19" s="1"/>
  <c r="BK15" i="19"/>
  <c r="BL38" i="19" s="1"/>
  <c r="BK23" i="19"/>
  <c r="BL46" i="19" s="1"/>
  <c r="BK3" i="19"/>
  <c r="BL26" i="19" s="1"/>
  <c r="BK25" i="19"/>
  <c r="BL48" i="19" s="1"/>
  <c r="BK12" i="19"/>
  <c r="BL35" i="19" s="1"/>
  <c r="BK9" i="19"/>
  <c r="BL32" i="19" s="1"/>
  <c r="BJ8" i="19"/>
  <c r="BI31" i="19" s="1"/>
  <c r="BJ6" i="19"/>
  <c r="BI29" i="19" s="1"/>
  <c r="BK7" i="19"/>
  <c r="BL30" i="19" s="1"/>
  <c r="BK5" i="19"/>
  <c r="BL28" i="19" s="1"/>
  <c r="BK16" i="19"/>
  <c r="BL39" i="19" s="1"/>
  <c r="BK20" i="19"/>
  <c r="BL43" i="19" s="1"/>
  <c r="BJ25" i="19"/>
  <c r="BI48" i="19" s="1"/>
  <c r="BJ9" i="19"/>
  <c r="BI32" i="19" s="1"/>
  <c r="BK13" i="19"/>
  <c r="BL36" i="19" s="1"/>
  <c r="BK18" i="19"/>
  <c r="BL41" i="19" s="1"/>
  <c r="BK22" i="19"/>
  <c r="BL45" i="19" s="1"/>
  <c r="BK10" i="19"/>
  <c r="BL33" i="19" s="1"/>
  <c r="BK19" i="19"/>
  <c r="BL42" i="19" s="1"/>
  <c r="BJ14" i="19"/>
  <c r="BI37" i="19" s="1"/>
  <c r="BJ15" i="19"/>
  <c r="BI38" i="19" s="1"/>
  <c r="BJ23" i="19"/>
  <c r="BI46" i="19" s="1"/>
  <c r="BJ20" i="19"/>
  <c r="BI43" i="19" s="1"/>
  <c r="BJ7" i="19"/>
  <c r="BI30" i="19" s="1"/>
  <c r="BJ4" i="19"/>
  <c r="BI27" i="19" s="1"/>
  <c r="BJ5" i="19"/>
  <c r="BI28" i="19" s="1"/>
  <c r="BJ13" i="19"/>
  <c r="BI36" i="19" s="1"/>
  <c r="BJ21" i="19"/>
  <c r="BI44" i="19" s="1"/>
  <c r="BJ11" i="19"/>
  <c r="BI34" i="19" s="1"/>
  <c r="BJ22" i="19"/>
  <c r="BI45" i="19" s="1"/>
  <c r="BJ12" i="19"/>
  <c r="BI35" i="19" s="1"/>
  <c r="BJ3" i="19"/>
  <c r="BI26" i="19" s="1"/>
  <c r="BK24" i="19"/>
  <c r="BL47" i="19" s="1"/>
  <c r="BK17" i="19"/>
  <c r="BL40" i="19" s="1"/>
  <c r="BK6" i="19"/>
  <c r="BL29" i="19" s="1"/>
  <c r="BK21" i="19"/>
  <c r="BL44" i="19" s="1"/>
  <c r="BK4" i="19"/>
  <c r="BL27" i="19" s="1"/>
  <c r="BO16" i="19"/>
  <c r="BN39" i="19" s="1"/>
  <c r="BO25" i="19"/>
  <c r="BN48" i="19" s="1"/>
  <c r="BO9" i="19"/>
  <c r="BN32" i="19" s="1"/>
  <c r="BO11" i="19"/>
  <c r="BN34" i="19" s="1"/>
  <c r="BO14" i="19"/>
  <c r="BN37" i="19" s="1"/>
  <c r="BO7" i="19"/>
  <c r="BN30" i="19" s="1"/>
  <c r="BO12" i="19"/>
  <c r="BN35" i="19" s="1"/>
  <c r="BO21" i="19"/>
  <c r="BN44" i="19" s="1"/>
  <c r="BO5" i="19"/>
  <c r="BN28" i="19" s="1"/>
  <c r="BO3" i="19"/>
  <c r="BN26" i="19" s="1"/>
  <c r="BO10" i="19"/>
  <c r="BN33" i="19" s="1"/>
  <c r="BO24" i="19"/>
  <c r="BN47" i="19" s="1"/>
  <c r="BO8" i="19"/>
  <c r="BN31" i="19" s="1"/>
  <c r="BO17" i="19"/>
  <c r="BN40" i="19" s="1"/>
  <c r="BO19" i="19"/>
  <c r="BN42" i="19" s="1"/>
  <c r="BO22" i="19"/>
  <c r="BN45" i="19" s="1"/>
  <c r="BO6" i="19"/>
  <c r="BN29" i="19" s="1"/>
  <c r="BO20" i="19"/>
  <c r="BN43" i="19" s="1"/>
  <c r="BO4" i="19"/>
  <c r="BN27" i="19" s="1"/>
  <c r="BO13" i="19"/>
  <c r="BN36" i="19" s="1"/>
  <c r="BO15" i="19"/>
  <c r="BN38" i="19" s="1"/>
  <c r="BO18" i="19"/>
  <c r="BN41" i="19" s="1"/>
  <c r="BO23" i="19"/>
  <c r="BN46" i="19" s="1"/>
  <c r="BY716" i="19"/>
  <c r="BY732" i="19"/>
  <c r="BY728" i="19"/>
  <c r="BY736" i="19"/>
  <c r="BY724" i="19"/>
  <c r="BT716" i="19"/>
  <c r="BT732" i="19"/>
  <c r="BT728" i="19"/>
  <c r="BT736" i="19"/>
  <c r="BT724" i="19"/>
  <c r="BN9" i="19" l="1"/>
  <c r="BO32" i="19" s="1"/>
  <c r="BN4" i="19"/>
  <c r="BO27" i="19" s="1"/>
  <c r="BN10" i="19"/>
  <c r="BO33" i="19" s="1"/>
  <c r="BN7" i="19"/>
  <c r="BO30" i="19" s="1"/>
  <c r="BN5" i="19"/>
  <c r="BO28" i="19" s="1"/>
  <c r="BN25" i="19"/>
  <c r="BO48" i="19" s="1"/>
  <c r="BN3" i="19"/>
  <c r="BO26" i="19" s="1"/>
  <c r="BN23" i="19"/>
  <c r="BO46" i="19" s="1"/>
  <c r="BN20" i="19"/>
  <c r="BO43" i="19" s="1"/>
  <c r="BN17" i="19"/>
  <c r="BO40" i="19" s="1"/>
  <c r="BN14" i="19"/>
  <c r="BO37" i="19" s="1"/>
  <c r="BN11" i="19"/>
  <c r="BO34" i="19" s="1"/>
  <c r="BN12" i="19"/>
  <c r="BO35" i="19" s="1"/>
  <c r="BN21" i="19"/>
  <c r="BO44" i="19" s="1"/>
  <c r="BN18" i="19"/>
  <c r="BO41" i="19" s="1"/>
  <c r="BN19" i="19"/>
  <c r="BO42" i="19" s="1"/>
  <c r="BN16" i="19"/>
  <c r="BO39" i="19" s="1"/>
  <c r="BN13" i="19"/>
  <c r="BO36" i="19" s="1"/>
  <c r="BN6" i="19"/>
  <c r="BO29" i="19" s="1"/>
  <c r="BN22" i="19"/>
  <c r="BO45" i="19" s="1"/>
  <c r="BN15" i="19"/>
  <c r="BO38" i="19" s="1"/>
  <c r="BN8" i="19"/>
  <c r="BO31" i="19" s="1"/>
  <c r="CJ47" i="19" a="1"/>
  <c r="CJ47" i="19" s="1"/>
  <c r="CE48" i="19" a="1"/>
  <c r="CE48" i="19" s="1"/>
  <c r="CL48" i="19" a="1"/>
  <c r="CL48" i="19" s="1"/>
  <c r="CE47" i="19" a="1"/>
  <c r="CE47" i="19" s="1"/>
  <c r="CF48" i="19" a="1"/>
  <c r="CF48" i="19" s="1"/>
  <c r="CK48" i="19" a="1"/>
  <c r="CK48" i="19" s="1"/>
  <c r="CJ48" i="19" a="1"/>
  <c r="CJ48" i="19" s="1"/>
  <c r="CF47" i="19" a="1"/>
  <c r="CF47" i="19" s="1"/>
  <c r="CC77" i="19" a="1"/>
  <c r="CC77" i="19" s="1"/>
  <c r="CP47" i="19" a="1"/>
  <c r="CP47" i="19" s="1"/>
  <c r="CL47" i="19" a="1"/>
  <c r="CL47" i="19" s="1"/>
  <c r="CK47" i="19" a="1"/>
  <c r="CK47" i="19" s="1"/>
  <c r="CG47" i="19" a="1"/>
  <c r="CG47" i="19" s="1"/>
  <c r="CO48" i="19" a="1"/>
  <c r="CO48" i="19" s="1"/>
  <c r="CM47" i="19" a="1"/>
  <c r="CM47" i="19" s="1"/>
  <c r="CH47" i="19" a="1"/>
  <c r="CH47" i="19" s="1"/>
  <c r="CG48" i="19" a="1"/>
  <c r="CG48" i="19" s="1"/>
  <c r="CO47" i="19" a="1"/>
  <c r="CO47" i="19" s="1"/>
  <c r="CD48" i="19" a="1"/>
  <c r="CD48" i="19" s="1"/>
  <c r="CI48" i="19" a="1"/>
  <c r="CI48" i="19" s="1"/>
  <c r="CH48" i="19" a="1"/>
  <c r="CH48" i="19" s="1"/>
  <c r="CQ48" i="19" a="1"/>
  <c r="CQ48" i="19" s="1"/>
  <c r="CN47" i="19" a="1"/>
  <c r="CN47" i="19" s="1"/>
  <c r="CP48" i="19" a="1"/>
  <c r="CP48" i="19" s="1"/>
  <c r="CI47" i="19" a="1"/>
  <c r="CI47" i="19" s="1"/>
  <c r="CM48" i="19" a="1"/>
  <c r="CM48" i="19" s="1"/>
  <c r="CD47" i="19" a="1"/>
  <c r="CD47" i="19" s="1"/>
  <c r="CQ47" i="19" a="1"/>
  <c r="CQ47" i="19" s="1"/>
  <c r="CN48" i="19" a="1"/>
  <c r="CN48" i="19" s="1"/>
  <c r="CC81" i="19" a="1"/>
  <c r="CC81" i="19" s="1"/>
  <c r="CC110" i="19" a="1"/>
  <c r="CC110" i="19" s="1"/>
  <c r="CC63" i="19" a="1"/>
  <c r="CC63" i="19" s="1"/>
  <c r="CC85" i="19" a="1"/>
  <c r="CC85" i="19" s="1"/>
  <c r="CC59" i="19" a="1"/>
  <c r="CC59" i="19" s="1"/>
  <c r="CC108" i="19" a="1"/>
  <c r="CC108" i="19" s="1"/>
  <c r="CC90" i="19" a="1"/>
  <c r="CC90" i="19" s="1"/>
  <c r="CC62" i="19" a="1"/>
  <c r="CC62" i="19" s="1"/>
  <c r="CC71" i="19" a="1"/>
  <c r="CC71" i="19" s="1"/>
  <c r="CC109" i="19" a="1"/>
  <c r="CC109" i="19" s="1"/>
  <c r="CC105" i="19" a="1"/>
  <c r="CC105" i="19" s="1"/>
  <c r="CC86" i="19" a="1"/>
  <c r="CC86" i="19" s="1"/>
  <c r="CC65" i="19" a="1"/>
  <c r="CC65" i="19" s="1"/>
  <c r="CC80" i="19" a="1"/>
  <c r="CC80" i="19" s="1"/>
  <c r="CC67" i="19" a="1"/>
  <c r="CC67" i="19" s="1"/>
  <c r="CC100" i="19" a="1"/>
  <c r="CC100" i="19" s="1"/>
  <c r="CC127" i="19" a="1"/>
  <c r="CC127" i="19" s="1"/>
  <c r="CC121" i="19" a="1"/>
  <c r="CC121" i="19" s="1"/>
  <c r="CC70" i="19" a="1"/>
  <c r="CC70" i="19" s="1"/>
  <c r="CC104" i="19" a="1"/>
  <c r="CC104" i="19" s="1"/>
  <c r="CC83" i="19" a="1"/>
  <c r="CC83" i="19" s="1"/>
  <c r="CC117" i="19" a="1"/>
  <c r="CC117" i="19" s="1"/>
  <c r="CC93" i="19" a="1"/>
  <c r="CC93" i="19" s="1"/>
  <c r="CC101" i="19" a="1"/>
  <c r="CC101" i="19" s="1"/>
  <c r="CC124" i="19" a="1"/>
  <c r="CC124" i="19" s="1"/>
  <c r="CC99" i="19" a="1"/>
  <c r="CC99" i="19" s="1"/>
  <c r="CC98" i="19" a="1"/>
  <c r="CC98" i="19" s="1"/>
  <c r="CC84" i="19" a="1"/>
  <c r="CC84" i="19" s="1"/>
  <c r="CC126" i="19" a="1"/>
  <c r="CC126" i="19" s="1"/>
  <c r="CC128" i="19" a="1"/>
  <c r="CC128" i="19" s="1"/>
  <c r="CC60" i="19" a="1"/>
  <c r="CC60" i="19" s="1"/>
  <c r="CC95" i="19" a="1"/>
  <c r="CC95" i="19" s="1"/>
  <c r="CC72" i="19" a="1"/>
  <c r="CC72" i="19" s="1"/>
  <c r="CC92" i="19" a="1"/>
  <c r="CC92" i="19" s="1"/>
  <c r="CC78" i="19" a="1"/>
  <c r="CC78" i="19" s="1"/>
  <c r="CC74" i="19" a="1"/>
  <c r="CC74" i="19" s="1"/>
  <c r="CC64" i="19" a="1"/>
  <c r="CC64" i="19" s="1"/>
  <c r="CC106" i="19" a="1"/>
  <c r="CC106" i="19" s="1"/>
  <c r="CC116" i="19" a="1"/>
  <c r="CC116" i="19" s="1"/>
  <c r="CC102" i="19" a="1"/>
  <c r="CC102" i="19" s="1"/>
  <c r="CC68" i="19" a="1"/>
  <c r="CC68" i="19" s="1"/>
  <c r="CC125" i="19" a="1"/>
  <c r="CC125" i="19" s="1"/>
  <c r="CC73" i="19" a="1"/>
  <c r="CC73" i="19" s="1"/>
  <c r="CC103" i="19" a="1"/>
  <c r="CC103" i="19" s="1"/>
  <c r="CC97" i="19" a="1"/>
  <c r="CC97" i="19" s="1"/>
  <c r="CC118" i="19" a="1"/>
  <c r="CC118" i="19" s="1"/>
  <c r="CC76" i="19" a="1"/>
  <c r="CC76" i="19" s="1"/>
  <c r="CC61" i="19" a="1"/>
  <c r="CC61" i="19" s="1"/>
  <c r="CC89" i="19" a="1"/>
  <c r="CC89" i="19" s="1"/>
  <c r="CC120" i="19" a="1"/>
  <c r="CC120" i="19" s="1"/>
  <c r="CC79" i="19" a="1"/>
  <c r="CC79" i="19" s="1"/>
  <c r="CC69" i="19" a="1"/>
  <c r="CC69" i="19" s="1"/>
  <c r="CC114" i="19" a="1"/>
  <c r="CC114" i="19" s="1"/>
  <c r="CC96" i="19" a="1"/>
  <c r="CC96" i="19" s="1"/>
  <c r="CC91" i="19" a="1"/>
  <c r="CC91" i="19" s="1"/>
  <c r="CC113" i="19" a="1"/>
  <c r="CC113" i="19" s="1"/>
  <c r="CC107" i="19" a="1"/>
  <c r="CC107" i="19" s="1"/>
  <c r="CC123" i="19" a="1"/>
  <c r="CC123" i="19" s="1"/>
  <c r="CC66" i="19" a="1"/>
  <c r="CC66" i="19" s="1"/>
  <c r="CC75" i="19" a="1"/>
  <c r="CC75" i="19" s="1"/>
  <c r="CC115" i="19" a="1"/>
  <c r="CC115" i="19" s="1"/>
  <c r="CC112" i="19" a="1"/>
  <c r="CC112" i="19" s="1"/>
  <c r="CC119" i="19" a="1"/>
  <c r="CC119" i="19" s="1"/>
  <c r="CC82" i="19" a="1"/>
  <c r="CC82" i="19" s="1"/>
  <c r="CC111" i="19" a="1"/>
  <c r="CC111" i="19" s="1"/>
  <c r="CC94" i="19" a="1"/>
  <c r="CC94" i="19" s="1"/>
  <c r="CC87" i="19" a="1"/>
  <c r="CC87" i="19" s="1"/>
  <c r="CC122" i="19" a="1"/>
  <c r="CC122" i="19" s="1"/>
  <c r="CC88" i="19" a="1"/>
  <c r="CC88" i="19" s="1"/>
  <c r="CF46" i="19" a="1"/>
  <c r="CF46" i="19" s="1"/>
  <c r="CH46" i="19" a="1"/>
  <c r="CH46" i="19" s="1"/>
  <c r="CJ46" i="19" a="1"/>
  <c r="CJ46" i="19" s="1"/>
  <c r="CC52" i="19" a="1"/>
  <c r="CC52" i="19" s="1"/>
  <c r="CP46" i="19" a="1"/>
  <c r="CP46" i="19" s="1"/>
  <c r="CO46" i="19" a="1"/>
  <c r="CO46" i="19" s="1"/>
  <c r="CE46" i="19" a="1"/>
  <c r="CE46" i="19" s="1"/>
  <c r="CN46" i="19" a="1"/>
  <c r="CN46" i="19" s="1"/>
  <c r="CQ46" i="19" a="1"/>
  <c r="CQ46" i="19" s="1"/>
  <c r="CK46" i="19" a="1"/>
  <c r="CK46" i="19" s="1"/>
  <c r="CG46" i="19" a="1"/>
  <c r="CG46" i="19" s="1"/>
  <c r="CL46" i="19" a="1"/>
  <c r="CL46" i="19" s="1"/>
  <c r="CM46" i="19" a="1"/>
  <c r="CM46" i="19" s="1"/>
  <c r="CI46" i="19" a="1"/>
  <c r="CI46" i="19" s="1"/>
  <c r="CD46" i="19" a="1"/>
  <c r="CD46" i="19" s="1"/>
  <c r="CC58" i="19" a="1"/>
  <c r="CC58" i="19" s="1"/>
  <c r="CC46" i="19" a="1"/>
  <c r="CC46" i="19" s="1"/>
  <c r="CC53" i="19" a="1"/>
  <c r="CC53" i="19" s="1"/>
  <c r="CC56" i="19" a="1"/>
  <c r="CC56" i="19" s="1"/>
  <c r="CC55" i="19" a="1"/>
  <c r="CC55" i="19" s="1"/>
  <c r="CC57" i="19" a="1"/>
  <c r="CC57" i="19" s="1"/>
  <c r="CC54" i="19" a="1"/>
  <c r="CC54" i="19" s="1"/>
  <c r="CL20" i="19" a="1"/>
  <c r="CL20" i="19" s="1"/>
  <c r="CC49" i="19" a="1"/>
  <c r="CC49" i="19" s="1"/>
  <c r="CC47" i="19" a="1"/>
  <c r="CC47" i="19" s="1"/>
  <c r="CC50" i="19" a="1"/>
  <c r="CC50" i="19" s="1"/>
  <c r="CC51" i="19" a="1"/>
  <c r="CC51" i="19" s="1"/>
  <c r="CC48" i="19" a="1"/>
  <c r="CC48" i="19" s="1"/>
  <c r="CJ9" i="19" a="1"/>
  <c r="CJ9" i="19" s="1"/>
  <c r="CP40" i="19" a="1"/>
  <c r="CP40" i="19" s="1"/>
  <c r="CF9" i="19" a="1"/>
  <c r="CF9" i="19" s="1"/>
  <c r="CM36" i="19" a="1"/>
  <c r="CM36" i="19" s="1"/>
  <c r="CN34" i="19" a="1"/>
  <c r="CN34" i="19" s="1"/>
  <c r="CM41" i="19" a="1"/>
  <c r="CM41" i="19" s="1"/>
  <c r="CP43" i="19" a="1"/>
  <c r="CP43" i="19" s="1"/>
  <c r="CK45" i="19" a="1"/>
  <c r="CK45" i="19" s="1"/>
  <c r="CL13" i="19" a="1"/>
  <c r="CL13" i="19" s="1"/>
  <c r="CG10" i="19" a="1"/>
  <c r="CG10" i="19" s="1"/>
  <c r="CM22" i="19" a="1"/>
  <c r="CM22" i="19" s="1"/>
  <c r="CO5" i="19" a="1"/>
  <c r="CO5" i="19" s="1"/>
  <c r="CQ33" i="19" a="1"/>
  <c r="CQ33" i="19" s="1"/>
  <c r="CV33" i="19" s="1"/>
  <c r="CE15" i="19" a="1"/>
  <c r="CE15" i="19" s="1"/>
  <c r="CL32" i="19" a="1"/>
  <c r="CL32" i="19" s="1"/>
  <c r="CK24" i="19" a="1"/>
  <c r="CK24" i="19" s="1"/>
  <c r="CE6" i="19" a="1"/>
  <c r="CE6" i="19" s="1"/>
  <c r="CK6" i="19" a="1"/>
  <c r="CK6" i="19" s="1"/>
  <c r="CI39" i="19" a="1"/>
  <c r="CI39" i="19" s="1"/>
  <c r="CG36" i="19" a="1"/>
  <c r="CG36" i="19" s="1"/>
  <c r="CP9" i="19" a="1"/>
  <c r="CP9" i="19" s="1"/>
  <c r="CO27" i="19" a="1"/>
  <c r="CO27" i="19" s="1"/>
  <c r="CL8" i="19" a="1"/>
  <c r="CL8" i="19" s="1"/>
  <c r="CD19" i="19" a="1"/>
  <c r="CD19" i="19" s="1"/>
  <c r="CI16" i="19" a="1"/>
  <c r="CI16" i="19" s="1"/>
  <c r="CH35" i="19" a="1"/>
  <c r="CH35" i="19" s="1"/>
  <c r="CF12" i="19" a="1"/>
  <c r="CF12" i="19" s="1"/>
  <c r="CF20" i="19" a="1"/>
  <c r="CF20" i="19" s="1"/>
  <c r="CQ40" i="19" a="1"/>
  <c r="CQ40" i="19" s="1"/>
  <c r="CV40" i="19" s="1"/>
  <c r="CM29" i="19" a="1"/>
  <c r="CM29" i="19" s="1"/>
  <c r="CH40" i="19" a="1"/>
  <c r="CH40" i="19" s="1"/>
  <c r="CI6" i="19" a="1"/>
  <c r="CI6" i="19" s="1"/>
  <c r="CD8" i="19" a="1"/>
  <c r="CD8" i="19" s="1"/>
  <c r="CQ41" i="19" a="1"/>
  <c r="CQ41" i="19" s="1"/>
  <c r="CV41" i="19" s="1"/>
  <c r="CQ42" i="19" a="1"/>
  <c r="CQ42" i="19" s="1"/>
  <c r="CV42" i="19" s="1"/>
  <c r="CI20" i="19" a="1"/>
  <c r="CI20" i="19" s="1"/>
  <c r="CM12" i="19" a="1"/>
  <c r="CM12" i="19" s="1"/>
  <c r="CN17" i="19" a="1"/>
  <c r="CN17" i="19" s="1"/>
  <c r="CI28" i="19" a="1"/>
  <c r="CI28" i="19" s="1"/>
  <c r="CF24" i="19" a="1"/>
  <c r="CF24" i="19" s="1"/>
  <c r="CN20" i="19" a="1"/>
  <c r="CN20" i="19" s="1"/>
  <c r="CI9" i="19" a="1"/>
  <c r="CI9" i="19" s="1"/>
  <c r="CI36" i="19" a="1"/>
  <c r="CI36" i="19" s="1"/>
  <c r="CI24" i="19" a="1"/>
  <c r="CI24" i="19" s="1"/>
  <c r="CP34" i="19" a="1"/>
  <c r="CP34" i="19" s="1"/>
  <c r="CJ14" i="19" a="1"/>
  <c r="CJ14" i="19" s="1"/>
  <c r="CJ17" i="19" a="1"/>
  <c r="CJ17" i="19" s="1"/>
  <c r="CG21" i="19" a="1"/>
  <c r="CG21" i="19" s="1"/>
  <c r="CE20" i="19" a="1"/>
  <c r="CE20" i="19" s="1"/>
  <c r="CP39" i="19" a="1"/>
  <c r="CP39" i="19" s="1"/>
  <c r="CQ43" i="19" a="1"/>
  <c r="CQ43" i="19" s="1"/>
  <c r="CV43" i="19" s="1"/>
  <c r="CM8" i="19" a="1"/>
  <c r="CM8" i="19" s="1"/>
  <c r="CI33" i="19" a="1"/>
  <c r="CI33" i="19" s="1"/>
  <c r="CJ5" i="19" a="1"/>
  <c r="CJ5" i="19" s="1"/>
  <c r="CL21" i="19" a="1"/>
  <c r="CL21" i="19" s="1"/>
  <c r="CN23" i="19" a="1"/>
  <c r="CN23" i="19" s="1"/>
  <c r="CF37" i="19" a="1"/>
  <c r="CF37" i="19" s="1"/>
  <c r="CP11" i="19" a="1"/>
  <c r="CP11" i="19" s="1"/>
  <c r="CH16" i="19" a="1"/>
  <c r="CH16" i="19" s="1"/>
  <c r="CP23" i="19" a="1"/>
  <c r="CP23" i="19" s="1"/>
  <c r="CD33" i="19" a="1"/>
  <c r="CD33" i="19" s="1"/>
  <c r="CL39" i="19" a="1"/>
  <c r="CL39" i="19" s="1"/>
  <c r="CL44" i="19" a="1"/>
  <c r="CL44" i="19" s="1"/>
  <c r="CG29" i="19" a="1"/>
  <c r="CG29" i="19" s="1"/>
  <c r="CG15" i="19" a="1"/>
  <c r="CG15" i="19" s="1"/>
  <c r="CE40" i="19" a="1"/>
  <c r="CE40" i="19" s="1"/>
  <c r="CK25" i="19" a="1"/>
  <c r="CK25" i="19" s="1"/>
  <c r="CD23" i="19" a="1"/>
  <c r="CD23" i="19" s="1"/>
  <c r="CK41" i="19" a="1"/>
  <c r="CK41" i="19" s="1"/>
  <c r="CI21" i="19" a="1"/>
  <c r="CI21" i="19" s="1"/>
  <c r="CE10" i="19" a="1"/>
  <c r="CE10" i="19" s="1"/>
  <c r="CE38" i="19" a="1"/>
  <c r="CE38" i="19" s="1"/>
  <c r="CE30" i="19" a="1"/>
  <c r="CE30" i="19" s="1"/>
  <c r="CI19" i="19" a="1"/>
  <c r="CI19" i="19" s="1"/>
  <c r="CO7" i="19" a="1"/>
  <c r="CO7" i="19" s="1"/>
  <c r="CE14" i="19" a="1"/>
  <c r="CE14" i="19" s="1"/>
  <c r="CH9" i="19" a="1"/>
  <c r="CH9" i="19" s="1"/>
  <c r="CM42" i="19" a="1"/>
  <c r="CM42" i="19" s="1"/>
  <c r="CK31" i="19" a="1"/>
  <c r="CK31" i="19" s="1"/>
  <c r="CP38" i="19" a="1"/>
  <c r="CP38" i="19" s="1"/>
  <c r="CD16" i="19" a="1"/>
  <c r="CD16" i="19" s="1"/>
  <c r="CH7" i="19" a="1"/>
  <c r="CH7" i="19" s="1"/>
  <c r="CG27" i="19" a="1"/>
  <c r="CG27" i="19" s="1"/>
  <c r="CC17" i="19" a="1"/>
  <c r="CC17" i="19" s="1"/>
  <c r="CN26" i="19" a="1"/>
  <c r="CN26" i="19" s="1"/>
  <c r="CD9" i="19" a="1"/>
  <c r="CD9" i="19" s="1"/>
  <c r="CO25" i="19" a="1"/>
  <c r="CO25" i="19" s="1"/>
  <c r="CK17" i="19" a="1"/>
  <c r="CK17" i="19" s="1"/>
  <c r="CJ25" i="19" a="1"/>
  <c r="CJ25" i="19" s="1"/>
  <c r="CP17" i="19" a="1"/>
  <c r="CP17" i="19" s="1"/>
  <c r="CH6" i="19" a="1"/>
  <c r="CH6" i="19" s="1"/>
  <c r="CO6" i="19" a="1"/>
  <c r="CO6" i="19" s="1"/>
  <c r="CQ27" i="19" a="1"/>
  <c r="CQ27" i="19" s="1"/>
  <c r="CV27" i="19" s="1"/>
  <c r="CK37" i="19" a="1"/>
  <c r="CK37" i="19" s="1"/>
  <c r="CD24" i="19" a="1"/>
  <c r="CD24" i="19" s="1"/>
  <c r="CE29" i="19" a="1"/>
  <c r="CE29" i="19" s="1"/>
  <c r="CF17" i="19" a="1"/>
  <c r="CF17" i="19" s="1"/>
  <c r="CD45" i="19" a="1"/>
  <c r="CD45" i="19" s="1"/>
  <c r="CI42" i="19" a="1"/>
  <c r="CI42" i="19" s="1"/>
  <c r="CE37" i="19" a="1"/>
  <c r="CE37" i="19" s="1"/>
  <c r="CL4" i="19" a="1"/>
  <c r="CL4" i="19" s="1"/>
  <c r="CP26" i="19" a="1"/>
  <c r="CP26" i="19" s="1"/>
  <c r="CC15" i="19" a="1"/>
  <c r="CC15" i="19" s="1"/>
  <c r="CF36" i="19" a="1"/>
  <c r="CF36" i="19" s="1"/>
  <c r="CE8" i="19" a="1"/>
  <c r="CE8" i="19" s="1"/>
  <c r="CO30" i="19" a="1"/>
  <c r="CO30" i="19" s="1"/>
  <c r="CP30" i="19" a="1"/>
  <c r="CP30" i="19" s="1"/>
  <c r="CJ11" i="19" a="1"/>
  <c r="CJ11" i="19" s="1"/>
  <c r="CG30" i="19" a="1"/>
  <c r="CG30" i="19" s="1"/>
  <c r="CP14" i="19" a="1"/>
  <c r="CP14" i="19" s="1"/>
  <c r="CL15" i="19" a="1"/>
  <c r="CL15" i="19" s="1"/>
  <c r="CH12" i="19" a="1"/>
  <c r="CH12" i="19" s="1"/>
  <c r="CG22" i="19" a="1"/>
  <c r="CG22" i="19" s="1"/>
  <c r="CO33" i="19" a="1"/>
  <c r="CO33" i="19" s="1"/>
  <c r="CN25" i="19" a="1"/>
  <c r="CN25" i="19" s="1"/>
  <c r="CF35" i="19" a="1"/>
  <c r="CF35" i="19" s="1"/>
  <c r="CP18" i="19" a="1"/>
  <c r="CP18" i="19" s="1"/>
  <c r="CE16" i="19" a="1"/>
  <c r="CE16" i="19" s="1"/>
  <c r="CD37" i="19" a="1"/>
  <c r="CD37" i="19" s="1"/>
  <c r="CJ10" i="19" a="1"/>
  <c r="CJ10" i="19" s="1"/>
  <c r="CK23" i="19" a="1"/>
  <c r="CK23" i="19" s="1"/>
  <c r="CN44" i="19" a="1"/>
  <c r="CN44" i="19" s="1"/>
  <c r="CO20" i="19" a="1"/>
  <c r="CO20" i="19" s="1"/>
  <c r="CL31" i="19" a="1"/>
  <c r="CL31" i="19" s="1"/>
  <c r="CL5" i="19" a="1"/>
  <c r="CL5" i="19" s="1"/>
  <c r="CN29" i="19" a="1"/>
  <c r="CN29" i="19" s="1"/>
  <c r="CG31" i="19" a="1"/>
  <c r="CG31" i="19" s="1"/>
  <c r="CJ44" i="19" a="1"/>
  <c r="CJ44" i="19" s="1"/>
  <c r="CI12" i="19" a="1"/>
  <c r="CI12" i="19" s="1"/>
  <c r="CQ25" i="19" a="1"/>
  <c r="CQ25" i="19" s="1"/>
  <c r="CV25" i="19" s="1"/>
  <c r="CK34" i="19" a="1"/>
  <c r="CK34" i="19" s="1"/>
  <c r="CC16" i="19" a="1"/>
  <c r="CC16" i="19" s="1"/>
  <c r="CH22" i="19" a="1"/>
  <c r="CH22" i="19" s="1"/>
  <c r="CO37" i="19" a="1"/>
  <c r="CO37" i="19" s="1"/>
  <c r="CE25" i="19" a="1"/>
  <c r="CE25" i="19" s="1"/>
  <c r="CE42" i="19" a="1"/>
  <c r="CE42" i="19" s="1"/>
  <c r="CG5" i="19" a="1"/>
  <c r="CG5" i="19" s="1"/>
  <c r="CE43" i="19" a="1"/>
  <c r="CE43" i="19" s="1"/>
  <c r="CH27" i="19" a="1"/>
  <c r="CH27" i="19" s="1"/>
  <c r="CC5" i="19" a="1"/>
  <c r="CC5" i="19" s="1"/>
  <c r="CM24" i="19" a="1"/>
  <c r="CM24" i="19" s="1"/>
  <c r="CQ39" i="19" a="1"/>
  <c r="CQ39" i="19" s="1"/>
  <c r="CV39" i="19" s="1"/>
  <c r="CP44" i="19" a="1"/>
  <c r="CP44" i="19" s="1"/>
  <c r="CG20" i="19" a="1"/>
  <c r="CG20" i="19" s="1"/>
  <c r="CN10" i="19" a="1"/>
  <c r="CN10" i="19" s="1"/>
  <c r="CJ39" i="19" a="1"/>
  <c r="CJ39" i="19" s="1"/>
  <c r="CO35" i="19" a="1"/>
  <c r="CO35" i="19" s="1"/>
  <c r="CD31" i="19" a="1"/>
  <c r="CD31" i="19" s="1"/>
  <c r="CK22" i="19" a="1"/>
  <c r="CK22" i="19" s="1"/>
  <c r="CQ23" i="19" a="1"/>
  <c r="CQ23" i="19" s="1"/>
  <c r="CV23" i="19" s="1"/>
  <c r="CN35" i="19" a="1"/>
  <c r="CN35" i="19" s="1"/>
  <c r="CJ38" i="19" a="1"/>
  <c r="CJ38" i="19" s="1"/>
  <c r="CD21" i="19" a="1"/>
  <c r="CD21" i="19" s="1"/>
  <c r="CN11" i="19" a="1"/>
  <c r="CN11" i="19" s="1"/>
  <c r="CP31" i="19" a="1"/>
  <c r="CP31" i="19" s="1"/>
  <c r="CC30" i="19" a="1"/>
  <c r="CC30" i="19" s="1"/>
  <c r="CJ13" i="19" a="1"/>
  <c r="CJ13" i="19" s="1"/>
  <c r="CM38" i="19" a="1"/>
  <c r="CM38" i="19" s="1"/>
  <c r="CK10" i="19" a="1"/>
  <c r="CK10" i="19" s="1"/>
  <c r="CJ24" i="19" a="1"/>
  <c r="CJ24" i="19" s="1"/>
  <c r="CD36" i="19" a="1"/>
  <c r="CD36" i="19" s="1"/>
  <c r="CC11" i="19" a="1"/>
  <c r="CC11" i="19" s="1"/>
  <c r="CG45" i="19" a="1"/>
  <c r="CG45" i="19" s="1"/>
  <c r="CK42" i="19" a="1"/>
  <c r="CK42" i="19" s="1"/>
  <c r="CQ14" i="19" a="1"/>
  <c r="CQ14" i="19" s="1"/>
  <c r="CV14" i="19" s="1"/>
  <c r="CF13" i="19" a="1"/>
  <c r="CF13" i="19" s="1"/>
  <c r="CF31" i="19" a="1"/>
  <c r="CF31" i="19" s="1"/>
  <c r="CI40" i="19" a="1"/>
  <c r="CI40" i="19" s="1"/>
  <c r="CD41" i="19" a="1"/>
  <c r="CD41" i="19" s="1"/>
  <c r="CC4" i="19" a="1"/>
  <c r="CC4" i="19" s="1"/>
  <c r="CQ29" i="19" a="1"/>
  <c r="CQ29" i="19" s="1"/>
  <c r="CV29" i="19" s="1"/>
  <c r="CO40" i="19" a="1"/>
  <c r="CO40" i="19" s="1"/>
  <c r="CG37" i="19" a="1"/>
  <c r="CG37" i="19" s="1"/>
  <c r="CM26" i="19" a="1"/>
  <c r="CM26" i="19" s="1"/>
  <c r="CL22" i="19" a="1"/>
  <c r="CL22" i="19" s="1"/>
  <c r="CK5" i="19" a="1"/>
  <c r="CK5" i="19" s="1"/>
  <c r="CP41" i="19" a="1"/>
  <c r="CP41" i="19" s="1"/>
  <c r="CH36" i="19" a="1"/>
  <c r="CH36" i="19" s="1"/>
  <c r="CQ20" i="19" a="1"/>
  <c r="CQ20" i="19" s="1"/>
  <c r="CV20" i="19" s="1"/>
  <c r="CQ15" i="19" a="1"/>
  <c r="CQ15" i="19" s="1"/>
  <c r="CV15" i="19" s="1"/>
  <c r="CN28" i="19" a="1"/>
  <c r="CN28" i="19" s="1"/>
  <c r="CN18" i="19" a="1"/>
  <c r="CN18" i="19" s="1"/>
  <c r="CE45" i="19" a="1"/>
  <c r="CE45" i="19" s="1"/>
  <c r="CE28" i="19" a="1"/>
  <c r="CE28" i="19" s="1"/>
  <c r="CE34" i="19" a="1"/>
  <c r="CE34" i="19" s="1"/>
  <c r="CM6" i="19" a="1"/>
  <c r="CM6" i="19" s="1"/>
  <c r="CI34" i="19" a="1"/>
  <c r="CI34" i="19" s="1"/>
  <c r="CF21" i="19" a="1"/>
  <c r="CF21" i="19" s="1"/>
  <c r="CF15" i="19" a="1"/>
  <c r="CF15" i="19" s="1"/>
  <c r="CG13" i="19" a="1"/>
  <c r="CG13" i="19" s="1"/>
  <c r="CC35" i="19" a="1"/>
  <c r="CC35" i="19" s="1"/>
  <c r="CK32" i="19" a="1"/>
  <c r="CK32" i="19" s="1"/>
  <c r="CF27" i="19" a="1"/>
  <c r="CF27" i="19" s="1"/>
  <c r="CL43" i="19" a="1"/>
  <c r="CL43" i="19" s="1"/>
  <c r="CP29" i="19" a="1"/>
  <c r="CP29" i="19" s="1"/>
  <c r="CF6" i="19" a="1"/>
  <c r="CF6" i="19" s="1"/>
  <c r="CN8" i="19" a="1"/>
  <c r="CN8" i="19" s="1"/>
  <c r="CD5" i="19" a="1"/>
  <c r="CD5" i="19" s="1"/>
  <c r="CG44" i="19" a="1"/>
  <c r="CG44" i="19" s="1"/>
  <c r="CH10" i="19" a="1"/>
  <c r="CH10" i="19" s="1"/>
  <c r="CG19" i="19" a="1"/>
  <c r="CG19" i="19" s="1"/>
  <c r="CL6" i="19" a="1"/>
  <c r="CL6" i="19" s="1"/>
  <c r="CD25" i="19" a="1"/>
  <c r="CD25" i="19" s="1"/>
  <c r="CK36" i="19" a="1"/>
  <c r="CK36" i="19" s="1"/>
  <c r="CF42" i="19" a="1"/>
  <c r="CF42" i="19" s="1"/>
  <c r="CK44" i="19" a="1"/>
  <c r="CK44" i="19" s="1"/>
  <c r="CD38" i="19" a="1"/>
  <c r="CD38" i="19" s="1"/>
  <c r="CL29" i="19" a="1"/>
  <c r="CL29" i="19" s="1"/>
  <c r="CN32" i="19" a="1"/>
  <c r="CN32" i="19" s="1"/>
  <c r="CN36" i="19" a="1"/>
  <c r="CN36" i="19" s="1"/>
  <c r="CN27" i="19" a="1"/>
  <c r="CN27" i="19" s="1"/>
  <c r="CH30" i="19" a="1"/>
  <c r="CH30" i="19" s="1"/>
  <c r="CG14" i="19" a="1"/>
  <c r="CG14" i="19" s="1"/>
  <c r="CK8" i="19" a="1"/>
  <c r="CK8" i="19" s="1"/>
  <c r="CD18" i="19" a="1"/>
  <c r="CD18" i="19" s="1"/>
  <c r="CI7" i="19" a="1"/>
  <c r="CI7" i="19" s="1"/>
  <c r="CO39" i="19" a="1"/>
  <c r="CO39" i="19" s="1"/>
  <c r="CQ37" i="19" a="1"/>
  <c r="CQ37" i="19" s="1"/>
  <c r="CV37" i="19" s="1"/>
  <c r="CK14" i="19" a="1"/>
  <c r="CK14" i="19" s="1"/>
  <c r="CJ19" i="19" a="1"/>
  <c r="CJ19" i="19" s="1"/>
  <c r="CP37" i="19" a="1"/>
  <c r="CP37" i="19" s="1"/>
  <c r="CK11" i="19" a="1"/>
  <c r="CK11" i="19" s="1"/>
  <c r="CN5" i="19" a="1"/>
  <c r="CN5" i="19" s="1"/>
  <c r="CG17" i="19" a="1"/>
  <c r="CG17" i="19" s="1"/>
  <c r="CJ21" i="19" a="1"/>
  <c r="CJ21" i="19" s="1"/>
  <c r="CC14" i="19" a="1"/>
  <c r="CC14" i="19" s="1"/>
  <c r="CF43" i="19" a="1"/>
  <c r="CF43" i="19" s="1"/>
  <c r="CC44" i="19" a="1"/>
  <c r="CC44" i="19" s="1"/>
  <c r="CG26" i="19" a="1"/>
  <c r="CG26" i="19" s="1"/>
  <c r="CH18" i="19" a="1"/>
  <c r="CH18" i="19" s="1"/>
  <c r="CF5" i="19" a="1"/>
  <c r="CF5" i="19" s="1"/>
  <c r="CH42" i="19" a="1"/>
  <c r="CH42" i="19" s="1"/>
  <c r="CM14" i="19" a="1"/>
  <c r="CM14" i="19" s="1"/>
  <c r="CC10" i="19" a="1"/>
  <c r="CC10" i="19" s="1"/>
  <c r="CL11" i="19" a="1"/>
  <c r="CL11" i="19" s="1"/>
  <c r="CP27" i="19" a="1"/>
  <c r="CP27" i="19" s="1"/>
  <c r="CF34" i="19" a="1"/>
  <c r="CF34" i="19" s="1"/>
  <c r="CL7" i="19" a="1"/>
  <c r="CL7" i="19" s="1"/>
  <c r="CJ43" i="19" a="1"/>
  <c r="CJ43" i="19" s="1"/>
  <c r="CG32" i="19" a="1"/>
  <c r="CG32" i="19" s="1"/>
  <c r="CH17" i="19" a="1"/>
  <c r="CH17" i="19" s="1"/>
  <c r="CP10" i="19" a="1"/>
  <c r="CP10" i="19" s="1"/>
  <c r="CC28" i="19" a="1"/>
  <c r="CC28" i="19" s="1"/>
  <c r="CM28" i="19" a="1"/>
  <c r="CM28" i="19" s="1"/>
  <c r="CE5" i="19" a="1"/>
  <c r="CE5" i="19" s="1"/>
  <c r="CJ45" i="19" a="1"/>
  <c r="CJ45" i="19" s="1"/>
  <c r="CG11" i="19" a="1"/>
  <c r="CG11" i="19" s="1"/>
  <c r="CG35" i="19" a="1"/>
  <c r="CG35" i="19" s="1"/>
  <c r="CD42" i="19" a="1"/>
  <c r="CD42" i="19" s="1"/>
  <c r="CC22" i="19" a="1"/>
  <c r="CC22" i="19" s="1"/>
  <c r="CO34" i="19" a="1"/>
  <c r="CO34" i="19" s="1"/>
  <c r="CO10" i="19" a="1"/>
  <c r="CO10" i="19" s="1"/>
  <c r="CN15" i="19" a="1"/>
  <c r="CN15" i="19" s="1"/>
  <c r="CJ22" i="19" a="1"/>
  <c r="CJ22" i="19" s="1"/>
  <c r="CQ13" i="19" a="1"/>
  <c r="CQ13" i="19" s="1"/>
  <c r="CV13" i="19" s="1"/>
  <c r="CC29" i="19" a="1"/>
  <c r="CC29" i="19" s="1"/>
  <c r="CO29" i="19" a="1"/>
  <c r="CO29" i="19" s="1"/>
  <c r="CG7" i="19" a="1"/>
  <c r="CG7" i="19" s="1"/>
  <c r="CP28" i="19" a="1"/>
  <c r="CP28" i="19" s="1"/>
  <c r="CP4" i="19" a="1"/>
  <c r="CP4" i="19" s="1"/>
  <c r="CL28" i="19" a="1"/>
  <c r="CL28" i="19" s="1"/>
  <c r="CK26" i="19" a="1"/>
  <c r="CK26" i="19" s="1"/>
  <c r="CH33" i="19" a="1"/>
  <c r="CH33" i="19" s="1"/>
  <c r="CP5" i="19" a="1"/>
  <c r="CP5" i="19" s="1"/>
  <c r="CF38" i="19" a="1"/>
  <c r="CF38" i="19" s="1"/>
  <c r="CG8" i="19" a="1"/>
  <c r="CG8" i="19" s="1"/>
  <c r="CJ34" i="19" a="1"/>
  <c r="CJ34" i="19" s="1"/>
  <c r="CD34" i="19" a="1"/>
  <c r="CD34" i="19" s="1"/>
  <c r="CG4" i="19" a="1"/>
  <c r="CG4" i="19" s="1"/>
  <c r="CQ30" i="19" a="1"/>
  <c r="CQ30" i="19" s="1"/>
  <c r="CV30" i="19" s="1"/>
  <c r="CM13" i="19" a="1"/>
  <c r="CM13" i="19" s="1"/>
  <c r="CJ6" i="19" a="1"/>
  <c r="CJ6" i="19" s="1"/>
  <c r="CQ35" i="19" a="1"/>
  <c r="CQ35" i="19" s="1"/>
  <c r="CV35" i="19" s="1"/>
  <c r="CQ9" i="19" a="1"/>
  <c r="CQ9" i="19" s="1"/>
  <c r="CV9" i="19" s="1"/>
  <c r="CQ11" i="19" a="1"/>
  <c r="CQ11" i="19" s="1"/>
  <c r="CV11" i="19" s="1"/>
  <c r="CK39" i="19" a="1"/>
  <c r="CK39" i="19" s="1"/>
  <c r="CF7" i="19" a="1"/>
  <c r="CF7" i="19" s="1"/>
  <c r="CK7" i="19" a="1"/>
  <c r="CK7" i="19" s="1"/>
  <c r="CD14" i="19" a="1"/>
  <c r="CD14" i="19" s="1"/>
  <c r="CM27" i="19" a="1"/>
  <c r="CM27" i="19" s="1"/>
  <c r="CQ19" i="19" a="1"/>
  <c r="CQ19" i="19" s="1"/>
  <c r="CV19" i="19" s="1"/>
  <c r="CL38" i="19" a="1"/>
  <c r="CL38" i="19" s="1"/>
  <c r="CF26" i="19" a="1"/>
  <c r="CF26" i="19" s="1"/>
  <c r="CF11" i="19" a="1"/>
  <c r="CF11" i="19" s="1"/>
  <c r="CM21" i="19" a="1"/>
  <c r="CM21" i="19" s="1"/>
  <c r="CP8" i="19" a="1"/>
  <c r="CP8" i="19" s="1"/>
  <c r="CE19" i="19" a="1"/>
  <c r="CE19" i="19" s="1"/>
  <c r="CP35" i="19" a="1"/>
  <c r="CP35" i="19" s="1"/>
  <c r="CJ30" i="19" a="1"/>
  <c r="CJ30" i="19" s="1"/>
  <c r="CC8" i="19" a="1"/>
  <c r="CC8" i="19" s="1"/>
  <c r="CI44" i="19" a="1"/>
  <c r="CI44" i="19" s="1"/>
  <c r="CE7" i="19" a="1"/>
  <c r="CE7" i="19" s="1"/>
  <c r="CI35" i="19" a="1"/>
  <c r="CI35" i="19" s="1"/>
  <c r="CD13" i="19" a="1"/>
  <c r="CD13" i="19" s="1"/>
  <c r="CM5" i="19" a="1"/>
  <c r="CM5" i="19" s="1"/>
  <c r="CI15" i="19" a="1"/>
  <c r="CI15" i="19" s="1"/>
  <c r="CP25" i="19" a="1"/>
  <c r="CP25" i="19" s="1"/>
  <c r="CK35" i="19" a="1"/>
  <c r="CK35" i="19" s="1"/>
  <c r="CO41" i="19" a="1"/>
  <c r="CO41" i="19" s="1"/>
  <c r="CP45" i="19" a="1"/>
  <c r="CP45" i="19" s="1"/>
  <c r="CF39" i="19" a="1"/>
  <c r="CF39" i="19" s="1"/>
  <c r="CG16" i="19" a="1"/>
  <c r="CG16" i="19" s="1"/>
  <c r="CI5" i="19" a="1"/>
  <c r="CI5" i="19" s="1"/>
  <c r="CN38" i="19" a="1"/>
  <c r="CN38" i="19" s="1"/>
  <c r="CQ5" i="19" a="1"/>
  <c r="CQ5" i="19" s="1"/>
  <c r="CV5" i="19" s="1"/>
  <c r="CC19" i="19" a="1"/>
  <c r="CC19" i="19" s="1"/>
  <c r="CF23" i="19" a="1"/>
  <c r="CF23" i="19" s="1"/>
  <c r="CO44" i="19" a="1"/>
  <c r="CO44" i="19" s="1"/>
  <c r="CG42" i="19" a="1"/>
  <c r="CG42" i="19" s="1"/>
  <c r="CL24" i="19" a="1"/>
  <c r="CL24" i="19" s="1"/>
  <c r="CH20" i="19" a="1"/>
  <c r="CH20" i="19" s="1"/>
  <c r="CC38" i="19" a="1"/>
  <c r="CC38" i="19" s="1"/>
  <c r="CH25" i="19" a="1"/>
  <c r="CH25" i="19" s="1"/>
  <c r="CP22" i="19" a="1"/>
  <c r="CP22" i="19" s="1"/>
  <c r="CE13" i="19" a="1"/>
  <c r="CE13" i="19" s="1"/>
  <c r="CQ16" i="19" a="1"/>
  <c r="CQ16" i="19" s="1"/>
  <c r="CV16" i="19" s="1"/>
  <c r="CN24" i="19" a="1"/>
  <c r="CN24" i="19" s="1"/>
  <c r="CO28" i="19" a="1"/>
  <c r="CO28" i="19" s="1"/>
  <c r="CO22" i="19" a="1"/>
  <c r="CO22" i="19" s="1"/>
  <c r="CG28" i="19" a="1"/>
  <c r="CG28" i="19" s="1"/>
  <c r="CD22" i="19" a="1"/>
  <c r="CD22" i="19" s="1"/>
  <c r="CD32" i="19" a="1"/>
  <c r="CD32" i="19" s="1"/>
  <c r="CH24" i="19" a="1"/>
  <c r="CH24" i="19" s="1"/>
  <c r="CC13" i="19" a="1"/>
  <c r="CC13" i="19" s="1"/>
  <c r="CL12" i="19" a="1"/>
  <c r="CL12" i="19" s="1"/>
  <c r="CK27" i="19" a="1"/>
  <c r="CK27" i="19" s="1"/>
  <c r="CG25" i="19" a="1"/>
  <c r="CG25" i="19" s="1"/>
  <c r="CD7" i="19" a="1"/>
  <c r="CD7" i="19" s="1"/>
  <c r="CJ35" i="19" a="1"/>
  <c r="CJ35" i="19" s="1"/>
  <c r="CJ7" i="19" a="1"/>
  <c r="CJ7" i="19" s="1"/>
  <c r="CH45" i="19" a="1"/>
  <c r="CH45" i="19" s="1"/>
  <c r="CM9" i="19" a="1"/>
  <c r="CM9" i="19" s="1"/>
  <c r="CM15" i="19" a="1"/>
  <c r="CM15" i="19" s="1"/>
  <c r="CD6" i="19" a="1"/>
  <c r="CD6" i="19" s="1"/>
  <c r="CO17" i="19" a="1"/>
  <c r="CO17" i="19" s="1"/>
  <c r="CH37" i="19" a="1"/>
  <c r="CH37" i="19" s="1"/>
  <c r="CP15" i="19" a="1"/>
  <c r="CP15" i="19" s="1"/>
  <c r="CH39" i="19" a="1"/>
  <c r="CH39" i="19" s="1"/>
  <c r="CN31" i="19" a="1"/>
  <c r="CN31" i="19" s="1"/>
  <c r="CI27" i="19" a="1"/>
  <c r="CI27" i="19" s="1"/>
  <c r="CE21" i="19" a="1"/>
  <c r="CE21" i="19" s="1"/>
  <c r="CO21" i="19" a="1"/>
  <c r="CO21" i="19" s="1"/>
  <c r="CQ12" i="19" a="1"/>
  <c r="CQ12" i="19" s="1"/>
  <c r="CV12" i="19" s="1"/>
  <c r="CF16" i="19" a="1"/>
  <c r="CF16" i="19" s="1"/>
  <c r="CK16" i="19" a="1"/>
  <c r="CK16" i="19" s="1"/>
  <c r="CD35" i="19" a="1"/>
  <c r="CD35" i="19" s="1"/>
  <c r="CC7" i="19" a="1"/>
  <c r="CC7" i="19" s="1"/>
  <c r="CD40" i="19" a="1"/>
  <c r="CD40" i="19" s="1"/>
  <c r="CL14" i="19" a="1"/>
  <c r="CL14" i="19" s="1"/>
  <c r="CL18" i="19" a="1"/>
  <c r="CL18" i="19" s="1"/>
  <c r="CH13" i="19" a="1"/>
  <c r="CH13" i="19" s="1"/>
  <c r="CI4" i="19" a="1"/>
  <c r="CI4" i="19" s="1"/>
  <c r="CD15" i="19" a="1"/>
  <c r="CD15" i="19" s="1"/>
  <c r="CK21" i="19" a="1"/>
  <c r="CK21" i="19" s="1"/>
  <c r="CC23" i="19" a="1"/>
  <c r="CC23" i="19" s="1"/>
  <c r="CQ4" i="19" a="1"/>
  <c r="CQ4" i="19" s="1"/>
  <c r="CV4" i="19" s="1"/>
  <c r="CW4" i="19" s="1"/>
  <c r="CM30" i="19" a="1"/>
  <c r="CM30" i="19" s="1"/>
  <c r="CK18" i="19" a="1"/>
  <c r="CK18" i="19" s="1"/>
  <c r="CJ18" i="19" a="1"/>
  <c r="CJ18" i="19" s="1"/>
  <c r="CE22" i="19" a="1"/>
  <c r="CE22" i="19" s="1"/>
  <c r="CQ22" i="19" a="1"/>
  <c r="CQ22" i="19" s="1"/>
  <c r="CV22" i="19" s="1"/>
  <c r="CP42" i="19" a="1"/>
  <c r="CP42" i="19" s="1"/>
  <c r="CM25" i="19" a="1"/>
  <c r="CM25" i="19" s="1"/>
  <c r="CJ37" i="19" a="1"/>
  <c r="CJ37" i="19" s="1"/>
  <c r="CC21" i="19" a="1"/>
  <c r="CC21" i="19" s="1"/>
  <c r="CQ36" i="19" a="1"/>
  <c r="CQ36" i="19" s="1"/>
  <c r="CV36" i="19" s="1"/>
  <c r="CQ7" i="19" a="1"/>
  <c r="CQ7" i="19" s="1"/>
  <c r="CV7" i="19" s="1"/>
  <c r="CG41" i="19" a="1"/>
  <c r="CG41" i="19" s="1"/>
  <c r="CJ20" i="19" a="1"/>
  <c r="CJ20" i="19" s="1"/>
  <c r="CJ29" i="19" a="1"/>
  <c r="CJ29" i="19" s="1"/>
  <c r="CN43" i="19" a="1"/>
  <c r="CN43" i="19" s="1"/>
  <c r="CE11" i="19" a="1"/>
  <c r="CE11" i="19" s="1"/>
  <c r="CM43" i="19" a="1"/>
  <c r="CM43" i="19" s="1"/>
  <c r="CK12" i="19" a="1"/>
  <c r="CK12" i="19" s="1"/>
  <c r="CL41" i="19" a="1"/>
  <c r="CL41" i="19" s="1"/>
  <c r="CN21" i="19" a="1"/>
  <c r="CN21" i="19" s="1"/>
  <c r="CK9" i="19" a="1"/>
  <c r="CK9" i="19" s="1"/>
  <c r="CG9" i="19" a="1"/>
  <c r="CG9" i="19" s="1"/>
  <c r="CE18" i="19" a="1"/>
  <c r="CE18" i="19" s="1"/>
  <c r="CH31" i="19" a="1"/>
  <c r="CH31" i="19" s="1"/>
  <c r="CD30" i="19" a="1"/>
  <c r="CD30" i="19" s="1"/>
  <c r="CO38" i="19" a="1"/>
  <c r="CO38" i="19" s="1"/>
  <c r="CE32" i="19" a="1"/>
  <c r="CE32" i="19" s="1"/>
  <c r="CC18" i="19" a="1"/>
  <c r="CC18" i="19" s="1"/>
  <c r="CJ8" i="19" a="1"/>
  <c r="CJ8" i="19" s="1"/>
  <c r="CJ32" i="19" a="1"/>
  <c r="CJ32" i="19" s="1"/>
  <c r="CN41" i="19" a="1"/>
  <c r="CN41" i="19" s="1"/>
  <c r="CL36" i="19" a="1"/>
  <c r="CL36" i="19" s="1"/>
  <c r="CO14" i="19" a="1"/>
  <c r="CO14" i="19" s="1"/>
  <c r="CC36" i="19" a="1"/>
  <c r="CC36" i="19" s="1"/>
  <c r="CP33" i="19" a="1"/>
  <c r="CP33" i="19" s="1"/>
  <c r="CC25" i="19" a="1"/>
  <c r="CC25" i="19" s="1"/>
  <c r="CF4" i="19" a="1"/>
  <c r="CF4" i="19" s="1"/>
  <c r="CI18" i="19" a="1"/>
  <c r="CI18" i="19" s="1"/>
  <c r="CE41" i="19" a="1"/>
  <c r="CE41" i="19" s="1"/>
  <c r="CN14" i="19" a="1"/>
  <c r="CN14" i="19" s="1"/>
  <c r="CO32" i="19" a="1"/>
  <c r="CO32" i="19" s="1"/>
  <c r="CG6" i="19" a="1"/>
  <c r="CG6" i="19" s="1"/>
  <c r="CK13" i="19" a="1"/>
  <c r="CK13" i="19" s="1"/>
  <c r="CE17" i="19" a="1"/>
  <c r="CE17" i="19" s="1"/>
  <c r="CQ18" i="19" a="1"/>
  <c r="CQ18" i="19" s="1"/>
  <c r="CV18" i="19" s="1"/>
  <c r="CF25" i="19" a="1"/>
  <c r="CF25" i="19" s="1"/>
  <c r="CO8" i="19" a="1"/>
  <c r="CO8" i="19" s="1"/>
  <c r="CN7" i="19" a="1"/>
  <c r="CN7" i="19" s="1"/>
  <c r="CC26" i="19" a="1"/>
  <c r="CC26" i="19" s="1"/>
  <c r="CL40" i="19" a="1"/>
  <c r="CL40" i="19" s="1"/>
  <c r="CJ12" i="19" a="1"/>
  <c r="CJ12" i="19" s="1"/>
  <c r="CO23" i="19" a="1"/>
  <c r="CO23" i="19" s="1"/>
  <c r="CN16" i="19" a="1"/>
  <c r="CN16" i="19" s="1"/>
  <c r="CE27" i="19" a="1"/>
  <c r="CE27" i="19" s="1"/>
  <c r="CF40" i="19" a="1"/>
  <c r="CF40" i="19" s="1"/>
  <c r="CG40" i="19" a="1"/>
  <c r="CG40" i="19" s="1"/>
  <c r="CC27" i="19" a="1"/>
  <c r="CC27" i="19" s="1"/>
  <c r="CI13" i="19" a="1"/>
  <c r="CI13" i="19" s="1"/>
  <c r="CC42" i="19" a="1"/>
  <c r="CC42" i="19" s="1"/>
  <c r="CQ44" i="19" a="1"/>
  <c r="CQ44" i="19" s="1"/>
  <c r="CV44" i="19" s="1"/>
  <c r="CL33" i="19" a="1"/>
  <c r="CL33" i="19" s="1"/>
  <c r="CG12" i="19" a="1"/>
  <c r="CG12" i="19" s="1"/>
  <c r="CI25" i="19" a="1"/>
  <c r="CI25" i="19" s="1"/>
  <c r="CF18" i="19" a="1"/>
  <c r="CF18" i="19" s="1"/>
  <c r="CO42" i="19" a="1"/>
  <c r="CO42" i="19" s="1"/>
  <c r="CQ38" i="19" a="1"/>
  <c r="CQ38" i="19" s="1"/>
  <c r="CV38" i="19" s="1"/>
  <c r="CH32" i="19" a="1"/>
  <c r="CH32" i="19" s="1"/>
  <c r="CM40" i="19" a="1"/>
  <c r="CM40" i="19" s="1"/>
  <c r="CM10" i="19" a="1"/>
  <c r="CM10" i="19" s="1"/>
  <c r="CI8" i="19" a="1"/>
  <c r="CI8" i="19" s="1"/>
  <c r="CE23" i="19" a="1"/>
  <c r="CE23" i="19" s="1"/>
  <c r="CH26" i="19" a="1"/>
  <c r="CH26" i="19" s="1"/>
  <c r="CD12" i="19" a="1"/>
  <c r="CD12" i="19" s="1"/>
  <c r="CI38" i="19" a="1"/>
  <c r="CI38" i="19" s="1"/>
  <c r="CD43" i="19" a="1"/>
  <c r="CD43" i="19" s="1"/>
  <c r="CF41" i="19" a="1"/>
  <c r="CF41" i="19" s="1"/>
  <c r="CK40" i="19" a="1"/>
  <c r="CK40" i="19" s="1"/>
  <c r="CC40" i="19" a="1"/>
  <c r="CC40" i="19" s="1"/>
  <c r="CC34" i="19" a="1"/>
  <c r="CC34" i="19" s="1"/>
  <c r="CM19" i="19" a="1"/>
  <c r="CM19" i="19" s="1"/>
  <c r="CP7" i="19" a="1"/>
  <c r="CP7" i="19" s="1"/>
  <c r="CE35" i="19" a="1"/>
  <c r="CE35" i="19" s="1"/>
  <c r="CO4" i="19" a="1"/>
  <c r="CO4" i="19" s="1"/>
  <c r="CD17" i="19" a="1"/>
  <c r="CD17" i="19" s="1"/>
  <c r="CG38" i="19" a="1"/>
  <c r="CG38" i="19" s="1"/>
  <c r="CJ27" i="19" a="1"/>
  <c r="CJ27" i="19" s="1"/>
  <c r="CL37" i="19" a="1"/>
  <c r="CL37" i="19" s="1"/>
  <c r="CI43" i="19" a="1"/>
  <c r="CI43" i="19" s="1"/>
  <c r="CK28" i="19" a="1"/>
  <c r="CK28" i="19" s="1"/>
  <c r="CI31" i="19" a="1"/>
  <c r="CI31" i="19" s="1"/>
  <c r="CF32" i="19" a="1"/>
  <c r="CF32" i="19" s="1"/>
  <c r="CD10" i="19" a="1"/>
  <c r="CD10" i="19" s="1"/>
  <c r="CQ17" i="19" a="1"/>
  <c r="CQ17" i="19" s="1"/>
  <c r="CV17" i="19" s="1"/>
  <c r="CH23" i="19" a="1"/>
  <c r="CH23" i="19" s="1"/>
  <c r="CG33" i="19" a="1"/>
  <c r="CG33" i="19" s="1"/>
  <c r="CI29" i="19" a="1"/>
  <c r="CI29" i="19" s="1"/>
  <c r="CL23" i="19" a="1"/>
  <c r="CL23" i="19" s="1"/>
  <c r="CE33" i="19" a="1"/>
  <c r="CE33" i="19" s="1"/>
  <c r="CM34" i="19" a="1"/>
  <c r="CM34" i="19" s="1"/>
  <c r="CO16" i="19" a="1"/>
  <c r="CO16" i="19" s="1"/>
  <c r="CL26" i="19" a="1"/>
  <c r="CL26" i="19" s="1"/>
  <c r="CO36" i="19" a="1"/>
  <c r="CO36" i="19" s="1"/>
  <c r="CK20" i="19" a="1"/>
  <c r="CK20" i="19" s="1"/>
  <c r="CC32" i="19" a="1"/>
  <c r="CC32" i="19" s="1"/>
  <c r="CG39" i="19" a="1"/>
  <c r="CG39" i="19" s="1"/>
  <c r="CJ40" i="19" a="1"/>
  <c r="CJ40" i="19" s="1"/>
  <c r="CI41" i="19" a="1"/>
  <c r="CI41" i="19" s="1"/>
  <c r="CH41" i="19" a="1"/>
  <c r="CH41" i="19" s="1"/>
  <c r="CN22" i="19" a="1"/>
  <c r="CN22" i="19" s="1"/>
  <c r="CK43" i="19" a="1"/>
  <c r="CK43" i="19" s="1"/>
  <c r="CD44" i="19" a="1"/>
  <c r="CD44" i="19" s="1"/>
  <c r="CE36" i="19" a="1"/>
  <c r="CE36" i="19" s="1"/>
  <c r="CO26" i="19" a="1"/>
  <c r="CO26" i="19" s="1"/>
  <c r="CJ36" i="19" a="1"/>
  <c r="CJ36" i="19" s="1"/>
  <c r="CH21" i="19" a="1"/>
  <c r="CH21" i="19" s="1"/>
  <c r="CI22" i="19" a="1"/>
  <c r="CI22" i="19" s="1"/>
  <c r="CP13" i="19" a="1"/>
  <c r="CP13" i="19" s="1"/>
  <c r="CL19" i="19" a="1"/>
  <c r="CL19" i="19" s="1"/>
  <c r="CH43" i="19" a="1"/>
  <c r="CH43" i="19" s="1"/>
  <c r="CN4" i="19" a="1"/>
  <c r="CN4" i="19" s="1"/>
  <c r="CN30" i="19" a="1"/>
  <c r="CN30" i="19" s="1"/>
  <c r="CD39" i="19" a="1"/>
  <c r="CD39" i="19" s="1"/>
  <c r="CK38" i="19" a="1"/>
  <c r="CK38" i="19" s="1"/>
  <c r="CO45" i="19" a="1"/>
  <c r="CO45" i="19" s="1"/>
  <c r="CQ26" i="19" a="1"/>
  <c r="CQ26" i="19" s="1"/>
  <c r="CV26" i="19" s="1"/>
  <c r="CO18" i="19" a="1"/>
  <c r="CO18" i="19" s="1"/>
  <c r="CP12" i="19" a="1"/>
  <c r="CP12" i="19" s="1"/>
  <c r="CN6" i="19" a="1"/>
  <c r="CN6" i="19" s="1"/>
  <c r="CC9" i="19" a="1"/>
  <c r="CC9" i="19" s="1"/>
  <c r="CI26" i="19" a="1"/>
  <c r="CI26" i="19" s="1"/>
  <c r="CH44" i="19" a="1"/>
  <c r="CH44" i="19" s="1"/>
  <c r="CE9" i="19" a="1"/>
  <c r="CE9" i="19" s="1"/>
  <c r="CE26" i="19" a="1"/>
  <c r="CE26" i="19" s="1"/>
  <c r="CH34" i="19" a="1"/>
  <c r="CH34" i="19" s="1"/>
  <c r="CI11" i="19" a="1"/>
  <c r="CI11" i="19" s="1"/>
  <c r="CC45" i="19" a="1"/>
  <c r="CC45" i="19" s="1"/>
  <c r="CH5" i="19" a="1"/>
  <c r="CH5" i="19" s="1"/>
  <c r="CN45" i="19" a="1"/>
  <c r="CN45" i="19" s="1"/>
  <c r="CJ15" i="19" a="1"/>
  <c r="CJ15" i="19" s="1"/>
  <c r="CH38" i="19" a="1"/>
  <c r="CH38" i="19" s="1"/>
  <c r="CP32" i="19" a="1"/>
  <c r="CP32" i="19" s="1"/>
  <c r="CK29" i="19" a="1"/>
  <c r="CK29" i="19" s="1"/>
  <c r="CL30" i="19" a="1"/>
  <c r="CL30" i="19" s="1"/>
  <c r="CM35" i="19" a="1"/>
  <c r="CM35" i="19" s="1"/>
  <c r="CQ31" i="19" a="1"/>
  <c r="CQ31" i="19" s="1"/>
  <c r="CV31" i="19" s="1"/>
  <c r="CH19" i="19" a="1"/>
  <c r="CH19" i="19" s="1"/>
  <c r="CO12" i="19" a="1"/>
  <c r="CO12" i="19" s="1"/>
  <c r="CP6" i="19" a="1"/>
  <c r="CP6" i="19" s="1"/>
  <c r="CC33" i="19" a="1"/>
  <c r="CC33" i="19" s="1"/>
  <c r="CF30" i="19" a="1"/>
  <c r="CF30" i="19" s="1"/>
  <c r="CN19" i="19" a="1"/>
  <c r="CN19" i="19" s="1"/>
  <c r="CH29" i="19" a="1"/>
  <c r="CH29" i="19" s="1"/>
  <c r="CN13" i="19" a="1"/>
  <c r="CN13" i="19" s="1"/>
  <c r="CL35" i="19" a="1"/>
  <c r="CL35" i="19" s="1"/>
  <c r="CG18" i="19" a="1"/>
  <c r="CG18" i="19" s="1"/>
  <c r="CM11" i="19" a="1"/>
  <c r="CM11" i="19" s="1"/>
  <c r="CM4" i="19" a="1"/>
  <c r="CM4" i="19" s="1"/>
  <c r="CF45" i="19" a="1"/>
  <c r="CF45" i="19" s="1"/>
  <c r="CE24" i="19" a="1"/>
  <c r="CE24" i="19" s="1"/>
  <c r="CC37" i="19" a="1"/>
  <c r="CC37" i="19" s="1"/>
  <c r="CQ28" i="19" a="1"/>
  <c r="CQ28" i="19" s="1"/>
  <c r="CV28" i="19" s="1"/>
  <c r="CQ10" i="19" a="1"/>
  <c r="CQ10" i="19" s="1"/>
  <c r="CV10" i="19" s="1"/>
  <c r="CN37" i="19" a="1"/>
  <c r="CN37" i="19" s="1"/>
  <c r="CQ34" i="19" a="1"/>
  <c r="CQ34" i="19" s="1"/>
  <c r="CV34" i="19" s="1"/>
  <c r="CM31" i="19" a="1"/>
  <c r="CM31" i="19" s="1"/>
  <c r="CD28" i="19" a="1"/>
  <c r="CD28" i="19" s="1"/>
  <c r="CM45" i="19" a="1"/>
  <c r="CM45" i="19" s="1"/>
  <c r="CO11" i="19" a="1"/>
  <c r="CO11" i="19" s="1"/>
  <c r="CG24" i="19" a="1"/>
  <c r="CG24" i="19" s="1"/>
  <c r="CF44" i="19" a="1"/>
  <c r="CF44" i="19" s="1"/>
  <c r="CM17" i="19" a="1"/>
  <c r="CM17" i="19" s="1"/>
  <c r="CN42" i="19" a="1"/>
  <c r="CN42" i="19" s="1"/>
  <c r="CF29" i="19" a="1"/>
  <c r="CF29" i="19" s="1"/>
  <c r="CI10" i="19" a="1"/>
  <c r="CI10" i="19" s="1"/>
  <c r="CM44" i="19" a="1"/>
  <c r="CM44" i="19" s="1"/>
  <c r="CJ16" i="19" a="1"/>
  <c r="CJ16" i="19" s="1"/>
  <c r="CE4" i="19" a="1"/>
  <c r="CE4" i="19" s="1"/>
  <c r="CO15" i="19" a="1"/>
  <c r="CO15" i="19" s="1"/>
  <c r="CQ8" i="19" a="1"/>
  <c r="CQ8" i="19" s="1"/>
  <c r="CV8" i="19" s="1"/>
  <c r="CQ6" i="19" a="1"/>
  <c r="CQ6" i="19" s="1"/>
  <c r="CV6" i="19" s="1"/>
  <c r="CP21" i="19" a="1"/>
  <c r="CP21" i="19" s="1"/>
  <c r="CP24" i="19" a="1"/>
  <c r="CP24" i="19" s="1"/>
  <c r="CJ4" i="19" a="1"/>
  <c r="CJ4" i="19" s="1"/>
  <c r="CL27" i="19" a="1"/>
  <c r="CL27" i="19" s="1"/>
  <c r="CC24" i="19" a="1"/>
  <c r="CC24" i="19" s="1"/>
  <c r="CJ23" i="19" a="1"/>
  <c r="CJ23" i="19" s="1"/>
  <c r="CD26" i="19" a="1"/>
  <c r="CD26" i="19" s="1"/>
  <c r="CE12" i="19" a="1"/>
  <c r="CE12" i="19" s="1"/>
  <c r="CL25" i="19" a="1"/>
  <c r="CL25" i="19" s="1"/>
  <c r="CC41" i="19" a="1"/>
  <c r="CC41" i="19" s="1"/>
  <c r="CH11" i="19" a="1"/>
  <c r="CH11" i="19" s="1"/>
  <c r="CO24" i="19" a="1"/>
  <c r="CO24" i="19" s="1"/>
  <c r="CQ45" i="19" a="1"/>
  <c r="CQ45" i="19" s="1"/>
  <c r="CV45" i="19" s="1"/>
  <c r="CF10" i="19" a="1"/>
  <c r="CF10" i="19" s="1"/>
  <c r="CF14" i="19" a="1"/>
  <c r="CF14" i="19" s="1"/>
  <c r="CN12" i="19" a="1"/>
  <c r="CN12" i="19" s="1"/>
  <c r="CI17" i="19" a="1"/>
  <c r="CI17" i="19" s="1"/>
  <c r="CC6" i="19" a="1"/>
  <c r="CC6" i="19" s="1"/>
  <c r="CF28" i="19" a="1"/>
  <c r="CF28" i="19" s="1"/>
  <c r="CC39" i="19" a="1"/>
  <c r="CC39" i="19" s="1"/>
  <c r="CK15" i="19" a="1"/>
  <c r="CK15" i="19" s="1"/>
  <c r="CL45" i="19" a="1"/>
  <c r="CL45" i="19" s="1"/>
  <c r="CN40" i="19" a="1"/>
  <c r="CN40" i="19" s="1"/>
  <c r="CH15" i="19" a="1"/>
  <c r="CH15" i="19" s="1"/>
  <c r="CJ41" i="19" a="1"/>
  <c r="CJ41" i="19" s="1"/>
  <c r="CO19" i="19" a="1"/>
  <c r="CO19" i="19" s="1"/>
  <c r="CF33" i="19" a="1"/>
  <c r="CF33" i="19" s="1"/>
  <c r="CP20" i="19" a="1"/>
  <c r="CP20" i="19" s="1"/>
  <c r="CI30" i="19" a="1"/>
  <c r="CI30" i="19" s="1"/>
  <c r="CL42" i="19" a="1"/>
  <c r="CL42" i="19" s="1"/>
  <c r="CM7" i="19" a="1"/>
  <c r="CM7" i="19" s="1"/>
  <c r="CD27" i="19" a="1"/>
  <c r="CD27" i="19" s="1"/>
  <c r="CN33" i="19" a="1"/>
  <c r="CN33" i="19" s="1"/>
  <c r="CK30" i="19" a="1"/>
  <c r="CK30" i="19" s="1"/>
  <c r="CM37" i="19" a="1"/>
  <c r="CM37" i="19" s="1"/>
  <c r="CQ32" i="19" a="1"/>
  <c r="CQ32" i="19" s="1"/>
  <c r="CV32" i="19" s="1"/>
  <c r="CO9" i="19" a="1"/>
  <c r="CO9" i="19" s="1"/>
  <c r="CC31" i="19" a="1"/>
  <c r="CC31" i="19" s="1"/>
  <c r="CF22" i="19" a="1"/>
  <c r="CF22" i="19" s="1"/>
  <c r="CD11" i="19" a="1"/>
  <c r="CD11" i="19" s="1"/>
  <c r="CD20" i="19" a="1"/>
  <c r="CD20" i="19" s="1"/>
  <c r="CI45" i="19" a="1"/>
  <c r="CI45" i="19" s="1"/>
  <c r="CJ33" i="19" a="1"/>
  <c r="CJ33" i="19" s="1"/>
  <c r="CL10" i="19" a="1"/>
  <c r="CL10" i="19" s="1"/>
  <c r="CM39" i="19" a="1"/>
  <c r="CM39" i="19" s="1"/>
  <c r="CC12" i="19" a="1"/>
  <c r="CC12" i="19" s="1"/>
  <c r="CP36" i="19" a="1"/>
  <c r="CP36" i="19" s="1"/>
  <c r="CK4" i="19" a="1"/>
  <c r="CK4" i="19" s="1"/>
  <c r="CM16" i="19" a="1"/>
  <c r="CM16" i="19" s="1"/>
  <c r="CG23" i="19" a="1"/>
  <c r="CG23" i="19" s="1"/>
  <c r="CO13" i="19" a="1"/>
  <c r="CO13" i="19" s="1"/>
  <c r="CD29" i="19" a="1"/>
  <c r="CD29" i="19" s="1"/>
  <c r="CI14" i="19" a="1"/>
  <c r="CI14" i="19" s="1"/>
  <c r="CQ24" i="19" a="1"/>
  <c r="CQ24" i="19" s="1"/>
  <c r="CV24" i="19" s="1"/>
  <c r="CL16" i="19" a="1"/>
  <c r="CL16" i="19" s="1"/>
  <c r="CL34" i="19" a="1"/>
  <c r="CL34" i="19" s="1"/>
  <c r="CP19" i="19" a="1"/>
  <c r="CP19" i="19" s="1"/>
  <c r="CI23" i="19" a="1"/>
  <c r="CI23" i="19" s="1"/>
  <c r="CM33" i="19" a="1"/>
  <c r="CM33" i="19" s="1"/>
  <c r="CC43" i="19" a="1"/>
  <c r="CC43" i="19" s="1"/>
  <c r="CG43" i="19" a="1"/>
  <c r="CG43" i="19" s="1"/>
  <c r="CE39" i="19" a="1"/>
  <c r="CE39" i="19" s="1"/>
  <c r="CM20" i="19" a="1"/>
  <c r="CM20" i="19" s="1"/>
  <c r="CD4" i="19" a="1"/>
  <c r="CD4" i="19" s="1"/>
  <c r="CJ26" i="19" a="1"/>
  <c r="CJ26" i="19" s="1"/>
  <c r="CH14" i="19" a="1"/>
  <c r="CH14" i="19" s="1"/>
  <c r="CF19" i="19" a="1"/>
  <c r="CF19" i="19" s="1"/>
  <c r="CP16" i="19" a="1"/>
  <c r="CP16" i="19" s="1"/>
  <c r="CJ28" i="19" a="1"/>
  <c r="CJ28" i="19" s="1"/>
  <c r="CO43" i="19" a="1"/>
  <c r="CO43" i="19" s="1"/>
  <c r="CC20" i="19" a="1"/>
  <c r="CC20" i="19" s="1"/>
  <c r="CL9" i="19" a="1"/>
  <c r="CL9" i="19" s="1"/>
  <c r="CI32" i="19" a="1"/>
  <c r="CI32" i="19" s="1"/>
  <c r="CL17" i="19" a="1"/>
  <c r="CL17" i="19" s="1"/>
  <c r="CH28" i="19" a="1"/>
  <c r="CH28" i="19" s="1"/>
  <c r="CH8" i="19" a="1"/>
  <c r="CH8" i="19" s="1"/>
  <c r="CN39" i="19" a="1"/>
  <c r="CN39" i="19" s="1"/>
  <c r="CI37" i="19" a="1"/>
  <c r="CI37" i="19" s="1"/>
  <c r="CF8" i="19" a="1"/>
  <c r="CF8" i="19" s="1"/>
  <c r="CK19" i="19" a="1"/>
  <c r="CK19" i="19" s="1"/>
  <c r="CH4" i="19" a="1"/>
  <c r="CH4" i="19" s="1"/>
  <c r="CO31" i="19" a="1"/>
  <c r="CO31" i="19" s="1"/>
  <c r="CJ42" i="19" a="1"/>
  <c r="CJ42" i="19" s="1"/>
  <c r="CQ21" i="19" a="1"/>
  <c r="CQ21" i="19" s="1"/>
  <c r="CV21" i="19" s="1"/>
  <c r="CM32" i="19" a="1"/>
  <c r="CM32" i="19" s="1"/>
  <c r="CK33" i="19" a="1"/>
  <c r="CK33" i="19" s="1"/>
  <c r="CM23" i="19" a="1"/>
  <c r="CM23" i="19" s="1"/>
  <c r="CM18" i="19" a="1"/>
  <c r="CM18" i="19" s="1"/>
  <c r="CE44" i="19" a="1"/>
  <c r="CE44" i="19" s="1"/>
  <c r="CG34" i="19" a="1"/>
  <c r="CG34" i="19" s="1"/>
  <c r="CJ31" i="19" a="1"/>
  <c r="CJ31" i="19" s="1"/>
  <c r="CE31" i="19" a="1"/>
  <c r="CE31" i="19" s="1"/>
  <c r="CN9" i="19" a="1"/>
  <c r="CN9" i="19" s="1"/>
  <c r="CV332" i="19"/>
  <c r="CV287" i="19"/>
  <c r="CV488" i="19"/>
  <c r="CV512" i="19"/>
  <c r="CV438" i="19"/>
  <c r="CV399" i="19"/>
  <c r="CV431" i="19"/>
  <c r="CV576" i="19"/>
  <c r="CV405" i="19"/>
  <c r="CV478" i="19"/>
  <c r="CV172" i="19"/>
  <c r="CV533" i="19"/>
  <c r="CV96" i="19"/>
  <c r="CV279" i="19"/>
  <c r="CV619" i="19"/>
  <c r="CV284" i="19"/>
  <c r="CV72" i="19"/>
  <c r="CV429" i="19"/>
  <c r="CV376" i="19"/>
  <c r="CV361" i="19"/>
  <c r="CV291" i="19"/>
  <c r="CV375" i="19"/>
  <c r="CV562" i="19"/>
  <c r="CV610" i="19"/>
  <c r="CV75" i="19"/>
  <c r="CV248" i="19"/>
  <c r="CV477" i="19"/>
  <c r="CV83" i="19"/>
  <c r="CV321" i="19"/>
  <c r="CV443" i="19"/>
  <c r="CV66" i="19"/>
  <c r="CV599" i="19"/>
  <c r="CV275" i="19"/>
  <c r="CV241" i="19"/>
  <c r="CV237" i="19"/>
  <c r="CV566" i="19"/>
  <c r="CV468" i="19"/>
  <c r="CV328" i="19"/>
  <c r="CV207" i="19"/>
  <c r="CV302" i="19"/>
  <c r="CV448" i="19"/>
  <c r="CV87" i="19"/>
  <c r="CV378" i="19"/>
  <c r="CV255" i="19"/>
  <c r="CV549" i="19"/>
  <c r="CV134" i="19"/>
  <c r="CV510" i="19"/>
  <c r="CV263" i="19"/>
  <c r="CV411" i="19"/>
  <c r="CV216" i="19"/>
  <c r="CV387" i="19"/>
  <c r="CV580" i="19"/>
  <c r="CV125" i="19"/>
  <c r="CV561" i="19"/>
  <c r="CV188" i="19"/>
  <c r="CV51" i="19"/>
  <c r="CV316" i="19"/>
  <c r="CV126" i="19"/>
  <c r="CV412" i="19"/>
  <c r="CV152" i="19"/>
  <c r="CV440" i="19"/>
  <c r="CV264" i="19"/>
  <c r="CV240" i="19"/>
  <c r="CV266" i="19"/>
  <c r="CV149" i="19"/>
  <c r="CV604" i="19"/>
  <c r="CV198" i="19"/>
  <c r="CV550" i="19"/>
  <c r="CV417" i="19"/>
  <c r="CV597" i="19"/>
  <c r="CV564" i="19"/>
  <c r="CV609" i="19"/>
  <c r="CV341" i="19"/>
  <c r="CV432" i="19"/>
  <c r="CV437" i="19"/>
  <c r="CV138" i="19"/>
  <c r="CV76" i="19"/>
  <c r="CV490" i="19"/>
  <c r="CV496" i="19"/>
  <c r="CV359" i="19"/>
  <c r="CV178" i="19"/>
  <c r="CV509" i="19"/>
  <c r="CV489" i="19"/>
  <c r="CV350" i="19"/>
  <c r="CV590" i="19"/>
  <c r="CV403" i="19"/>
  <c r="CV311" i="19"/>
  <c r="CV365" i="19"/>
  <c r="CV203" i="19"/>
  <c r="CV186" i="19"/>
  <c r="CV502" i="19"/>
  <c r="CV286" i="19"/>
  <c r="CV331" i="19"/>
  <c r="CV601" i="19"/>
  <c r="CV455" i="19"/>
  <c r="CV46" i="19"/>
  <c r="CV253" i="19"/>
  <c r="CV55" i="19"/>
  <c r="CV467" i="19"/>
  <c r="CV421" i="19"/>
  <c r="CV362" i="19"/>
  <c r="CV608" i="19"/>
  <c r="CV582" i="19"/>
  <c r="CV418" i="19"/>
  <c r="CV632" i="19"/>
  <c r="CV558" i="19"/>
  <c r="CV528" i="19"/>
  <c r="CV314" i="19"/>
  <c r="CV163" i="19"/>
  <c r="CV420" i="19"/>
  <c r="CV227" i="19"/>
  <c r="CV288" i="19"/>
  <c r="CV479" i="19"/>
  <c r="CV614" i="19"/>
  <c r="CV49" i="19"/>
  <c r="CV124" i="19"/>
  <c r="CV523" i="19"/>
  <c r="CV493" i="19"/>
  <c r="CV578" i="19"/>
  <c r="CV407" i="19"/>
  <c r="CV250" i="19"/>
  <c r="CV106" i="19"/>
  <c r="CV107" i="19"/>
  <c r="CV168" i="19"/>
  <c r="CV151" i="19"/>
  <c r="CV426" i="19"/>
  <c r="CV148" i="19"/>
  <c r="CV228" i="19"/>
  <c r="CV170" i="19"/>
  <c r="CV445" i="19"/>
  <c r="CV103" i="19"/>
  <c r="CV343" i="19"/>
  <c r="CV530" i="19"/>
  <c r="CV538" i="19"/>
  <c r="CV98" i="19"/>
  <c r="CV231" i="19"/>
  <c r="CV254" i="19"/>
  <c r="CV323" i="19"/>
  <c r="CV372" i="19"/>
  <c r="CV140" i="19"/>
  <c r="CV349" i="19"/>
  <c r="CV518" i="19"/>
  <c r="CV78" i="19"/>
  <c r="CV174" i="19"/>
  <c r="CV552" i="19"/>
  <c r="CV271" i="19"/>
  <c r="CV474" i="19"/>
  <c r="CV476" i="19"/>
  <c r="CV132" i="19"/>
  <c r="CV480" i="19"/>
  <c r="CV400" i="19"/>
  <c r="CV304" i="19"/>
  <c r="CV236" i="19"/>
  <c r="CV259" i="19"/>
  <c r="CV164" i="19"/>
  <c r="CV631" i="19"/>
  <c r="CV588" i="19"/>
  <c r="CV156" i="19"/>
  <c r="CV210" i="19"/>
  <c r="CV191" i="19"/>
  <c r="CV88" i="19"/>
  <c r="CV206" i="19"/>
  <c r="CV409" i="19"/>
  <c r="CV127" i="19"/>
  <c r="CV605" i="19"/>
  <c r="CV90" i="19"/>
  <c r="CV251" i="19"/>
  <c r="CV61" i="19"/>
  <c r="CV282" i="19"/>
  <c r="CV583" i="19"/>
  <c r="CV522" i="19"/>
  <c r="CV389" i="19"/>
  <c r="CV327" i="19"/>
  <c r="CV621" i="19"/>
  <c r="CV189" i="19"/>
  <c r="CV169" i="19"/>
  <c r="CV460" i="19"/>
  <c r="CV534" i="19"/>
  <c r="CV410" i="19"/>
  <c r="CV70" i="19"/>
  <c r="CV603" i="19"/>
  <c r="CV64" i="19"/>
  <c r="CV205" i="19"/>
  <c r="CV296" i="19"/>
  <c r="CV338" i="19"/>
  <c r="CV84" i="19"/>
  <c r="CV422" i="19"/>
  <c r="CV573" i="19"/>
  <c r="CV310" i="19"/>
  <c r="CV194" i="19"/>
  <c r="CV293" i="19"/>
  <c r="CV551" i="19"/>
  <c r="CV217" i="19"/>
  <c r="CV94" i="19"/>
  <c r="CV274" i="19"/>
  <c r="CV506" i="19"/>
  <c r="CV633" i="19"/>
  <c r="CV397" i="19"/>
  <c r="CV577" i="19"/>
  <c r="CV452" i="19"/>
  <c r="CV326" i="19"/>
  <c r="CV508" i="19"/>
  <c r="CV214" i="19"/>
  <c r="CV459" i="19"/>
  <c r="CV161" i="19"/>
  <c r="CV553" i="19"/>
  <c r="CV187" i="19"/>
  <c r="CV91" i="19"/>
  <c r="CV229" i="19"/>
  <c r="CV133" i="19"/>
  <c r="CV230" i="19"/>
  <c r="CV56" i="19"/>
  <c r="CV617" i="19"/>
  <c r="CV446" i="19"/>
  <c r="CV74" i="19"/>
  <c r="CV513" i="19"/>
  <c r="CV93" i="19"/>
  <c r="CV620" i="19"/>
  <c r="CV527" i="19"/>
  <c r="CV546" i="19"/>
  <c r="CV483" i="19"/>
  <c r="CV380" i="19"/>
  <c r="CV540" i="19"/>
  <c r="CV283" i="19"/>
  <c r="CV235" i="19"/>
  <c r="CV177" i="19"/>
  <c r="CV313" i="19"/>
  <c r="CV408" i="19"/>
  <c r="CV201" i="19"/>
  <c r="CV507" i="19"/>
  <c r="CV307" i="19"/>
  <c r="CV112" i="19"/>
  <c r="CV351" i="19"/>
  <c r="CV439" i="19"/>
  <c r="CV433" i="19"/>
  <c r="CV450" i="19"/>
  <c r="CV325" i="19"/>
  <c r="CV245" i="19"/>
  <c r="CV273" i="19"/>
  <c r="CV153" i="19"/>
  <c r="CV461" i="19"/>
  <c r="CV428" i="19"/>
  <c r="CV531" i="19"/>
  <c r="CV541" i="19"/>
  <c r="CV105" i="19"/>
  <c r="CV358" i="19"/>
  <c r="CV270" i="19"/>
  <c r="CV481" i="19"/>
  <c r="CV491" i="19"/>
  <c r="CV593" i="19"/>
  <c r="CV520" i="19"/>
  <c r="CV548" i="19"/>
  <c r="CV596" i="19"/>
  <c r="CV568" i="19"/>
  <c r="CV160" i="19"/>
  <c r="CV569" i="19"/>
  <c r="CV175" i="19"/>
  <c r="CV547" i="19"/>
  <c r="CV322" i="19"/>
  <c r="CV315" i="19"/>
  <c r="CV208" i="19"/>
  <c r="CV219" i="19"/>
  <c r="CV77" i="19"/>
  <c r="CV301" i="19"/>
  <c r="CV368" i="19"/>
  <c r="CV434" i="19"/>
  <c r="CV50" i="19"/>
  <c r="CV110" i="19"/>
  <c r="CV544" i="19"/>
  <c r="CV354" i="19"/>
  <c r="CV394" i="19"/>
  <c r="CV265" i="19"/>
  <c r="CV498" i="19"/>
  <c r="CV430" i="19"/>
  <c r="CV406" i="19"/>
  <c r="CV458" i="19"/>
  <c r="CV157" i="19"/>
  <c r="CV542" i="19"/>
  <c r="CV398" i="19"/>
  <c r="CV396" i="19"/>
  <c r="CV220" i="19"/>
  <c r="CV499" i="19"/>
  <c r="CV317" i="19"/>
  <c r="CV200" i="19"/>
  <c r="CV352" i="19"/>
  <c r="CV457" i="19"/>
  <c r="CV524" i="19"/>
  <c r="CV449" i="19"/>
  <c r="CV192" i="19"/>
  <c r="CV209" i="19"/>
  <c r="CV572" i="19"/>
  <c r="CV297" i="19"/>
  <c r="CV435" i="19"/>
  <c r="CV337" i="19"/>
  <c r="CV305" i="19"/>
  <c r="CV585" i="19"/>
  <c r="CV595" i="19"/>
  <c r="CV65" i="19"/>
  <c r="CV442" i="19"/>
  <c r="CV71" i="19"/>
  <c r="CV514" i="19"/>
  <c r="CV294" i="19"/>
  <c r="CV249" i="19"/>
  <c r="CV165" i="19"/>
  <c r="CV221" i="19"/>
  <c r="CV545" i="19"/>
  <c r="CV473" i="19"/>
  <c r="CV277" i="19"/>
  <c r="CV130" i="19"/>
  <c r="CV150" i="19"/>
  <c r="CV269" i="19"/>
  <c r="CV516" i="19"/>
  <c r="CV486" i="19"/>
  <c r="CV57" i="19"/>
  <c r="CV120" i="19"/>
  <c r="CV261" i="19"/>
  <c r="CV143" i="19"/>
  <c r="CV47" i="19"/>
  <c r="CV388" i="19"/>
  <c r="CV629" i="19"/>
  <c r="CV591" i="19"/>
  <c r="CV128" i="19"/>
  <c r="CV146" i="19"/>
  <c r="CV357" i="19"/>
  <c r="CV416" i="19"/>
  <c r="CV504" i="19"/>
  <c r="CV355" i="19"/>
  <c r="CV180" i="19"/>
  <c r="CV587" i="19"/>
  <c r="CV158" i="19"/>
  <c r="CV579" i="19"/>
  <c r="CV238" i="19"/>
  <c r="CV252" i="19"/>
  <c r="CV131" i="19"/>
  <c r="CV453" i="19"/>
  <c r="CV353" i="19"/>
  <c r="CV584" i="19"/>
  <c r="CV117" i="19"/>
  <c r="CV377" i="19"/>
  <c r="CV86" i="19"/>
  <c r="CV137" i="19"/>
  <c r="CV482" i="19"/>
  <c r="CV145" i="19"/>
  <c r="CV99" i="19"/>
  <c r="CV82" i="19"/>
  <c r="CV602" i="19"/>
  <c r="CV393" i="19"/>
  <c r="CV69" i="19"/>
  <c r="CV260" i="19"/>
  <c r="CV173" i="19"/>
  <c r="CV303" i="19"/>
  <c r="CV202" i="19"/>
  <c r="CV100" i="19"/>
  <c r="CV60" i="19"/>
  <c r="CV539" i="19"/>
  <c r="CV616" i="19"/>
  <c r="CV342" i="19"/>
  <c r="CV427" i="19"/>
  <c r="CV385" i="19"/>
  <c r="CV330" i="19"/>
  <c r="CV53" i="19"/>
  <c r="CV373" i="19"/>
  <c r="CV185" i="19"/>
  <c r="CV101" i="19"/>
  <c r="CV320" i="19"/>
  <c r="CV108" i="19"/>
  <c r="CV197" i="19"/>
  <c r="CV289" i="19"/>
  <c r="CV425" i="19"/>
  <c r="CV123" i="19"/>
  <c r="CV92" i="19"/>
  <c r="CV234" i="19"/>
  <c r="CV142" i="19"/>
  <c r="CV218" i="19"/>
  <c r="CV367" i="19"/>
  <c r="CV224" i="19"/>
  <c r="CV233" i="19"/>
  <c r="CV444" i="19"/>
  <c r="CV628" i="19"/>
  <c r="CV390" i="19"/>
  <c r="CV436" i="19"/>
  <c r="CV295" i="19"/>
  <c r="CV190" i="19"/>
  <c r="CV630" i="19"/>
  <c r="CV465" i="19"/>
  <c r="CV85" i="19"/>
  <c r="CV371" i="19"/>
  <c r="CV526" i="19"/>
  <c r="CV333" i="19"/>
  <c r="CV364" i="19"/>
  <c r="CV517" i="19"/>
  <c r="CV511" i="19"/>
  <c r="CV624" i="19"/>
  <c r="CV97" i="19"/>
  <c r="CV615" i="19"/>
  <c r="CV464" i="19"/>
  <c r="CV308" i="19"/>
  <c r="CV451" i="19"/>
  <c r="CV122" i="19"/>
  <c r="CV280" i="19"/>
  <c r="CV466" i="19"/>
  <c r="CV484" i="19"/>
  <c r="CV244" i="19"/>
  <c r="CV574" i="19"/>
  <c r="CV623" i="19"/>
  <c r="CV59" i="19"/>
  <c r="CV129" i="19"/>
  <c r="CV366" i="19"/>
  <c r="CV135" i="19"/>
  <c r="CV535" i="19"/>
  <c r="CV600" i="19"/>
  <c r="CV267" i="19"/>
  <c r="CV242" i="19"/>
  <c r="CV391" i="19"/>
  <c r="CV360" i="19"/>
  <c r="CV415" i="19"/>
  <c r="CV606" i="19"/>
  <c r="CV278" i="19"/>
  <c r="CV62" i="19"/>
  <c r="CV529" i="19"/>
  <c r="CV384" i="19"/>
  <c r="CV199" i="19"/>
  <c r="CV166" i="19"/>
  <c r="CV204" i="19"/>
  <c r="CV618" i="19"/>
  <c r="CV243" i="19"/>
  <c r="CV139" i="19"/>
  <c r="CV345" i="19"/>
  <c r="CV395" i="19"/>
  <c r="CV306" i="19"/>
  <c r="CV503" i="19"/>
  <c r="CV515" i="19"/>
  <c r="CV344" i="19"/>
  <c r="CV193" i="19"/>
  <c r="CV555" i="19"/>
  <c r="CV159" i="19"/>
  <c r="CV485" i="19"/>
  <c r="CV556" i="19"/>
  <c r="CV413" i="19"/>
  <c r="CV348" i="19"/>
  <c r="CV613" i="19"/>
  <c r="CV54" i="19"/>
  <c r="CV519" i="19"/>
  <c r="CV181" i="19"/>
  <c r="CV402" i="19"/>
  <c r="CV119" i="19"/>
  <c r="CV492" i="19"/>
  <c r="CV318" i="19"/>
  <c r="CV215" i="19"/>
  <c r="CV521" i="19"/>
  <c r="CV567" i="19"/>
  <c r="CV369" i="19"/>
  <c r="CV81" i="19"/>
  <c r="CV505" i="19"/>
  <c r="CV80" i="19"/>
  <c r="CV554" i="19"/>
  <c r="CV147" i="19"/>
  <c r="CV184" i="19"/>
  <c r="CV212" i="19"/>
  <c r="CV63" i="19"/>
  <c r="CV111" i="19"/>
  <c r="CV247" i="19"/>
  <c r="CV239" i="19"/>
  <c r="CV374" i="19"/>
  <c r="CV570" i="19"/>
  <c r="CV454" i="19"/>
  <c r="CV324" i="19"/>
  <c r="CV115" i="19"/>
  <c r="CV136" i="19"/>
  <c r="CV560" i="19"/>
  <c r="CV339" i="19"/>
  <c r="CV335" i="19"/>
  <c r="CV607" i="19"/>
  <c r="CV386" i="19"/>
  <c r="CV497" i="19"/>
  <c r="CV95" i="19"/>
  <c r="CV257" i="19"/>
  <c r="CV290" i="19"/>
  <c r="CV68" i="19"/>
  <c r="CV401" i="19"/>
  <c r="CV141" i="19"/>
  <c r="CV370" i="19"/>
  <c r="CV532" i="19"/>
  <c r="CV356" i="19"/>
  <c r="CV462" i="19"/>
  <c r="CV226" i="19"/>
  <c r="CV292" i="19"/>
  <c r="CV298" i="19"/>
  <c r="CV246" i="19"/>
  <c r="CV586" i="19"/>
  <c r="CV419" i="19"/>
  <c r="CV469" i="19"/>
  <c r="CV52" i="19"/>
  <c r="CV392" i="19"/>
  <c r="CV575" i="19"/>
  <c r="CV113" i="19"/>
  <c r="CV495" i="19"/>
  <c r="CV537" i="19"/>
  <c r="CV625" i="19"/>
  <c r="CV470" i="19"/>
  <c r="CV525" i="19"/>
  <c r="CV382" i="19"/>
  <c r="CV183" i="19"/>
  <c r="CV581" i="19"/>
  <c r="CV559" i="19"/>
  <c r="CV611" i="19"/>
  <c r="CV155" i="19"/>
  <c r="CV144" i="19"/>
  <c r="CV222" i="19"/>
  <c r="CV114" i="19"/>
  <c r="CV211" i="19"/>
  <c r="CV475" i="19"/>
  <c r="CV565" i="19"/>
  <c r="CV622" i="19"/>
  <c r="CV463" i="19"/>
  <c r="CV346" i="19"/>
  <c r="CV48" i="19"/>
  <c r="CV176" i="19"/>
  <c r="CV598" i="19"/>
  <c r="CV404" i="19"/>
  <c r="CV329" i="19"/>
  <c r="CV116" i="19"/>
  <c r="CV563" i="19"/>
  <c r="CV196" i="19"/>
  <c r="CV102" i="19"/>
  <c r="CV213" i="19"/>
  <c r="CV118" i="19"/>
  <c r="CV162" i="19"/>
  <c r="CV447" i="19"/>
  <c r="CV79" i="19"/>
  <c r="CV334" i="19"/>
  <c r="CV309" i="19"/>
  <c r="CV379" i="19"/>
  <c r="CV300" i="19"/>
  <c r="CV612" i="19"/>
  <c r="CV171" i="19"/>
  <c r="CV571" i="19"/>
  <c r="CV487" i="19"/>
  <c r="CV319" i="19"/>
  <c r="CV626" i="19"/>
  <c r="CV381" i="19"/>
  <c r="CV472" i="19"/>
  <c r="CV104" i="19"/>
  <c r="CV223" i="19"/>
  <c r="CV58" i="19"/>
  <c r="CV258" i="19"/>
  <c r="CV276" i="19"/>
  <c r="CV592" i="19"/>
  <c r="CV501" i="19"/>
  <c r="CV441" i="19"/>
  <c r="CV456" i="19"/>
  <c r="CV121" i="19"/>
  <c r="CV363" i="19"/>
  <c r="CV281" i="19"/>
  <c r="CV340" i="19"/>
  <c r="CV179" i="19"/>
  <c r="CV336" i="19"/>
  <c r="CV268" i="19"/>
  <c r="CV272" i="19"/>
  <c r="CV414" i="19"/>
  <c r="CV109" i="19"/>
  <c r="CV536" i="19"/>
  <c r="CV543" i="19"/>
  <c r="CV589" i="19"/>
  <c r="CV285" i="19"/>
  <c r="CV89" i="19"/>
  <c r="CV299" i="19"/>
  <c r="CV225" i="19"/>
  <c r="CV383" i="19"/>
  <c r="CV154" i="19"/>
  <c r="CV195" i="19"/>
  <c r="CV424" i="19"/>
  <c r="CV232" i="19"/>
  <c r="CV423" i="19"/>
  <c r="CV73" i="19"/>
  <c r="CV262" i="19"/>
  <c r="CV256" i="19"/>
  <c r="CV347" i="19"/>
  <c r="CV167" i="19"/>
  <c r="CV494" i="19"/>
  <c r="CV557" i="19"/>
  <c r="CV67" i="19"/>
  <c r="CV312" i="19"/>
  <c r="CV594" i="19"/>
  <c r="CV500" i="19"/>
  <c r="CV627" i="19"/>
  <c r="CV182" i="19"/>
  <c r="CV471" i="19"/>
  <c r="CL2" i="19" l="1"/>
  <c r="CP2" i="19"/>
  <c r="CI2" i="19"/>
  <c r="CG2" i="19"/>
  <c r="CD2" i="19"/>
  <c r="CK2" i="19"/>
  <c r="CN2" i="19"/>
  <c r="CF2" i="19"/>
  <c r="CJ2" i="19"/>
  <c r="CO2" i="19"/>
  <c r="CQ2" i="19"/>
  <c r="CQ1" i="19" s="1"/>
  <c r="CH2" i="19"/>
  <c r="CE2" i="19"/>
  <c r="CM2" i="19"/>
  <c r="CW5" i="19"/>
  <c r="CW6" i="19" s="1"/>
  <c r="CW7" i="19" s="1"/>
  <c r="CW8" i="19" s="1"/>
  <c r="CW9" i="19" s="1"/>
  <c r="CW10" i="19" s="1"/>
  <c r="CW11" i="19" s="1"/>
  <c r="CW12" i="19" s="1"/>
  <c r="CW13" i="19" s="1"/>
  <c r="CW14" i="19" s="1"/>
  <c r="CW15" i="19" s="1"/>
  <c r="CW16" i="19" s="1"/>
  <c r="CW17" i="19" s="1"/>
  <c r="CC2" i="19"/>
  <c r="CP1" i="19" l="1"/>
  <c r="CO1" i="19" s="1"/>
  <c r="CN1" i="19" s="1"/>
  <c r="CM1" i="19" s="1"/>
  <c r="CL1" i="19" s="1"/>
  <c r="CK1" i="19" s="1"/>
  <c r="CJ1" i="19" s="1"/>
  <c r="CI1" i="19" s="1"/>
  <c r="CH1" i="19" s="1"/>
  <c r="CG1" i="19" s="1"/>
  <c r="CF1" i="19" s="1"/>
  <c r="CE1" i="19" s="1"/>
  <c r="CD1" i="19" s="1"/>
  <c r="CC1" i="19" s="1"/>
  <c r="CW18" i="19"/>
  <c r="CW19" i="19" s="1"/>
  <c r="CW20" i="19" s="1"/>
  <c r="CW21" i="19" s="1"/>
  <c r="CW22" i="19" s="1"/>
  <c r="CW23" i="19" s="1"/>
  <c r="CW24" i="19" s="1"/>
  <c r="CW25" i="19" s="1"/>
  <c r="CW26" i="19" s="1"/>
  <c r="CW27" i="19" s="1"/>
  <c r="CW28" i="19" s="1"/>
  <c r="CW29" i="19" s="1"/>
  <c r="CW30" i="19" s="1"/>
  <c r="CW31" i="19" s="1"/>
  <c r="CW32" i="19" s="1"/>
  <c r="CW33" i="19" s="1"/>
  <c r="CW34" i="19" s="1"/>
  <c r="CW35" i="19" s="1"/>
  <c r="CW36" i="19" s="1"/>
  <c r="CW37" i="19" s="1"/>
  <c r="CW38" i="19" s="1"/>
  <c r="CW39" i="19" s="1"/>
  <c r="CW40" i="19" s="1"/>
  <c r="CW41" i="19" s="1"/>
  <c r="CW42" i="19" s="1"/>
  <c r="CW43" i="19" s="1"/>
  <c r="CW44" i="19" s="1"/>
  <c r="CW45" i="19" s="1"/>
  <c r="CW46" i="19" s="1"/>
  <c r="CW47" i="19" s="1"/>
  <c r="CW48" i="19" s="1"/>
  <c r="CW49" i="19" s="1"/>
  <c r="CW50" i="19" s="1"/>
  <c r="CW51" i="19" s="1"/>
  <c r="CW52" i="19" s="1"/>
  <c r="CW53" i="19" s="1"/>
  <c r="CW54" i="19" s="1"/>
  <c r="CW55" i="19" s="1"/>
  <c r="CW56" i="19" s="1"/>
  <c r="CW57" i="19" s="1"/>
  <c r="CW58" i="19" s="1"/>
  <c r="CW59" i="19" s="1"/>
  <c r="CW60" i="19" s="1"/>
  <c r="CW61" i="19" s="1"/>
  <c r="CW62" i="19" s="1"/>
  <c r="CW63" i="19" s="1"/>
  <c r="CW64" i="19" s="1"/>
  <c r="CW65" i="19" s="1"/>
  <c r="CW66" i="19" s="1"/>
  <c r="CW67" i="19" s="1"/>
  <c r="CW68" i="19" s="1"/>
  <c r="CW69" i="19" s="1"/>
  <c r="CW70" i="19" s="1"/>
  <c r="CW71" i="19" s="1"/>
  <c r="CW72" i="19" s="1"/>
  <c r="CW73" i="19" s="1"/>
  <c r="CW74" i="19" s="1"/>
  <c r="CW75" i="19" s="1"/>
  <c r="CW76" i="19" s="1"/>
  <c r="CW77" i="19" s="1"/>
  <c r="CW78" i="19" s="1"/>
  <c r="CW79" i="19" s="1"/>
  <c r="CW80" i="19" s="1"/>
  <c r="CW81" i="19" s="1"/>
  <c r="CW82" i="19" s="1"/>
  <c r="CW83" i="19" s="1"/>
  <c r="CW84" i="19" s="1"/>
  <c r="CW85" i="19" s="1"/>
  <c r="CW86" i="19" s="1"/>
  <c r="CW87" i="19" s="1"/>
  <c r="CW88" i="19" s="1"/>
  <c r="CW89" i="19" s="1"/>
  <c r="CW90" i="19" s="1"/>
  <c r="CW91" i="19" s="1"/>
  <c r="CW92" i="19" s="1"/>
  <c r="CW93" i="19" s="1"/>
  <c r="CW94" i="19" s="1"/>
  <c r="CW95" i="19" s="1"/>
  <c r="CW96" i="19" s="1"/>
  <c r="CW97" i="19" s="1"/>
  <c r="CW98" i="19" s="1"/>
  <c r="CW99" i="19" s="1"/>
  <c r="CW100" i="19" s="1"/>
  <c r="CW101" i="19" s="1"/>
  <c r="CW102" i="19" s="1"/>
  <c r="CW103" i="19" s="1"/>
  <c r="CW104" i="19" s="1"/>
  <c r="CW105" i="19" s="1"/>
  <c r="CW106" i="19" s="1"/>
  <c r="CW107" i="19" s="1"/>
  <c r="CW108" i="19" s="1"/>
  <c r="CW109" i="19" s="1"/>
  <c r="CW110" i="19" s="1"/>
  <c r="CW111" i="19" s="1"/>
  <c r="CW112" i="19" s="1"/>
  <c r="CW113" i="19" s="1"/>
  <c r="CW114" i="19" s="1"/>
  <c r="CW115" i="19" s="1"/>
  <c r="CW116" i="19" s="1"/>
  <c r="CW117" i="19" s="1"/>
  <c r="CW118" i="19" s="1"/>
  <c r="CW119" i="19" s="1"/>
  <c r="CW120" i="19" s="1"/>
  <c r="CW121" i="19" s="1"/>
  <c r="CW122" i="19" s="1"/>
  <c r="CW123" i="19" s="1"/>
  <c r="CW124" i="19" s="1"/>
  <c r="CW125" i="19" s="1"/>
  <c r="CW126" i="19" s="1"/>
  <c r="CW127" i="19" s="1"/>
  <c r="CW128" i="19" s="1"/>
  <c r="CW129" i="19" s="1"/>
  <c r="CW130" i="19" s="1"/>
  <c r="CW131" i="19" s="1"/>
  <c r="CW132" i="19" s="1"/>
  <c r="CW133" i="19" s="1"/>
  <c r="CW134" i="19" s="1"/>
  <c r="CW135" i="19" s="1"/>
  <c r="CW136" i="19" s="1"/>
  <c r="CW137" i="19" s="1"/>
  <c r="CW138" i="19" s="1"/>
  <c r="CW139" i="19" s="1"/>
  <c r="CW140" i="19" s="1"/>
  <c r="CW141" i="19" s="1"/>
  <c r="CW142" i="19" s="1"/>
  <c r="CW143" i="19" s="1"/>
  <c r="CW144" i="19" s="1"/>
  <c r="CW145" i="19" s="1"/>
  <c r="CW146" i="19" s="1"/>
  <c r="CW147" i="19" s="1"/>
  <c r="CW148" i="19" s="1"/>
  <c r="CW149" i="19" s="1"/>
  <c r="CW150" i="19" s="1"/>
  <c r="CW151" i="19" s="1"/>
  <c r="CW152" i="19" s="1"/>
  <c r="CW153" i="19" s="1"/>
  <c r="CW154" i="19" s="1"/>
  <c r="CW155" i="19" s="1"/>
  <c r="CW156" i="19" s="1"/>
  <c r="CW157" i="19" s="1"/>
  <c r="CW158" i="19" s="1"/>
  <c r="CW159" i="19" s="1"/>
  <c r="CW160" i="19" s="1"/>
  <c r="CW161" i="19" s="1"/>
  <c r="CW162" i="19" s="1"/>
  <c r="CW163" i="19" s="1"/>
  <c r="CW164" i="19" s="1"/>
  <c r="CW165" i="19" s="1"/>
  <c r="CW166" i="19" s="1"/>
  <c r="CW167" i="19" s="1"/>
  <c r="CW168" i="19" s="1"/>
  <c r="CW169" i="19" s="1"/>
  <c r="CW170" i="19" s="1"/>
  <c r="CW171" i="19" s="1"/>
  <c r="CW172" i="19" s="1"/>
  <c r="CW173" i="19" s="1"/>
  <c r="CW174" i="19" s="1"/>
  <c r="CW175" i="19" s="1"/>
  <c r="CW176" i="19" s="1"/>
  <c r="CW177" i="19" s="1"/>
  <c r="CW178" i="19" s="1"/>
  <c r="CW179" i="19" s="1"/>
  <c r="CW180" i="19" s="1"/>
  <c r="CW181" i="19" s="1"/>
  <c r="CW182" i="19" s="1"/>
  <c r="CW183" i="19" s="1"/>
  <c r="CW184" i="19" s="1"/>
  <c r="CW185" i="19" s="1"/>
  <c r="CW186" i="19" s="1"/>
  <c r="CW187" i="19" s="1"/>
  <c r="CW188" i="19" s="1"/>
  <c r="CW189" i="19" s="1"/>
  <c r="CW190" i="19" s="1"/>
  <c r="CW191" i="19" s="1"/>
  <c r="CW192" i="19" s="1"/>
  <c r="CW193" i="19" s="1"/>
  <c r="CW194" i="19" s="1"/>
  <c r="CW195" i="19" s="1"/>
  <c r="CW196" i="19" s="1"/>
  <c r="CW197" i="19" s="1"/>
  <c r="CW198" i="19" s="1"/>
  <c r="CW199" i="19" s="1"/>
  <c r="CW200" i="19" s="1"/>
  <c r="CW201" i="19" s="1"/>
  <c r="CW202" i="19" s="1"/>
  <c r="CW203" i="19" s="1"/>
  <c r="CW204" i="19" s="1"/>
  <c r="CW205" i="19" s="1"/>
  <c r="CW206" i="19" s="1"/>
  <c r="CW207" i="19" s="1"/>
  <c r="CW208" i="19" s="1"/>
  <c r="CW209" i="19" s="1"/>
  <c r="CW210" i="19" s="1"/>
  <c r="CW211" i="19" s="1"/>
  <c r="CW212" i="19" s="1"/>
  <c r="CW213" i="19" s="1"/>
  <c r="CW214" i="19" s="1"/>
  <c r="CW215" i="19" s="1"/>
  <c r="CW216" i="19" s="1"/>
  <c r="CW217" i="19" s="1"/>
  <c r="CW218" i="19" s="1"/>
  <c r="CW219" i="19" s="1"/>
  <c r="CW220" i="19" s="1"/>
  <c r="CW221" i="19" s="1"/>
  <c r="CW222" i="19" s="1"/>
  <c r="CW223" i="19" s="1"/>
  <c r="CW224" i="19" s="1"/>
  <c r="CW225" i="19" s="1"/>
  <c r="CW226" i="19" s="1"/>
  <c r="CW227" i="19" s="1"/>
  <c r="CW228" i="19" s="1"/>
  <c r="CW229" i="19" s="1"/>
  <c r="CW230" i="19" s="1"/>
  <c r="CW231" i="19" s="1"/>
  <c r="CW232" i="19" s="1"/>
  <c r="CW233" i="19" s="1"/>
  <c r="CW234" i="19" s="1"/>
  <c r="CW235" i="19" s="1"/>
  <c r="CW236" i="19" s="1"/>
  <c r="CW237" i="19" s="1"/>
  <c r="CW238" i="19" s="1"/>
  <c r="CW239" i="19" s="1"/>
  <c r="CW240" i="19" s="1"/>
  <c r="CW241" i="19" s="1"/>
  <c r="CW242" i="19" s="1"/>
  <c r="CW243" i="19" s="1"/>
  <c r="CW244" i="19" s="1"/>
  <c r="CW245" i="19" s="1"/>
  <c r="CW246" i="19" s="1"/>
  <c r="CW247" i="19" s="1"/>
  <c r="CW248" i="19" s="1"/>
  <c r="CW249" i="19" s="1"/>
  <c r="CW250" i="19" s="1"/>
  <c r="CW251" i="19" s="1"/>
  <c r="CW252" i="19" s="1"/>
  <c r="CW253" i="19" s="1"/>
  <c r="CW254" i="19" s="1"/>
  <c r="CW255" i="19" s="1"/>
  <c r="CW256" i="19" s="1"/>
  <c r="CW257" i="19" s="1"/>
  <c r="CW258" i="19" s="1"/>
  <c r="CW259" i="19" s="1"/>
  <c r="CW260" i="19" s="1"/>
  <c r="CW261" i="19" s="1"/>
  <c r="CW262" i="19" s="1"/>
  <c r="CW263" i="19" s="1"/>
  <c r="CW264" i="19" s="1"/>
  <c r="CW265" i="19" s="1"/>
  <c r="CW266" i="19" s="1"/>
  <c r="CW267" i="19" s="1"/>
  <c r="CW268" i="19" s="1"/>
  <c r="CW269" i="19" s="1"/>
  <c r="CW270" i="19" s="1"/>
  <c r="CW271" i="19" s="1"/>
  <c r="CW272" i="19" s="1"/>
  <c r="CW273" i="19" s="1"/>
  <c r="CW274" i="19" s="1"/>
  <c r="CW275" i="19" s="1"/>
  <c r="CW276" i="19" s="1"/>
  <c r="CW277" i="19" s="1"/>
  <c r="CW278" i="19" s="1"/>
  <c r="CW279" i="19" s="1"/>
  <c r="CW280" i="19" s="1"/>
  <c r="CW281" i="19" s="1"/>
  <c r="CW282" i="19" s="1"/>
  <c r="CW283" i="19" s="1"/>
  <c r="CW284" i="19" s="1"/>
  <c r="CW285" i="19" s="1"/>
  <c r="CW286" i="19" s="1"/>
  <c r="CW287" i="19" s="1"/>
  <c r="CW288" i="19" s="1"/>
  <c r="CW289" i="19" s="1"/>
  <c r="CW290" i="19" s="1"/>
  <c r="CW291" i="19" s="1"/>
  <c r="CW292" i="19" s="1"/>
  <c r="CW293" i="19" s="1"/>
  <c r="CW294" i="19" s="1"/>
  <c r="CW295" i="19" s="1"/>
  <c r="CW296" i="19" s="1"/>
  <c r="CW297" i="19" s="1"/>
  <c r="CW298" i="19" s="1"/>
  <c r="CW299" i="19" s="1"/>
  <c r="CW300" i="19" s="1"/>
  <c r="CW301" i="19" s="1"/>
  <c r="CW302" i="19" s="1"/>
  <c r="CW303" i="19" s="1"/>
  <c r="CW304" i="19" s="1"/>
  <c r="CW305" i="19" s="1"/>
  <c r="CW306" i="19" s="1"/>
  <c r="CW307" i="19" s="1"/>
  <c r="CW308" i="19" s="1"/>
  <c r="CW309" i="19" s="1"/>
  <c r="CW310" i="19" s="1"/>
  <c r="CW311" i="19" s="1"/>
  <c r="CW312" i="19" s="1"/>
  <c r="CW313" i="19" s="1"/>
  <c r="CW314" i="19" s="1"/>
  <c r="CW315" i="19" s="1"/>
  <c r="CW316" i="19" s="1"/>
  <c r="CW317" i="19" s="1"/>
  <c r="CW318" i="19" s="1"/>
  <c r="CW319" i="19" s="1"/>
  <c r="CW320" i="19" s="1"/>
  <c r="CW321" i="19" s="1"/>
  <c r="CW322" i="19" s="1"/>
  <c r="CW323" i="19" s="1"/>
  <c r="CW324" i="19" s="1"/>
  <c r="CW325" i="19" s="1"/>
  <c r="CW326" i="19" s="1"/>
  <c r="CW327" i="19" s="1"/>
  <c r="CW328" i="19" s="1"/>
  <c r="CW329" i="19" s="1"/>
  <c r="CW330" i="19" s="1"/>
  <c r="CW331" i="19" s="1"/>
  <c r="CW332" i="19" s="1"/>
  <c r="CW333" i="19" s="1"/>
  <c r="CW334" i="19" s="1"/>
  <c r="CW335" i="19" s="1"/>
  <c r="CW336" i="19" s="1"/>
  <c r="CW337" i="19" s="1"/>
  <c r="CW338" i="19" s="1"/>
  <c r="CW339" i="19" s="1"/>
  <c r="CW340" i="19" s="1"/>
  <c r="CW341" i="19" s="1"/>
  <c r="CW342" i="19" s="1"/>
  <c r="CW343" i="19" s="1"/>
  <c r="CW344" i="19" s="1"/>
  <c r="CW345" i="19" s="1"/>
  <c r="CW346" i="19" s="1"/>
  <c r="CW347" i="19" s="1"/>
  <c r="CW348" i="19" s="1"/>
  <c r="CW349" i="19" s="1"/>
  <c r="CW350" i="19" s="1"/>
  <c r="CW351" i="19" s="1"/>
  <c r="CW352" i="19" s="1"/>
  <c r="CW353" i="19" s="1"/>
  <c r="CW354" i="19" s="1"/>
  <c r="CW355" i="19" s="1"/>
  <c r="CW356" i="19" s="1"/>
  <c r="CW357" i="19" s="1"/>
  <c r="CW358" i="19" s="1"/>
  <c r="CW359" i="19" s="1"/>
  <c r="CW360" i="19" s="1"/>
  <c r="CW361" i="19" s="1"/>
  <c r="CW362" i="19" s="1"/>
  <c r="CW363" i="19" s="1"/>
  <c r="CW364" i="19" s="1"/>
  <c r="CW365" i="19" s="1"/>
  <c r="CW366" i="19" s="1"/>
  <c r="CW367" i="19" s="1"/>
  <c r="CW368" i="19" s="1"/>
  <c r="CW369" i="19" s="1"/>
  <c r="CW370" i="19" s="1"/>
  <c r="CW371" i="19" s="1"/>
  <c r="CW372" i="19" s="1"/>
  <c r="CW373" i="19" s="1"/>
  <c r="CW374" i="19" s="1"/>
  <c r="CW375" i="19" s="1"/>
  <c r="CW376" i="19" s="1"/>
  <c r="CW377" i="19" s="1"/>
  <c r="CW378" i="19" s="1"/>
  <c r="CW379" i="19" s="1"/>
  <c r="CW380" i="19" s="1"/>
  <c r="CW381" i="19" s="1"/>
  <c r="CW382" i="19" s="1"/>
  <c r="CW383" i="19" s="1"/>
  <c r="CW384" i="19" s="1"/>
  <c r="CW385" i="19" s="1"/>
  <c r="CW386" i="19" s="1"/>
  <c r="CW387" i="19" s="1"/>
  <c r="CW388" i="19" s="1"/>
  <c r="CW389" i="19" s="1"/>
  <c r="CW390" i="19" s="1"/>
  <c r="CW391" i="19" s="1"/>
  <c r="CW392" i="19" s="1"/>
  <c r="CW393" i="19" s="1"/>
  <c r="CW394" i="19" s="1"/>
  <c r="CW395" i="19" s="1"/>
  <c r="CW396" i="19" s="1"/>
  <c r="CW397" i="19" s="1"/>
  <c r="CW398" i="19" s="1"/>
  <c r="CW399" i="19" s="1"/>
  <c r="CW400" i="19" s="1"/>
  <c r="CW401" i="19" s="1"/>
  <c r="CW402" i="19" s="1"/>
  <c r="CW403" i="19" s="1"/>
  <c r="CW404" i="19" s="1"/>
  <c r="CW405" i="19" s="1"/>
  <c r="CW406" i="19" s="1"/>
  <c r="CW407" i="19" s="1"/>
  <c r="CW408" i="19" s="1"/>
  <c r="CW409" i="19" s="1"/>
  <c r="CW410" i="19" s="1"/>
  <c r="CW411" i="19" s="1"/>
  <c r="CW412" i="19" s="1"/>
  <c r="CW413" i="19" s="1"/>
  <c r="CW414" i="19" s="1"/>
  <c r="CW415" i="19" s="1"/>
  <c r="CW416" i="19" s="1"/>
  <c r="CW417" i="19" s="1"/>
  <c r="CW418" i="19" s="1"/>
  <c r="CW419" i="19" s="1"/>
  <c r="CW420" i="19" s="1"/>
  <c r="CW421" i="19" s="1"/>
  <c r="CW422" i="19" s="1"/>
  <c r="CW423" i="19" s="1"/>
  <c r="CW424" i="19" s="1"/>
  <c r="CW425" i="19" s="1"/>
  <c r="CW426" i="19" s="1"/>
  <c r="CW427" i="19" s="1"/>
  <c r="CW428" i="19" s="1"/>
  <c r="CW429" i="19" s="1"/>
  <c r="CW430" i="19" s="1"/>
  <c r="CW431" i="19" s="1"/>
  <c r="CW432" i="19" s="1"/>
  <c r="CW433" i="19" s="1"/>
  <c r="CW434" i="19" s="1"/>
  <c r="CW435" i="19" s="1"/>
  <c r="CW436" i="19" s="1"/>
  <c r="CW437" i="19" s="1"/>
  <c r="CW438" i="19" s="1"/>
  <c r="CW439" i="19" s="1"/>
  <c r="CW440" i="19" s="1"/>
  <c r="CW441" i="19" s="1"/>
  <c r="CW442" i="19" s="1"/>
  <c r="CW443" i="19" s="1"/>
  <c r="CW444" i="19" s="1"/>
  <c r="CW445" i="19" s="1"/>
  <c r="CW446" i="19" s="1"/>
  <c r="CW447" i="19" s="1"/>
  <c r="CW448" i="19" s="1"/>
  <c r="CW449" i="19" s="1"/>
  <c r="CW450" i="19" s="1"/>
  <c r="CW451" i="19" s="1"/>
  <c r="CW452" i="19" s="1"/>
  <c r="CW453" i="19" s="1"/>
  <c r="CW454" i="19" s="1"/>
  <c r="CW455" i="19" s="1"/>
  <c r="CW456" i="19" s="1"/>
  <c r="CW457" i="19" s="1"/>
  <c r="CW458" i="19" s="1"/>
  <c r="CW459" i="19" s="1"/>
  <c r="CW460" i="19" s="1"/>
  <c r="CW461" i="19" s="1"/>
  <c r="CW462" i="19" s="1"/>
  <c r="CW463" i="19" s="1"/>
  <c r="CW464" i="19" s="1"/>
  <c r="CW465" i="19" s="1"/>
  <c r="CW466" i="19" s="1"/>
  <c r="CW467" i="19" s="1"/>
  <c r="CW468" i="19" s="1"/>
  <c r="CW469" i="19" s="1"/>
  <c r="CW470" i="19" s="1"/>
  <c r="CW471" i="19" s="1"/>
  <c r="CW472" i="19" s="1"/>
  <c r="CW473" i="19" s="1"/>
  <c r="CW474" i="19" s="1"/>
  <c r="CW475" i="19" s="1"/>
  <c r="CW476" i="19" s="1"/>
  <c r="CW477" i="19" s="1"/>
  <c r="CW478" i="19" s="1"/>
  <c r="CW479" i="19" s="1"/>
  <c r="CW480" i="19" s="1"/>
  <c r="CW481" i="19" s="1"/>
  <c r="CW482" i="19" s="1"/>
  <c r="CW483" i="19" s="1"/>
  <c r="CW484" i="19" s="1"/>
  <c r="CW485" i="19" s="1"/>
  <c r="CW486" i="19" s="1"/>
  <c r="CW487" i="19" s="1"/>
  <c r="CW488" i="19" s="1"/>
  <c r="CW489" i="19" s="1"/>
  <c r="CW490" i="19" s="1"/>
  <c r="CW491" i="19" s="1"/>
  <c r="CW492" i="19" s="1"/>
  <c r="CW493" i="19" s="1"/>
  <c r="CW494" i="19" s="1"/>
  <c r="CW495" i="19" s="1"/>
  <c r="CW496" i="19" s="1"/>
  <c r="CW497" i="19" s="1"/>
  <c r="CW498" i="19" s="1"/>
  <c r="CW499" i="19" s="1"/>
  <c r="CW500" i="19" s="1"/>
  <c r="CW501" i="19" s="1"/>
  <c r="CW502" i="19" s="1"/>
  <c r="CW503" i="19" s="1"/>
  <c r="CW504" i="19" s="1"/>
  <c r="CW505" i="19" s="1"/>
  <c r="CW506" i="19" s="1"/>
  <c r="CW507" i="19" s="1"/>
  <c r="CW508" i="19" s="1"/>
  <c r="CW509" i="19" s="1"/>
  <c r="CW510" i="19" s="1"/>
  <c r="CW511" i="19" s="1"/>
  <c r="CW512" i="19" s="1"/>
  <c r="CW513" i="19" s="1"/>
  <c r="CW514" i="19" s="1"/>
  <c r="CW515" i="19" s="1"/>
  <c r="CW516" i="19" s="1"/>
  <c r="CW517" i="19" s="1"/>
  <c r="CW518" i="19" s="1"/>
  <c r="CW519" i="19" s="1"/>
  <c r="CW520" i="19" s="1"/>
  <c r="CW521" i="19" s="1"/>
  <c r="CW522" i="19" s="1"/>
  <c r="CW523" i="19" s="1"/>
  <c r="CW524" i="19" s="1"/>
  <c r="CW525" i="19" s="1"/>
  <c r="CW526" i="19" s="1"/>
  <c r="CW527" i="19" s="1"/>
  <c r="CW528" i="19" s="1"/>
  <c r="CW529" i="19" s="1"/>
  <c r="CW530" i="19" s="1"/>
  <c r="CW531" i="19" s="1"/>
  <c r="CW532" i="19" s="1"/>
  <c r="CW533" i="19" s="1"/>
  <c r="CW534" i="19" s="1"/>
  <c r="CW535" i="19" s="1"/>
  <c r="CW536" i="19" s="1"/>
  <c r="CW537" i="19" s="1"/>
  <c r="CW538" i="19" s="1"/>
  <c r="CW539" i="19" s="1"/>
  <c r="CW540" i="19" s="1"/>
  <c r="CW541" i="19" s="1"/>
  <c r="CW542" i="19" s="1"/>
  <c r="CW543" i="19" s="1"/>
  <c r="CW544" i="19" s="1"/>
  <c r="CW545" i="19" s="1"/>
  <c r="CW546" i="19" s="1"/>
  <c r="CW547" i="19" s="1"/>
  <c r="CW548" i="19" s="1"/>
  <c r="CW549" i="19" s="1"/>
  <c r="CW550" i="19" s="1"/>
  <c r="CW551" i="19" s="1"/>
  <c r="CW552" i="19" s="1"/>
  <c r="CW553" i="19" s="1"/>
  <c r="CW554" i="19" s="1"/>
  <c r="CW555" i="19" s="1"/>
  <c r="CW556" i="19" s="1"/>
  <c r="CW557" i="19" s="1"/>
  <c r="CW558" i="19" s="1"/>
  <c r="CW559" i="19" s="1"/>
  <c r="CW560" i="19" s="1"/>
  <c r="CW561" i="19" s="1"/>
  <c r="CW562" i="19" s="1"/>
  <c r="CW563" i="19" s="1"/>
  <c r="CW564" i="19" s="1"/>
  <c r="CW565" i="19" s="1"/>
  <c r="CW566" i="19" s="1"/>
  <c r="CW567" i="19" s="1"/>
  <c r="CW568" i="19" s="1"/>
  <c r="CW569" i="19" s="1"/>
  <c r="CW570" i="19" s="1"/>
  <c r="CW571" i="19" s="1"/>
  <c r="CW572" i="19" s="1"/>
  <c r="CW573" i="19" s="1"/>
  <c r="CW574" i="19" s="1"/>
  <c r="CW575" i="19" s="1"/>
  <c r="CW576" i="19" s="1"/>
  <c r="CW577" i="19" s="1"/>
  <c r="CW578" i="19" s="1"/>
  <c r="CW579" i="19" s="1"/>
  <c r="CW580" i="19" s="1"/>
  <c r="CW581" i="19" s="1"/>
  <c r="CW582" i="19" s="1"/>
  <c r="CW583" i="19" s="1"/>
  <c r="CW584" i="19" s="1"/>
  <c r="CW585" i="19" s="1"/>
  <c r="CW586" i="19" s="1"/>
  <c r="CW587" i="19" s="1"/>
  <c r="CW588" i="19" s="1"/>
  <c r="CW589" i="19" s="1"/>
  <c r="CW590" i="19" s="1"/>
  <c r="CW591" i="19" s="1"/>
  <c r="CW592" i="19" s="1"/>
  <c r="CW593" i="19" s="1"/>
  <c r="CW594" i="19" s="1"/>
  <c r="CW595" i="19" s="1"/>
  <c r="CW596" i="19" s="1"/>
  <c r="CW597" i="19" s="1"/>
  <c r="CW598" i="19" s="1"/>
  <c r="CW599" i="19" s="1"/>
  <c r="CW600" i="19" s="1"/>
  <c r="CW601" i="19" s="1"/>
  <c r="CW602" i="19" s="1"/>
  <c r="CW603" i="19" s="1"/>
  <c r="CW604" i="19" s="1"/>
  <c r="CW605" i="19" s="1"/>
  <c r="CW606" i="19" s="1"/>
  <c r="CW607" i="19" s="1"/>
  <c r="CW608" i="19" s="1"/>
  <c r="CW609" i="19" s="1"/>
  <c r="CW610" i="19" s="1"/>
  <c r="CW611" i="19" s="1"/>
  <c r="CW612" i="19" s="1"/>
  <c r="CW613" i="19" s="1"/>
  <c r="CW614" i="19" s="1"/>
  <c r="CW615" i="19" s="1"/>
  <c r="CW616" i="19" s="1"/>
  <c r="CW617" i="19" s="1"/>
  <c r="CW618" i="19" s="1"/>
  <c r="CW619" i="19" s="1"/>
  <c r="CW620" i="19" s="1"/>
  <c r="CW621" i="19" s="1"/>
  <c r="CW622" i="19" s="1"/>
  <c r="CW623" i="19" s="1"/>
  <c r="CW624" i="19" s="1"/>
  <c r="CW625" i="19" s="1"/>
  <c r="CW626" i="19" s="1"/>
  <c r="CW627" i="19" s="1"/>
  <c r="CW628" i="19" s="1"/>
  <c r="CW629" i="19" s="1"/>
  <c r="CW630" i="19" s="1"/>
  <c r="CW631" i="19" s="1"/>
  <c r="CW632" i="19" s="1"/>
  <c r="CW633" i="19" s="1"/>
  <c r="DA8" i="19" l="1"/>
  <c r="DA117" i="19"/>
  <c r="DD117" i="19" s="1"/>
  <c r="DA55" i="19"/>
  <c r="DC55" i="19" s="1"/>
  <c r="DA138" i="19"/>
  <c r="DD138" i="19" s="1"/>
  <c r="DA13" i="19"/>
  <c r="DA14" i="19"/>
  <c r="DB14" i="19" s="1"/>
  <c r="DA163" i="19"/>
  <c r="DC163" i="19" s="1"/>
  <c r="DA18" i="19"/>
  <c r="DD18" i="19" s="1"/>
  <c r="DA49" i="19"/>
  <c r="DA122" i="19"/>
  <c r="DB122" i="19" s="1"/>
  <c r="DA120" i="19"/>
  <c r="DB120" i="19" s="1"/>
  <c r="DA62" i="19"/>
  <c r="DB62" i="19" s="1"/>
  <c r="DA202" i="19"/>
  <c r="DA178" i="19"/>
  <c r="DD178" i="19" s="1"/>
  <c r="DA51" i="19"/>
  <c r="DD51" i="19" s="1"/>
  <c r="DA89" i="19"/>
  <c r="DC89" i="19" s="1"/>
  <c r="DA131" i="19"/>
  <c r="DA169" i="19"/>
  <c r="DD169" i="19" s="1"/>
  <c r="DA183" i="19"/>
  <c r="DD183" i="19" s="1"/>
  <c r="DA95" i="19"/>
  <c r="DD95" i="19" s="1"/>
  <c r="DA195" i="19"/>
  <c r="DA22" i="19"/>
  <c r="DC22" i="19" s="1"/>
  <c r="DA6" i="19"/>
  <c r="DB6" i="19" s="1"/>
  <c r="DA172" i="19"/>
  <c r="DD172" i="19" s="1"/>
  <c r="DA148" i="19"/>
  <c r="DA196" i="19"/>
  <c r="DD196" i="19" s="1"/>
  <c r="DA115" i="19"/>
  <c r="DC115" i="19" s="1"/>
  <c r="DA97" i="19"/>
  <c r="DB97" i="19" s="1"/>
  <c r="DA171" i="19"/>
  <c r="DA124" i="19"/>
  <c r="DB124" i="19" s="1"/>
  <c r="DA38" i="19"/>
  <c r="DC38" i="19" s="1"/>
  <c r="DA151" i="19"/>
  <c r="DD151" i="19" s="1"/>
  <c r="DA12" i="19"/>
  <c r="DA155" i="19"/>
  <c r="DD155" i="19" s="1"/>
  <c r="DA63" i="19"/>
  <c r="DB63" i="19" s="1"/>
  <c r="DA40" i="19"/>
  <c r="DB40" i="19" s="1"/>
  <c r="DA57" i="19"/>
  <c r="DA45" i="19"/>
  <c r="DD45" i="19" s="1"/>
  <c r="DA173" i="19"/>
  <c r="DC173" i="19" s="1"/>
  <c r="DA29" i="19"/>
  <c r="DB29" i="19" s="1"/>
  <c r="DA43" i="19"/>
  <c r="DA118" i="19"/>
  <c r="DC118" i="19" s="1"/>
  <c r="DA123" i="19"/>
  <c r="DD123" i="19" s="1"/>
  <c r="DA67" i="19"/>
  <c r="DC67" i="19" s="1"/>
  <c r="DA136" i="19"/>
  <c r="DA127" i="19"/>
  <c r="DB127" i="19" s="1"/>
  <c r="DA190" i="19"/>
  <c r="DC190" i="19" s="1"/>
  <c r="DA107" i="19"/>
  <c r="DB107" i="19" s="1"/>
  <c r="DA125" i="19"/>
  <c r="DA72" i="19"/>
  <c r="DB72" i="19" s="1"/>
  <c r="DA191" i="19"/>
  <c r="DD191" i="19" s="1"/>
  <c r="DA41" i="19"/>
  <c r="DC41" i="19" s="1"/>
  <c r="DA157" i="19"/>
  <c r="DA60" i="19"/>
  <c r="DB60" i="19" s="1"/>
  <c r="DA167" i="19"/>
  <c r="DC167" i="19" s="1"/>
  <c r="DA98" i="19"/>
  <c r="DB98" i="19" s="1"/>
  <c r="DA90" i="19"/>
  <c r="DA16" i="19"/>
  <c r="DD16" i="19" s="1"/>
  <c r="DA110" i="19"/>
  <c r="DB110" i="19" s="1"/>
  <c r="DA152" i="19"/>
  <c r="DD152" i="19" s="1"/>
  <c r="DA21" i="19"/>
  <c r="DA46" i="19"/>
  <c r="DC46" i="19" s="1"/>
  <c r="DA160" i="19"/>
  <c r="DC160" i="19" s="1"/>
  <c r="DA59" i="19"/>
  <c r="DB59" i="19" s="1"/>
  <c r="DA201" i="19"/>
  <c r="DA70" i="19"/>
  <c r="DD70" i="19" s="1"/>
  <c r="DA79" i="19"/>
  <c r="DD79" i="19" s="1"/>
  <c r="DA119" i="19"/>
  <c r="DB119" i="19" s="1"/>
  <c r="DA34" i="19"/>
  <c r="DA108" i="19"/>
  <c r="DB108" i="19" s="1"/>
  <c r="DA58" i="19"/>
  <c r="DD58" i="19" s="1"/>
  <c r="DA170" i="19"/>
  <c r="DD170" i="19" s="1"/>
  <c r="DA25" i="19"/>
  <c r="DA7" i="19"/>
  <c r="DD7" i="19" s="1"/>
  <c r="DA4" i="19"/>
  <c r="DB4" i="19" s="1"/>
  <c r="DA19" i="19"/>
  <c r="DD19" i="19" s="1"/>
  <c r="DA42" i="19"/>
  <c r="DA114" i="19"/>
  <c r="DB114" i="19" s="1"/>
  <c r="DA27" i="19"/>
  <c r="DB27" i="19" s="1"/>
  <c r="DA165" i="19"/>
  <c r="DC165" i="19" s="1"/>
  <c r="DA88" i="19"/>
  <c r="DA146" i="19"/>
  <c r="DC146" i="19" s="1"/>
  <c r="DA200" i="19"/>
  <c r="DB200" i="19" s="1"/>
  <c r="DA87" i="19"/>
  <c r="DB87" i="19" s="1"/>
  <c r="DA129" i="19"/>
  <c r="DA15" i="19"/>
  <c r="DC15" i="19" s="1"/>
  <c r="DA71" i="19"/>
  <c r="DC71" i="19" s="1"/>
  <c r="DA134" i="19"/>
  <c r="DD134" i="19" s="1"/>
  <c r="DA17" i="19"/>
  <c r="DA47" i="19"/>
  <c r="DC47" i="19" s="1"/>
  <c r="DA133" i="19"/>
  <c r="DC133" i="19" s="1"/>
  <c r="DA65" i="19"/>
  <c r="DB65" i="19" s="1"/>
  <c r="DA158" i="19"/>
  <c r="DA182" i="19"/>
  <c r="DB182" i="19" s="1"/>
  <c r="DA35" i="19"/>
  <c r="DD35" i="19" s="1"/>
  <c r="DA105" i="19"/>
  <c r="DC105" i="19" s="1"/>
  <c r="DA24" i="19"/>
  <c r="DA33" i="19"/>
  <c r="DD33" i="19" s="1"/>
  <c r="DA162" i="19"/>
  <c r="DD162" i="19" s="1"/>
  <c r="DA9" i="19"/>
  <c r="DC9" i="19" s="1"/>
  <c r="DA50" i="19"/>
  <c r="DA26" i="19"/>
  <c r="DB26" i="19" s="1"/>
  <c r="DA142" i="19"/>
  <c r="DC142" i="19" s="1"/>
  <c r="DA30" i="19"/>
  <c r="DD30" i="19" s="1"/>
  <c r="DA52" i="19"/>
  <c r="DC16" i="19"/>
  <c r="DB202" i="19"/>
  <c r="DC202" i="19"/>
  <c r="DD202" i="19"/>
  <c r="DC25" i="19"/>
  <c r="DD25" i="19"/>
  <c r="DB25" i="19"/>
  <c r="DC13" i="19"/>
  <c r="DD13" i="19"/>
  <c r="DB13" i="19"/>
  <c r="DC8" i="19"/>
  <c r="DD8" i="19"/>
  <c r="DB8" i="19"/>
  <c r="DC49" i="19"/>
  <c r="DD49" i="19"/>
  <c r="DB49" i="19"/>
  <c r="DC122" i="19"/>
  <c r="DC136" i="19"/>
  <c r="DB136" i="19"/>
  <c r="DD136" i="19"/>
  <c r="DC14" i="19"/>
  <c r="DD34" i="19"/>
  <c r="DC34" i="19"/>
  <c r="DB34" i="19"/>
  <c r="DA132" i="19"/>
  <c r="DD24" i="19"/>
  <c r="DB24" i="19"/>
  <c r="DC24" i="19"/>
  <c r="DA143" i="19"/>
  <c r="DA101" i="19"/>
  <c r="DA141" i="19"/>
  <c r="DA159" i="19"/>
  <c r="DA154" i="19"/>
  <c r="DA64" i="19"/>
  <c r="DA186" i="19"/>
  <c r="DA94" i="19"/>
  <c r="DA144" i="19"/>
  <c r="DA175" i="19"/>
  <c r="DA75" i="19"/>
  <c r="DA76" i="19"/>
  <c r="DA156" i="19"/>
  <c r="DA53" i="19"/>
  <c r="DA102" i="19"/>
  <c r="DA32" i="19"/>
  <c r="DA188" i="19"/>
  <c r="DA203" i="19"/>
  <c r="DA104" i="19"/>
  <c r="DA78" i="19"/>
  <c r="DA10" i="19"/>
  <c r="DA91" i="19"/>
  <c r="DA149" i="19"/>
  <c r="DA189" i="19"/>
  <c r="DA164" i="19"/>
  <c r="DA111" i="19"/>
  <c r="DA179" i="19"/>
  <c r="DA135" i="19"/>
  <c r="DA66" i="19"/>
  <c r="DA121" i="19"/>
  <c r="DA181" i="19"/>
  <c r="DC131" i="19"/>
  <c r="DD131" i="19"/>
  <c r="DB131" i="19"/>
  <c r="DC129" i="19"/>
  <c r="DD129" i="19"/>
  <c r="DB129" i="19"/>
  <c r="DC17" i="19"/>
  <c r="DB17" i="19"/>
  <c r="DD17" i="19"/>
  <c r="DC158" i="19"/>
  <c r="DD158" i="19"/>
  <c r="DB158" i="19"/>
  <c r="DD88" i="19"/>
  <c r="DB88" i="19"/>
  <c r="DC88" i="19"/>
  <c r="DB57" i="19"/>
  <c r="DC57" i="19"/>
  <c r="DD57" i="19"/>
  <c r="DA96" i="19"/>
  <c r="DA199" i="19"/>
  <c r="DA192" i="19"/>
  <c r="DA176" i="19"/>
  <c r="DA126" i="19"/>
  <c r="DA177" i="19"/>
  <c r="DA92" i="19"/>
  <c r="DA85" i="19"/>
  <c r="DA100" i="19"/>
  <c r="DA150" i="19"/>
  <c r="DA161" i="19"/>
  <c r="DA93" i="19"/>
  <c r="DA86" i="19"/>
  <c r="DA99" i="19"/>
  <c r="DA147" i="19"/>
  <c r="DA81" i="19"/>
  <c r="DA61" i="19"/>
  <c r="DA194" i="19"/>
  <c r="DA28" i="19"/>
  <c r="DA69" i="19"/>
  <c r="DA185" i="19"/>
  <c r="DA187" i="19"/>
  <c r="DA77" i="19"/>
  <c r="DA109" i="19"/>
  <c r="DA44" i="19"/>
  <c r="DA174" i="19"/>
  <c r="DA11" i="19"/>
  <c r="DA128" i="19"/>
  <c r="DA73" i="19"/>
  <c r="DC157" i="19"/>
  <c r="DD157" i="19"/>
  <c r="DB157" i="19"/>
  <c r="DC90" i="19"/>
  <c r="DD90" i="19"/>
  <c r="DB90" i="19"/>
  <c r="DC21" i="19"/>
  <c r="DD21" i="19"/>
  <c r="DB21" i="19"/>
  <c r="DC201" i="19"/>
  <c r="DD201" i="19"/>
  <c r="DB201" i="19"/>
  <c r="DC155" i="19"/>
  <c r="DC45" i="19"/>
  <c r="DB45" i="19"/>
  <c r="DB50" i="19"/>
  <c r="DC50" i="19"/>
  <c r="DD50" i="19"/>
  <c r="DC195" i="19"/>
  <c r="DD195" i="19"/>
  <c r="DB195" i="19"/>
  <c r="DD22" i="19"/>
  <c r="DB22" i="19"/>
  <c r="DB148" i="19"/>
  <c r="DD148" i="19"/>
  <c r="DC148" i="19"/>
  <c r="DC196" i="19"/>
  <c r="DB196" i="19"/>
  <c r="DC171" i="19"/>
  <c r="DB171" i="19"/>
  <c r="DD171" i="19"/>
  <c r="DC124" i="19"/>
  <c r="DD12" i="19"/>
  <c r="DB12" i="19"/>
  <c r="DC12" i="19"/>
  <c r="DA198" i="19"/>
  <c r="DA184" i="19"/>
  <c r="DD108" i="19"/>
  <c r="DA197" i="19"/>
  <c r="DA116" i="19"/>
  <c r="DA82" i="19"/>
  <c r="DA193" i="19"/>
  <c r="DA39" i="19"/>
  <c r="DA31" i="19"/>
  <c r="DA140" i="19"/>
  <c r="DA113" i="19"/>
  <c r="DA48" i="19"/>
  <c r="DA137" i="19"/>
  <c r="DA54" i="19"/>
  <c r="DA166" i="19"/>
  <c r="DA106" i="19"/>
  <c r="DA56" i="19"/>
  <c r="DA74" i="19"/>
  <c r="DA139" i="19"/>
  <c r="DA20" i="19"/>
  <c r="DA180" i="19"/>
  <c r="DA83" i="19"/>
  <c r="DA23" i="19"/>
  <c r="DA153" i="19"/>
  <c r="DA37" i="19"/>
  <c r="DA112" i="19"/>
  <c r="DA80" i="19"/>
  <c r="DA145" i="19"/>
  <c r="DA84" i="19"/>
  <c r="DA103" i="19"/>
  <c r="DA130" i="19"/>
  <c r="DA5" i="19"/>
  <c r="DA36" i="19"/>
  <c r="DA168" i="19"/>
  <c r="DA68" i="19"/>
  <c r="DC60" i="19"/>
  <c r="DC178" i="19"/>
  <c r="DB178" i="19"/>
  <c r="DB125" i="19"/>
  <c r="DD125" i="19"/>
  <c r="DC125" i="19"/>
  <c r="DC7" i="19"/>
  <c r="DD72" i="19"/>
  <c r="DC72" i="19"/>
  <c r="DC43" i="19"/>
  <c r="DD43" i="19"/>
  <c r="DB43" i="19"/>
  <c r="DB118" i="19"/>
  <c r="DD118" i="19"/>
  <c r="DC42" i="19"/>
  <c r="DD42" i="19"/>
  <c r="DB42" i="19"/>
  <c r="DC114" i="19"/>
  <c r="DD114" i="19"/>
  <c r="DD52" i="19"/>
  <c r="DB52" i="19"/>
  <c r="DC52" i="19"/>
  <c r="DD60" i="19" l="1"/>
  <c r="DD124" i="19"/>
  <c r="DB155" i="19"/>
  <c r="DB51" i="19"/>
  <c r="DB89" i="19"/>
  <c r="DB7" i="19"/>
  <c r="R14" i="21" s="1"/>
  <c r="Q116" i="17" s="1"/>
  <c r="DC108" i="19"/>
  <c r="DC191" i="19"/>
  <c r="DC27" i="19"/>
  <c r="DB191" i="19"/>
  <c r="DC123" i="19"/>
  <c r="DD160" i="19"/>
  <c r="DC6" i="19"/>
  <c r="DD38" i="19"/>
  <c r="DC51" i="19"/>
  <c r="DD6" i="19"/>
  <c r="DB55" i="19"/>
  <c r="DB123" i="19"/>
  <c r="DD115" i="19"/>
  <c r="DD27" i="19"/>
  <c r="DB38" i="19"/>
  <c r="DB115" i="19"/>
  <c r="DD110" i="19"/>
  <c r="DD67" i="19"/>
  <c r="DD200" i="19"/>
  <c r="DC183" i="19"/>
  <c r="DC97" i="19"/>
  <c r="DC169" i="19"/>
  <c r="DC127" i="19"/>
  <c r="DC117" i="19"/>
  <c r="DB16" i="19"/>
  <c r="DB169" i="19"/>
  <c r="DD122" i="19"/>
  <c r="DB117" i="19"/>
  <c r="DB33" i="19"/>
  <c r="DD14" i="19"/>
  <c r="S21" i="21" s="1"/>
  <c r="R123" i="17" s="1"/>
  <c r="DC151" i="19"/>
  <c r="DC172" i="19"/>
  <c r="S15" i="21"/>
  <c r="R117" i="17" s="1"/>
  <c r="S19" i="21"/>
  <c r="R121" i="17" s="1"/>
  <c r="S20" i="21"/>
  <c r="R122" i="17" s="1"/>
  <c r="R11" i="21"/>
  <c r="Q113" i="17" s="1"/>
  <c r="DB15" i="19"/>
  <c r="R22" i="21" s="1"/>
  <c r="Q124" i="17" s="1"/>
  <c r="DC95" i="19"/>
  <c r="DD107" i="19"/>
  <c r="DD62" i="19"/>
  <c r="DC33" i="19"/>
  <c r="DD127" i="19"/>
  <c r="DB41" i="19"/>
  <c r="DB105" i="19"/>
  <c r="DB9" i="19"/>
  <c r="DB30" i="19"/>
  <c r="DD182" i="19"/>
  <c r="DB47" i="19"/>
  <c r="DD15" i="19"/>
  <c r="S22" i="21" s="1"/>
  <c r="R124" i="17" s="1"/>
  <c r="DD46" i="19"/>
  <c r="DC182" i="19"/>
  <c r="DD47" i="19"/>
  <c r="DB46" i="19"/>
  <c r="DD146" i="19"/>
  <c r="DB70" i="19"/>
  <c r="DB146" i="19"/>
  <c r="DC70" i="19"/>
  <c r="DD63" i="19"/>
  <c r="DB173" i="19"/>
  <c r="DB183" i="19"/>
  <c r="DC63" i="19"/>
  <c r="DD173" i="19"/>
  <c r="DC59" i="19"/>
  <c r="DD142" i="19"/>
  <c r="DB163" i="19"/>
  <c r="DC19" i="19"/>
  <c r="DB134" i="19"/>
  <c r="DC119" i="19"/>
  <c r="DC26" i="19"/>
  <c r="DD65" i="19"/>
  <c r="DD26" i="19"/>
  <c r="DC87" i="19"/>
  <c r="DC35" i="19"/>
  <c r="DC200" i="19"/>
  <c r="DB142" i="19"/>
  <c r="DC79" i="19"/>
  <c r="DC110" i="19"/>
  <c r="DC58" i="19"/>
  <c r="DB79" i="19"/>
  <c r="DB160" i="19"/>
  <c r="DB35" i="19"/>
  <c r="DD133" i="19"/>
  <c r="DB133" i="19"/>
  <c r="DB71" i="19"/>
  <c r="DB167" i="19"/>
  <c r="DB190" i="19"/>
  <c r="R33" i="21"/>
  <c r="DD105" i="19"/>
  <c r="DD89" i="19"/>
  <c r="DD40" i="19"/>
  <c r="DC107" i="19"/>
  <c r="DC65" i="19"/>
  <c r="R24" i="21"/>
  <c r="Q126" i="17" s="1"/>
  <c r="DC134" i="19"/>
  <c r="DD41" i="19"/>
  <c r="DC29" i="19"/>
  <c r="DD119" i="19"/>
  <c r="DB152" i="19"/>
  <c r="DC62" i="19"/>
  <c r="DC18" i="19"/>
  <c r="DB151" i="19"/>
  <c r="DD97" i="19"/>
  <c r="DB172" i="19"/>
  <c r="DB95" i="19"/>
  <c r="DD9" i="19"/>
  <c r="DC40" i="19"/>
  <c r="DD87" i="19"/>
  <c r="DD29" i="19"/>
  <c r="DD59" i="19"/>
  <c r="DC152" i="19"/>
  <c r="DB165" i="19"/>
  <c r="DC170" i="19"/>
  <c r="DB67" i="19"/>
  <c r="R34" i="21"/>
  <c r="DC30" i="19"/>
  <c r="DC138" i="19"/>
  <c r="DC98" i="19"/>
  <c r="S29" i="21"/>
  <c r="R131" i="17" s="1"/>
  <c r="DD165" i="19"/>
  <c r="DB18" i="19"/>
  <c r="DB138" i="19"/>
  <c r="DB19" i="19"/>
  <c r="DD98" i="19"/>
  <c r="S34" i="21"/>
  <c r="S32" i="21"/>
  <c r="R134" i="17" s="1"/>
  <c r="S24" i="21"/>
  <c r="R126" i="17" s="1"/>
  <c r="S23" i="21"/>
  <c r="R125" i="17" s="1"/>
  <c r="S28" i="21"/>
  <c r="R130" i="17" s="1"/>
  <c r="S31" i="21"/>
  <c r="R133" i="17" s="1"/>
  <c r="DB170" i="19"/>
  <c r="R21" i="21"/>
  <c r="Q123" i="17" s="1"/>
  <c r="DD4" i="19"/>
  <c r="DD71" i="19"/>
  <c r="DB162" i="19"/>
  <c r="DC120" i="19"/>
  <c r="DD55" i="19"/>
  <c r="DD163" i="19"/>
  <c r="DC4" i="19"/>
  <c r="DC162" i="19"/>
  <c r="DB58" i="19"/>
  <c r="DD167" i="19"/>
  <c r="DD190" i="19"/>
  <c r="DD120" i="19"/>
  <c r="DB68" i="19"/>
  <c r="DD68" i="19"/>
  <c r="DC68" i="19"/>
  <c r="DB130" i="19"/>
  <c r="DC130" i="19"/>
  <c r="DD130" i="19"/>
  <c r="DD80" i="19"/>
  <c r="DB80" i="19"/>
  <c r="DC80" i="19"/>
  <c r="DB23" i="19"/>
  <c r="DC23" i="19"/>
  <c r="DD23" i="19"/>
  <c r="DB139" i="19"/>
  <c r="DD139" i="19"/>
  <c r="DC139" i="19"/>
  <c r="DD166" i="19"/>
  <c r="DC166" i="19"/>
  <c r="DB166" i="19"/>
  <c r="DD113" i="19"/>
  <c r="DC113" i="19"/>
  <c r="DB113" i="19"/>
  <c r="DB193" i="19"/>
  <c r="DC193" i="19"/>
  <c r="DD193" i="19"/>
  <c r="DB198" i="19"/>
  <c r="DD198" i="19"/>
  <c r="DC198" i="19"/>
  <c r="DC73" i="19"/>
  <c r="DB73" i="19"/>
  <c r="DD73" i="19"/>
  <c r="DD44" i="19"/>
  <c r="DB44" i="19"/>
  <c r="DC44" i="19"/>
  <c r="DB185" i="19"/>
  <c r="DD185" i="19"/>
  <c r="DC185" i="19"/>
  <c r="DD61" i="19"/>
  <c r="DB61" i="19"/>
  <c r="DC61" i="19"/>
  <c r="DC86" i="19"/>
  <c r="DD86" i="19"/>
  <c r="DB86" i="19"/>
  <c r="DD100" i="19"/>
  <c r="DB100" i="19"/>
  <c r="DC100" i="19"/>
  <c r="DD126" i="19"/>
  <c r="DC126" i="19"/>
  <c r="DB126" i="19"/>
  <c r="DB96" i="19"/>
  <c r="DD96" i="19"/>
  <c r="DC96" i="19"/>
  <c r="DD135" i="19"/>
  <c r="DB135" i="19"/>
  <c r="DC135" i="19"/>
  <c r="DB189" i="19"/>
  <c r="DD189" i="19"/>
  <c r="DC189" i="19"/>
  <c r="DD78" i="19"/>
  <c r="DB78" i="19"/>
  <c r="DC78" i="19"/>
  <c r="DC32" i="19"/>
  <c r="DD32" i="19"/>
  <c r="DB32" i="19"/>
  <c r="DB76" i="19"/>
  <c r="DC76" i="19"/>
  <c r="DD76" i="19"/>
  <c r="DD94" i="19"/>
  <c r="DB94" i="19"/>
  <c r="DC94" i="19"/>
  <c r="DB159" i="19"/>
  <c r="DD159" i="19"/>
  <c r="DC159" i="19"/>
  <c r="R20" i="21"/>
  <c r="Q122" i="17" s="1"/>
  <c r="DC168" i="19"/>
  <c r="DD168" i="19"/>
  <c r="DB168" i="19"/>
  <c r="DD103" i="19"/>
  <c r="DC103" i="19"/>
  <c r="DB103" i="19"/>
  <c r="DB112" i="19"/>
  <c r="DD112" i="19"/>
  <c r="DC112" i="19"/>
  <c r="DB83" i="19"/>
  <c r="DD83" i="19"/>
  <c r="DC83" i="19"/>
  <c r="DD74" i="19"/>
  <c r="DB74" i="19"/>
  <c r="DC74" i="19"/>
  <c r="DC54" i="19"/>
  <c r="DD54" i="19"/>
  <c r="DB54" i="19"/>
  <c r="DD140" i="19"/>
  <c r="DC140" i="19"/>
  <c r="DB140" i="19"/>
  <c r="DD82" i="19"/>
  <c r="DB82" i="19"/>
  <c r="DC82" i="19"/>
  <c r="DD128" i="19"/>
  <c r="DC128" i="19"/>
  <c r="DB128" i="19"/>
  <c r="DB109" i="19"/>
  <c r="DC109" i="19"/>
  <c r="DD109" i="19"/>
  <c r="DD69" i="19"/>
  <c r="DC69" i="19"/>
  <c r="DB69" i="19"/>
  <c r="DD81" i="19"/>
  <c r="DB81" i="19"/>
  <c r="DC81" i="19"/>
  <c r="DD93" i="19"/>
  <c r="DC93" i="19"/>
  <c r="DB93" i="19"/>
  <c r="DD85" i="19"/>
  <c r="DC85" i="19"/>
  <c r="DB85" i="19"/>
  <c r="DD176" i="19"/>
  <c r="DB176" i="19"/>
  <c r="DC176" i="19"/>
  <c r="DD181" i="19"/>
  <c r="DC181" i="19"/>
  <c r="DB181" i="19"/>
  <c r="DD179" i="19"/>
  <c r="DC179" i="19"/>
  <c r="DB179" i="19"/>
  <c r="DC149" i="19"/>
  <c r="DD149" i="19"/>
  <c r="DB149" i="19"/>
  <c r="DD104" i="19"/>
  <c r="DB104" i="19"/>
  <c r="DC104" i="19"/>
  <c r="DC102" i="19"/>
  <c r="DD102" i="19"/>
  <c r="DB102" i="19"/>
  <c r="DD75" i="19"/>
  <c r="DC75" i="19"/>
  <c r="DB75" i="19"/>
  <c r="DB186" i="19"/>
  <c r="DD186" i="19"/>
  <c r="DC186" i="19"/>
  <c r="DD141" i="19"/>
  <c r="DC141" i="19"/>
  <c r="DB141" i="19"/>
  <c r="DD36" i="19"/>
  <c r="DC36" i="19"/>
  <c r="DB36" i="19"/>
  <c r="DB84" i="19"/>
  <c r="DD84" i="19"/>
  <c r="DC84" i="19"/>
  <c r="DD37" i="19"/>
  <c r="DB37" i="19"/>
  <c r="DC37" i="19"/>
  <c r="DB180" i="19"/>
  <c r="DD180" i="19"/>
  <c r="DC180" i="19"/>
  <c r="DB56" i="19"/>
  <c r="DC56" i="19"/>
  <c r="DD56" i="19"/>
  <c r="DB137" i="19"/>
  <c r="DC137" i="19"/>
  <c r="DD137" i="19"/>
  <c r="DC31" i="19"/>
  <c r="DD31" i="19"/>
  <c r="DB31" i="19"/>
  <c r="DD116" i="19"/>
  <c r="DB116" i="19"/>
  <c r="DC116" i="19"/>
  <c r="R29" i="21"/>
  <c r="Q131" i="17" s="1"/>
  <c r="DB11" i="19"/>
  <c r="DC11" i="19"/>
  <c r="DD11" i="19"/>
  <c r="DD77" i="19"/>
  <c r="DC77" i="19"/>
  <c r="DB77" i="19"/>
  <c r="DC28" i="19"/>
  <c r="DD28" i="19"/>
  <c r="DB28" i="19"/>
  <c r="DD147" i="19"/>
  <c r="DC147" i="19"/>
  <c r="DB147" i="19"/>
  <c r="DB161" i="19"/>
  <c r="DD161" i="19"/>
  <c r="DC161" i="19"/>
  <c r="DD92" i="19"/>
  <c r="DC92" i="19"/>
  <c r="DB92" i="19"/>
  <c r="DB192" i="19"/>
  <c r="DC192" i="19"/>
  <c r="DD192" i="19"/>
  <c r="DB121" i="19"/>
  <c r="DC121" i="19"/>
  <c r="DD121" i="19"/>
  <c r="DD111" i="19"/>
  <c r="DB111" i="19"/>
  <c r="DC111" i="19"/>
  <c r="DB91" i="19"/>
  <c r="DC91" i="19"/>
  <c r="DD91" i="19"/>
  <c r="DB203" i="19"/>
  <c r="DD203" i="19"/>
  <c r="DC203" i="19"/>
  <c r="DC53" i="19"/>
  <c r="DD53" i="19"/>
  <c r="DB53" i="19"/>
  <c r="DD175" i="19"/>
  <c r="DC175" i="19"/>
  <c r="DB175" i="19"/>
  <c r="DD64" i="19"/>
  <c r="DB64" i="19"/>
  <c r="DC64" i="19"/>
  <c r="DB101" i="19"/>
  <c r="DD101" i="19"/>
  <c r="DC101" i="19"/>
  <c r="DB5" i="19"/>
  <c r="DC5" i="19"/>
  <c r="DD5" i="19"/>
  <c r="DD145" i="19"/>
  <c r="DC145" i="19"/>
  <c r="DB145" i="19"/>
  <c r="DC153" i="19"/>
  <c r="DD153" i="19"/>
  <c r="DB153" i="19"/>
  <c r="DD20" i="19"/>
  <c r="DB20" i="19"/>
  <c r="DC20" i="19"/>
  <c r="DB106" i="19"/>
  <c r="DD106" i="19"/>
  <c r="DC106" i="19"/>
  <c r="DD48" i="19"/>
  <c r="DB48" i="19"/>
  <c r="DC48" i="19"/>
  <c r="DD39" i="19"/>
  <c r="DC39" i="19"/>
  <c r="DB39" i="19"/>
  <c r="DD197" i="19"/>
  <c r="DC197" i="19"/>
  <c r="DB197" i="19"/>
  <c r="DC184" i="19"/>
  <c r="DD184" i="19"/>
  <c r="DB184" i="19"/>
  <c r="DB174" i="19"/>
  <c r="DD174" i="19"/>
  <c r="DC174" i="19"/>
  <c r="DB187" i="19"/>
  <c r="DD187" i="19"/>
  <c r="DC187" i="19"/>
  <c r="DB194" i="19"/>
  <c r="DC194" i="19"/>
  <c r="DD194" i="19"/>
  <c r="DD99" i="19"/>
  <c r="DB99" i="19"/>
  <c r="DC99" i="19"/>
  <c r="DD150" i="19"/>
  <c r="DB150" i="19"/>
  <c r="DC150" i="19"/>
  <c r="DD177" i="19"/>
  <c r="DC177" i="19"/>
  <c r="DB177" i="19"/>
  <c r="DB199" i="19"/>
  <c r="DD199" i="19"/>
  <c r="DC199" i="19"/>
  <c r="DB66" i="19"/>
  <c r="DC66" i="19"/>
  <c r="DD66" i="19"/>
  <c r="DD164" i="19"/>
  <c r="DB164" i="19"/>
  <c r="DC164" i="19"/>
  <c r="DB10" i="19"/>
  <c r="DC10" i="19"/>
  <c r="DD10" i="19"/>
  <c r="DB188" i="19"/>
  <c r="DD188" i="19"/>
  <c r="DC188" i="19"/>
  <c r="DD156" i="19"/>
  <c r="DC156" i="19"/>
  <c r="DB156" i="19"/>
  <c r="DD144" i="19"/>
  <c r="DB144" i="19"/>
  <c r="DC144" i="19"/>
  <c r="DD154" i="19"/>
  <c r="DC154" i="19"/>
  <c r="DB154" i="19"/>
  <c r="DB143" i="19"/>
  <c r="DC143" i="19"/>
  <c r="DD143" i="19"/>
  <c r="DB132" i="19"/>
  <c r="DC132" i="19"/>
  <c r="DD132" i="19"/>
  <c r="R32" i="21"/>
  <c r="Q134" i="17" s="1"/>
  <c r="R15" i="21" l="1"/>
  <c r="Q117" i="17" s="1"/>
  <c r="R23" i="21"/>
  <c r="Q125" i="17" s="1"/>
  <c r="S17" i="21"/>
  <c r="R119" i="17" s="1"/>
  <c r="S18" i="21"/>
  <c r="R120" i="17" s="1"/>
  <c r="S16" i="21"/>
  <c r="R118" i="17" s="1"/>
  <c r="S25" i="21"/>
  <c r="R127" i="17" s="1"/>
  <c r="R16" i="21"/>
  <c r="Q118" i="17" s="1"/>
  <c r="R17" i="21"/>
  <c r="Q119" i="17" s="1"/>
  <c r="R35" i="21"/>
  <c r="R19" i="21"/>
  <c r="Q121" i="17" s="1"/>
  <c r="S37" i="21"/>
  <c r="R30" i="21"/>
  <c r="Q132" i="17" s="1"/>
  <c r="S26" i="21"/>
  <c r="R128" i="17" s="1"/>
  <c r="R37" i="21"/>
  <c r="R12" i="21"/>
  <c r="R27" i="21"/>
  <c r="Q129" i="17" s="1"/>
  <c r="S33" i="21"/>
  <c r="S36" i="21"/>
  <c r="R26" i="21"/>
  <c r="Q128" i="17" s="1"/>
  <c r="R25" i="21"/>
  <c r="Q127" i="17" s="1"/>
  <c r="S27" i="21"/>
  <c r="R129" i="17" s="1"/>
  <c r="S35" i="21"/>
  <c r="S30" i="21"/>
  <c r="R132" i="17" s="1"/>
  <c r="R31" i="21"/>
  <c r="Q133" i="17" s="1"/>
  <c r="R36" i="21"/>
  <c r="R28" i="21"/>
  <c r="Q130" i="17" s="1"/>
  <c r="R13" i="21"/>
  <c r="Q115" i="17" s="1"/>
  <c r="R18" i="21"/>
  <c r="Q120" i="17" s="1"/>
  <c r="Q114" i="17" l="1"/>
  <c r="W10" i="21"/>
  <c r="X13" i="21" l="1"/>
  <c r="X19" i="21"/>
  <c r="X18" i="21"/>
  <c r="X17" i="21"/>
  <c r="X20" i="21"/>
  <c r="X16" i="21"/>
  <c r="X15" i="21"/>
  <c r="X14" i="21"/>
  <c r="S13" i="21" s="1"/>
  <c r="R115" i="17" s="1"/>
  <c r="X11" i="21"/>
  <c r="S12" i="21" s="1"/>
  <c r="R114" i="17" s="1"/>
  <c r="X12" i="21"/>
  <c r="S11" i="21" s="1"/>
  <c r="R113" i="17" s="1"/>
  <c r="S14" i="21" l="1"/>
  <c r="R116" i="17" s="1"/>
</calcChain>
</file>

<file path=xl/sharedStrings.xml><?xml version="1.0" encoding="utf-8"?>
<sst xmlns="http://schemas.openxmlformats.org/spreadsheetml/2006/main" count="6600" uniqueCount="5143">
  <si>
    <t>Perdedor del partido 62</t>
  </si>
  <si>
    <t>Khám exceltemplate.net cho mẫu nhiều hơn và cập nhật</t>
  </si>
  <si>
    <t>Điểm</t>
  </si>
  <si>
    <t>Bảng A</t>
  </si>
  <si>
    <t>Bảng B</t>
  </si>
  <si>
    <t>Bảng C</t>
  </si>
  <si>
    <t>Bảng D</t>
  </si>
  <si>
    <t>Bảng E</t>
  </si>
  <si>
    <t>Bảng F</t>
  </si>
  <si>
    <t>Bảng G</t>
  </si>
  <si>
    <t>Bảng H</t>
  </si>
  <si>
    <t>Pertandingan #</t>
  </si>
  <si>
    <t>Pemenang Grup A</t>
  </si>
  <si>
    <t>Pemenang Grup B</t>
  </si>
  <si>
    <t>Pemenang Grup C</t>
  </si>
  <si>
    <t>Pemenang Grup D</t>
  </si>
  <si>
    <t>Pemenang Grup F</t>
  </si>
  <si>
    <t>Pemenang Grup G</t>
  </si>
  <si>
    <t>Pemenang Grup H</t>
  </si>
  <si>
    <t>Pemenang Grup E</t>
  </si>
  <si>
    <t>Runner Up Grup A</t>
  </si>
  <si>
    <t>Runner Up Grup B</t>
  </si>
  <si>
    <t>Runner Up Grup C</t>
  </si>
  <si>
    <t>Runner Up Grup D</t>
  </si>
  <si>
    <t>Runner Up Grup E</t>
  </si>
  <si>
    <t>Runner Up Grup F</t>
  </si>
  <si>
    <t>Runner Up Grup G</t>
  </si>
  <si>
    <t>Runner Up Grup H</t>
  </si>
  <si>
    <t>Pemenang Pertandingan 53</t>
  </si>
  <si>
    <t>Pemenang Pertandingan 54</t>
  </si>
  <si>
    <t>Pemenang Pertandingan 55</t>
  </si>
  <si>
    <t>Pemenang Pertandingan 56</t>
  </si>
  <si>
    <t>Pemenang Pertandingan 57</t>
  </si>
  <si>
    <t>Pemenang Pertandingan 58</t>
  </si>
  <si>
    <t>Pemenang Pertandingan 59</t>
  </si>
  <si>
    <t>Pemenang Pertandingan 60</t>
  </si>
  <si>
    <t>Pemenang Pertandingan 61</t>
  </si>
  <si>
    <t>Pemenang Pertandingan 62</t>
  </si>
  <si>
    <t>Pemenang Pertandingan 63</t>
  </si>
  <si>
    <t>Pemenang Pertandingan 64</t>
  </si>
  <si>
    <t>Kunjungi exceltemplate.net untuk template dan update terbaru</t>
  </si>
  <si>
    <t>Main</t>
  </si>
  <si>
    <t>Menang</t>
  </si>
  <si>
    <t>Win</t>
  </si>
  <si>
    <t>Seri</t>
  </si>
  <si>
    <t>Kemasukan</t>
  </si>
  <si>
    <t>Memasukan</t>
  </si>
  <si>
    <t>Nilai</t>
  </si>
  <si>
    <t>Tempat kedua</t>
  </si>
  <si>
    <t>Wen</t>
  </si>
  <si>
    <t>Спечели</t>
  </si>
  <si>
    <t>pobjeda</t>
  </si>
  <si>
    <t>勝つ</t>
  </si>
  <si>
    <t>승리</t>
  </si>
  <si>
    <t>laimėjimas</t>
  </si>
  <si>
    <t>Уин</t>
  </si>
  <si>
    <t>Date</t>
  </si>
  <si>
    <t>Time</t>
  </si>
  <si>
    <t>-</t>
  </si>
  <si>
    <t>Switzerland</t>
  </si>
  <si>
    <t>Portugal</t>
  </si>
  <si>
    <t>Greece</t>
  </si>
  <si>
    <t>France</t>
  </si>
  <si>
    <t>Group A</t>
  </si>
  <si>
    <t>W</t>
  </si>
  <si>
    <t>D</t>
  </si>
  <si>
    <t>L</t>
  </si>
  <si>
    <t>F - A</t>
  </si>
  <si>
    <t>Group B</t>
  </si>
  <si>
    <t>Group C</t>
  </si>
  <si>
    <t>Group D</t>
  </si>
  <si>
    <t>F</t>
  </si>
  <si>
    <t>A</t>
  </si>
  <si>
    <t>Country</t>
  </si>
  <si>
    <t>Swiss</t>
  </si>
  <si>
    <t>English</t>
  </si>
  <si>
    <t>Jerman</t>
  </si>
  <si>
    <t>Belanda</t>
  </si>
  <si>
    <t>Italia</t>
  </si>
  <si>
    <t>Perancis</t>
  </si>
  <si>
    <t>Spanyol</t>
  </si>
  <si>
    <t>Yunani</t>
  </si>
  <si>
    <t>:</t>
  </si>
  <si>
    <t>Suisse</t>
  </si>
  <si>
    <t>Allemagne</t>
  </si>
  <si>
    <t>Italie</t>
  </si>
  <si>
    <t>Pays-Bas</t>
  </si>
  <si>
    <t>Grèce</t>
  </si>
  <si>
    <t>Espagne</t>
  </si>
  <si>
    <t>Schweiz</t>
  </si>
  <si>
    <t>Deutschland</t>
  </si>
  <si>
    <t>Italien</t>
  </si>
  <si>
    <t>Frankreich</t>
  </si>
  <si>
    <t>Griechenland</t>
  </si>
  <si>
    <t>Spanien</t>
  </si>
  <si>
    <t>Suiza</t>
  </si>
  <si>
    <t>Alemania</t>
  </si>
  <si>
    <t>Holanda</t>
  </si>
  <si>
    <t>Francia</t>
  </si>
  <si>
    <t>Grecia</t>
  </si>
  <si>
    <t>España</t>
  </si>
  <si>
    <t>Spanish</t>
  </si>
  <si>
    <t>Svizzera</t>
  </si>
  <si>
    <t>Portogallo</t>
  </si>
  <si>
    <t>French</t>
  </si>
  <si>
    <t>Mongolian</t>
  </si>
  <si>
    <t>Ukrainian</t>
  </si>
  <si>
    <t>Spanish (Argentine)</t>
  </si>
  <si>
    <t>Portuguese (Brazil)</t>
  </si>
  <si>
    <t>Portuguese (Portugal)</t>
  </si>
  <si>
    <t>Chinese (Simplified)</t>
  </si>
  <si>
    <t>Chinese (Traditional)</t>
  </si>
  <si>
    <t>Georgian</t>
  </si>
  <si>
    <t>Germania</t>
  </si>
  <si>
    <t>Olanda</t>
  </si>
  <si>
    <t>Spagna</t>
  </si>
  <si>
    <t>Italian</t>
  </si>
  <si>
    <t>Alemanha</t>
  </si>
  <si>
    <t>Itália</t>
  </si>
  <si>
    <t>França</t>
  </si>
  <si>
    <t>Grécia</t>
  </si>
  <si>
    <t>Espanha</t>
  </si>
  <si>
    <t>Szwajcaria</t>
  </si>
  <si>
    <t>Portugalia</t>
  </si>
  <si>
    <t>Niemcy</t>
  </si>
  <si>
    <t>Holandia</t>
  </si>
  <si>
    <t>Francja</t>
  </si>
  <si>
    <t>Grecja</t>
  </si>
  <si>
    <t>Hiszpania</t>
  </si>
  <si>
    <t>Polish</t>
  </si>
  <si>
    <t>Lithuanian</t>
  </si>
  <si>
    <t>Šveicarija</t>
  </si>
  <si>
    <t>Portugalija</t>
  </si>
  <si>
    <t>Vokietija</t>
  </si>
  <si>
    <t>Italija</t>
  </si>
  <si>
    <t>Prancūzija</t>
  </si>
  <si>
    <t>Graikija</t>
  </si>
  <si>
    <t>Ispanija</t>
  </si>
  <si>
    <t>Suïssa</t>
  </si>
  <si>
    <t>Alemanya</t>
  </si>
  <si>
    <t>Itàlia</t>
  </si>
  <si>
    <t>Grècia</t>
  </si>
  <si>
    <t>Espanya</t>
  </si>
  <si>
    <t>Catalan</t>
  </si>
  <si>
    <t>Svájc</t>
  </si>
  <si>
    <t>Portugália</t>
  </si>
  <si>
    <t>Németország</t>
  </si>
  <si>
    <t>Olaszország</t>
  </si>
  <si>
    <t>Hollandia</t>
  </si>
  <si>
    <t>Franciaország</t>
  </si>
  <si>
    <t>Görögország</t>
  </si>
  <si>
    <t>Spanyolország</t>
  </si>
  <si>
    <t>Hungarian</t>
  </si>
  <si>
    <t>Spania</t>
  </si>
  <si>
    <t>Romanian</t>
  </si>
  <si>
    <t>Zwitserland</t>
  </si>
  <si>
    <t>Duitsland</t>
  </si>
  <si>
    <t>Italië</t>
  </si>
  <si>
    <t>Nederland</t>
  </si>
  <si>
    <t>Frankrijk</t>
  </si>
  <si>
    <t>Griekenland</t>
  </si>
  <si>
    <t>Spanje</t>
  </si>
  <si>
    <t>Dutch</t>
  </si>
  <si>
    <t>Tyskland</t>
  </si>
  <si>
    <t>Holland</t>
  </si>
  <si>
    <t>Frankrig</t>
  </si>
  <si>
    <t>Grækenland</t>
  </si>
  <si>
    <t>Danish</t>
  </si>
  <si>
    <t>Ġermanja</t>
  </si>
  <si>
    <t>Italja</t>
  </si>
  <si>
    <t>Franza</t>
  </si>
  <si>
    <t>Greċja</t>
  </si>
  <si>
    <t>Spanja</t>
  </si>
  <si>
    <t>Maltese</t>
  </si>
  <si>
    <t>Švica</t>
  </si>
  <si>
    <t>Portugalska</t>
  </si>
  <si>
    <t>Nemčija</t>
  </si>
  <si>
    <t>Nizozemska</t>
  </si>
  <si>
    <t>Francija</t>
  </si>
  <si>
    <t>Grčija</t>
  </si>
  <si>
    <t>Španija</t>
  </si>
  <si>
    <t>Slovenian</t>
  </si>
  <si>
    <t>Sveitsi</t>
  </si>
  <si>
    <t>Portugali</t>
  </si>
  <si>
    <t>Saksa</t>
  </si>
  <si>
    <t>Ranska</t>
  </si>
  <si>
    <t>Kreikka</t>
  </si>
  <si>
    <t>Espanja</t>
  </si>
  <si>
    <t>Finnish</t>
  </si>
  <si>
    <t>Швајцарска</t>
  </si>
  <si>
    <t>Португалија</t>
  </si>
  <si>
    <t>Немачка</t>
  </si>
  <si>
    <t>Италија</t>
  </si>
  <si>
    <t>Холандија</t>
  </si>
  <si>
    <t>Француска</t>
  </si>
  <si>
    <t>Грчка</t>
  </si>
  <si>
    <t>Шпанија</t>
  </si>
  <si>
    <t>Serbian</t>
  </si>
  <si>
    <t>Albanian</t>
  </si>
  <si>
    <t>Швейцария</t>
  </si>
  <si>
    <t>Португалия</t>
  </si>
  <si>
    <t>Германия</t>
  </si>
  <si>
    <t>Италия</t>
  </si>
  <si>
    <t>Холандия</t>
  </si>
  <si>
    <t>Франция</t>
  </si>
  <si>
    <t>Гърция</t>
  </si>
  <si>
    <t>Испания</t>
  </si>
  <si>
    <t>Bulgarian</t>
  </si>
  <si>
    <t>Ελβετία</t>
  </si>
  <si>
    <t>Γερμανία</t>
  </si>
  <si>
    <t>Ιταλία</t>
  </si>
  <si>
    <t>Ολλανδία</t>
  </si>
  <si>
    <t>Γαλλία</t>
  </si>
  <si>
    <t>Ισπανία</t>
  </si>
  <si>
    <t>Greek</t>
  </si>
  <si>
    <t>Греция</t>
  </si>
  <si>
    <t>Russian</t>
  </si>
  <si>
    <t>İsviçre</t>
  </si>
  <si>
    <t>Portekiz</t>
  </si>
  <si>
    <t>Almanya</t>
  </si>
  <si>
    <t>İtalya</t>
  </si>
  <si>
    <t>Gruppespil</t>
  </si>
  <si>
    <t>Kampe</t>
  </si>
  <si>
    <t>Stillinger</t>
  </si>
  <si>
    <t>Tidspunkt</t>
  </si>
  <si>
    <t>1/8-delsfinaler</t>
  </si>
  <si>
    <t>Kamp om 3. plads</t>
  </si>
  <si>
    <t>2. plads</t>
  </si>
  <si>
    <t>Normal Tid</t>
  </si>
  <si>
    <t>Forlænget Spilletid</t>
  </si>
  <si>
    <t>Straffespark</t>
  </si>
  <si>
    <t>Gruppe A Vinder</t>
  </si>
  <si>
    <t>Gruppe H Vinder</t>
  </si>
  <si>
    <t>Gruppe A 2. plads</t>
  </si>
  <si>
    <t>Gruppe B 2. plads</t>
  </si>
  <si>
    <t>Gruppe C 2. plads</t>
  </si>
  <si>
    <t>Gruppe D 2. plads</t>
  </si>
  <si>
    <t>Gruppe E 2. plads</t>
  </si>
  <si>
    <t>Gruppe F 2. plads</t>
  </si>
  <si>
    <t>Gruppe G 2. plads</t>
  </si>
  <si>
    <t>Gruppe H 2. plads</t>
  </si>
  <si>
    <t>Kamp 53 Vinder</t>
  </si>
  <si>
    <t>Kamp 54 Vinder</t>
  </si>
  <si>
    <t>Kamp 55 Vinder</t>
  </si>
  <si>
    <t>Kamp 56 Vinder</t>
  </si>
  <si>
    <t>Kamp 57 Vinder</t>
  </si>
  <si>
    <t>Kamp 58 Vinder</t>
  </si>
  <si>
    <t>Kamp 59 Vinder</t>
  </si>
  <si>
    <t>Kamp 60 Vinder</t>
  </si>
  <si>
    <t>Kamp 61 Vinder</t>
  </si>
  <si>
    <t>Kamp 62 Vinder</t>
  </si>
  <si>
    <t>Kamp 63 Vinder</t>
  </si>
  <si>
    <t>Kamp 64 Vinder</t>
  </si>
  <si>
    <t>Vundet</t>
  </si>
  <si>
    <t>Uafgjort</t>
  </si>
  <si>
    <t>Tabt</t>
  </si>
  <si>
    <t>Kamp 49 Vinder</t>
  </si>
  <si>
    <t>Kamp 50 Vinder</t>
  </si>
  <si>
    <t>Kamp 41 Vinder</t>
  </si>
  <si>
    <t>Kamp 52 Vinder</t>
  </si>
  <si>
    <t>Kamp 61 Taber</t>
  </si>
  <si>
    <t>Kamp 62 Taber</t>
  </si>
  <si>
    <t>Uitslag</t>
  </si>
  <si>
    <t>Laatste 16</t>
  </si>
  <si>
    <t>Kwartfinales</t>
  </si>
  <si>
    <t>Halve finales</t>
  </si>
  <si>
    <t>Yhdysvallat</t>
  </si>
  <si>
    <t>Hollanda</t>
  </si>
  <si>
    <t>Fransa</t>
  </si>
  <si>
    <t>Yunanistan</t>
  </si>
  <si>
    <t>İspanya</t>
  </si>
  <si>
    <t>Turkish</t>
  </si>
  <si>
    <t>Švicarska</t>
  </si>
  <si>
    <t>Njemačka</t>
  </si>
  <si>
    <t>Francuska</t>
  </si>
  <si>
    <t>Grčka</t>
  </si>
  <si>
    <t>Španjolska</t>
  </si>
  <si>
    <t>Croatian</t>
  </si>
  <si>
    <t>Bồ Đào Nha</t>
  </si>
  <si>
    <t>Đức</t>
  </si>
  <si>
    <t>Hà Lan</t>
  </si>
  <si>
    <t>Pháp</t>
  </si>
  <si>
    <t>Hy Lạp</t>
  </si>
  <si>
    <t>Tây Ban Nha</t>
  </si>
  <si>
    <t>Vietnamese</t>
  </si>
  <si>
    <t>Itali</t>
  </si>
  <si>
    <t>Bahasa</t>
  </si>
  <si>
    <t>Sepanyol</t>
  </si>
  <si>
    <t>Malay</t>
  </si>
  <si>
    <t>سويسرا</t>
  </si>
  <si>
    <t>البرتغال</t>
  </si>
  <si>
    <t>ألمانيا</t>
  </si>
  <si>
    <t>هولندا</t>
  </si>
  <si>
    <t>فرنسا</t>
  </si>
  <si>
    <t>اليونان</t>
  </si>
  <si>
    <t>Arabic</t>
  </si>
  <si>
    <t>瑞士</t>
  </si>
  <si>
    <t>葡萄牙</t>
  </si>
  <si>
    <t>意大利</t>
  </si>
  <si>
    <t>西班牙</t>
  </si>
  <si>
    <t>Normal Time</t>
  </si>
  <si>
    <t>Extra Time</t>
  </si>
  <si>
    <t>Penalty Shoot Out</t>
  </si>
  <si>
    <t>P</t>
  </si>
  <si>
    <t>Pt</t>
  </si>
  <si>
    <t>Addis Ababa</t>
  </si>
  <si>
    <t>Adelaide</t>
  </si>
  <si>
    <t>Aden</t>
  </si>
  <si>
    <t>Algiers</t>
  </si>
  <si>
    <t>Almaty</t>
  </si>
  <si>
    <t xml:space="preserve">Amman </t>
  </si>
  <si>
    <t xml:space="preserve">Amsterdam </t>
  </si>
  <si>
    <t xml:space="preserve">Anadyr </t>
  </si>
  <si>
    <t xml:space="preserve">Anchorage </t>
  </si>
  <si>
    <t xml:space="preserve">Ankara </t>
  </si>
  <si>
    <t>Antananarivo</t>
  </si>
  <si>
    <t>Asuncion</t>
  </si>
  <si>
    <t xml:space="preserve">Athens </t>
  </si>
  <si>
    <t xml:space="preserve">Atlanta </t>
  </si>
  <si>
    <t>Auckland</t>
  </si>
  <si>
    <t>Baghdad</t>
  </si>
  <si>
    <t>Bangkok</t>
  </si>
  <si>
    <t xml:space="preserve">Barcelona </t>
  </si>
  <si>
    <t>Beijing</t>
  </si>
  <si>
    <t xml:space="preserve">Beirut </t>
  </si>
  <si>
    <t xml:space="preserve">Belgrade </t>
  </si>
  <si>
    <t xml:space="preserve">Berlin </t>
  </si>
  <si>
    <t>Bogota</t>
  </si>
  <si>
    <t xml:space="preserve">Boston </t>
  </si>
  <si>
    <t>Brasilia</t>
  </si>
  <si>
    <t>Brisbane</t>
  </si>
  <si>
    <t xml:space="preserve">Brussels </t>
  </si>
  <si>
    <t xml:space="preserve">Bucharest </t>
  </si>
  <si>
    <t xml:space="preserve">Budapest </t>
  </si>
  <si>
    <t>Buenos Aires</t>
  </si>
  <si>
    <t>Cairo</t>
  </si>
  <si>
    <t>Canberra</t>
  </si>
  <si>
    <t>Cape Town</t>
  </si>
  <si>
    <t>Caracas</t>
  </si>
  <si>
    <t>Casablanca</t>
  </si>
  <si>
    <t xml:space="preserve">Chicago </t>
  </si>
  <si>
    <t xml:space="preserve">Copenhagen </t>
  </si>
  <si>
    <t>Darwin</t>
  </si>
  <si>
    <t xml:space="preserve">Denver </t>
  </si>
  <si>
    <t xml:space="preserve">Detroit </t>
  </si>
  <si>
    <t>Dhaka</t>
  </si>
  <si>
    <t>Dubai</t>
  </si>
  <si>
    <t xml:space="preserve">Dublin </t>
  </si>
  <si>
    <t xml:space="preserve">Edmonton </t>
  </si>
  <si>
    <t xml:space="preserve">Frankfurt </t>
  </si>
  <si>
    <t xml:space="preserve">Geneva </t>
  </si>
  <si>
    <t>Guatemala</t>
  </si>
  <si>
    <t xml:space="preserve">Halifax </t>
  </si>
  <si>
    <t>Hanoi</t>
  </si>
  <si>
    <t>Harare</t>
  </si>
  <si>
    <t xml:space="preserve">Havana </t>
  </si>
  <si>
    <t xml:space="preserve">Helsinki </t>
  </si>
  <si>
    <t>Hong Kong</t>
  </si>
  <si>
    <t>Honolulu</t>
  </si>
  <si>
    <t xml:space="preserve">Houston </t>
  </si>
  <si>
    <t xml:space="preserve">Indianapolis </t>
  </si>
  <si>
    <t>Islamabad</t>
  </si>
  <si>
    <t xml:space="preserve">Istanbul </t>
  </si>
  <si>
    <t>Jakarta</t>
  </si>
  <si>
    <t xml:space="preserve">Jerusalem </t>
  </si>
  <si>
    <t>Johannesburg</t>
  </si>
  <si>
    <t>Kabul</t>
  </si>
  <si>
    <t xml:space="preserve">Kamchatka </t>
  </si>
  <si>
    <t>Karachi</t>
  </si>
  <si>
    <t>Khartoum</t>
  </si>
  <si>
    <t>Kingston</t>
  </si>
  <si>
    <t>Kiritimati</t>
  </si>
  <si>
    <t>Kolkata</t>
  </si>
  <si>
    <t>Kuala Lumpur</t>
  </si>
  <si>
    <t>Kuwait City</t>
  </si>
  <si>
    <t xml:space="preserve">Kyiv </t>
  </si>
  <si>
    <t>La Paz</t>
  </si>
  <si>
    <t>Lagos</t>
  </si>
  <si>
    <t>Lahore</t>
  </si>
  <si>
    <t>Lima</t>
  </si>
  <si>
    <t xml:space="preserve">Lisbon </t>
  </si>
  <si>
    <t xml:space="preserve">London </t>
  </si>
  <si>
    <t xml:space="preserve">Los Angeles </t>
  </si>
  <si>
    <t xml:space="preserve">Madrid </t>
  </si>
  <si>
    <t>Managua</t>
  </si>
  <si>
    <t>Manila</t>
  </si>
  <si>
    <t>Melbourne</t>
  </si>
  <si>
    <t xml:space="preserve">Mexico City </t>
  </si>
  <si>
    <t xml:space="preserve">Miami </t>
  </si>
  <si>
    <t>Exceltemplate.net Vizitoni për templates më shumë dhe më të reja</t>
  </si>
  <si>
    <t>Vendi i dytë</t>
  </si>
  <si>
    <t>Groep A</t>
  </si>
  <si>
    <t>Groep B</t>
  </si>
  <si>
    <t>Groep C</t>
  </si>
  <si>
    <t>Groep D</t>
  </si>
  <si>
    <t>Groep E</t>
  </si>
  <si>
    <t>Groep F</t>
  </si>
  <si>
    <t>Groep G</t>
  </si>
  <si>
    <t>Groep H</t>
  </si>
  <si>
    <t>Grupi A</t>
  </si>
  <si>
    <t>Grupi B</t>
  </si>
  <si>
    <t>Grupi C</t>
  </si>
  <si>
    <t>Grupi D</t>
  </si>
  <si>
    <t>Grupi E</t>
  </si>
  <si>
    <t>Grupi F</t>
  </si>
  <si>
    <t>Grupi G</t>
  </si>
  <si>
    <t>Grupi H</t>
  </si>
  <si>
    <t>زيارة exceltemplate.net لمزيد من القوالب والتحديثات</t>
  </si>
  <si>
    <t>Мачът #</t>
  </si>
  <si>
    <t>Победител от група А</t>
  </si>
  <si>
    <t>Победител Група B</t>
  </si>
  <si>
    <t>Победител Група C</t>
  </si>
  <si>
    <t>Победител Група D</t>
  </si>
  <si>
    <t>Група E Победител</t>
  </si>
  <si>
    <t>Група "F" Победител</t>
  </si>
  <si>
    <t>Група "G" Победител</t>
  </si>
  <si>
    <t>Група H Победител</t>
  </si>
  <si>
    <t>Група А Второ място</t>
  </si>
  <si>
    <t>Група B Второ място</t>
  </si>
  <si>
    <t>Група C Второ място</t>
  </si>
  <si>
    <t>Група D Второ място</t>
  </si>
  <si>
    <t>Група E Второ място</t>
  </si>
  <si>
    <t>Група "F" Второ място</t>
  </si>
  <si>
    <t>Група "G" Второ място</t>
  </si>
  <si>
    <t>Група H Второ място</t>
  </si>
  <si>
    <t>Носител на срещата 53</t>
  </si>
  <si>
    <t>Носител на срещата 54</t>
  </si>
  <si>
    <t>Носител на срещата 55</t>
  </si>
  <si>
    <t>Носител на срещата 56</t>
  </si>
  <si>
    <t>Носител на срещата 57</t>
  </si>
  <si>
    <t>Носител на срещата 58</t>
  </si>
  <si>
    <t>Носител на срещата 59</t>
  </si>
  <si>
    <t>Носител на срещата 60</t>
  </si>
  <si>
    <t>Носител на срещата 61</t>
  </si>
  <si>
    <t>Носител на срещата 62</t>
  </si>
  <si>
    <t>Носител на срещата 63</t>
  </si>
  <si>
    <t>Носител на срещата 64</t>
  </si>
  <si>
    <t>Посетете exceltemplate.net за повече шаблони и актуализации</t>
  </si>
  <si>
    <t>Играна</t>
  </si>
  <si>
    <t>Рисувам</t>
  </si>
  <si>
    <t>Губя</t>
  </si>
  <si>
    <t>Гол вкара за</t>
  </si>
  <si>
    <t>Гол вкара срещу</t>
  </si>
  <si>
    <t>Точка</t>
  </si>
  <si>
    <t>Група А</t>
  </si>
  <si>
    <t>Група B</t>
  </si>
  <si>
    <t>Група C</t>
  </si>
  <si>
    <t>Група D</t>
  </si>
  <si>
    <t>Група E</t>
  </si>
  <si>
    <t>Група "F"</t>
  </si>
  <si>
    <t>Група "G"</t>
  </si>
  <si>
    <t>Група H</t>
  </si>
  <si>
    <t>Guanyador del Grup A</t>
  </si>
  <si>
    <t>Guanyador del Grup B</t>
  </si>
  <si>
    <t>Guanyador del Grup C</t>
  </si>
  <si>
    <t>Guanyador del Grup D</t>
  </si>
  <si>
    <t>Guanyador del Grup E</t>
  </si>
  <si>
    <t>Guanyador del Grup F</t>
  </si>
  <si>
    <t>Guanyador del Grup G</t>
  </si>
  <si>
    <t>Guanyador del Grup H</t>
  </si>
  <si>
    <t>Subcampió del Grup A</t>
  </si>
  <si>
    <t>Subcampió del Grup B</t>
  </si>
  <si>
    <t>Subcampió del Grup C</t>
  </si>
  <si>
    <t>Subcampió del Grup D</t>
  </si>
  <si>
    <t>Subcampió del Grup E</t>
  </si>
  <si>
    <t>Subcampió del Grup F</t>
  </si>
  <si>
    <t>Subcampió del Grup G</t>
  </si>
  <si>
    <t>Subcampió del Grup H</t>
  </si>
  <si>
    <t>Guanyador del partit 53</t>
  </si>
  <si>
    <t>Guanyador del partit 54</t>
  </si>
  <si>
    <t>Guanyador del partit 55</t>
  </si>
  <si>
    <t>Guanyador del partit 56</t>
  </si>
  <si>
    <t>Guanyador del partit 57</t>
  </si>
  <si>
    <t>Guanyador del partit 58</t>
  </si>
  <si>
    <t>Guanyador del partit 59</t>
  </si>
  <si>
    <t>Guanyador del partit 60</t>
  </si>
  <si>
    <t>Guanyador del partit 61</t>
  </si>
  <si>
    <t>Guanyador del partit 62</t>
  </si>
  <si>
    <t>Guanyador del partit 63</t>
  </si>
  <si>
    <t>Guanyador del partit 64</t>
  </si>
  <si>
    <t>Visita exceltemplate.net per a les plantilles més i actualitzacions</t>
  </si>
  <si>
    <t>Jugat</t>
  </si>
  <si>
    <t>Dibuixar</t>
  </si>
  <si>
    <t>Perdre</t>
  </si>
  <si>
    <t>Gol anotat per</t>
  </si>
  <si>
    <t>Gol en contra de</t>
  </si>
  <si>
    <t>El segon lloc</t>
  </si>
  <si>
    <t>Grup A</t>
  </si>
  <si>
    <t>Grup B</t>
  </si>
  <si>
    <t>Grup C</t>
  </si>
  <si>
    <t>Grup D</t>
  </si>
  <si>
    <t>Grup E</t>
  </si>
  <si>
    <t>Grup F</t>
  </si>
  <si>
    <t>Grup G</t>
  </si>
  <si>
    <t>Grup H</t>
  </si>
  <si>
    <t>访问exceltemplate.net更多的模板和更新</t>
  </si>
  <si>
    <t>第二位</t>
  </si>
  <si>
    <t>Utakmica #</t>
  </si>
  <si>
    <t>Grupa Winner</t>
  </si>
  <si>
    <t>Winner Group B</t>
  </si>
  <si>
    <t>Grupa C Winner</t>
  </si>
  <si>
    <t>Grupa D Winner</t>
  </si>
  <si>
    <t>Grupa E Winner</t>
  </si>
  <si>
    <t>Grupa F Pobjednik</t>
  </si>
  <si>
    <t>Grupa G Pobjednik</t>
  </si>
  <si>
    <t>Grupa H Winner</t>
  </si>
  <si>
    <t>Grupa Runner Up</t>
  </si>
  <si>
    <t>Grupa B Runner Up</t>
  </si>
  <si>
    <t>Grupa C Runner Up</t>
  </si>
  <si>
    <t>Grupa D Runner Up</t>
  </si>
  <si>
    <t>Grupa E Runner Up</t>
  </si>
  <si>
    <t>Grupa F Runner Up</t>
  </si>
  <si>
    <t>Grupa G Runner Up</t>
  </si>
  <si>
    <t>Grupa H Runner Up</t>
  </si>
  <si>
    <t>Match Winner 53</t>
  </si>
  <si>
    <t>Match Winner 54</t>
  </si>
  <si>
    <t>Match Winner 55</t>
  </si>
  <si>
    <t>Match Winner 56</t>
  </si>
  <si>
    <t>Match Winner 57</t>
  </si>
  <si>
    <t>Match Winner 58</t>
  </si>
  <si>
    <t>Match Winner 59</t>
  </si>
  <si>
    <t>Match Winner 60</t>
  </si>
  <si>
    <t>Match Winner 61</t>
  </si>
  <si>
    <t>Match Winner 62</t>
  </si>
  <si>
    <t>Match Winner 63</t>
  </si>
  <si>
    <t>Match Winner 64</t>
  </si>
  <si>
    <t>Posjetite exceltemplate.net za više predložaka i obnove</t>
  </si>
  <si>
    <t>Crtati</t>
  </si>
  <si>
    <t>Gubiti</t>
  </si>
  <si>
    <t>Pogodak za</t>
  </si>
  <si>
    <t>Gol zabio</t>
  </si>
  <si>
    <t>Drugo mjesto</t>
  </si>
  <si>
    <t>Grupa B</t>
  </si>
  <si>
    <t>Grupa C</t>
  </si>
  <si>
    <t>Grupa D</t>
  </si>
  <si>
    <t>Grupa E</t>
  </si>
  <si>
    <t>Grupa F</t>
  </si>
  <si>
    <t>Grupa G</t>
  </si>
  <si>
    <t>Grupa H</t>
  </si>
  <si>
    <t>Gruppe B Vinder</t>
  </si>
  <si>
    <t>Gruppe C Vinder</t>
  </si>
  <si>
    <t>Gruppe D Vinder</t>
  </si>
  <si>
    <t>Gruppe E Vinder</t>
  </si>
  <si>
    <t>Gruppe F Vinder</t>
  </si>
  <si>
    <t>Gruppe G Vinder</t>
  </si>
  <si>
    <t>Besøg exceltemplate.net for flere skabeloner og opdateringer</t>
  </si>
  <si>
    <t>Mål scoret for</t>
  </si>
  <si>
    <t>Mål scoret imod</t>
  </si>
  <si>
    <t>Gruppe A</t>
  </si>
  <si>
    <t>Gruppe B</t>
  </si>
  <si>
    <t>Gruppe C</t>
  </si>
  <si>
    <t>Gruppe D</t>
  </si>
  <si>
    <t>Gruppe E</t>
  </si>
  <si>
    <t>Gruppe F</t>
  </si>
  <si>
    <t>Gruppe G</t>
  </si>
  <si>
    <t>Gruppe H</t>
  </si>
  <si>
    <t>Bezoek exceltemplate.net voor meer voorbeelden en updates</t>
  </si>
  <si>
    <t>Ottelun 53 voittaja</t>
  </si>
  <si>
    <t>Ottelun 54 voittaja</t>
  </si>
  <si>
    <t>Ottelun 55 voittaja</t>
  </si>
  <si>
    <t>Ottelun 56 voittaja</t>
  </si>
  <si>
    <t>Ottelun 57 voittaja</t>
  </si>
  <si>
    <t>Ottelun 58 voittaja</t>
  </si>
  <si>
    <t>Ottelun 59 voittaja</t>
  </si>
  <si>
    <t>الأورغواي</t>
  </si>
  <si>
    <t>إنكلترا</t>
  </si>
  <si>
    <t>الولايات المتحدة</t>
  </si>
  <si>
    <t>استراليا</t>
  </si>
  <si>
    <t>إيطاليا</t>
  </si>
  <si>
    <t>اسبانيا</t>
  </si>
  <si>
    <t>تشيلي</t>
  </si>
  <si>
    <t>اللغة</t>
  </si>
  <si>
    <t>التوقيت</t>
  </si>
  <si>
    <t>دور المجموعات</t>
  </si>
  <si>
    <t>المباريات</t>
  </si>
  <si>
    <t>ترتيب المجموعات</t>
  </si>
  <si>
    <t>التاريخ</t>
  </si>
  <si>
    <t>Brasil</t>
  </si>
  <si>
    <t>Pantai Gading</t>
  </si>
  <si>
    <t>Group</t>
  </si>
  <si>
    <t>B</t>
  </si>
  <si>
    <t>C</t>
  </si>
  <si>
    <t>E</t>
  </si>
  <si>
    <t>G</t>
  </si>
  <si>
    <t>H</t>
  </si>
  <si>
    <t>Group E</t>
  </si>
  <si>
    <t>Group F</t>
  </si>
  <si>
    <t>Group G</t>
  </si>
  <si>
    <t>Group H</t>
  </si>
  <si>
    <t>Language</t>
  </si>
  <si>
    <t>Timezone</t>
  </si>
  <si>
    <t>Group Stages</t>
  </si>
  <si>
    <t>Matches</t>
  </si>
  <si>
    <t>Standings</t>
  </si>
  <si>
    <t>Score</t>
  </si>
  <si>
    <t>Round of 16</t>
  </si>
  <si>
    <t>Quarter Finals</t>
  </si>
  <si>
    <t>Semi Finals</t>
  </si>
  <si>
    <t>Match for Third Place</t>
  </si>
  <si>
    <t>Final</t>
  </si>
  <si>
    <t>Winner</t>
  </si>
  <si>
    <t>Runner Up</t>
  </si>
  <si>
    <t>Champion</t>
  </si>
  <si>
    <t>Zona waktu</t>
  </si>
  <si>
    <t>Pertandingan</t>
  </si>
  <si>
    <t>Klasemen</t>
  </si>
  <si>
    <t>Grup</t>
  </si>
  <si>
    <t>Tanggal</t>
  </si>
  <si>
    <t>Negara</t>
  </si>
  <si>
    <t>Skor</t>
  </si>
  <si>
    <t>Waktu</t>
  </si>
  <si>
    <t>Pemenang</t>
  </si>
  <si>
    <t>Waktu normal</t>
  </si>
  <si>
    <t>Waktu tambahan</t>
  </si>
  <si>
    <t>Adu penalti</t>
  </si>
  <si>
    <t>Juara</t>
  </si>
  <si>
    <t>Afrikaans</t>
  </si>
  <si>
    <t>Frankryk</t>
  </si>
  <si>
    <t>Argentinië</t>
  </si>
  <si>
    <t>Nigerië</t>
  </si>
  <si>
    <t>Suid-Korea</t>
  </si>
  <si>
    <t>Griekeland</t>
  </si>
  <si>
    <t>Engeland</t>
  </si>
  <si>
    <t>VSA</t>
  </si>
  <si>
    <t>Algerië</t>
  </si>
  <si>
    <t>Australië</t>
  </si>
  <si>
    <t>Kameroen</t>
  </si>
  <si>
    <t>Brasilië</t>
  </si>
  <si>
    <t>Ivoorkus</t>
  </si>
  <si>
    <t>Switserland</t>
  </si>
  <si>
    <t>Chili</t>
  </si>
  <si>
    <t>Taal</t>
  </si>
  <si>
    <t>Tydsone</t>
  </si>
  <si>
    <t>Groep Stadiums</t>
  </si>
  <si>
    <t>Wedstryde</t>
  </si>
  <si>
    <t>Groep</t>
  </si>
  <si>
    <t>Datum</t>
  </si>
  <si>
    <t>Land</t>
  </si>
  <si>
    <t>Punte</t>
  </si>
  <si>
    <t>Tyd</t>
  </si>
  <si>
    <t>Ronde van 16</t>
  </si>
  <si>
    <t>Kwart Finaal</t>
  </si>
  <si>
    <t>Wedstryd vir die Derde Plek</t>
  </si>
  <si>
    <t>Finale</t>
  </si>
  <si>
    <t>Wenner</t>
  </si>
  <si>
    <t>Normale Tyd</t>
  </si>
  <si>
    <t>Boete Shoot Out</t>
  </si>
  <si>
    <t>Kampioen</t>
  </si>
  <si>
    <t>Uruguaj</t>
  </si>
  <si>
    <t>Australi</t>
  </si>
  <si>
    <t>Brazili</t>
  </si>
  <si>
    <t>Kili</t>
  </si>
  <si>
    <t>Gjuha</t>
  </si>
  <si>
    <t>Data</t>
  </si>
  <si>
    <t>Vendi</t>
  </si>
  <si>
    <t>Koha</t>
  </si>
  <si>
    <t>Round 16</t>
  </si>
  <si>
    <t>Kampion</t>
  </si>
  <si>
    <t>المكسيك</t>
  </si>
  <si>
    <t>الأرجنتين</t>
  </si>
  <si>
    <t>نيجيريا</t>
  </si>
  <si>
    <t>كوريا الجنوبية</t>
  </si>
  <si>
    <t>الجزائر</t>
  </si>
  <si>
    <t>غانا</t>
  </si>
  <si>
    <t>اليابان</t>
  </si>
  <si>
    <t>الكاميرون</t>
  </si>
  <si>
    <t>البرازيل</t>
  </si>
  <si>
    <t>ساحل العاج</t>
  </si>
  <si>
    <t>هندوراس</t>
  </si>
  <si>
    <t>المجموعة</t>
  </si>
  <si>
    <t>النتيجة</t>
  </si>
  <si>
    <t>النهائي</t>
  </si>
  <si>
    <t>ركلات الترجيح</t>
  </si>
  <si>
    <t>墨西哥</t>
  </si>
  <si>
    <t>阿根廷</t>
  </si>
  <si>
    <t>日本</t>
  </si>
  <si>
    <t>巴西</t>
  </si>
  <si>
    <t>洪都拉斯</t>
  </si>
  <si>
    <t>智利</t>
  </si>
  <si>
    <t>日期</t>
  </si>
  <si>
    <t>亚军</t>
  </si>
  <si>
    <t>Мексико</t>
  </si>
  <si>
    <t>Уругвай</t>
  </si>
  <si>
    <t>Аржентина</t>
  </si>
  <si>
    <t>Нигерия</t>
  </si>
  <si>
    <t>Южна Корея</t>
  </si>
  <si>
    <t>Англия</t>
  </si>
  <si>
    <t>САЩ</t>
  </si>
  <si>
    <t>Алжир</t>
  </si>
  <si>
    <t>Австралия</t>
  </si>
  <si>
    <t>Гана</t>
  </si>
  <si>
    <t>Япония</t>
  </si>
  <si>
    <t>Камерун</t>
  </si>
  <si>
    <t>Бразилия</t>
  </si>
  <si>
    <t>Бряг на Слоновата кост</t>
  </si>
  <si>
    <t>Хондурас</t>
  </si>
  <si>
    <t>Чили</t>
  </si>
  <si>
    <t>Език</t>
  </si>
  <si>
    <t>Часовата зона</t>
  </si>
  <si>
    <t>Група Етапи</t>
  </si>
  <si>
    <t>Мачове</t>
  </si>
  <si>
    <t>Класиране</t>
  </si>
  <si>
    <t>Група</t>
  </si>
  <si>
    <t>Дата</t>
  </si>
  <si>
    <t>Страна</t>
  </si>
  <si>
    <t>Резултат</t>
  </si>
  <si>
    <t>Време</t>
  </si>
  <si>
    <t>Кръг от 16</t>
  </si>
  <si>
    <t>Квартал Финали</t>
  </si>
  <si>
    <t>Полуфинали</t>
  </si>
  <si>
    <t>Мачът за третото място</t>
  </si>
  <si>
    <t>Окончателна</t>
  </si>
  <si>
    <t>Победител</t>
  </si>
  <si>
    <t>Второ място</t>
  </si>
  <si>
    <t>Нормалното време</t>
  </si>
  <si>
    <t>Продължения</t>
  </si>
  <si>
    <t>Няма дузпи</t>
  </si>
  <si>
    <t>Шампион</t>
  </si>
  <si>
    <t>Mèxic</t>
  </si>
  <si>
    <t>Uruguai</t>
  </si>
  <si>
    <t>Nigèria</t>
  </si>
  <si>
    <t>Corea del Sud</t>
  </si>
  <si>
    <t>Anglaterra</t>
  </si>
  <si>
    <t>EUA</t>
  </si>
  <si>
    <t>Algèria</t>
  </si>
  <si>
    <t>Països Baixos</t>
  </si>
  <si>
    <t>Japó</t>
  </si>
  <si>
    <t>Camerun</t>
  </si>
  <si>
    <t>Costa d'Ivori</t>
  </si>
  <si>
    <t>Hondures</t>
  </si>
  <si>
    <t>Xile</t>
  </si>
  <si>
    <t>Idioma</t>
  </si>
  <si>
    <t>Zona horària</t>
  </si>
  <si>
    <t>Fase de grups</t>
  </si>
  <si>
    <t>Partits</t>
  </si>
  <si>
    <t>Classificació</t>
  </si>
  <si>
    <t>País</t>
  </si>
  <si>
    <t>Puntuació</t>
  </si>
  <si>
    <t>Temps</t>
  </si>
  <si>
    <t>Ronda de 16</t>
  </si>
  <si>
    <t>Quarts de final</t>
  </si>
  <si>
    <t>Semifinals</t>
  </si>
  <si>
    <t>Partit pel Tercer Lloc</t>
  </si>
  <si>
    <t>Guanyador</t>
  </si>
  <si>
    <t>Subcampió</t>
  </si>
  <si>
    <t>烏拉圭</t>
  </si>
  <si>
    <t>法國</t>
  </si>
  <si>
    <t>尼日利亞</t>
  </si>
  <si>
    <t>韓國</t>
  </si>
  <si>
    <t>希臘</t>
  </si>
  <si>
    <t>英格蘭</t>
  </si>
  <si>
    <t>美國</t>
  </si>
  <si>
    <t>阿爾及利亞</t>
  </si>
  <si>
    <t>德國</t>
  </si>
  <si>
    <t>加納</t>
  </si>
  <si>
    <t>荷蘭</t>
  </si>
  <si>
    <t>喀麥隆</t>
  </si>
  <si>
    <t>語言</t>
  </si>
  <si>
    <t>時區</t>
  </si>
  <si>
    <t>國家</t>
  </si>
  <si>
    <t>決賽</t>
  </si>
  <si>
    <t>勝利者</t>
  </si>
  <si>
    <t>亞軍</t>
  </si>
  <si>
    <t>冠軍</t>
  </si>
  <si>
    <t>訪問 exceltemplate.net更多的模板和更新</t>
  </si>
  <si>
    <t>A組</t>
  </si>
  <si>
    <t>B組</t>
  </si>
  <si>
    <t>C組</t>
  </si>
  <si>
    <t>D組</t>
  </si>
  <si>
    <t>E組</t>
  </si>
  <si>
    <t>F組</t>
  </si>
  <si>
    <t>G組</t>
  </si>
  <si>
    <t>H組</t>
  </si>
  <si>
    <t>R. Musadya</t>
  </si>
  <si>
    <t>Temps Extra</t>
  </si>
  <si>
    <t>Campió</t>
  </si>
  <si>
    <t>Urugvaj</t>
  </si>
  <si>
    <t>Nigerija</t>
  </si>
  <si>
    <t>Južna Koreja</t>
  </si>
  <si>
    <t>Engleska</t>
  </si>
  <si>
    <t>Alžir</t>
  </si>
  <si>
    <t>Australija</t>
  </si>
  <si>
    <t>Gana</t>
  </si>
  <si>
    <t>Obala Bjelokosti</t>
  </si>
  <si>
    <t>Čile</t>
  </si>
  <si>
    <t>Jezik</t>
  </si>
  <si>
    <t>Vremenska zona</t>
  </si>
  <si>
    <t>Grupa Stages</t>
  </si>
  <si>
    <t>Utakmice</t>
  </si>
  <si>
    <t>Grupa</t>
  </si>
  <si>
    <t>Država</t>
  </si>
  <si>
    <t>Rezultati</t>
  </si>
  <si>
    <t>Vrijeme</t>
  </si>
  <si>
    <t>Utakmica za treće mjesto</t>
  </si>
  <si>
    <t>Normal Vrijeme</t>
  </si>
  <si>
    <t>Sydkorea</t>
  </si>
  <si>
    <t>Algeriet</t>
  </si>
  <si>
    <t>Winst</t>
  </si>
  <si>
    <t>Gelijk</t>
  </si>
  <si>
    <t>Verlies</t>
  </si>
  <si>
    <t>Doelpunten gemaakt</t>
  </si>
  <si>
    <t>Tegendoelpunten</t>
  </si>
  <si>
    <t>Jaringan</t>
  </si>
  <si>
    <t>Bolos</t>
  </si>
  <si>
    <t>Mata</t>
  </si>
  <si>
    <t>Vunna</t>
  </si>
  <si>
    <t>Spelade</t>
  </si>
  <si>
    <t>Oavgjorda</t>
  </si>
  <si>
    <t>Förlorade</t>
  </si>
  <si>
    <t>Gjorda mål</t>
  </si>
  <si>
    <t>Insläppta mål</t>
  </si>
  <si>
    <t>Poäng</t>
  </si>
  <si>
    <t>Australien</t>
  </si>
  <si>
    <t>Cameroun</t>
  </si>
  <si>
    <t>Brasilien</t>
  </si>
  <si>
    <t>Elfenbenskysten</t>
  </si>
  <si>
    <t>Sprog</t>
  </si>
  <si>
    <t>Tidszone</t>
  </si>
  <si>
    <t>Dato</t>
  </si>
  <si>
    <t>Tid</t>
  </si>
  <si>
    <t>Kvartfinaler</t>
  </si>
  <si>
    <t>Semifinale</t>
  </si>
  <si>
    <t>Vinder</t>
  </si>
  <si>
    <t>Algerije</t>
  </si>
  <si>
    <t>Brazilië</t>
  </si>
  <si>
    <t>Ivoorkust</t>
  </si>
  <si>
    <t>Tijd</t>
  </si>
  <si>
    <t>Winnaar</t>
  </si>
  <si>
    <t>Argentiina</t>
  </si>
  <si>
    <t>Etelä-Korea</t>
  </si>
  <si>
    <t>Englanti</t>
  </si>
  <si>
    <t>Alankomaat</t>
  </si>
  <si>
    <t>Japani</t>
  </si>
  <si>
    <t>Norsunluurannikko</t>
  </si>
  <si>
    <t>Kieli</t>
  </si>
  <si>
    <t>Pisteet</t>
  </si>
  <si>
    <t xml:space="preserve">Attığı Gol </t>
  </si>
  <si>
    <t>Франція</t>
  </si>
  <si>
    <t>Нігерія</t>
  </si>
  <si>
    <t>Південна Корея</t>
  </si>
  <si>
    <t>Греція</t>
  </si>
  <si>
    <t>Англія</t>
  </si>
  <si>
    <t>Німеччина</t>
  </si>
  <si>
    <t xml:space="preserve">Австралія </t>
  </si>
  <si>
    <t>Нідерланди</t>
  </si>
  <si>
    <t>Японія</t>
  </si>
  <si>
    <t>Італія</t>
  </si>
  <si>
    <t>Бразилія</t>
  </si>
  <si>
    <t>Кот-д'Івуар</t>
  </si>
  <si>
    <t>Португалія</t>
  </si>
  <si>
    <t>Іспанія</t>
  </si>
  <si>
    <t>Швейцарія</t>
  </si>
  <si>
    <t>Чилі</t>
  </si>
  <si>
    <t>Мова</t>
  </si>
  <si>
    <t>Часовий пояс</t>
  </si>
  <si>
    <t>Груповий етап</t>
  </si>
  <si>
    <t>Матчі</t>
  </si>
  <si>
    <t>Положення команд</t>
  </si>
  <si>
    <t>Країна</t>
  </si>
  <si>
    <t>Рахунок</t>
  </si>
  <si>
    <t>Час</t>
  </si>
  <si>
    <t>1 / 16</t>
  </si>
  <si>
    <t>Чвертьфінал</t>
  </si>
  <si>
    <t>Полуфінал</t>
  </si>
  <si>
    <t>Матч за третє місце</t>
  </si>
  <si>
    <t>Фінал</t>
  </si>
  <si>
    <t>Переможець</t>
  </si>
  <si>
    <t>Друге місце</t>
  </si>
  <si>
    <t>Основний час</t>
  </si>
  <si>
    <t>Додатковий час</t>
  </si>
  <si>
    <t>Пенальті</t>
  </si>
  <si>
    <t>Чемпіон</t>
  </si>
  <si>
    <t>Матч №</t>
  </si>
  <si>
    <t>Переможець групи А</t>
  </si>
  <si>
    <t>Переможець групи B</t>
  </si>
  <si>
    <t>Переможець групи C</t>
  </si>
  <si>
    <t>Переможець групи D</t>
  </si>
  <si>
    <t>Переможець групи E</t>
  </si>
  <si>
    <t>Переможець групи F</t>
  </si>
  <si>
    <t>Переможець групи G</t>
  </si>
  <si>
    <t>Переможець групи H</t>
  </si>
  <si>
    <t>Друге місце в групі А</t>
  </si>
  <si>
    <t>Друге місце в групі B</t>
  </si>
  <si>
    <t>Друге місце в групі C</t>
  </si>
  <si>
    <t>Друге місце в групі D</t>
  </si>
  <si>
    <t>Друге місце в групі E</t>
  </si>
  <si>
    <t>Друге місце в групі F</t>
  </si>
  <si>
    <t>Друге місце в групі G</t>
  </si>
  <si>
    <t>Друге місце в групі H</t>
  </si>
  <si>
    <t>Переможець матчу № 53</t>
  </si>
  <si>
    <t>Переможець матчу № 54</t>
  </si>
  <si>
    <t>Переможець матчу № 55</t>
  </si>
  <si>
    <t>Переможець матчу № 56</t>
  </si>
  <si>
    <t>Переможець матчу № 57</t>
  </si>
  <si>
    <t>Переможець матчу № 58</t>
  </si>
  <si>
    <t>Переможець матчу № 59</t>
  </si>
  <si>
    <t>Переможець матчу № 60</t>
  </si>
  <si>
    <t>Переможець матчу № 61</t>
  </si>
  <si>
    <t>Переможець матчу № 62</t>
  </si>
  <si>
    <t>Переможець матчу № 63</t>
  </si>
  <si>
    <t>Переможець матчу № 64</t>
  </si>
  <si>
    <t>Зіграно матчів</t>
  </si>
  <si>
    <t>Перемога</t>
  </si>
  <si>
    <t>Нічія</t>
  </si>
  <si>
    <t>Програш</t>
  </si>
  <si>
    <t>Забито голів</t>
  </si>
  <si>
    <t>Пропущено голів</t>
  </si>
  <si>
    <t>Очкі</t>
  </si>
  <si>
    <t>Група F</t>
  </si>
  <si>
    <t>Група G</t>
  </si>
  <si>
    <t>Переможець матчу № 49</t>
  </si>
  <si>
    <t>Переможець матчу № 50</t>
  </si>
  <si>
    <t>Переможець матчу № 51</t>
  </si>
  <si>
    <t>Переможець матчу № 52</t>
  </si>
  <si>
    <t>Команда, що програла матч № 61</t>
  </si>
  <si>
    <t>Команда, що програла матч № 62</t>
  </si>
  <si>
    <t>Mê hi cô</t>
  </si>
  <si>
    <t>Ác hen tina</t>
  </si>
  <si>
    <t>Ni-giê-ria</t>
  </si>
  <si>
    <t>Nam Triều Tiên</t>
  </si>
  <si>
    <t>Mỹ</t>
  </si>
  <si>
    <t>Ga-na</t>
  </si>
  <si>
    <t>Ca-mơ-run</t>
  </si>
  <si>
    <t>Bra-xin</t>
  </si>
  <si>
    <t>Thụy Sỹ</t>
  </si>
  <si>
    <t>Hôn-du-rát</t>
  </si>
  <si>
    <t>Chi-lê</t>
  </si>
  <si>
    <t>Vòng bảng</t>
  </si>
  <si>
    <t>Trận đấu</t>
  </si>
  <si>
    <t xml:space="preserve">Vị trí </t>
  </si>
  <si>
    <t>Bảng</t>
  </si>
  <si>
    <t>Quốc gia</t>
  </si>
  <si>
    <t>Tỷ số</t>
  </si>
  <si>
    <t>Vòng 16 đội</t>
  </si>
  <si>
    <t>Vòng tứ kết</t>
  </si>
  <si>
    <t>Vòng bán kết</t>
  </si>
  <si>
    <t>Tranh giải 3</t>
  </si>
  <si>
    <t>Chung kết</t>
  </si>
  <si>
    <t>Đội thắng</t>
  </si>
  <si>
    <t>Giải nhì</t>
  </si>
  <si>
    <t>Thời gian thi đấu chính thức</t>
  </si>
  <si>
    <t>Thời gian bù giờ</t>
  </si>
  <si>
    <t>Pe-nan-ty</t>
  </si>
  <si>
    <t>Vô địch</t>
  </si>
  <si>
    <t>Trận đấu số #</t>
  </si>
  <si>
    <t>Nhất bảng A</t>
  </si>
  <si>
    <t>Nhất bảng B</t>
  </si>
  <si>
    <t>Nhất bảng C</t>
  </si>
  <si>
    <t>Nhất bảng D</t>
  </si>
  <si>
    <t>Nhất bảng E</t>
  </si>
  <si>
    <t>Nhất bảng F</t>
  </si>
  <si>
    <t>Nhất bảng G</t>
  </si>
  <si>
    <t>Nhất bảng H</t>
  </si>
  <si>
    <t>Nhì bảng A</t>
  </si>
  <si>
    <t>Nhì bảng B</t>
  </si>
  <si>
    <t>Nhì bảng C</t>
  </si>
  <si>
    <t>Nhì bảng D</t>
  </si>
  <si>
    <t>Nhì bảng E</t>
  </si>
  <si>
    <t>Nhì bảng F</t>
  </si>
  <si>
    <t>Nhì bảng G</t>
  </si>
  <si>
    <t>Nhì bảng H</t>
  </si>
  <si>
    <t>Thắng trận 53</t>
  </si>
  <si>
    <t>Thắng trận 54</t>
  </si>
  <si>
    <t>Thắng trận 55</t>
  </si>
  <si>
    <t>Thắng trận 56</t>
  </si>
  <si>
    <t>Thắng trận 57</t>
  </si>
  <si>
    <t>Thắng trận 58</t>
  </si>
  <si>
    <t>Thắng trận 59</t>
  </si>
  <si>
    <t>Thắng trận 60</t>
  </si>
  <si>
    <t>Thắng trận 61</t>
  </si>
  <si>
    <t>Thắng trận 62</t>
  </si>
  <si>
    <t>Thắng trận 63</t>
  </si>
  <si>
    <t>Thắng trận 64</t>
  </si>
  <si>
    <t>Số trận</t>
  </si>
  <si>
    <t>Thắng</t>
  </si>
  <si>
    <t>Hoà</t>
  </si>
  <si>
    <t>Thua</t>
  </si>
  <si>
    <t>Bàn thắng</t>
  </si>
  <si>
    <t>Bàn thua</t>
  </si>
  <si>
    <t>Giải Nhì</t>
  </si>
  <si>
    <t>Thắng trận 49</t>
  </si>
  <si>
    <t>Thắng trận 50</t>
  </si>
  <si>
    <t>Thắng trận 51</t>
  </si>
  <si>
    <t>Thắng trận 52</t>
  </si>
  <si>
    <t>Thua trận 61</t>
  </si>
  <si>
    <t>Thua trận 62</t>
  </si>
  <si>
    <t>Νικητής Αγώνα 49</t>
  </si>
  <si>
    <t>Νικητής Αγώνα 50</t>
  </si>
  <si>
    <t>Νικητής Αγώνα 51</t>
  </si>
  <si>
    <t>Νικητής Αγώνα 52</t>
  </si>
  <si>
    <t>マッチ49勝者</t>
  </si>
  <si>
    <t>マッチ50勝者</t>
  </si>
  <si>
    <t>マッチ51勝者</t>
  </si>
  <si>
    <t>マッチ52勝者</t>
  </si>
  <si>
    <t>一致61ルーザー</t>
  </si>
  <si>
    <t>一致62ルーザー</t>
  </si>
  <si>
    <t>경기 49 수상작</t>
  </si>
  <si>
    <t>경기 50 수상작</t>
  </si>
  <si>
    <t>경기 51 수상작</t>
  </si>
  <si>
    <t>경기 52 수상작</t>
  </si>
  <si>
    <t>경기 61 멍청이</t>
  </si>
  <si>
    <t>경기 62 멍청이</t>
  </si>
  <si>
    <t>Winner Match 49</t>
  </si>
  <si>
    <t>Winner Match 51</t>
  </si>
  <si>
    <t>Winner Match 52</t>
  </si>
  <si>
    <t>Tazza tad-Dinja u Scoresheet Iskeda 2,010</t>
  </si>
  <si>
    <t>Tazza tad-Dinja 2,010 Champion</t>
  </si>
  <si>
    <t>Vencedor Jogo 49</t>
  </si>
  <si>
    <t>Vencedor Jogo 51</t>
  </si>
  <si>
    <t>Победитель матча 49</t>
  </si>
  <si>
    <t>Победитель матча 50</t>
  </si>
  <si>
    <t>Победитель матча 51</t>
  </si>
  <si>
    <t>Победитель матча 52</t>
  </si>
  <si>
    <t>Победник меча 49</t>
  </si>
  <si>
    <t>Победник меча 50</t>
  </si>
  <si>
    <t>Победник меча 51</t>
  </si>
  <si>
    <t>Победник меча 52</t>
  </si>
  <si>
    <t>Победник Губитник 61</t>
  </si>
  <si>
    <t>Победник Губитник 62</t>
  </si>
  <si>
    <t>Perdedor partido 61</t>
  </si>
  <si>
    <t>Perdedor partido 62</t>
  </si>
  <si>
    <t>Maç 49 Galibi</t>
  </si>
  <si>
    <t>Maç 50 Galibi</t>
  </si>
  <si>
    <t>Maç 51 Galibi</t>
  </si>
  <si>
    <t>Maç 52 Galibi</t>
  </si>
  <si>
    <t>Gruppenphase</t>
  </si>
  <si>
    <t>Uhrzeit</t>
  </si>
  <si>
    <t>Elfenbeinküste</t>
  </si>
  <si>
    <t>Achtelfinale</t>
  </si>
  <si>
    <t>Halbfinale</t>
  </si>
  <si>
    <t>Spiel #</t>
  </si>
  <si>
    <t>Estados Unidos</t>
  </si>
  <si>
    <t>Ganados</t>
  </si>
  <si>
    <t>Empatados</t>
  </si>
  <si>
    <t>Perdidos</t>
  </si>
  <si>
    <t>Goles a favor</t>
  </si>
  <si>
    <t>Goles en contra</t>
  </si>
  <si>
    <t>Partido #</t>
  </si>
  <si>
    <t>Resultado</t>
  </si>
  <si>
    <t>Octavos de final</t>
  </si>
  <si>
    <t>Partido por el Tercer puesto</t>
  </si>
  <si>
    <t>Kalah Pertandingan 61</t>
  </si>
  <si>
    <t>Kalah Pertandingan 62</t>
  </si>
  <si>
    <t>Indonesian</t>
  </si>
  <si>
    <t>Goal scored against</t>
  </si>
  <si>
    <t>Point</t>
  </si>
  <si>
    <t>Second place</t>
  </si>
  <si>
    <t>Wedstryd #</t>
  </si>
  <si>
    <t>Groep A Winner</t>
  </si>
  <si>
    <t>Groep B Winnaar</t>
  </si>
  <si>
    <t>Groep C Winnaar</t>
  </si>
  <si>
    <t>Groep D Winnaar</t>
  </si>
  <si>
    <t>Groep E Winnaar</t>
  </si>
  <si>
    <t>Groep F Winnaar</t>
  </si>
  <si>
    <t>Groep G Winnaar</t>
  </si>
  <si>
    <t>Groep H Winnaar</t>
  </si>
  <si>
    <t>Groep A Runner Up</t>
  </si>
  <si>
    <t>Groep B Runner Up</t>
  </si>
  <si>
    <t>Groep C Runner Up</t>
  </si>
  <si>
    <t>Groep D Runner Up</t>
  </si>
  <si>
    <t>Groep E Runner Up</t>
  </si>
  <si>
    <t>Groep F Runner Up</t>
  </si>
  <si>
    <t>Groep G Runner Up</t>
  </si>
  <si>
    <t>Groep H Runner Up</t>
  </si>
  <si>
    <t>Zápas č.</t>
  </si>
  <si>
    <t>Víťaz A skupiny</t>
  </si>
  <si>
    <t>Druhý z A skupiny</t>
  </si>
  <si>
    <t>Druhý z B skupiny</t>
  </si>
  <si>
    <t>Druhý z C skupiny</t>
  </si>
  <si>
    <t>Druhý z D skupiny</t>
  </si>
  <si>
    <t>Druhý z E skupiny</t>
  </si>
  <si>
    <t>Druhý z F skupiny</t>
  </si>
  <si>
    <t>Druhý z G skupiny</t>
  </si>
  <si>
    <t>Druhý z H skupiny</t>
  </si>
  <si>
    <t>Víťaz zápasu č.53</t>
  </si>
  <si>
    <t>Víťaz zápasu č.54</t>
  </si>
  <si>
    <t>Víťaz zápasu č.55</t>
  </si>
  <si>
    <t>Víťaz zápasu č.56</t>
  </si>
  <si>
    <t>Víťaz zápasu č.57</t>
  </si>
  <si>
    <t>Víťaz zápasu č.58</t>
  </si>
  <si>
    <t>Víťaz zápasu č.59</t>
  </si>
  <si>
    <t>Víťaz zápasu č.60</t>
  </si>
  <si>
    <t>Víťaz zápasu č.61</t>
  </si>
  <si>
    <t>Víťaz zápasu č.62</t>
  </si>
  <si>
    <t>Víťaz zápasu č.63</t>
  </si>
  <si>
    <t>Víťaz zápasu č.64</t>
  </si>
  <si>
    <t>Strelené góly</t>
  </si>
  <si>
    <t>Inkasované góly</t>
  </si>
  <si>
    <t>Body</t>
  </si>
  <si>
    <t>Druhé miesto</t>
  </si>
  <si>
    <t>Skupina A</t>
  </si>
  <si>
    <t>Víťaz zápasu č.49</t>
  </si>
  <si>
    <t>Víťaz zápasu č.50</t>
  </si>
  <si>
    <t>Víťaz zápasu č.51</t>
  </si>
  <si>
    <t>Víťaz zápasu č.52</t>
  </si>
  <si>
    <t>Porazený zo zápasu č.61</t>
  </si>
  <si>
    <t>Porazený zo zápasu č.62</t>
  </si>
  <si>
    <t>Penyisihan Grup</t>
  </si>
  <si>
    <t>Babak 16 besar</t>
  </si>
  <si>
    <t>Babak Perempat Final</t>
  </si>
  <si>
    <t xml:space="preserve">Babak Semi Final </t>
  </si>
  <si>
    <t>Perebutan Juara ke-3</t>
  </si>
  <si>
    <t>Sør-Korea</t>
  </si>
  <si>
    <t>Hellas</t>
  </si>
  <si>
    <t>Sveits</t>
  </si>
  <si>
    <t>Tidssone</t>
  </si>
  <si>
    <t>Gruppespill</t>
  </si>
  <si>
    <t>Kamper</t>
  </si>
  <si>
    <t>Tabell</t>
  </si>
  <si>
    <t>16-delsfinaler</t>
  </si>
  <si>
    <t>Kamp om tredjeplassen</t>
  </si>
  <si>
    <t>Vinner</t>
  </si>
  <si>
    <t>Sølvvinner</t>
  </si>
  <si>
    <t>Ordinær tid</t>
  </si>
  <si>
    <t>Overtid</t>
  </si>
  <si>
    <t>Straffespark-konkurranse</t>
  </si>
  <si>
    <t>Kamp #</t>
  </si>
  <si>
    <t>Vinner Gruppe A</t>
  </si>
  <si>
    <t>Vinner Gruppe B</t>
  </si>
  <si>
    <t>Vinner Gruppe C</t>
  </si>
  <si>
    <t>Vinner Gruppe D</t>
  </si>
  <si>
    <t>Vinner Gruppe E</t>
  </si>
  <si>
    <t>Vinner Gruppe F</t>
  </si>
  <si>
    <t>Vinner Gruppe G</t>
  </si>
  <si>
    <t>Vinner Gruppe H</t>
  </si>
  <si>
    <t>Andreplass Gruppe A</t>
  </si>
  <si>
    <t>Andreplass Gruppe B</t>
  </si>
  <si>
    <t>Andreplass Gruppe C</t>
  </si>
  <si>
    <t>Andreplass Gruppe D</t>
  </si>
  <si>
    <t>Andreplass Gruppe E</t>
  </si>
  <si>
    <t>Andreplass Gruppe F</t>
  </si>
  <si>
    <t>Andreplass Gruppe G</t>
  </si>
  <si>
    <t>Andreplass Gruppe H</t>
  </si>
  <si>
    <t>Vinner Kamp 53</t>
  </si>
  <si>
    <t>Vinner Kamp 54</t>
  </si>
  <si>
    <t>Vinner Kamp 55</t>
  </si>
  <si>
    <t>Vinner Kamp 56</t>
  </si>
  <si>
    <t>Vinner Kamp 57</t>
  </si>
  <si>
    <t>Vinner Kamp 58</t>
  </si>
  <si>
    <t>Vinner Kamp 59</t>
  </si>
  <si>
    <t>Vinner Kamp 60</t>
  </si>
  <si>
    <t>Vinner Kamp 61</t>
  </si>
  <si>
    <t>Vinner Kamp 62</t>
  </si>
  <si>
    <t>Vinner Kamp 63</t>
  </si>
  <si>
    <t>Vinner Kamp 64</t>
  </si>
  <si>
    <t>Poeng</t>
  </si>
  <si>
    <t>Andreplass</t>
  </si>
  <si>
    <t>Vinner Kamp 49</t>
  </si>
  <si>
    <t>Vinner Kamp 50</t>
  </si>
  <si>
    <t>Vinner Kamp 51</t>
  </si>
  <si>
    <t>Vinner Kamp 52</t>
  </si>
  <si>
    <t>Taper Kamp 61</t>
  </si>
  <si>
    <t>Taper Kamp 62</t>
  </si>
  <si>
    <t>Coreia do Sul</t>
  </si>
  <si>
    <t>Autrália</t>
  </si>
  <si>
    <t>Draw Result</t>
  </si>
  <si>
    <t>Fase de Grupos</t>
  </si>
  <si>
    <t>Classificações</t>
  </si>
  <si>
    <t>Quartos de Final</t>
  </si>
  <si>
    <t>Vencido</t>
  </si>
  <si>
    <t>Tempo Regulamentar</t>
  </si>
  <si>
    <t>Prolongamento</t>
  </si>
  <si>
    <t>Vencedor Grupo A</t>
  </si>
  <si>
    <t>Vencedor Grupo B</t>
  </si>
  <si>
    <t>Vencedor Grupo D</t>
  </si>
  <si>
    <t>Vencedor Grupo F</t>
  </si>
  <si>
    <t>Vencedor Grupo G</t>
  </si>
  <si>
    <t>Vencedor Grupo H</t>
  </si>
  <si>
    <t>2º Classificado Grupo A</t>
  </si>
  <si>
    <t>2º Classificado Grupo B</t>
  </si>
  <si>
    <t>הפסדים (ה)</t>
  </si>
  <si>
    <t>שערי זכות (ש"ז)</t>
  </si>
  <si>
    <t>שערי חובה (ש''ח)</t>
  </si>
  <si>
    <t>נקודות (נק')</t>
  </si>
  <si>
    <t>מקום שני</t>
  </si>
  <si>
    <t>בית א'</t>
  </si>
  <si>
    <t>בית ב'</t>
  </si>
  <si>
    <t>בית ג'</t>
  </si>
  <si>
    <t>בית ד'</t>
  </si>
  <si>
    <t>בית ה'</t>
  </si>
  <si>
    <t>בית ו'</t>
  </si>
  <si>
    <t>בית ז'</t>
  </si>
  <si>
    <t>בית ח'</t>
  </si>
  <si>
    <t>מנצחת משחק מספר 49</t>
  </si>
  <si>
    <t>מנצחת משחק מספר 50</t>
  </si>
  <si>
    <t>מנצחת משחק מספר 51</t>
  </si>
  <si>
    <t>מנצחת משחק מספר 52</t>
  </si>
  <si>
    <t>מפסידה משחק מספר 61</t>
  </si>
  <si>
    <t>מפסידה במשחק מספר 62</t>
  </si>
  <si>
    <t>Icelandic</t>
  </si>
  <si>
    <t>Mexíkó</t>
  </si>
  <si>
    <t>Úrugvæ</t>
  </si>
  <si>
    <t>Frakkland</t>
  </si>
  <si>
    <t>Nígería</t>
  </si>
  <si>
    <t>Suður-Kórea</t>
  </si>
  <si>
    <t>Grikkland</t>
  </si>
  <si>
    <t>Alsír</t>
  </si>
  <si>
    <t>Þýskaland</t>
  </si>
  <si>
    <t>Ástralía</t>
  </si>
  <si>
    <t>Kamerún</t>
  </si>
  <si>
    <t>Ítalía</t>
  </si>
  <si>
    <t>Brasilía</t>
  </si>
  <si>
    <t>Fílabeinsströndin</t>
  </si>
  <si>
    <t>Portúgal</t>
  </si>
  <si>
    <t>Spánn</t>
  </si>
  <si>
    <t>Sviss</t>
  </si>
  <si>
    <t>Hondúras</t>
  </si>
  <si>
    <t>Tungumál</t>
  </si>
  <si>
    <t>Tímabelti</t>
  </si>
  <si>
    <t>Riðla og leikjaröð</t>
  </si>
  <si>
    <t>Leikir</t>
  </si>
  <si>
    <t>Staða</t>
  </si>
  <si>
    <t>Riðill</t>
  </si>
  <si>
    <t>Dagur</t>
  </si>
  <si>
    <t>Tími</t>
  </si>
  <si>
    <t>16 liða úrslit</t>
  </si>
  <si>
    <t>8 liða úrslit</t>
  </si>
  <si>
    <t>Undanúrslit</t>
  </si>
  <si>
    <t>Leikur um þriðja sæti</t>
  </si>
  <si>
    <t>Időzóna</t>
  </si>
  <si>
    <t>Csoport</t>
  </si>
  <si>
    <t>Időpont</t>
  </si>
  <si>
    <t>Döntő</t>
  </si>
  <si>
    <t>Rendes játékidő</t>
  </si>
  <si>
    <t>Hosszabítás</t>
  </si>
  <si>
    <t>A csoport győztese</t>
  </si>
  <si>
    <t>B csoport győztese</t>
  </si>
  <si>
    <t>C csoport győztese</t>
  </si>
  <si>
    <t>Játszott</t>
  </si>
  <si>
    <t>Nyert</t>
  </si>
  <si>
    <t>Döntetlen</t>
  </si>
  <si>
    <t>Vesztett</t>
  </si>
  <si>
    <t>Lőtt gólok</t>
  </si>
  <si>
    <t>Kapott gólok</t>
  </si>
  <si>
    <t>Pont</t>
  </si>
  <si>
    <t>Második hely</t>
  </si>
  <si>
    <t>A csoport</t>
  </si>
  <si>
    <t>B csoport</t>
  </si>
  <si>
    <t>49. mérkőzés győztese</t>
  </si>
  <si>
    <t>50. mérkőzés győztese</t>
  </si>
  <si>
    <t>51. mérkőzés győztese</t>
  </si>
  <si>
    <t>52. mérkőzés győztese</t>
  </si>
  <si>
    <t>61. mérkőzés vesztese</t>
  </si>
  <si>
    <t>62. mérkőzés vesztese</t>
  </si>
  <si>
    <t>Dél-Kórea</t>
  </si>
  <si>
    <t>Egyesült Államok</t>
  </si>
  <si>
    <t>Hondurasz</t>
  </si>
  <si>
    <t>Csoportküzdelmek</t>
  </si>
  <si>
    <t>Mérkőzések</t>
  </si>
  <si>
    <t>Tabellák</t>
  </si>
  <si>
    <t>Végeredmény</t>
  </si>
  <si>
    <t>Negyeddöntő</t>
  </si>
  <si>
    <t>Elődöntő</t>
  </si>
  <si>
    <t>3. helyért játszott mérkőzés</t>
  </si>
  <si>
    <t>Győztes</t>
  </si>
  <si>
    <t>Továbbjutó</t>
  </si>
  <si>
    <t>Büntetőrúgások</t>
  </si>
  <si>
    <t>Világbajnok</t>
  </si>
  <si>
    <t># mérkőzés</t>
  </si>
  <si>
    <t>A csoport 2. helyezettje</t>
  </si>
  <si>
    <t>B csoport 2. helyezettje</t>
  </si>
  <si>
    <t>C csoport 2. helyezettje</t>
  </si>
  <si>
    <t>D csoport 2. helyezettje</t>
  </si>
  <si>
    <t>E csoport 2. helyezettje</t>
  </si>
  <si>
    <t>F csoport 2. helyezettje</t>
  </si>
  <si>
    <t>G csoport 2. helyezettje</t>
  </si>
  <si>
    <t>H csoport 2. helyezettje</t>
  </si>
  <si>
    <t>53 mérkőzés győztese</t>
  </si>
  <si>
    <t>54 mérkőzés győztese</t>
  </si>
  <si>
    <t>55 mérkőzés győztese</t>
  </si>
  <si>
    <t>56 mérkőzés győztese</t>
  </si>
  <si>
    <t>57 mérkőzés győztese</t>
  </si>
  <si>
    <t>58 mérkőzés győztese</t>
  </si>
  <si>
    <t>59 mérkőzés győztese</t>
  </si>
  <si>
    <t>60 mérkőzés győztese</t>
  </si>
  <si>
    <t>61 mérkőzés győztese</t>
  </si>
  <si>
    <t>62 mérkőzés győztese</t>
  </si>
  <si>
    <t>63 mérkőzés győztese</t>
  </si>
  <si>
    <t>64 mérkőzés győztese</t>
  </si>
  <si>
    <t>Vencedor Jogo 50</t>
  </si>
  <si>
    <t>Vencedor Jogo 52</t>
  </si>
  <si>
    <t>Derrotado Jogo 61</t>
  </si>
  <si>
    <t>Derrotado Jogo 62</t>
  </si>
  <si>
    <t>مکزیک</t>
  </si>
  <si>
    <t>اوروگوئه</t>
  </si>
  <si>
    <t>فرانسه</t>
  </si>
  <si>
    <t>آرژانتین</t>
  </si>
  <si>
    <t>نیجریه</t>
  </si>
  <si>
    <t>کره جنوبی</t>
  </si>
  <si>
    <t>یونان</t>
  </si>
  <si>
    <t>انگلیس</t>
  </si>
  <si>
    <t>آمریکا</t>
  </si>
  <si>
    <t>الجزایر</t>
  </si>
  <si>
    <t>آلمان</t>
  </si>
  <si>
    <t>استرالیا</t>
  </si>
  <si>
    <t>غنا</t>
  </si>
  <si>
    <t>هلند</t>
  </si>
  <si>
    <t>ژاپن</t>
  </si>
  <si>
    <t>کامرون</t>
  </si>
  <si>
    <t>ایتالیا</t>
  </si>
  <si>
    <t>برزیل</t>
  </si>
  <si>
    <t>ساحل عاج</t>
  </si>
  <si>
    <t>پرتغال</t>
  </si>
  <si>
    <t>اسپانیا</t>
  </si>
  <si>
    <t>سوئیس</t>
  </si>
  <si>
    <t>شیلی</t>
  </si>
  <si>
    <t>زبان</t>
  </si>
  <si>
    <t>وقت محلی</t>
  </si>
  <si>
    <t>مرحله گروهی</t>
  </si>
  <si>
    <t>بازیها</t>
  </si>
  <si>
    <t>جدول</t>
  </si>
  <si>
    <t>گروه</t>
  </si>
  <si>
    <t>تاریخ</t>
  </si>
  <si>
    <t>کشور</t>
  </si>
  <si>
    <t>نتیجه</t>
  </si>
  <si>
    <t>زمان</t>
  </si>
  <si>
    <t>یک هشتم نهایی</t>
  </si>
  <si>
    <t>یک چهارم نهایی</t>
  </si>
  <si>
    <t>نیمه نهایی</t>
  </si>
  <si>
    <t>بازی رده بندی</t>
  </si>
  <si>
    <t>بازی نهایی</t>
  </si>
  <si>
    <t>برنده</t>
  </si>
  <si>
    <t>نایب قهرمان</t>
  </si>
  <si>
    <t>وقت عادی</t>
  </si>
  <si>
    <t>وقت اضافه</t>
  </si>
  <si>
    <t>ضربات پنالتی</t>
  </si>
  <si>
    <t>قهرمان</t>
  </si>
  <si>
    <t>بازی شماره</t>
  </si>
  <si>
    <t>تیم اول گروه A</t>
  </si>
  <si>
    <t>تیم اول گروه B</t>
  </si>
  <si>
    <t>تیم اول گروه C</t>
  </si>
  <si>
    <t>تیم اول گروه D</t>
  </si>
  <si>
    <t>تیم اول گروه E</t>
  </si>
  <si>
    <t>تیم اول گروه F</t>
  </si>
  <si>
    <t>تیم اول گروه G</t>
  </si>
  <si>
    <t>تیم اول گروه H</t>
  </si>
  <si>
    <t>تیم دوم گروه A</t>
  </si>
  <si>
    <t>تیم دوم گروه B</t>
  </si>
  <si>
    <t>تیم دوم گروه C</t>
  </si>
  <si>
    <t>تیم دوم گروه D</t>
  </si>
  <si>
    <t>تیم دوم گروه E</t>
  </si>
  <si>
    <t>تیم دوم گروه F</t>
  </si>
  <si>
    <t>Oitavos de Final</t>
  </si>
  <si>
    <t>Meias Finais</t>
  </si>
  <si>
    <t>Apuramento 3º e 4º Lugar</t>
  </si>
  <si>
    <t>Penáltis</t>
  </si>
  <si>
    <t>รอบแบ่งกลุ่ม</t>
  </si>
  <si>
    <t>กำหนดการแข่งขัน</t>
  </si>
  <si>
    <t>ตารางคะแนน</t>
  </si>
  <si>
    <t>รอบก่อนรองชนะเลิศ</t>
  </si>
  <si>
    <t>ผู้ชนะคู่ที่ 53</t>
  </si>
  <si>
    <t>ผู้ชนะคู่ที่ 54</t>
  </si>
  <si>
    <t>ผู้ชนะคู่ที่ 55</t>
  </si>
  <si>
    <t>ผู้ชนะคู่ที่ 56</t>
  </si>
  <si>
    <t>ผู้ชนะคู่ที่ 57</t>
  </si>
  <si>
    <t>ผู้ชนะคู่ที่ 58</t>
  </si>
  <si>
    <t>ผู้ชนะคู่ที่ 59</t>
  </si>
  <si>
    <t>ผู้ชนะคู่ที่ 60</t>
  </si>
  <si>
    <t>ผู้ชนะคู่ที่ 61</t>
  </si>
  <si>
    <t>ผู้ชนะคู่ที่ 62</t>
  </si>
  <si>
    <t>ผู้ชนะคู่ที่ 63</t>
  </si>
  <si>
    <t>ผู้ชนะคู่ที่ 64</t>
  </si>
  <si>
    <t>ผู้ชนะคู่ที่ 49</t>
  </si>
  <si>
    <t>ผู้ชนะคู่ที่ 50</t>
  </si>
  <si>
    <t>ผู้ชนะคู่ที่ 51</t>
  </si>
  <si>
    <t>ผู้ชนะคู่ที่ 52</t>
  </si>
  <si>
    <t>Macedonian</t>
  </si>
  <si>
    <t>Франција</t>
  </si>
  <si>
    <t>Нигер</t>
  </si>
  <si>
    <t>Грција</t>
  </si>
  <si>
    <t>Англија</t>
  </si>
  <si>
    <t>Германија</t>
  </si>
  <si>
    <t>Австралија</t>
  </si>
  <si>
    <t>Јапонија</t>
  </si>
  <si>
    <t>Брегот на Слоновата Коска</t>
  </si>
  <si>
    <t>Швајцарија</t>
  </si>
  <si>
    <t>Јазик</t>
  </si>
  <si>
    <t>Временска зона</t>
  </si>
  <si>
    <t>Натпревари по групи</t>
  </si>
  <si>
    <t>Натпревари</t>
  </si>
  <si>
    <t>резултати по групи</t>
  </si>
  <si>
    <t>Држава</t>
  </si>
  <si>
    <t>Шеснаесеттина-финале</t>
  </si>
  <si>
    <t>Четврт-финале</t>
  </si>
  <si>
    <t>Меч за трето место</t>
  </si>
  <si>
    <t>Финале</t>
  </si>
  <si>
    <t>Второ место</t>
  </si>
  <si>
    <t>Стандардно време</t>
  </si>
  <si>
    <t>Екстра време</t>
  </si>
  <si>
    <t>Пенали</t>
  </si>
  <si>
    <t>Натпревар #</t>
  </si>
  <si>
    <t>Победник од група  А</t>
  </si>
  <si>
    <t>Победник од група  B</t>
  </si>
  <si>
    <t>Победник од група  C</t>
  </si>
  <si>
    <t>Победник од група  D</t>
  </si>
  <si>
    <t>Победник од група  E</t>
  </si>
  <si>
    <t>Победник од група  F</t>
  </si>
  <si>
    <t>Победник од група  G</t>
  </si>
  <si>
    <t>Победник од група  H</t>
  </si>
  <si>
    <t>Второ место од група A</t>
  </si>
  <si>
    <t>Второ место од група B</t>
  </si>
  <si>
    <t>Второ место од група C</t>
  </si>
  <si>
    <t>Второ место од група D</t>
  </si>
  <si>
    <t>Второ место од група E</t>
  </si>
  <si>
    <t>Второ место од група F</t>
  </si>
  <si>
    <t>Второ место од група G</t>
  </si>
  <si>
    <t>Второ место од група H</t>
  </si>
  <si>
    <t>Победник од меч 53</t>
  </si>
  <si>
    <t>Победник од меч 54</t>
  </si>
  <si>
    <t>Победник од меч 55</t>
  </si>
  <si>
    <t>Победник од меч 56</t>
  </si>
  <si>
    <t>Победник од меч 57</t>
  </si>
  <si>
    <t>Победник од меч 58</t>
  </si>
  <si>
    <t>Победник од меч 59</t>
  </si>
  <si>
    <t>Победник од меч 60</t>
  </si>
  <si>
    <t>Победник од меч 61</t>
  </si>
  <si>
    <t>Победник од меч 62</t>
  </si>
  <si>
    <t>Победник од меч 63</t>
  </si>
  <si>
    <t>Победник од меч 64</t>
  </si>
  <si>
    <t>Изиграни</t>
  </si>
  <si>
    <t>Победени</t>
  </si>
  <si>
    <t>Нерешени</t>
  </si>
  <si>
    <t>Изгубени</t>
  </si>
  <si>
    <t>Голови дадени</t>
  </si>
  <si>
    <t>Голови примени</t>
  </si>
  <si>
    <t>Поени</t>
  </si>
  <si>
    <t>Група В</t>
  </si>
  <si>
    <t>Победник од меч 49</t>
  </si>
  <si>
    <t>Победник од меч 50</t>
  </si>
  <si>
    <t>Победник од меч 51</t>
  </si>
  <si>
    <t>Победник од меч 52</t>
  </si>
  <si>
    <t>Губитник од меч 61</t>
  </si>
  <si>
    <t>Губитник од меч 62</t>
  </si>
  <si>
    <t>Franca</t>
  </si>
  <si>
    <t>Argjentina</t>
  </si>
  <si>
    <t>Korea Jugore</t>
  </si>
  <si>
    <t>Greqia</t>
  </si>
  <si>
    <t>SHBA</t>
  </si>
  <si>
    <t>Algjeria</t>
  </si>
  <si>
    <t>Gjermania</t>
  </si>
  <si>
    <t>Kameruni</t>
  </si>
  <si>
    <t>Bregu I Fildisht</t>
  </si>
  <si>
    <t>Zvicra</t>
  </si>
  <si>
    <t>Hondurasi</t>
  </si>
  <si>
    <t>Zona kohore</t>
  </si>
  <si>
    <t>Faza grupore</t>
  </si>
  <si>
    <t>Ndeshjet</t>
  </si>
  <si>
    <t>Radhitja</t>
  </si>
  <si>
    <t>Grupet</t>
  </si>
  <si>
    <t>16 finalja</t>
  </si>
  <si>
    <t>Çerekfinale</t>
  </si>
  <si>
    <t>Gjysëmfinale</t>
  </si>
  <si>
    <t>Ndeshja për vendin e tretë</t>
  </si>
  <si>
    <t>Finalja</t>
  </si>
  <si>
    <t>Fitues</t>
  </si>
  <si>
    <t>Koha normale</t>
  </si>
  <si>
    <t>Koha shtesë</t>
  </si>
  <si>
    <t>Gjuajtje nga penaltiku</t>
  </si>
  <si>
    <t xml:space="preserve">Ndeshje </t>
  </si>
  <si>
    <t>Fitues i grupit A</t>
  </si>
  <si>
    <t>Fitues i grupit B</t>
  </si>
  <si>
    <t>Fitues i grupit C</t>
  </si>
  <si>
    <t>Fitues i grupit D</t>
  </si>
  <si>
    <t>Fitues i grupit E</t>
  </si>
  <si>
    <t>Fitues i grupit F</t>
  </si>
  <si>
    <t>Fitues i grupit G</t>
  </si>
  <si>
    <t>Fitues i grupit H</t>
  </si>
  <si>
    <t>Vendi i dytë i Grupit A</t>
  </si>
  <si>
    <t>Vendi i dytë i Grupit B</t>
  </si>
  <si>
    <t>Vendi i dytë i Grupit C</t>
  </si>
  <si>
    <t>Vendi i dytë i Grupit D</t>
  </si>
  <si>
    <t>Vendi i dytë i Grupit E</t>
  </si>
  <si>
    <t>Vendi i dytë i Grupit F</t>
  </si>
  <si>
    <t>Vendi i dytë i Grupit G</t>
  </si>
  <si>
    <t>Vendi i dytë i Grupit H</t>
  </si>
  <si>
    <t>Fitues i ndeshjes së 53</t>
  </si>
  <si>
    <t>Fitues i ndeshjes së 54</t>
  </si>
  <si>
    <t>Fitues i ndeshjes së 55</t>
  </si>
  <si>
    <t>Fitues i ndeshjes së 56</t>
  </si>
  <si>
    <t>Fitues i ndeshjes së 57</t>
  </si>
  <si>
    <t>Fitues i ndeshjes së 58</t>
  </si>
  <si>
    <t>Fitues i ndeshjes së 59</t>
  </si>
  <si>
    <t>Fitues i ndeshjes së 60</t>
  </si>
  <si>
    <t>Fitues i ndeshjes së 61</t>
  </si>
  <si>
    <t>Fitues i ndeshjes së 62</t>
  </si>
  <si>
    <t>Fitues i ndeshjes së 63</t>
  </si>
  <si>
    <t>Fitues i ndeshjes së 64</t>
  </si>
  <si>
    <t>Lojë (L)</t>
  </si>
  <si>
    <t>Fitore (F)</t>
  </si>
  <si>
    <t>Barazim (B)</t>
  </si>
  <si>
    <t>Humbje (H)</t>
  </si>
  <si>
    <t>Golat e shënuar</t>
  </si>
  <si>
    <t>Golat e pranuar</t>
  </si>
  <si>
    <t>Pikë</t>
  </si>
  <si>
    <t>Fitues i ndeshjes së 49</t>
  </si>
  <si>
    <t>Fitues i ndeshjes së 50</t>
  </si>
  <si>
    <t>Fitues i ndeshjes së 51</t>
  </si>
  <si>
    <t>Fitues i ndeshjes së 52</t>
  </si>
  <si>
    <t>Humbës i ndeshjes së 61</t>
  </si>
  <si>
    <t>Humbës i ndeshjes së 62</t>
  </si>
  <si>
    <t>Ottavi di finale</t>
  </si>
  <si>
    <t>Победитель группы A</t>
  </si>
  <si>
    <t>Победитель группы G</t>
  </si>
  <si>
    <t>Победитель группы H</t>
  </si>
  <si>
    <t>Maldives</t>
  </si>
  <si>
    <t>މެކްސިކޯ</t>
  </si>
  <si>
    <t>އުރުގުއާއީ</t>
  </si>
  <si>
    <t>ފުރާންސް</t>
  </si>
  <si>
    <t>އާޖެންޓީނާ</t>
  </si>
  <si>
    <t>ނައިޖީރިއާ</t>
  </si>
  <si>
    <t>ސައުތު ކޮރެއާ</t>
  </si>
  <si>
    <t>ގްރީސް</t>
  </si>
  <si>
    <t>އިންގްލޭންޑް</t>
  </si>
  <si>
    <t>ޔޫއެސްއޭ</t>
  </si>
  <si>
    <t>އަލްޖީރިއާ</t>
  </si>
  <si>
    <t>ޖާމަނީ</t>
  </si>
  <si>
    <t>އޮސްޓްރޭލިއާ</t>
  </si>
  <si>
    <t>ގާނާ</t>
  </si>
  <si>
    <t>ނެދަލޭންޑް</t>
  </si>
  <si>
    <t>ޖަޕާން</t>
  </si>
  <si>
    <t>ކެމަރޫން</t>
  </si>
  <si>
    <t>އިޓަލީ</t>
  </si>
  <si>
    <t>ބްރެޒިލް</t>
  </si>
  <si>
    <t>ކޯޓޭ ޑިވޮރ</t>
  </si>
  <si>
    <t>ޕޯޗްގަލް</t>
  </si>
  <si>
    <t>ސްޕޭން</t>
  </si>
  <si>
    <t>ސްވިޒަލޭންޑް</t>
  </si>
  <si>
    <t>ހޮންޑަރަސް</t>
  </si>
  <si>
    <t>ޗިލީ</t>
  </si>
  <si>
    <t>ބަސް</t>
  </si>
  <si>
    <t>ޓައިމް ޒޯން</t>
  </si>
  <si>
    <t>ގްރޫޕް ސްޓޭޖް</t>
  </si>
  <si>
    <t>މެޗް</t>
  </si>
  <si>
    <t>ސްޓޭޑިންގ</t>
  </si>
  <si>
    <t>ގްރޫޕް</t>
  </si>
  <si>
    <t>ތާރީޚް</t>
  </si>
  <si>
    <t>ޤައުމު</t>
  </si>
  <si>
    <t>ސްކޯ</t>
  </si>
  <si>
    <t>ގަޑި</t>
  </si>
  <si>
    <t>ގަދަ 16</t>
  </si>
  <si>
    <t>ގަދަ 4</t>
  </si>
  <si>
    <t>ސެމީ ފައިންލް</t>
  </si>
  <si>
    <t>ތިން ވަނަ ހޮވާ މެޗް</t>
  </si>
  <si>
    <t>ފައިނަލް</t>
  </si>
  <si>
    <t>މޮޅުވި</t>
  </si>
  <si>
    <t>ރަނަރ އަޕް</t>
  </si>
  <si>
    <t>ފުރިހަމަ ވަގުތު</t>
  </si>
  <si>
    <t>އިތުރު ވަގުތު</t>
  </si>
  <si>
    <t>ޕެނަލްޓީ</t>
  </si>
  <si>
    <t>ޗެންޕިއަން</t>
  </si>
  <si>
    <t>މެޗް #</t>
  </si>
  <si>
    <t>ގްރޫޕް އޭ އެއްވަނަ</t>
  </si>
  <si>
    <t>ގްރޫޕް ބީ އެއްވަނަ</t>
  </si>
  <si>
    <t>ގްރޫޕް ސީ އެއްވަނަ</t>
  </si>
  <si>
    <t>ގްރޫޕް ޑީ އެއްވަނަ</t>
  </si>
  <si>
    <t>ގްރޫޕް އީ އެއްވަނަ</t>
  </si>
  <si>
    <t>ގްރޫޕް އެފް އެއްވަނަ</t>
  </si>
  <si>
    <t>ގްރޫޕް ޖީ އެއްވަނަ</t>
  </si>
  <si>
    <t>ގްރޫޕް އެޗް އެއްވަނަ</t>
  </si>
  <si>
    <t>ގްރޫޕް އޭ ދެވަނަ</t>
  </si>
  <si>
    <t>ގްރޫޕް ބީ ދެވަނަ</t>
  </si>
  <si>
    <t>ގްރޫޕް ސީ ދެވަނަ</t>
  </si>
  <si>
    <t>ގްރޫޕް ޑީ ދެވަނަ</t>
  </si>
  <si>
    <t>ގްރޫޕް އީ ދެވަނަ</t>
  </si>
  <si>
    <t>ގްރޫޕް އެފް އދެވަނަ</t>
  </si>
  <si>
    <t>ގްރޫޕް ޖީ ދެވަނަ</t>
  </si>
  <si>
    <t>ގްރޫޕް އެޗް ދެވަނަ</t>
  </si>
  <si>
    <t>މެޗް 53 - މޮޅުވީ</t>
  </si>
  <si>
    <t>މެޗް 54 - މޮޅުވީ</t>
  </si>
  <si>
    <t>މެޗް 55 - މޮޅުވީ</t>
  </si>
  <si>
    <t>މެޗް 56 - މޮޅުވީ</t>
  </si>
  <si>
    <t>މެޗް 57 - މޮޅުވީ</t>
  </si>
  <si>
    <t>މެޗް 58 - މޮޅުވީ</t>
  </si>
  <si>
    <t>މެޗް 59 - މޮޅުވީ</t>
  </si>
  <si>
    <t>މެޗް 60 - މޮޅުވީ</t>
  </si>
  <si>
    <t>މެޗް 61 - މޮޅުވީ</t>
  </si>
  <si>
    <t>މެޗް 62 - މޮޅުވީ</t>
  </si>
  <si>
    <t>މެޗް 63 - މޮޅުވީ</t>
  </si>
  <si>
    <t>މެޗް 64 - މޮޅުވީ</t>
  </si>
  <si>
    <t>ކުޅުނު (ކ)</t>
  </si>
  <si>
    <t>މޮޅުވި (މ)</t>
  </si>
  <si>
    <t>އެއްވަރުވި (އ)</t>
  </si>
  <si>
    <t>ބަލިވި (ބ)</t>
  </si>
  <si>
    <t>ޖެހި ގޯލް (ޖގ)</t>
  </si>
  <si>
    <t>ވަން ގޯލް (ވގ)</t>
  </si>
  <si>
    <t>ޕޮއިންޓް (ޕ)</t>
  </si>
  <si>
    <t>ދެވަނަ މަޤާމް</t>
  </si>
  <si>
    <t>ގްރޫޕް އޭ</t>
  </si>
  <si>
    <t>ގްރޫޕް ބީ</t>
  </si>
  <si>
    <t>ގްރޫޕް ސީ</t>
  </si>
  <si>
    <t>ގްރޫޕް ޑީ</t>
  </si>
  <si>
    <t>ގްރޫޕް އީ</t>
  </si>
  <si>
    <t>ގްރޫޕް އެފް</t>
  </si>
  <si>
    <t>ގްރޫޕް ޖީ</t>
  </si>
  <si>
    <t>ގްރޫޕް އެޗް</t>
  </si>
  <si>
    <t>މެޗް 49 - މޮޅުވި</t>
  </si>
  <si>
    <t>މެޗް 50 - މޮޅުވި</t>
  </si>
  <si>
    <t>މެޗް 51 - މޮޅުވި</t>
  </si>
  <si>
    <t>މެޗް 52 - މޮޅުވި</t>
  </si>
  <si>
    <t>މެޗް 61 - ބަލިވި</t>
  </si>
  <si>
    <t>މެޗް 62 - ބަލިވި</t>
  </si>
  <si>
    <t>Goal scored už</t>
  </si>
  <si>
    <t>Goal scored prieš</t>
  </si>
  <si>
    <t>Punktas</t>
  </si>
  <si>
    <t>Antroji vieta</t>
  </si>
  <si>
    <t>B grupė</t>
  </si>
  <si>
    <t>C grupė</t>
  </si>
  <si>
    <t>D grupė</t>
  </si>
  <si>
    <t>E grupė</t>
  </si>
  <si>
    <t>F grupė</t>
  </si>
  <si>
    <t>G grupė</t>
  </si>
  <si>
    <t>H grupė</t>
  </si>
  <si>
    <t>Lawati exceltemplate.net untuk lebih template dan update</t>
  </si>
  <si>
    <t>Kalah</t>
  </si>
  <si>
    <t>Kumpulan A</t>
  </si>
  <si>
    <t>Kumpulan B</t>
  </si>
  <si>
    <t>Kumpulan C</t>
  </si>
  <si>
    <t>Kumpulan D</t>
  </si>
  <si>
    <t>Kumpulan E</t>
  </si>
  <si>
    <t>Kumpulan F</t>
  </si>
  <si>
    <t>Kumpulan G</t>
  </si>
  <si>
    <t>Kumpulan H</t>
  </si>
  <si>
    <t>Grupp A Winner</t>
  </si>
  <si>
    <t>Grupp B Winner</t>
  </si>
  <si>
    <t>Grupp Ċ Winner</t>
  </si>
  <si>
    <t>Grupp D Winner</t>
  </si>
  <si>
    <t>Grupp E Winner</t>
  </si>
  <si>
    <t>Grupp F Winner</t>
  </si>
  <si>
    <t>Grupp G Winner</t>
  </si>
  <si>
    <t>Grupp H Winner</t>
  </si>
  <si>
    <t>Grupp A Runner Up</t>
  </si>
  <si>
    <t>Grupp B Runner Up</t>
  </si>
  <si>
    <t>Grupp Ċ Runner Up</t>
  </si>
  <si>
    <t>Grupp D Runner Up</t>
  </si>
  <si>
    <t>Grupp E Runner Up</t>
  </si>
  <si>
    <t>Grupp F Runner Up</t>
  </si>
  <si>
    <t>Grupp G Runner Up</t>
  </si>
  <si>
    <t>Grupp H Runner Up</t>
  </si>
  <si>
    <t>Winner Match 53</t>
  </si>
  <si>
    <t>Winner Match 54</t>
  </si>
  <si>
    <t>Winner Match 55</t>
  </si>
  <si>
    <t>Winner Match 56</t>
  </si>
  <si>
    <t>Winner Match 57</t>
  </si>
  <si>
    <t>Winner Match 58</t>
  </si>
  <si>
    <t>Winner Match 59</t>
  </si>
  <si>
    <t>Winner Match 60</t>
  </si>
  <si>
    <t>Winner Match 61</t>
  </si>
  <si>
    <t>Winner Match 62</t>
  </si>
  <si>
    <t>Winner Match 63</t>
  </si>
  <si>
    <t>Winner Match 64</t>
  </si>
  <si>
    <t>Exceltemplate.net Visit għal mudelli aktar u l-aġġornamenti</t>
  </si>
  <si>
    <t>Pinġi</t>
  </si>
  <si>
    <t>Itlef</t>
  </si>
  <si>
    <t>Gowl għall -</t>
  </si>
  <si>
    <t>Gowl kontra</t>
  </si>
  <si>
    <t>It-tieni post</t>
  </si>
  <si>
    <t>Grupp A</t>
  </si>
  <si>
    <t>Grupp B</t>
  </si>
  <si>
    <t>Grupp Ċ</t>
  </si>
  <si>
    <t>Grupp D</t>
  </si>
  <si>
    <t>Grupp E</t>
  </si>
  <si>
    <t>Grupp F</t>
  </si>
  <si>
    <t>Grupp G</t>
  </si>
  <si>
    <t>Grupp H</t>
  </si>
  <si>
    <t>Swedish</t>
  </si>
  <si>
    <t>Frankrike</t>
  </si>
  <si>
    <t>Grekland</t>
  </si>
  <si>
    <t>Nederländerna</t>
  </si>
  <si>
    <t>Elfenbenskusten</t>
  </si>
  <si>
    <t>Språk</t>
  </si>
  <si>
    <t>Tidszon</t>
  </si>
  <si>
    <t>Matcher</t>
  </si>
  <si>
    <t>Kvartsfinaler</t>
  </si>
  <si>
    <t>Semifinaler</t>
  </si>
  <si>
    <t>Vinnare</t>
  </si>
  <si>
    <t>Tvåa</t>
  </si>
  <si>
    <t>Förlängning</t>
  </si>
  <si>
    <t>Besök exceltemplate.net för Fler mallar och uppdateringar</t>
  </si>
  <si>
    <t>Grupp C</t>
  </si>
  <si>
    <t>Exceltemplate.net wizyty Więcej szablonów i aktualizacje</t>
  </si>
  <si>
    <t>Vencedor do Grupo B</t>
  </si>
  <si>
    <t>Vencedor Grupo C</t>
  </si>
  <si>
    <t>Vencedor do Grupo D</t>
  </si>
  <si>
    <t>Vencedor Grupo E</t>
  </si>
  <si>
    <t>German/Deutsch</t>
  </si>
  <si>
    <t>Norway</t>
  </si>
  <si>
    <t>Persian</t>
  </si>
  <si>
    <t>Slovak</t>
  </si>
  <si>
    <t>澳洲</t>
  </si>
  <si>
    <t>分組賽階段</t>
  </si>
  <si>
    <t>賽程表</t>
  </si>
  <si>
    <t>小組積分榜</t>
  </si>
  <si>
    <t>小組</t>
  </si>
  <si>
    <t>賽果</t>
  </si>
  <si>
    <t>十六強</t>
  </si>
  <si>
    <t>八強</t>
  </si>
  <si>
    <t>四強</t>
  </si>
  <si>
    <t>季軍戰</t>
  </si>
  <si>
    <t>法定時間</t>
  </si>
  <si>
    <t>加時</t>
  </si>
  <si>
    <t>十二碼</t>
  </si>
  <si>
    <t>場次#</t>
  </si>
  <si>
    <t>A組首名</t>
  </si>
  <si>
    <t>B組首名</t>
  </si>
  <si>
    <t>C組首名</t>
  </si>
  <si>
    <t>D組首名</t>
  </si>
  <si>
    <t>E組首名</t>
  </si>
  <si>
    <t>F組首名</t>
  </si>
  <si>
    <t>G組首名</t>
  </si>
  <si>
    <t>H組首名</t>
  </si>
  <si>
    <t>A組次名</t>
  </si>
  <si>
    <t>B組次名</t>
  </si>
  <si>
    <t>C組次名</t>
  </si>
  <si>
    <t>D組次名</t>
  </si>
  <si>
    <t>E組次名</t>
  </si>
  <si>
    <t>F組次名</t>
  </si>
  <si>
    <t>G組次名</t>
  </si>
  <si>
    <t>H組次名</t>
  </si>
  <si>
    <t>賽事53勝方</t>
  </si>
  <si>
    <t>賽事54勝方</t>
  </si>
  <si>
    <t>賽事55勝方</t>
  </si>
  <si>
    <t>賽事56勝方</t>
  </si>
  <si>
    <t>賽事57勝方</t>
  </si>
  <si>
    <t>賽事58勝方</t>
  </si>
  <si>
    <t>賽事59勝方</t>
  </si>
  <si>
    <t>賽事60勝方</t>
  </si>
  <si>
    <t>賽事61勝方</t>
  </si>
  <si>
    <t>賽事62勝方</t>
  </si>
  <si>
    <t>賽事63勝方</t>
  </si>
  <si>
    <t>賽事64勝方</t>
  </si>
  <si>
    <t>賽事</t>
  </si>
  <si>
    <t>勝</t>
  </si>
  <si>
    <t>和</t>
  </si>
  <si>
    <t>負</t>
  </si>
  <si>
    <t>得球</t>
  </si>
  <si>
    <t>積分</t>
  </si>
  <si>
    <t>賽事49勝方</t>
  </si>
  <si>
    <t>賽事50勝方</t>
  </si>
  <si>
    <t>賽事51勝方</t>
  </si>
  <si>
    <t>賽事52勝方</t>
  </si>
  <si>
    <t>賽事61負方</t>
  </si>
  <si>
    <t>賽事62負方</t>
  </si>
  <si>
    <t>Ζώνη Ώρας</t>
  </si>
  <si>
    <t>Αγώνες</t>
  </si>
  <si>
    <t>Τελικός</t>
  </si>
  <si>
    <t>Δεύτερος</t>
  </si>
  <si>
    <t>Κανονική Διάρκεια</t>
  </si>
  <si>
    <t>Αγώνας #</t>
  </si>
  <si>
    <t>2.sæti riðill F</t>
  </si>
  <si>
    <t>2.sæti riðill G</t>
  </si>
  <si>
    <t>2.sæti riðill H</t>
  </si>
  <si>
    <t>Sigurvegari leikur 53</t>
  </si>
  <si>
    <t>Sigurvegari leikur 54</t>
  </si>
  <si>
    <t>Sigurvegari leikur 55</t>
  </si>
  <si>
    <t>Sigurvegari leikur 56</t>
  </si>
  <si>
    <t>Sigurvegari leikur 57</t>
  </si>
  <si>
    <t>Sigurvegari leikur 58</t>
  </si>
  <si>
    <t>Sigurvegari leikur 59</t>
  </si>
  <si>
    <t>Sigurvegari leikur 60</t>
  </si>
  <si>
    <t>Sigurvegari leikur 61</t>
  </si>
  <si>
    <t>Sigurvegari leikur 62</t>
  </si>
  <si>
    <t>Sigurvegari leikur 63</t>
  </si>
  <si>
    <t>Sigurvegari leikur 64</t>
  </si>
  <si>
    <t>Sigur</t>
  </si>
  <si>
    <t>Jafntefli</t>
  </si>
  <si>
    <t>Tap</t>
  </si>
  <si>
    <t>Mörk skoruð</t>
  </si>
  <si>
    <t>Mörk fengin á sig</t>
  </si>
  <si>
    <t>Stig</t>
  </si>
  <si>
    <t>Annað sæti</t>
  </si>
  <si>
    <t>Riðill A</t>
  </si>
  <si>
    <t>Riðill B</t>
  </si>
  <si>
    <t>Riðill C</t>
  </si>
  <si>
    <t>Riðill D</t>
  </si>
  <si>
    <t>Riðill E</t>
  </si>
  <si>
    <t>Riðill F</t>
  </si>
  <si>
    <t>Riðill G</t>
  </si>
  <si>
    <t>Riðill H</t>
  </si>
  <si>
    <t>Sigurvegari leikur 49</t>
  </si>
  <si>
    <t>Sigurvegari leikur 50</t>
  </si>
  <si>
    <t>Sigurvegari leikur 51</t>
  </si>
  <si>
    <t>Sigurvegari leikur 52</t>
  </si>
  <si>
    <t>Taplið leikur 61</t>
  </si>
  <si>
    <t>Taplið leikur 62</t>
  </si>
  <si>
    <t>Linguaggio</t>
  </si>
  <si>
    <t>Fuso orario</t>
  </si>
  <si>
    <t>Fase a gruppi</t>
  </si>
  <si>
    <t>Classifica</t>
  </si>
  <si>
    <t>Nazione</t>
  </si>
  <si>
    <t>Risultato</t>
  </si>
  <si>
    <t>Ora</t>
  </si>
  <si>
    <t>Finale per il terzo posto</t>
  </si>
  <si>
    <t>Qualificato</t>
  </si>
  <si>
    <t>Tempo regolamentare</t>
  </si>
  <si>
    <t>Tempo supplementare</t>
  </si>
  <si>
    <t>Rigori</t>
  </si>
  <si>
    <t>Campione</t>
  </si>
  <si>
    <t>Partita n°</t>
  </si>
  <si>
    <t>Vincitore gruppo A</t>
  </si>
  <si>
    <t>Vincitore gruppo B</t>
  </si>
  <si>
    <t>Vincitore gruppo C</t>
  </si>
  <si>
    <t>Vincitore gruppo D</t>
  </si>
  <si>
    <t>Vincitore gruppo E</t>
  </si>
  <si>
    <t>Vincitore gruppo F</t>
  </si>
  <si>
    <t>Vincitore gruppo G</t>
  </si>
  <si>
    <t>Vincitore gruppo H</t>
  </si>
  <si>
    <t>Seconda gruppo A</t>
  </si>
  <si>
    <t>Seconda gruppo B</t>
  </si>
  <si>
    <t>Seconda gruppo C</t>
  </si>
  <si>
    <t>Seconda gruppo D</t>
  </si>
  <si>
    <t>Seconda gruppo E</t>
  </si>
  <si>
    <t>Seconda gruppo F</t>
  </si>
  <si>
    <t>Seconda gruppo G</t>
  </si>
  <si>
    <t>Seconda gruppo H</t>
  </si>
  <si>
    <t>Vincitore partita 53</t>
  </si>
  <si>
    <t>Vincitore partita 54</t>
  </si>
  <si>
    <t>Vincitore partita 55</t>
  </si>
  <si>
    <t>Vincitore partita 56</t>
  </si>
  <si>
    <t>Vincitore partita 57</t>
  </si>
  <si>
    <t>Vincitore partita 58</t>
  </si>
  <si>
    <t>Vincitore partita 59</t>
  </si>
  <si>
    <t>Vincitore partita 60</t>
  </si>
  <si>
    <t>Vincitore partita 61</t>
  </si>
  <si>
    <t>Vincitore partita 62</t>
  </si>
  <si>
    <t>Vincitore partita 63</t>
  </si>
  <si>
    <t>Vincitore partita 64</t>
  </si>
  <si>
    <t>Giocate</t>
  </si>
  <si>
    <t>Vinte</t>
  </si>
  <si>
    <t>Pareggiate</t>
  </si>
  <si>
    <t>Perse</t>
  </si>
  <si>
    <t>Goal segnati</t>
  </si>
  <si>
    <t>Goal subiti</t>
  </si>
  <si>
    <t>Punti</t>
  </si>
  <si>
    <t>Vincitore partita 49</t>
  </si>
  <si>
    <t>Vincitore partita 50</t>
  </si>
  <si>
    <t>Vincitore partita 51</t>
  </si>
  <si>
    <t>Vincitore partita 52</t>
  </si>
  <si>
    <t>Perdente partita 61</t>
  </si>
  <si>
    <t>Perdente partita 62</t>
  </si>
  <si>
    <t>Hora</t>
  </si>
  <si>
    <t>90 minutos</t>
  </si>
  <si>
    <t>Prórroga</t>
  </si>
  <si>
    <t>Penaltys</t>
  </si>
  <si>
    <t>Primero Grupo D</t>
  </si>
  <si>
    <t>Primero Grupo E</t>
  </si>
  <si>
    <t>Primero Grupo F</t>
  </si>
  <si>
    <t>Primero Grupo G</t>
  </si>
  <si>
    <t>Primero Grupo H</t>
  </si>
  <si>
    <t>Segundo Grupo B</t>
  </si>
  <si>
    <t>Segundo Grupo C</t>
  </si>
  <si>
    <t>Segundo Grupo D</t>
  </si>
  <si>
    <t>Segundo Grupo E</t>
  </si>
  <si>
    <t>Segundo Grupo F</t>
  </si>
  <si>
    <t>Segundo Grupo G</t>
  </si>
  <si>
    <t>Segundo Grupo H</t>
  </si>
  <si>
    <t>Ganador partido 53</t>
  </si>
  <si>
    <t>Ganador partido 54</t>
  </si>
  <si>
    <t>Ganador partido 55</t>
  </si>
  <si>
    <t>Ganador partido 56</t>
  </si>
  <si>
    <t>Ganador partido 57</t>
  </si>
  <si>
    <t>Ganador partido 58</t>
  </si>
  <si>
    <t>Ganador partido 59</t>
  </si>
  <si>
    <t>Ganador partido 60</t>
  </si>
  <si>
    <t>Ganador partido 61</t>
  </si>
  <si>
    <t>Ganador partido 62</t>
  </si>
  <si>
    <t>Ganador partido 63</t>
  </si>
  <si>
    <t>Jugados</t>
  </si>
  <si>
    <t>Puntos</t>
  </si>
  <si>
    <t>Segunda puesto</t>
  </si>
  <si>
    <t>Ganador partido 49</t>
  </si>
  <si>
    <t>Ganador partido 50</t>
  </si>
  <si>
    <t>Ganador partido 51</t>
  </si>
  <si>
    <t>Ganador partido 52</t>
  </si>
  <si>
    <t>Corea del Sur</t>
  </si>
  <si>
    <t>Primero Grupo A</t>
  </si>
  <si>
    <t>Primero Grupo B</t>
  </si>
  <si>
    <t>Primero Grupo C</t>
  </si>
  <si>
    <t>Segundo Grupo A</t>
  </si>
  <si>
    <t>Gruppspel</t>
  </si>
  <si>
    <t>Ställning</t>
  </si>
  <si>
    <t>Resultat</t>
  </si>
  <si>
    <t>Åttondelsfinaler</t>
  </si>
  <si>
    <t>Bronsmatch</t>
  </si>
  <si>
    <t>Full tid</t>
  </si>
  <si>
    <t>Straffläggning</t>
  </si>
  <si>
    <t>Mästare</t>
  </si>
  <si>
    <t>Matchnr</t>
  </si>
  <si>
    <t>Vinnare grupp A</t>
  </si>
  <si>
    <t>Vinnare grupp B</t>
  </si>
  <si>
    <t>Vinnare grupp C</t>
  </si>
  <si>
    <t>Vinnare grupp D</t>
  </si>
  <si>
    <t>Vinnare grupp E</t>
  </si>
  <si>
    <t>Vinnare grupp F</t>
  </si>
  <si>
    <t>Vinnare grupp G</t>
  </si>
  <si>
    <t>Vinnare grupp H</t>
  </si>
  <si>
    <t>Tvåa grupp A</t>
  </si>
  <si>
    <t>Tvåa grupp B</t>
  </si>
  <si>
    <t>Tvåa grupp C</t>
  </si>
  <si>
    <t>Tvåa grupp D</t>
  </si>
  <si>
    <t>Tvåa grupp E</t>
  </si>
  <si>
    <t>Tvåa grupp F</t>
  </si>
  <si>
    <t>Tvåa grupp G</t>
  </si>
  <si>
    <t>Tvåa grupp H</t>
  </si>
  <si>
    <t>Vinnare match 53</t>
  </si>
  <si>
    <t>Vinnare match 54</t>
  </si>
  <si>
    <t>Vinnare match 55</t>
  </si>
  <si>
    <t>Vinnare match 56</t>
  </si>
  <si>
    <t>Vinnare match 57</t>
  </si>
  <si>
    <t>Vinnare match 58</t>
  </si>
  <si>
    <t>Vinnare match 59</t>
  </si>
  <si>
    <t>58-ე მატჩის გამარჯვებული</t>
  </si>
  <si>
    <t>59-ე მატჩის გამარჯვებული</t>
  </si>
  <si>
    <t>60-ე მატჩის გამარჯვებული</t>
  </si>
  <si>
    <t>61-ე მატჩის გამარჯვებული</t>
  </si>
  <si>
    <t>62-ე მატჩის გამარჯვებული</t>
  </si>
  <si>
    <t>63-ე მატჩის გამარჯვებული</t>
  </si>
  <si>
    <t>64-ე მატჩის გამარჯვებული</t>
  </si>
  <si>
    <t xml:space="preserve">თამაში </t>
  </si>
  <si>
    <t>მოგება</t>
  </si>
  <si>
    <t xml:space="preserve">ფრე </t>
  </si>
  <si>
    <t xml:space="preserve">წაგება </t>
  </si>
  <si>
    <t xml:space="preserve">გატანილი გოლები </t>
  </si>
  <si>
    <t xml:space="preserve">გაშვებული გოლები </t>
  </si>
  <si>
    <t xml:space="preserve">ქულა </t>
  </si>
  <si>
    <t>ჯგუფი A</t>
  </si>
  <si>
    <t>ჯგუფი B</t>
  </si>
  <si>
    <t>ჯგუფი C</t>
  </si>
  <si>
    <t>ჯგუფი D</t>
  </si>
  <si>
    <t>ჯგუფი E</t>
  </si>
  <si>
    <t>ჯგუფი F</t>
  </si>
  <si>
    <t>ჯგუფი G</t>
  </si>
  <si>
    <t>ჯგუფი H</t>
  </si>
  <si>
    <t>49-ე მატჩის გამარჯვებული</t>
  </si>
  <si>
    <t>50-ე მატჩის გამარჯვებული</t>
  </si>
  <si>
    <t>51-ე მატჩის გამარჯვებული</t>
  </si>
  <si>
    <t>52-ე მატჩის გამარჯვებული</t>
  </si>
  <si>
    <t>61-ე მატჩში დამარცხებული</t>
  </si>
  <si>
    <t>62-ე მატჩში დამარცხებული</t>
  </si>
  <si>
    <t>Νότιος Κορέα</t>
  </si>
  <si>
    <t>Στάδιο των Γκρούπ</t>
  </si>
  <si>
    <t>Βαθμολογία</t>
  </si>
  <si>
    <t>Γκρούπ</t>
  </si>
  <si>
    <t>Ώρα</t>
  </si>
  <si>
    <t>Προημιτελικά</t>
  </si>
  <si>
    <t>Ημιτελικά</t>
  </si>
  <si>
    <t>Αγώνας για Τρίτη Θέση</t>
  </si>
  <si>
    <t>Πέναλτυ</t>
  </si>
  <si>
    <t>Мексик</t>
  </si>
  <si>
    <t>Урагвай</t>
  </si>
  <si>
    <t>Франц</t>
  </si>
  <si>
    <t>Нигери</t>
  </si>
  <si>
    <t>БНСУ</t>
  </si>
  <si>
    <t>Грек</t>
  </si>
  <si>
    <t>Англи</t>
  </si>
  <si>
    <t>АНУ</t>
  </si>
  <si>
    <t>Герман</t>
  </si>
  <si>
    <t>Австрали</t>
  </si>
  <si>
    <t>Нидерланд</t>
  </si>
  <si>
    <t>Япон</t>
  </si>
  <si>
    <t>Итали</t>
  </si>
  <si>
    <t>Бразил</t>
  </si>
  <si>
    <t>Зааны ясан эрэг</t>
  </si>
  <si>
    <t>Португал</t>
  </si>
  <si>
    <t>Испани</t>
  </si>
  <si>
    <t>Швейцар</t>
  </si>
  <si>
    <t>Хэл</t>
  </si>
  <si>
    <t>Цагийн бүс</t>
  </si>
  <si>
    <t>Хэсгийн тоглолт</t>
  </si>
  <si>
    <t>Тоглолтууд</t>
  </si>
  <si>
    <t>Хүснэгт</t>
  </si>
  <si>
    <t>Хэсэг</t>
  </si>
  <si>
    <t>Огноо</t>
  </si>
  <si>
    <t>Улс</t>
  </si>
  <si>
    <t>Оноо</t>
  </si>
  <si>
    <t>Цаг</t>
  </si>
  <si>
    <t>Шөвгийн 16</t>
  </si>
  <si>
    <t>Шөвгийн 8</t>
  </si>
  <si>
    <t>Хагас шигшээ</t>
  </si>
  <si>
    <t>Хүрэл медалийн төлөөх тоглолт</t>
  </si>
  <si>
    <t>Шигшээ</t>
  </si>
  <si>
    <t>Ялагч</t>
  </si>
  <si>
    <t>Удаалагч</t>
  </si>
  <si>
    <t>Үндсэн цаг</t>
  </si>
  <si>
    <t>Нэмэлт цаг</t>
  </si>
  <si>
    <t>Торгуулийн цохилт</t>
  </si>
  <si>
    <t>Аварга</t>
  </si>
  <si>
    <t>Тоглолт #</t>
  </si>
  <si>
    <t>A хэсгийг тэргүүлэгч</t>
  </si>
  <si>
    <t>B хэсгийг тэргүүлэгч</t>
  </si>
  <si>
    <t>C хэсгийг тэргүүлэгч</t>
  </si>
  <si>
    <t>D хэсгийг тэргүүлэгч</t>
  </si>
  <si>
    <t>E хэсгийг тэргүүлэгч</t>
  </si>
  <si>
    <t>F хэсгийг тэргүүлэгч</t>
  </si>
  <si>
    <t>G хэсгийг тэргүүлэгч</t>
  </si>
  <si>
    <t>H хэсгийг тэргүүлэгч</t>
  </si>
  <si>
    <t>A хэсгийг удаалагч</t>
  </si>
  <si>
    <t>B хэсгийг удаалагч</t>
  </si>
  <si>
    <t>C хэсгийг удаалагч</t>
  </si>
  <si>
    <t>D хэсгийг удаалагч</t>
  </si>
  <si>
    <t>E хэсгийг удаалагч</t>
  </si>
  <si>
    <t>F хэсгийг удаалагч</t>
  </si>
  <si>
    <t>G хэсгийг удаалагч</t>
  </si>
  <si>
    <t>H хэсгийг удаалагч</t>
  </si>
  <si>
    <t>53 дахь тоглолтын ялагч</t>
  </si>
  <si>
    <t>54 дэх тоглолтын ялагч</t>
  </si>
  <si>
    <t>55 дахь тоглолтын ялагч</t>
  </si>
  <si>
    <t>56 дахь тоглолтын ялагч</t>
  </si>
  <si>
    <t>57 дахь тоглолтын ялагч</t>
  </si>
  <si>
    <t>58 дахь тоглолтын ялагч</t>
  </si>
  <si>
    <t>59 дэх тоглолтын ялагч</t>
  </si>
  <si>
    <t>60 дахь тоглолтын ялагч</t>
  </si>
  <si>
    <t>61 дэх тоглолтын ялагч</t>
  </si>
  <si>
    <t>62 дахь тоглолтын ялагч</t>
  </si>
  <si>
    <t>63 дахь тоглолтын ялагч</t>
  </si>
  <si>
    <t>64 дэх тоглолтын ялагч</t>
  </si>
  <si>
    <t>Тоглосон</t>
  </si>
  <si>
    <t>Хожил</t>
  </si>
  <si>
    <t>Тэнцээ</t>
  </si>
  <si>
    <t>Хожигдол</t>
  </si>
  <si>
    <t>Гоол оруулсан</t>
  </si>
  <si>
    <t>Гоол алдсан</t>
  </si>
  <si>
    <t>2 р байр</t>
  </si>
  <si>
    <t>A хэсэг</t>
  </si>
  <si>
    <t>B хэсэг</t>
  </si>
  <si>
    <t>C хэсэг</t>
  </si>
  <si>
    <t>D хэсэг</t>
  </si>
  <si>
    <t>E хэсэг</t>
  </si>
  <si>
    <t>F хэсэг</t>
  </si>
  <si>
    <t>G хэсэг</t>
  </si>
  <si>
    <t>H хэсэг</t>
  </si>
  <si>
    <t>49 дэх тоглолтын ялагч</t>
  </si>
  <si>
    <t>50 дахь тоглолтын ялагч</t>
  </si>
  <si>
    <t>51 дэх тоглолтын ялагч</t>
  </si>
  <si>
    <t>52 дахь тоглолтын ялагч</t>
  </si>
  <si>
    <t>61 дэх тоглолтын хожигдогч</t>
  </si>
  <si>
    <t>62 дэх тоглолтын хожигдогч</t>
  </si>
  <si>
    <t>Vitórias</t>
  </si>
  <si>
    <t>Empates</t>
  </si>
  <si>
    <t>Derrotas</t>
  </si>
  <si>
    <t>Golos Marcados</t>
  </si>
  <si>
    <t>Golos Sofridos</t>
  </si>
  <si>
    <t>Gry</t>
  </si>
  <si>
    <t>Zwycieztwa</t>
  </si>
  <si>
    <t>Remis</t>
  </si>
  <si>
    <t>Porazki</t>
  </si>
  <si>
    <t>Spilt</t>
  </si>
  <si>
    <t>Vunnet</t>
  </si>
  <si>
    <t>Uavgjort</t>
  </si>
  <si>
    <t>Tapt</t>
  </si>
  <si>
    <t>Antall mål for</t>
  </si>
  <si>
    <t>Antall mål mot</t>
  </si>
  <si>
    <t>Gewonnen</t>
  </si>
  <si>
    <t>Unentschieden</t>
  </si>
  <si>
    <t>Verloren</t>
  </si>
  <si>
    <t>Tore</t>
  </si>
  <si>
    <t>Gegentore</t>
  </si>
  <si>
    <t>Punkte</t>
  </si>
  <si>
    <t>Výhry</t>
  </si>
  <si>
    <t>Remízy</t>
  </si>
  <si>
    <t>Prehry</t>
  </si>
  <si>
    <t>เล่นแล้ว</t>
  </si>
  <si>
    <t>ชนะ</t>
  </si>
  <si>
    <t>เสมอ</t>
  </si>
  <si>
    <t xml:space="preserve">แพ้ </t>
  </si>
  <si>
    <t xml:space="preserve">ประตูที่ได้ </t>
  </si>
  <si>
    <t xml:space="preserve">ประตูที่เสีย </t>
  </si>
  <si>
    <t xml:space="preserve">ลูก </t>
  </si>
  <si>
    <t>Franta</t>
  </si>
  <si>
    <t>Statele Unite</t>
  </si>
  <si>
    <t>Coasta de Fildes</t>
  </si>
  <si>
    <t>Elvetia</t>
  </si>
  <si>
    <t>Limba</t>
  </si>
  <si>
    <t>Fus Orar</t>
  </si>
  <si>
    <t>Etapa Grupe</t>
  </si>
  <si>
    <t>Meciuri</t>
  </si>
  <si>
    <t>Clasament</t>
  </si>
  <si>
    <t>Tara</t>
  </si>
  <si>
    <t>Scor</t>
  </si>
  <si>
    <t>Saisprezecimi</t>
  </si>
  <si>
    <t>Sferturi de finala</t>
  </si>
  <si>
    <t>Semifinala</t>
  </si>
  <si>
    <t>Meci prntru Locul Trei</t>
  </si>
  <si>
    <t>Finala</t>
  </si>
  <si>
    <t>Castigator</t>
  </si>
  <si>
    <t>Locul Secund</t>
  </si>
  <si>
    <t>Timp Regulamentar</t>
  </si>
  <si>
    <t>Prelungiri</t>
  </si>
  <si>
    <t>Penalty-uri</t>
  </si>
  <si>
    <t>Meciul #</t>
  </si>
  <si>
    <t>Castigator Grupa A</t>
  </si>
  <si>
    <t>Castigator Grupa B</t>
  </si>
  <si>
    <t>Castigator Grupa C</t>
  </si>
  <si>
    <t>Castigator Grupa D</t>
  </si>
  <si>
    <t>Castigator Grupa E</t>
  </si>
  <si>
    <t>Castigator Grupa F</t>
  </si>
  <si>
    <t>Castigator Grupa G</t>
  </si>
  <si>
    <t>Castigator Grupa H</t>
  </si>
  <si>
    <t>Locul Secund Grupa A</t>
  </si>
  <si>
    <t>Locul Secund Grupa B</t>
  </si>
  <si>
    <t>Locul Secund Grupa C</t>
  </si>
  <si>
    <t>Locul Secund Grupa D</t>
  </si>
  <si>
    <t>Locul Secund Grupa E</t>
  </si>
  <si>
    <t>Locul Secund Grupa F</t>
  </si>
  <si>
    <t>Locul Secund Grupa G</t>
  </si>
  <si>
    <t>Locul Secund Grupa H</t>
  </si>
  <si>
    <t>Castigator Meci 53</t>
  </si>
  <si>
    <t>Castigator Meci 54</t>
  </si>
  <si>
    <t>Castigator Meci 55</t>
  </si>
  <si>
    <t>Castigator Meci 56</t>
  </si>
  <si>
    <t>Castigator Meci 57</t>
  </si>
  <si>
    <t>Castigator Meci 58</t>
  </si>
  <si>
    <t>Castigator Meci 59</t>
  </si>
  <si>
    <t>Castigator Meci 60</t>
  </si>
  <si>
    <t>Castigator Meci 61</t>
  </si>
  <si>
    <t>Castigator Meci 62</t>
  </si>
  <si>
    <t>Castigator Meci 63</t>
  </si>
  <si>
    <t>Castigator Meci 64</t>
  </si>
  <si>
    <t>Jucat</t>
  </si>
  <si>
    <t>Castigat</t>
  </si>
  <si>
    <t>Egal</t>
  </si>
  <si>
    <t>Pierdut</t>
  </si>
  <si>
    <t>Goluri Inscrise</t>
  </si>
  <si>
    <t>Goluri Primite</t>
  </si>
  <si>
    <t>Puncte</t>
  </si>
  <si>
    <t>Locul Doi</t>
  </si>
  <si>
    <t>Castigator Meci 49</t>
  </si>
  <si>
    <t>Castigator Meci 50</t>
  </si>
  <si>
    <t>Castigator Meci 51</t>
  </si>
  <si>
    <t>Castigator Meci 52</t>
  </si>
  <si>
    <t>Invinsul Meci 61</t>
  </si>
  <si>
    <t>Invinsul Meci 62</t>
  </si>
  <si>
    <t>Групповая стадия</t>
  </si>
  <si>
    <t xml:space="preserve">Результаты матчей </t>
  </si>
  <si>
    <t>Положение команд</t>
  </si>
  <si>
    <t>Команды</t>
  </si>
  <si>
    <t>Счет</t>
  </si>
  <si>
    <t>1/16 финала</t>
  </si>
  <si>
    <t>Четвертьфинал</t>
  </si>
  <si>
    <t>Полуфинал</t>
  </si>
  <si>
    <t>Матч за 3-е место</t>
  </si>
  <si>
    <t>Финал</t>
  </si>
  <si>
    <t>Основное время</t>
  </si>
  <si>
    <t>Чемпион мира</t>
  </si>
  <si>
    <t>2-е место группа A</t>
  </si>
  <si>
    <t>2-е место группа B</t>
  </si>
  <si>
    <t>2-е место группа C</t>
  </si>
  <si>
    <t>2-е место группа D</t>
  </si>
  <si>
    <t>2-е место группа E</t>
  </si>
  <si>
    <t>2-е место группа F</t>
  </si>
  <si>
    <t>2-е место группа G</t>
  </si>
  <si>
    <t>2-е место группа H</t>
  </si>
  <si>
    <t>Победы</t>
  </si>
  <si>
    <t>Ничьи</t>
  </si>
  <si>
    <t>Поражения</t>
  </si>
  <si>
    <t>Забито</t>
  </si>
  <si>
    <t>Пропущено</t>
  </si>
  <si>
    <t>Очки</t>
  </si>
  <si>
    <t>Проигравший матча 61</t>
  </si>
  <si>
    <t>Проигравший матча 62</t>
  </si>
  <si>
    <t>EE.UU.</t>
  </si>
  <si>
    <t>Zona horaria</t>
  </si>
  <si>
    <t>Fases</t>
  </si>
  <si>
    <t>Clasificaciones</t>
  </si>
  <si>
    <t>Tiempo</t>
  </si>
  <si>
    <t>Partido por el tercer lugar</t>
  </si>
  <si>
    <t>Hora Normal</t>
  </si>
  <si>
    <t>Tiempo suplementario</t>
  </si>
  <si>
    <t>Penales</t>
  </si>
  <si>
    <t>Ganador del Grupo A</t>
  </si>
  <si>
    <t>Ganador del Grupo B</t>
  </si>
  <si>
    <t>Ganador del Grupo C</t>
  </si>
  <si>
    <t>Ganador del Grupo D</t>
  </si>
  <si>
    <t>Ganador del Grupo E</t>
  </si>
  <si>
    <t>Ganador del Grupo F</t>
  </si>
  <si>
    <t>Ganador del Grupo G</t>
  </si>
  <si>
    <t>Ganador del Grupo H</t>
  </si>
  <si>
    <t>Subcampeón del Grupo A</t>
  </si>
  <si>
    <t>Subcampeón del Grupo B</t>
  </si>
  <si>
    <t>Ganador del partido 53</t>
  </si>
  <si>
    <t>Ganador del partido 54</t>
  </si>
  <si>
    <t>Ganador del partido 55</t>
  </si>
  <si>
    <t>Ganador del partido 56</t>
  </si>
  <si>
    <t>Ganador del partido 57</t>
  </si>
  <si>
    <t>Ganador del partido 58</t>
  </si>
  <si>
    <t>Ganador del partido 59</t>
  </si>
  <si>
    <t>Ganador del partido 60</t>
  </si>
  <si>
    <t>Ganador del partido 61</t>
  </si>
  <si>
    <t>Ganador del partido 62</t>
  </si>
  <si>
    <t>Ganador del partido 63</t>
  </si>
  <si>
    <t>Segundo lugar</t>
  </si>
  <si>
    <t>Ganador del partido 49</t>
  </si>
  <si>
    <t>Ganador del partido 50</t>
  </si>
  <si>
    <t>Ganador del partido 51</t>
  </si>
  <si>
    <t>Ganador del partido 52</t>
  </si>
  <si>
    <t>Perdedor del partido 61</t>
  </si>
  <si>
    <t>Match 53 Winnaar</t>
  </si>
  <si>
    <t>Match 54 Winnaar</t>
  </si>
  <si>
    <t>Match 55 Winnaar</t>
  </si>
  <si>
    <t>Match 56 Winnaar</t>
  </si>
  <si>
    <t>Match 57 Winnaar</t>
  </si>
  <si>
    <t>Match 58 Winnaar</t>
  </si>
  <si>
    <t>Match 59 Winnaar</t>
  </si>
  <si>
    <t>Match 60 Winnaar</t>
  </si>
  <si>
    <t>Match 61 Winnaar</t>
  </si>
  <si>
    <t>Match 62 Winnaar</t>
  </si>
  <si>
    <t>Match 63 Winnaar</t>
  </si>
  <si>
    <t>Match 64 Winnaar</t>
  </si>
  <si>
    <t>Besoek exceltemplate.net vir meer voorbeelde en updates</t>
  </si>
  <si>
    <t>Gespeel</t>
  </si>
  <si>
    <t>Trek</t>
  </si>
  <si>
    <t>Verloor</t>
  </si>
  <si>
    <t>Doel behaal vir</t>
  </si>
  <si>
    <t>Doel aangeteken teen</t>
  </si>
  <si>
    <t>Punt</t>
  </si>
  <si>
    <t>Tweede plek</t>
  </si>
  <si>
    <t>Country Language</t>
  </si>
  <si>
    <t>国</t>
  </si>
  <si>
    <t>スコア</t>
  </si>
  <si>
    <t>時間</t>
  </si>
  <si>
    <t>ラウンド16</t>
  </si>
  <si>
    <t>準々決勝</t>
  </si>
  <si>
    <t>準決勝</t>
  </si>
  <si>
    <t>試合の3位に</t>
  </si>
  <si>
    <t>ファイナル</t>
  </si>
  <si>
    <t>受賞</t>
  </si>
  <si>
    <t>ランナーを開設する</t>
  </si>
  <si>
    <t>通常の時間</t>
  </si>
  <si>
    <t>余分な時間</t>
  </si>
  <si>
    <t>ペナルティーシュートアウト</t>
  </si>
  <si>
    <t>チャンピオン</t>
  </si>
  <si>
    <t>멕시코</t>
  </si>
  <si>
    <t>우루과이</t>
  </si>
  <si>
    <t>프랑스</t>
  </si>
  <si>
    <t>아르헨티나</t>
  </si>
  <si>
    <t>나이지리아</t>
  </si>
  <si>
    <t>대한민국</t>
  </si>
  <si>
    <t>그리스</t>
  </si>
  <si>
    <t>잉글랜드</t>
  </si>
  <si>
    <t>미국</t>
  </si>
  <si>
    <t>알제리</t>
  </si>
  <si>
    <t>독일</t>
  </si>
  <si>
    <t>오스트 레일 리아</t>
  </si>
  <si>
    <t>가나</t>
  </si>
  <si>
    <t>네덜란드</t>
  </si>
  <si>
    <t>일본</t>
  </si>
  <si>
    <t>카메룬</t>
  </si>
  <si>
    <t>이탈리아</t>
  </si>
  <si>
    <t>브라질</t>
  </si>
  <si>
    <t>코트 디부 아르</t>
  </si>
  <si>
    <t>포르투갈</t>
  </si>
  <si>
    <t>스페인</t>
  </si>
  <si>
    <t>스위스</t>
  </si>
  <si>
    <t>온두라스</t>
  </si>
  <si>
    <t>칠레</t>
  </si>
  <si>
    <t>언어</t>
  </si>
  <si>
    <t>시간대</t>
  </si>
  <si>
    <t>그룹 단계</t>
  </si>
  <si>
    <t>일치</t>
  </si>
  <si>
    <t>순위</t>
  </si>
  <si>
    <t>그룹</t>
  </si>
  <si>
    <t>날짜</t>
  </si>
  <si>
    <t>국가</t>
  </si>
  <si>
    <t>점수</t>
  </si>
  <si>
    <t>시간</t>
  </si>
  <si>
    <t>라운드 16</t>
  </si>
  <si>
    <t>8 강전</t>
  </si>
  <si>
    <t>준결승</t>
  </si>
  <si>
    <t>경기 3 위</t>
  </si>
  <si>
    <t>결승</t>
  </si>
  <si>
    <t>수상작</t>
  </si>
  <si>
    <t>러너 업</t>
  </si>
  <si>
    <t>표준 시간</t>
  </si>
  <si>
    <t>추가 시간</t>
  </si>
  <si>
    <t>승부 차기 없음</t>
  </si>
  <si>
    <t>챔피언</t>
  </si>
  <si>
    <t>Japanese</t>
  </si>
  <si>
    <t>Korean</t>
  </si>
  <si>
    <t>Match #</t>
  </si>
  <si>
    <t>Amerika Syarikat</t>
  </si>
  <si>
    <t>Ivory Coast</t>
  </si>
  <si>
    <t>Zon Waktu</t>
  </si>
  <si>
    <t>Peringkat Kumpulan</t>
  </si>
  <si>
    <t>Perlawanan</t>
  </si>
  <si>
    <t>Kedudukan</t>
  </si>
  <si>
    <t>Kumpulan</t>
  </si>
  <si>
    <t>Keputusan</t>
  </si>
  <si>
    <t>Waktu Biasa</t>
  </si>
  <si>
    <t>Pusingan 16 Pasukan</t>
  </si>
  <si>
    <t>Suku Akhir</t>
  </si>
  <si>
    <t>Separuh Akhir</t>
  </si>
  <si>
    <t>Perlawanan Tempat Ketiga</t>
  </si>
  <si>
    <t>Akhir</t>
  </si>
  <si>
    <t>Johan</t>
  </si>
  <si>
    <t>Naib Johan</t>
  </si>
  <si>
    <t>Tambahan Masa</t>
  </si>
  <si>
    <t>Tendangan Penalti</t>
  </si>
  <si>
    <t>Perlawanan #</t>
  </si>
  <si>
    <t>Johan Kumpulan A</t>
  </si>
  <si>
    <t>Johan Kumpulan B</t>
  </si>
  <si>
    <t>Johan Kumpulan C</t>
  </si>
  <si>
    <t>Johan Kumpulan D</t>
  </si>
  <si>
    <t>Johan Kumpulan E</t>
  </si>
  <si>
    <t>Johan Kumpulan F</t>
  </si>
  <si>
    <t>Johan Kumpulan G</t>
  </si>
  <si>
    <t>Johan Kumpulan H</t>
  </si>
  <si>
    <t>Naib Johan Kumpulan A</t>
  </si>
  <si>
    <t>Naib Johan Kumpulan B</t>
  </si>
  <si>
    <t>Naib Johan Kumpulan C</t>
  </si>
  <si>
    <t>Naib Johan Kumpulan D</t>
  </si>
  <si>
    <t>Naib Johan Kumpulan E</t>
  </si>
  <si>
    <t>Naib Johan Kumpulan F</t>
  </si>
  <si>
    <t>Naib Johan Kumpulan G</t>
  </si>
  <si>
    <t>Naib Johan Kumpulan H</t>
  </si>
  <si>
    <t>Johan Perlawanan 53</t>
  </si>
  <si>
    <t>Johan Perlawanan 54</t>
  </si>
  <si>
    <t>Johan Perlawanan 55</t>
  </si>
  <si>
    <t>Johan Perlawanan 56</t>
  </si>
  <si>
    <t>Johan Perlawanan 57</t>
  </si>
  <si>
    <t>Johan Perlawanan 58</t>
  </si>
  <si>
    <t>Johan Perlawanan 59</t>
  </si>
  <si>
    <t>Johan Perlawanan 60</t>
  </si>
  <si>
    <t>Johan Perlawanan 61</t>
  </si>
  <si>
    <t>Johan Perlawanan 62</t>
  </si>
  <si>
    <t>Johan Perlawanan 63</t>
  </si>
  <si>
    <t>Johan Perlawanan 64</t>
  </si>
  <si>
    <t>Tempat Kedua</t>
  </si>
  <si>
    <t>Johan Perlawanan 49</t>
  </si>
  <si>
    <t>Johan Perlawanan 50</t>
  </si>
  <si>
    <t>Johan Perlawanan 51</t>
  </si>
  <si>
    <t>Johan Perlawanan 52</t>
  </si>
  <si>
    <t>Naib Johan Perlawanan 61</t>
  </si>
  <si>
    <t>Naib Johan Perlawanan 62</t>
  </si>
  <si>
    <t>Zuid Korea</t>
  </si>
  <si>
    <t>Tijdzone</t>
  </si>
  <si>
    <t>Groep Stages</t>
  </si>
  <si>
    <t>Wedstrijden</t>
  </si>
  <si>
    <t>Stand</t>
  </si>
  <si>
    <t>Wedstrijd om de derde plaats</t>
  </si>
  <si>
    <t>Tweede Plaats</t>
  </si>
  <si>
    <t>Normale Tijd</t>
  </si>
  <si>
    <t>Extra Tijd</t>
  </si>
  <si>
    <t>Strafschoppen</t>
  </si>
  <si>
    <t>Wedstrijd #</t>
  </si>
  <si>
    <t>Groep A Winnaar</t>
  </si>
  <si>
    <t>Groep A Tweede Plaats</t>
  </si>
  <si>
    <t>Groep B Tweede Plaats</t>
  </si>
  <si>
    <t>Groep C Tweede Plaats</t>
  </si>
  <si>
    <t>Groep D Tweede Plaats</t>
  </si>
  <si>
    <t>Groep E Tweede Plaats</t>
  </si>
  <si>
    <t>Groep F Tweede Plaats</t>
  </si>
  <si>
    <t>Groep G Tweede Plaats</t>
  </si>
  <si>
    <t>Groep H Tweede Plaats</t>
  </si>
  <si>
    <t>Wedstrijd 53 Winnaar</t>
  </si>
  <si>
    <t>Wedstrijd 54 Winnaar</t>
  </si>
  <si>
    <t>Wedstrijd 55 Winnaar</t>
  </si>
  <si>
    <t>Wedstrijd 56 Winnaar</t>
  </si>
  <si>
    <t>Wedstrijd 57 Winnaar</t>
  </si>
  <si>
    <t>Wedstrijd 58 Winnaar</t>
  </si>
  <si>
    <t>Wedstrijd 59 Winnaar</t>
  </si>
  <si>
    <t>Wedstrijd 60 Winnaar</t>
  </si>
  <si>
    <t>Wedstrijd 61 Winnaar</t>
  </si>
  <si>
    <t>Wedstrijd 62 Winnaar</t>
  </si>
  <si>
    <t>Wedstrijd 63 Winnaar</t>
  </si>
  <si>
    <t>Wedstrijd 64 Winnaar</t>
  </si>
  <si>
    <t>Gespeeld (P)</t>
  </si>
  <si>
    <t>Wedstrijd 49 Winnaar</t>
  </si>
  <si>
    <t>Wedstrijd 50 Winnaar</t>
  </si>
  <si>
    <t>Wedstrijd 51 Winnaar</t>
  </si>
  <si>
    <t>Wedstrijd 52 Winnaar</t>
  </si>
  <si>
    <t>Wedstrijd 61 Loser</t>
  </si>
  <si>
    <t>Wedstrijd 62 Loser</t>
  </si>
  <si>
    <t>Suiça</t>
  </si>
  <si>
    <t>Fuso Horário</t>
  </si>
  <si>
    <t>Grupo de Fases</t>
  </si>
  <si>
    <t>Jogos</t>
  </si>
  <si>
    <t>Posições</t>
  </si>
  <si>
    <t>Horário</t>
  </si>
  <si>
    <t>Oitavas de Finais</t>
  </si>
  <si>
    <t>Quartas de Finais</t>
  </si>
  <si>
    <t>Semi Finais</t>
  </si>
  <si>
    <t>Descisão do Terceiro Lugar</t>
  </si>
  <si>
    <t>Vencedor</t>
  </si>
  <si>
    <t>Segundo Colocado</t>
  </si>
  <si>
    <t>Tempo Normal</t>
  </si>
  <si>
    <t>Prorrogação</t>
  </si>
  <si>
    <t>Pênalti</t>
  </si>
  <si>
    <t>Jogo #</t>
  </si>
  <si>
    <t>Vencedor do Grupo A</t>
  </si>
  <si>
    <t>Vencedor do Grupo C</t>
  </si>
  <si>
    <t>Vencedor do Grupo E</t>
  </si>
  <si>
    <t>Segundo Colocado do Grupo A</t>
  </si>
  <si>
    <t>Segundo Colocado do Grupo B</t>
  </si>
  <si>
    <t>Segundo Colocado do Grupo C</t>
  </si>
  <si>
    <t>Segundo Colocado do Grupo D</t>
  </si>
  <si>
    <t>Segundo Colocado do Grupo E</t>
  </si>
  <si>
    <t>Segundo Colocado do Grupo F</t>
  </si>
  <si>
    <t>Segundo Colocado do Grupo G</t>
  </si>
  <si>
    <t>Segundo Colocado do Grupo H</t>
  </si>
  <si>
    <t>Vencedor do Jogo 53</t>
  </si>
  <si>
    <t>Vencedor do Jogo 54</t>
  </si>
  <si>
    <t>Vencedor do Jogo 55</t>
  </si>
  <si>
    <t>Vencedor do Jogo 56</t>
  </si>
  <si>
    <t>Vencedor do Jogo 57</t>
  </si>
  <si>
    <t>Vencedor do Jogo 58</t>
  </si>
  <si>
    <t>Vencedor do Jogo 59</t>
  </si>
  <si>
    <t>Vencedor do Jogo 60</t>
  </si>
  <si>
    <t>Vencedor do Jogo 61</t>
  </si>
  <si>
    <t>Vencedor do Jogo 62</t>
  </si>
  <si>
    <t>Vencedor do Jogo 63</t>
  </si>
  <si>
    <t>Vencedor do Jogo 64</t>
  </si>
  <si>
    <t>Vitória</t>
  </si>
  <si>
    <t>Empate</t>
  </si>
  <si>
    <t>Derrota</t>
  </si>
  <si>
    <t>Gols a Favor</t>
  </si>
  <si>
    <t>Gols Contra</t>
  </si>
  <si>
    <t>Pontos</t>
  </si>
  <si>
    <t>Segundo Lugar</t>
  </si>
  <si>
    <t>Vencedor do Jogo 49</t>
  </si>
  <si>
    <t>Vencedor do Jogo 50</t>
  </si>
  <si>
    <t>Vencedor do Jogo 51</t>
  </si>
  <si>
    <t>Vencedor do Jogo 52</t>
  </si>
  <si>
    <t>Pededor do Jogo 61</t>
  </si>
  <si>
    <t>Pededor do Jogo 62</t>
  </si>
  <si>
    <t>乌拉圭</t>
  </si>
  <si>
    <t>法国</t>
  </si>
  <si>
    <t>尼日利亚</t>
  </si>
  <si>
    <t>韩国</t>
  </si>
  <si>
    <t>希腊</t>
  </si>
  <si>
    <t>英格兰</t>
  </si>
  <si>
    <t>美国</t>
  </si>
  <si>
    <t>阿尔及利亚</t>
  </si>
  <si>
    <t>德国</t>
  </si>
  <si>
    <t>澳大利亚</t>
  </si>
  <si>
    <t>加纳</t>
  </si>
  <si>
    <t>荷兰</t>
  </si>
  <si>
    <t>喀麦隆</t>
  </si>
  <si>
    <t>科特迪瓦</t>
  </si>
  <si>
    <t>语言</t>
  </si>
  <si>
    <t>时区</t>
  </si>
  <si>
    <t>小组赛阶段</t>
  </si>
  <si>
    <t>赛程和比分</t>
  </si>
  <si>
    <t>小组积分榜</t>
  </si>
  <si>
    <t>小组</t>
  </si>
  <si>
    <t>国家</t>
  </si>
  <si>
    <t>比分</t>
  </si>
  <si>
    <t>时间</t>
  </si>
  <si>
    <t>四分之一决赛</t>
  </si>
  <si>
    <t>半决赛</t>
  </si>
  <si>
    <t>三四名决赛</t>
  </si>
  <si>
    <t>决赛</t>
  </si>
  <si>
    <t>胜者</t>
  </si>
  <si>
    <t>第二</t>
  </si>
  <si>
    <t>加时赛</t>
  </si>
  <si>
    <t>互射点球</t>
  </si>
  <si>
    <t>冠军</t>
  </si>
  <si>
    <t>场次</t>
  </si>
  <si>
    <t>A组第二</t>
  </si>
  <si>
    <t>B组第二</t>
  </si>
  <si>
    <t>C组第二</t>
  </si>
  <si>
    <t>D组第二</t>
  </si>
  <si>
    <t>E组第二</t>
  </si>
  <si>
    <t>F组第二</t>
  </si>
  <si>
    <t>G组第二</t>
  </si>
  <si>
    <t>H组第二</t>
  </si>
  <si>
    <t>胜</t>
  </si>
  <si>
    <t>平</t>
  </si>
  <si>
    <t>负</t>
  </si>
  <si>
    <t>进球</t>
  </si>
  <si>
    <t>失球</t>
  </si>
  <si>
    <t>积分</t>
  </si>
  <si>
    <t>Hebrew</t>
  </si>
  <si>
    <t>מקסיקו</t>
  </si>
  <si>
    <t>אורוגואי</t>
  </si>
  <si>
    <t>צרפת</t>
  </si>
  <si>
    <t>ארגנטינה</t>
  </si>
  <si>
    <t>ניגריה</t>
  </si>
  <si>
    <t>דרום קוריאה</t>
  </si>
  <si>
    <t>יוון</t>
  </si>
  <si>
    <t>אנגליה</t>
  </si>
  <si>
    <t>ארצות הברית</t>
  </si>
  <si>
    <t>אלג'יריה</t>
  </si>
  <si>
    <t>גרמניה</t>
  </si>
  <si>
    <t>אוסטרליה</t>
  </si>
  <si>
    <t>גאנה</t>
  </si>
  <si>
    <t>הולנד</t>
  </si>
  <si>
    <t>יפן</t>
  </si>
  <si>
    <t>קמרון</t>
  </si>
  <si>
    <t>איטליה</t>
  </si>
  <si>
    <t>ברזיל</t>
  </si>
  <si>
    <t>חוף השנהב</t>
  </si>
  <si>
    <t>פורטוגל</t>
  </si>
  <si>
    <t>ספרד</t>
  </si>
  <si>
    <t>שוויץ</t>
  </si>
  <si>
    <t>הונדורס</t>
  </si>
  <si>
    <t>צ'ילה</t>
  </si>
  <si>
    <t>שפה</t>
  </si>
  <si>
    <t>אזור זמן</t>
  </si>
  <si>
    <t>שלב הבתים</t>
  </si>
  <si>
    <t>משחקים</t>
  </si>
  <si>
    <t>מקומות\עמדות</t>
  </si>
  <si>
    <t>בית</t>
  </si>
  <si>
    <t>תאריך</t>
  </si>
  <si>
    <t>מדינה</t>
  </si>
  <si>
    <t>תוצאה</t>
  </si>
  <si>
    <t>זמן</t>
  </si>
  <si>
    <t>שלב 16 האחרונות</t>
  </si>
  <si>
    <t>רבע גמר</t>
  </si>
  <si>
    <t>חצי גמר</t>
  </si>
  <si>
    <t>המשחק על המקום השלישי</t>
  </si>
  <si>
    <t>גמר</t>
  </si>
  <si>
    <t>זוכה</t>
  </si>
  <si>
    <t>סגנית</t>
  </si>
  <si>
    <t>זמן חוקי</t>
  </si>
  <si>
    <t>הארכה</t>
  </si>
  <si>
    <t>בעיטות עונשין מאחד עשר מטר</t>
  </si>
  <si>
    <t>אלופה</t>
  </si>
  <si>
    <t>משחק</t>
  </si>
  <si>
    <t>אלופת בית א'</t>
  </si>
  <si>
    <t>אלופת בית ב'</t>
  </si>
  <si>
    <t>אלופת בית ג'</t>
  </si>
  <si>
    <t>אלופת בית ד'</t>
  </si>
  <si>
    <t>אלופת בית ה'</t>
  </si>
  <si>
    <t>אלופת בית ו'</t>
  </si>
  <si>
    <t>אלופת בית ז'</t>
  </si>
  <si>
    <t>אלופת בית ח'</t>
  </si>
  <si>
    <t>סגנית בית א'</t>
  </si>
  <si>
    <t>סגנית בית ב'</t>
  </si>
  <si>
    <t>סגנית בית ג'</t>
  </si>
  <si>
    <t>סגנית בית ד'</t>
  </si>
  <si>
    <t>סגנית בית ה'</t>
  </si>
  <si>
    <t>סגנית בית ו'</t>
  </si>
  <si>
    <t>סגנית בית ז'</t>
  </si>
  <si>
    <t>סגנית בית ח'</t>
  </si>
  <si>
    <t>מנצחת משחק מספר 53</t>
  </si>
  <si>
    <t>מנצחת משחק מספר 54</t>
  </si>
  <si>
    <t>מנצחת משחק מספר 55</t>
  </si>
  <si>
    <t>מנצחת משחק מספר 56</t>
  </si>
  <si>
    <t>מנצחת משחק מספר 57</t>
  </si>
  <si>
    <t>מנצחת משחק מספר 58</t>
  </si>
  <si>
    <t>מנצחת משחק מספר 59</t>
  </si>
  <si>
    <t>מנצחת משחק מספר 60</t>
  </si>
  <si>
    <t>מנצחת משחק מספר 61</t>
  </si>
  <si>
    <t>מנצחת משחק מספר 62</t>
  </si>
  <si>
    <t>מנצחת משחק מספר 63</t>
  </si>
  <si>
    <t>מנצחת משחק מספר 64</t>
  </si>
  <si>
    <t>משחקים (מ)</t>
  </si>
  <si>
    <t>נצחונות (נ)</t>
  </si>
  <si>
    <t>תיקו (ת)</t>
  </si>
  <si>
    <t>Grup F Birincisi</t>
  </si>
  <si>
    <t>Grup G Birincisi</t>
  </si>
  <si>
    <t>Grup H Birincisi</t>
  </si>
  <si>
    <t>Grup A İkincisi</t>
  </si>
  <si>
    <t>Grup B İkincisi</t>
  </si>
  <si>
    <t>Grup C İkincisi</t>
  </si>
  <si>
    <t>Grup D İkincisi</t>
  </si>
  <si>
    <t>Grup E İkincisi</t>
  </si>
  <si>
    <t>Grup F İkincisi</t>
  </si>
  <si>
    <t>Grup G İkincisi</t>
  </si>
  <si>
    <t>Grup H İkincisi</t>
  </si>
  <si>
    <t>Oynanan</t>
  </si>
  <si>
    <t>Galibiyet</t>
  </si>
  <si>
    <t>Beraberlik</t>
  </si>
  <si>
    <t>Mağlubiyet</t>
  </si>
  <si>
    <t>Yediği Gol</t>
  </si>
  <si>
    <t>İkinci sıra</t>
  </si>
  <si>
    <t>Maç 61 Mağlubu</t>
  </si>
  <si>
    <t>Maç 62 Mağlubu</t>
  </si>
  <si>
    <t>Ottelun 60 voittaja</t>
  </si>
  <si>
    <t>Ottelun 61 voittaja</t>
  </si>
  <si>
    <t>Ottelun 62 voittaja</t>
  </si>
  <si>
    <t>Ottelun 63 voittaja</t>
  </si>
  <si>
    <t>Ottelun 64 voittaja</t>
  </si>
  <si>
    <t>Vieraile exceltemplate.net lisää malleja ja päivitykset</t>
  </si>
  <si>
    <t>Lohko E</t>
  </si>
  <si>
    <t>Lohko F</t>
  </si>
  <si>
    <t>Lohko G</t>
  </si>
  <si>
    <t>Lohko H</t>
  </si>
  <si>
    <t>Exceltemplate.net Visite pour des modèles et des mises à jour</t>
  </si>
  <si>
    <t>Groupe A</t>
  </si>
  <si>
    <t>Groupe B</t>
  </si>
  <si>
    <t>Groupe C</t>
  </si>
  <si>
    <t>Groupe D</t>
  </si>
  <si>
    <t>Groupe E</t>
  </si>
  <si>
    <t>Groupe F</t>
  </si>
  <si>
    <t>Groupe G</t>
  </si>
  <si>
    <t>Groupe H</t>
  </si>
  <si>
    <t>Sieger Gruppe C</t>
  </si>
  <si>
    <t>Besuchen Sie exceltemplate.net für mehrere Vorlagen und Updates</t>
  </si>
  <si>
    <t>Νικητής Αγώνα 53</t>
  </si>
  <si>
    <t>Νικητής Αγώνα 54</t>
  </si>
  <si>
    <t>Νικητής Αγώνα 55</t>
  </si>
  <si>
    <t>Νικητής Αγώνα 56</t>
  </si>
  <si>
    <t>Νικητής Αγώνα 57</t>
  </si>
  <si>
    <t>Νικητής Αγώνα 58</t>
  </si>
  <si>
    <t>Νικητής Αγώνα 59</t>
  </si>
  <si>
    <t>Νικητής Αγώνα 60</t>
  </si>
  <si>
    <t>Νικητής Αγώνα 61</t>
  </si>
  <si>
    <t>Νικητής Αγώνα 62</t>
  </si>
  <si>
    <t>Νικητής Αγώνα 63</t>
  </si>
  <si>
    <t>Νικητής Αγώνα 64</t>
  </si>
  <si>
    <t>Επισκεφθείτε exceltemplate.net για περισσότερα πρότυπα και ενημερώσεις</t>
  </si>
  <si>
    <t>D csoport győztese</t>
  </si>
  <si>
    <t>E csoport győztese</t>
  </si>
  <si>
    <t>F csoport győztese</t>
  </si>
  <si>
    <t>G csoport győztese</t>
  </si>
  <si>
    <t>H csoport győztese</t>
  </si>
  <si>
    <t>Látogassa exceltemplate.net További sablonok és frissítések</t>
  </si>
  <si>
    <t>C csoport</t>
  </si>
  <si>
    <t>D csoport</t>
  </si>
  <si>
    <t>E csoport</t>
  </si>
  <si>
    <t>F csoport</t>
  </si>
  <si>
    <t>G csoport</t>
  </si>
  <si>
    <t>H csoport</t>
  </si>
  <si>
    <t>Exceltemplate.net visita per i modelli più e aggiornamenti</t>
  </si>
  <si>
    <t>Secondo posto</t>
  </si>
  <si>
    <t>Gruppo A</t>
  </si>
  <si>
    <t>Gruppo B</t>
  </si>
  <si>
    <t>Gruppo C</t>
  </si>
  <si>
    <t>Gruppo D</t>
  </si>
  <si>
    <t>Gruppo E</t>
  </si>
  <si>
    <t>Gruppo F</t>
  </si>
  <si>
    <t>Gruppo G</t>
  </si>
  <si>
    <t>Gruppo H</t>
  </si>
  <si>
    <t>一致する＃</t>
  </si>
  <si>
    <t>グループ受賞</t>
  </si>
  <si>
    <t>グループBの勝者</t>
  </si>
  <si>
    <t>グループCの勝者</t>
  </si>
  <si>
    <t>グループDの勝者</t>
  </si>
  <si>
    <t>グループEの勝者</t>
  </si>
  <si>
    <t>グループFの勝者</t>
  </si>
  <si>
    <t>グループGの勝者</t>
  </si>
  <si>
    <t>グループHの勝者</t>
  </si>
  <si>
    <t>グループのランナーを開設する</t>
  </si>
  <si>
    <t>グループBのランナーを開設する</t>
  </si>
  <si>
    <t>グループCのランナーを開設する</t>
  </si>
  <si>
    <t>グループDランナーを開設する</t>
  </si>
  <si>
    <t>グループEのランナーを開設する</t>
  </si>
  <si>
    <t>グループFのランナーを開設する</t>
  </si>
  <si>
    <t>グループGのランナーを開設する</t>
  </si>
  <si>
    <t>グループHでは、ランナーを開設する</t>
  </si>
  <si>
    <t>マッチ53勝者</t>
  </si>
  <si>
    <t>マッチ54勝者</t>
  </si>
  <si>
    <t>マッチ55勝者</t>
  </si>
  <si>
    <t>マッチ56勝者</t>
  </si>
  <si>
    <t>マッチ57勝者</t>
  </si>
  <si>
    <t>マッチ58勝者</t>
  </si>
  <si>
    <t>マッチ59勝者</t>
  </si>
  <si>
    <t>マッチ60勝者</t>
  </si>
  <si>
    <t>マッチ61勝者</t>
  </si>
  <si>
    <t>マッチ62勝者</t>
  </si>
  <si>
    <t>マッチ63勝者</t>
  </si>
  <si>
    <t>マッチ64勝者</t>
  </si>
  <si>
    <t>さらに、テンプレートや更新のための訪問exceltemplate.net</t>
  </si>
  <si>
    <t>演奏</t>
  </si>
  <si>
    <t>描画する</t>
  </si>
  <si>
    <t>失う</t>
  </si>
  <si>
    <t>ゴールゴール</t>
  </si>
  <si>
    <t>目標に対してゴール</t>
  </si>
  <si>
    <t>ポイント</t>
  </si>
  <si>
    <t>2位</t>
  </si>
  <si>
    <t>グループB</t>
  </si>
  <si>
    <t>グループC</t>
  </si>
  <si>
    <t>グループD</t>
  </si>
  <si>
    <t>グループE</t>
  </si>
  <si>
    <t>グループF</t>
  </si>
  <si>
    <t>グループG</t>
  </si>
  <si>
    <t>グループH</t>
  </si>
  <si>
    <t>경기 #</t>
  </si>
  <si>
    <t>그룹 수상작</t>
  </si>
  <si>
    <t>B 조 수상작</t>
  </si>
  <si>
    <t>C 조 수상작</t>
  </si>
  <si>
    <t>D 조 수상작</t>
  </si>
  <si>
    <t>E 조 수상작</t>
  </si>
  <si>
    <t>F 조 수상작</t>
  </si>
  <si>
    <t>G 조 수상작</t>
  </si>
  <si>
    <t>H 조 수상작</t>
  </si>
  <si>
    <t>조 준우승</t>
  </si>
  <si>
    <t>B 조 준우승</t>
  </si>
  <si>
    <t>C 조 준우승</t>
  </si>
  <si>
    <t>D 조 준우승</t>
  </si>
  <si>
    <t>E 조 준우승</t>
  </si>
  <si>
    <t>F 조 준우승</t>
  </si>
  <si>
    <t>P :</t>
  </si>
  <si>
    <t>W :</t>
  </si>
  <si>
    <t>D :</t>
  </si>
  <si>
    <t>L :</t>
  </si>
  <si>
    <t>F :</t>
  </si>
  <si>
    <t>A :</t>
  </si>
  <si>
    <t>Pt :</t>
  </si>
  <si>
    <t>Match 49 Winner</t>
  </si>
  <si>
    <t>Match 50 Winner</t>
  </si>
  <si>
    <t>Match 51 Winner</t>
  </si>
  <si>
    <t>Match 52 Winner</t>
  </si>
  <si>
    <t>Match 61 Loser</t>
  </si>
  <si>
    <t>Match 62 Loser</t>
  </si>
  <si>
    <t>G 조 준우승</t>
  </si>
  <si>
    <t>H 조 준우승</t>
  </si>
  <si>
    <t>경기 53 수상작</t>
  </si>
  <si>
    <t>경기 54 수상작</t>
  </si>
  <si>
    <t>경기 55 수상작</t>
  </si>
  <si>
    <t>경기 56 수상작</t>
  </si>
  <si>
    <t>경기 57 수상작</t>
  </si>
  <si>
    <t>경기 58 수상작</t>
  </si>
  <si>
    <t>경기 59 수상작</t>
  </si>
  <si>
    <t>경기 60 수상작</t>
  </si>
  <si>
    <t>경기 61 수상작</t>
  </si>
  <si>
    <t>경기 62 수상작</t>
  </si>
  <si>
    <t>경기 63 수상작</t>
  </si>
  <si>
    <t>경기 64 수상작</t>
  </si>
  <si>
    <t>더 많은 서식 파일과 업데이 트에 대한 방문 exceltemplate.net</t>
  </si>
  <si>
    <t>종료</t>
  </si>
  <si>
    <t>그리기</t>
  </si>
  <si>
    <t>잃다</t>
  </si>
  <si>
    <t>목표에 대한 승리</t>
  </si>
  <si>
    <t>2 위</t>
  </si>
  <si>
    <t>B 조</t>
  </si>
  <si>
    <t>C 조</t>
  </si>
  <si>
    <t>D 조</t>
  </si>
  <si>
    <t>E 조</t>
  </si>
  <si>
    <t>F 조</t>
  </si>
  <si>
    <t>G 조</t>
  </si>
  <si>
    <t>H 조</t>
  </si>
  <si>
    <t>Rungtynių #</t>
  </si>
  <si>
    <t>Grupės nugalėtojas</t>
  </si>
  <si>
    <t>B grupės nugalėtojas</t>
  </si>
  <si>
    <t>C grupės nugalėtojas</t>
  </si>
  <si>
    <t>D grupės nugalėtojas</t>
  </si>
  <si>
    <t>E grupės nugalėtojas</t>
  </si>
  <si>
    <t>Grupė F nugalėtojas</t>
  </si>
  <si>
    <t>Grupė G nugalėtojas</t>
  </si>
  <si>
    <t>Grupė H nugalėtojas</t>
  </si>
  <si>
    <t>Grupė wicemistrz</t>
  </si>
  <si>
    <t>B grupė wicemistrz</t>
  </si>
  <si>
    <t>C grupė wicemistrz</t>
  </si>
  <si>
    <t>D grupėje antrą vietą</t>
  </si>
  <si>
    <t>E grupės wicemistrz</t>
  </si>
  <si>
    <t>F grupė wicemistrz</t>
  </si>
  <si>
    <t>Grupė G Runner Up</t>
  </si>
  <si>
    <t>H grupė wicemistrz</t>
  </si>
  <si>
    <t>Aplankykite exceltemplate.net daugiau šablonų ir atnaujinimai</t>
  </si>
  <si>
    <t>Baigta</t>
  </si>
  <si>
    <t>Piešti</t>
  </si>
  <si>
    <t>Prarasti</t>
  </si>
  <si>
    <t>الدولة</t>
  </si>
  <si>
    <t>الوقت</t>
  </si>
  <si>
    <t>دور الـ 16</t>
  </si>
  <si>
    <t>الدور ربع النهائي</t>
  </si>
  <si>
    <t>الدور نصف النهائي</t>
  </si>
  <si>
    <t>تحديد المركز الثالث</t>
  </si>
  <si>
    <t>أول المجموعة</t>
  </si>
  <si>
    <t>ثاني المجموعة</t>
  </si>
  <si>
    <t>الوقت الأصلي</t>
  </si>
  <si>
    <t>الوقتين الإضافيين</t>
  </si>
  <si>
    <t>البطل</t>
  </si>
  <si>
    <t>المباراة رقم</t>
  </si>
  <si>
    <t>أول المجموعة A</t>
  </si>
  <si>
    <t>أول المجموعة B</t>
  </si>
  <si>
    <t>أول المجموعة C</t>
  </si>
  <si>
    <t>أول المجموعة D</t>
  </si>
  <si>
    <t>أول المجموعة E</t>
  </si>
  <si>
    <t>أول المجموعة F</t>
  </si>
  <si>
    <t>أول المجموعة G</t>
  </si>
  <si>
    <t>أول المجموعة H</t>
  </si>
  <si>
    <t>ثاني المجموعة A</t>
  </si>
  <si>
    <t>ثاني المجموعة B</t>
  </si>
  <si>
    <t>ثاني المجموعة C</t>
  </si>
  <si>
    <t>ثاني المجموعة D</t>
  </si>
  <si>
    <t>ثاني المجموعة E</t>
  </si>
  <si>
    <t>ثاني المجموعة F</t>
  </si>
  <si>
    <t>ثاني المجموعة G</t>
  </si>
  <si>
    <t>ثاني المجموعة H</t>
  </si>
  <si>
    <t>رابح المباراة 53</t>
  </si>
  <si>
    <t>رابح المباراة 54</t>
  </si>
  <si>
    <t>رابح المباراة 55</t>
  </si>
  <si>
    <t>رابح المباراة 56</t>
  </si>
  <si>
    <t>رابح المباراة 57</t>
  </si>
  <si>
    <t>رابح المباراة 58</t>
  </si>
  <si>
    <t>رابح المباراة 59</t>
  </si>
  <si>
    <t>رابح المباراة 60</t>
  </si>
  <si>
    <t>رابح المباراة 61</t>
  </si>
  <si>
    <t>رابح المباراة 62</t>
  </si>
  <si>
    <t>رابح المباراة 63</t>
  </si>
  <si>
    <t>رابح المباراة 64</t>
  </si>
  <si>
    <t>المركز الثاني</t>
  </si>
  <si>
    <t>المجموعة A</t>
  </si>
  <si>
    <t>المجموعة B</t>
  </si>
  <si>
    <t>المجموعة C</t>
  </si>
  <si>
    <t>المجموعة D</t>
  </si>
  <si>
    <t>المجموعة E</t>
  </si>
  <si>
    <t>المجموعة F</t>
  </si>
  <si>
    <t>المجموعة G</t>
  </si>
  <si>
    <t>المجموعة H</t>
  </si>
  <si>
    <t>رابح المباراة 49</t>
  </si>
  <si>
    <t>رابح المباراة 50</t>
  </si>
  <si>
    <t>رابح المباراة 51</t>
  </si>
  <si>
    <t>رابح المباراة 52</t>
  </si>
  <si>
    <t>خاسر المباراة 61</t>
  </si>
  <si>
    <t>خاسر المباراة 62</t>
  </si>
  <si>
    <t xml:space="preserve">لعب </t>
  </si>
  <si>
    <t xml:space="preserve">فوز </t>
  </si>
  <si>
    <t xml:space="preserve">تعادل </t>
  </si>
  <si>
    <t xml:space="preserve">خسارة </t>
  </si>
  <si>
    <t xml:space="preserve">أهداف له </t>
  </si>
  <si>
    <t xml:space="preserve">أهداف عليه </t>
  </si>
  <si>
    <t xml:space="preserve">النقاط </t>
  </si>
  <si>
    <t>İngiltere</t>
  </si>
  <si>
    <t>Fildişi Sahili</t>
  </si>
  <si>
    <t>Saat Dilimi</t>
  </si>
  <si>
    <t>Grup Aşaması</t>
  </si>
  <si>
    <t>Sıralama</t>
  </si>
  <si>
    <t>Sonuç</t>
  </si>
  <si>
    <t>Saat</t>
  </si>
  <si>
    <t>2. Tur</t>
  </si>
  <si>
    <t>Yarı Final</t>
  </si>
  <si>
    <t>Üçüncülük Maçı</t>
  </si>
  <si>
    <t>Birinci</t>
  </si>
  <si>
    <t>İkinci</t>
  </si>
  <si>
    <t>Normal Süre</t>
  </si>
  <si>
    <t>Uzatmalar</t>
  </si>
  <si>
    <t>Penaltı Atışları</t>
  </si>
  <si>
    <t>Maç No</t>
  </si>
  <si>
    <t>Grup A Birincisi</t>
  </si>
  <si>
    <t>Grup B Birincisi</t>
  </si>
  <si>
    <t>Grup C Birincisi</t>
  </si>
  <si>
    <t>Grup D Birincisi</t>
  </si>
  <si>
    <t>Grup E Birincisi</t>
  </si>
  <si>
    <t>Mexique</t>
  </si>
  <si>
    <t>Argentine</t>
  </si>
  <si>
    <t>Nigéria</t>
  </si>
  <si>
    <t>Angleterre</t>
  </si>
  <si>
    <t>Algérie</t>
  </si>
  <si>
    <t>Australie</t>
  </si>
  <si>
    <t>Japon</t>
  </si>
  <si>
    <t>Brésil</t>
  </si>
  <si>
    <t>Côte-d'Ivoire</t>
  </si>
  <si>
    <t>Langue</t>
  </si>
  <si>
    <t>Fuseau horaire</t>
  </si>
  <si>
    <t>Classements</t>
  </si>
  <si>
    <t>Groupe</t>
  </si>
  <si>
    <t>Pays</t>
  </si>
  <si>
    <t>Heure</t>
  </si>
  <si>
    <t>Demi-finales</t>
  </si>
  <si>
    <t>Match pour la troisième place</t>
  </si>
  <si>
    <t>Gagnant</t>
  </si>
  <si>
    <t>Mexiko</t>
  </si>
  <si>
    <t>Argentinien</t>
  </si>
  <si>
    <t>Algerien</t>
  </si>
  <si>
    <t>Niederlande</t>
  </si>
  <si>
    <t>Sprache</t>
  </si>
  <si>
    <t>Zeitzone</t>
  </si>
  <si>
    <t>Spiele</t>
  </si>
  <si>
    <t>Gruppe</t>
  </si>
  <si>
    <t>Ergebnis</t>
  </si>
  <si>
    <t>Viertelfinale</t>
  </si>
  <si>
    <t>Μεξικό</t>
  </si>
  <si>
    <t>Ουρουγουάη</t>
  </si>
  <si>
    <t>Αργεντινή</t>
  </si>
  <si>
    <t>Νιγηρία</t>
  </si>
  <si>
    <t>Ελλάδα</t>
  </si>
  <si>
    <t>Αγγλία</t>
  </si>
  <si>
    <t>ΗΠΑ</t>
  </si>
  <si>
    <t>Αλγερία</t>
  </si>
  <si>
    <t>Αυστραλία</t>
  </si>
  <si>
    <t>Γκάνα</t>
  </si>
  <si>
    <t>Ιαπωνία</t>
  </si>
  <si>
    <t>Καμερούν</t>
  </si>
  <si>
    <t>Βραζιλία</t>
  </si>
  <si>
    <t>Ακτή Ελεφαντοστού</t>
  </si>
  <si>
    <t>Πορτογαλία</t>
  </si>
  <si>
    <t>Ονδούρα</t>
  </si>
  <si>
    <t>Χιλή</t>
  </si>
  <si>
    <t>Γλώσσα</t>
  </si>
  <si>
    <t>Ημερομηνία</t>
  </si>
  <si>
    <t>Χώρα</t>
  </si>
  <si>
    <t>Αποτέλεσμα</t>
  </si>
  <si>
    <t>Γύρος των 16</t>
  </si>
  <si>
    <t>Νικητής</t>
  </si>
  <si>
    <t>Παράταση</t>
  </si>
  <si>
    <t>Πρωταθλητής</t>
  </si>
  <si>
    <t>Mexikó</t>
  </si>
  <si>
    <t>Argentína</t>
  </si>
  <si>
    <t>Algéria</t>
  </si>
  <si>
    <t>Ausztrália</t>
  </si>
  <si>
    <t>Ghána</t>
  </si>
  <si>
    <t>Japán</t>
  </si>
  <si>
    <t>Brazília</t>
  </si>
  <si>
    <t>Elefántcsontpart</t>
  </si>
  <si>
    <t>Nyelv</t>
  </si>
  <si>
    <t>Dátum</t>
  </si>
  <si>
    <t>Ország</t>
  </si>
  <si>
    <t>Legjobb 16</t>
  </si>
  <si>
    <t>Messico</t>
  </si>
  <si>
    <t>Inghilterra</t>
  </si>
  <si>
    <t>Stati Uniti</t>
  </si>
  <si>
    <t>Giappone</t>
  </si>
  <si>
    <t>Brasile</t>
  </si>
  <si>
    <t>Costa d'Avorio</t>
  </si>
  <si>
    <t>Cile</t>
  </si>
  <si>
    <t>Partite</t>
  </si>
  <si>
    <t>Gruppo</t>
  </si>
  <si>
    <t>Tempo</t>
  </si>
  <si>
    <t>Quarti di finale</t>
  </si>
  <si>
    <t>Vincitore</t>
  </si>
  <si>
    <t>Meksika</t>
  </si>
  <si>
    <t>Urugvajus</t>
  </si>
  <si>
    <t>Pietų Korėja</t>
  </si>
  <si>
    <t>Anglija</t>
  </si>
  <si>
    <t>JAV</t>
  </si>
  <si>
    <t>Alžyras</t>
  </si>
  <si>
    <t>Nyderlandai</t>
  </si>
  <si>
    <t>Japonija</t>
  </si>
  <si>
    <t>Kamerūnas</t>
  </si>
  <si>
    <t>Brazilija</t>
  </si>
  <si>
    <t>Dramblio Kaulo Krantas</t>
  </si>
  <si>
    <t>Hondūras</t>
  </si>
  <si>
    <t>Čilė</t>
  </si>
  <si>
    <t>Kalba</t>
  </si>
  <si>
    <t>Grupės etapai</t>
  </si>
  <si>
    <t>Atitikmenys</t>
  </si>
  <si>
    <t>Turnyrinė</t>
  </si>
  <si>
    <t>Grupė</t>
  </si>
  <si>
    <t>Šalis</t>
  </si>
  <si>
    <t>Balas</t>
  </si>
  <si>
    <t>Laikas</t>
  </si>
  <si>
    <t>Pusfinalio</t>
  </si>
  <si>
    <t>Rungtynės dėl trečiosios vietos</t>
  </si>
  <si>
    <t>Galutinė</t>
  </si>
  <si>
    <t>Nugalėtojas</t>
  </si>
  <si>
    <t>Wicemistrz</t>
  </si>
  <si>
    <t>Normalus laikas</t>
  </si>
  <si>
    <t>Bauda prasikalti</t>
  </si>
  <si>
    <t>Jepun</t>
  </si>
  <si>
    <t>Tarikh</t>
  </si>
  <si>
    <t>Messiku</t>
  </si>
  <si>
    <t>Urugwaj</t>
  </si>
  <si>
    <t>Arġentina</t>
  </si>
  <si>
    <t>Niġerja</t>
  </si>
  <si>
    <t>Koreja t'Isfel</t>
  </si>
  <si>
    <t>Ingilterra</t>
  </si>
  <si>
    <t>Alġerija</t>
  </si>
  <si>
    <t>Awstralja</t>
  </si>
  <si>
    <t>Ġappun</t>
  </si>
  <si>
    <t>Brażil</t>
  </si>
  <si>
    <t>Kosta ta 'l-Avorju</t>
  </si>
  <si>
    <t>Portugall</t>
  </si>
  <si>
    <t>Ħonduras</t>
  </si>
  <si>
    <t>Ċili</t>
  </si>
  <si>
    <t>Lingwa</t>
  </si>
  <si>
    <t>Stadji Grupp</t>
  </si>
  <si>
    <t>Sulfarini</t>
  </si>
  <si>
    <t>Grupp</t>
  </si>
  <si>
    <t>Pajjiż</t>
  </si>
  <si>
    <t>Ħin</t>
  </si>
  <si>
    <t>Round ta '16</t>
  </si>
  <si>
    <t>Match għall-Tielet Post</t>
  </si>
  <si>
    <t>Finali</t>
  </si>
  <si>
    <t>Normali Time</t>
  </si>
  <si>
    <t>Piena Shoot Out</t>
  </si>
  <si>
    <t>Meksyk</t>
  </si>
  <si>
    <t>Argentyna</t>
  </si>
  <si>
    <t>Anglia</t>
  </si>
  <si>
    <t>Japonia</t>
  </si>
  <si>
    <t>Brazylia</t>
  </si>
  <si>
    <t>Kraj</t>
  </si>
  <si>
    <t>Ocena</t>
  </si>
  <si>
    <t>Czas</t>
  </si>
  <si>
    <t>Normalny czas</t>
  </si>
  <si>
    <t>México</t>
  </si>
  <si>
    <t>Coréia do Sul</t>
  </si>
  <si>
    <t>Inglaterra</t>
  </si>
  <si>
    <t>E.U.A.</t>
  </si>
  <si>
    <t>Argélia</t>
  </si>
  <si>
    <t>Austrália</t>
  </si>
  <si>
    <t>Japão</t>
  </si>
  <si>
    <t>Camarões</t>
  </si>
  <si>
    <t>Costa do Marfim</t>
  </si>
  <si>
    <t>Grupo</t>
  </si>
  <si>
    <t>Campeão</t>
  </si>
  <si>
    <t>Mexic</t>
  </si>
  <si>
    <t>Coreea de Sud</t>
  </si>
  <si>
    <t>Brazilia</t>
  </si>
  <si>
    <t>Timp</t>
  </si>
  <si>
    <t>Campion</t>
  </si>
  <si>
    <t>Мексика</t>
  </si>
  <si>
    <t>Аргентина</t>
  </si>
  <si>
    <t>Южная Корея</t>
  </si>
  <si>
    <t>США</t>
  </si>
  <si>
    <t>Нидерланды</t>
  </si>
  <si>
    <t>Кот д'Ивуар</t>
  </si>
  <si>
    <t>Гондурас</t>
  </si>
  <si>
    <t>Язык</t>
  </si>
  <si>
    <t>Часовой пояс</t>
  </si>
  <si>
    <t>Группа</t>
  </si>
  <si>
    <t>Время</t>
  </si>
  <si>
    <t>Победитель</t>
  </si>
  <si>
    <t>Дополнительное время</t>
  </si>
  <si>
    <t>Пенальти</t>
  </si>
  <si>
    <t>Уругвај</t>
  </si>
  <si>
    <t>Аргентине</t>
  </si>
  <si>
    <t>Нигерија</t>
  </si>
  <si>
    <t>Јужна Кореја</t>
  </si>
  <si>
    <t>Енглеска</t>
  </si>
  <si>
    <t>САД</t>
  </si>
  <si>
    <t>Аустралија</t>
  </si>
  <si>
    <t>Јапан</t>
  </si>
  <si>
    <t>Бразила</t>
  </si>
  <si>
    <t>Обала Слоноваче</t>
  </si>
  <si>
    <t>Хондурасу</t>
  </si>
  <si>
    <t>Чиле</t>
  </si>
  <si>
    <t>Језик</t>
  </si>
  <si>
    <t>Зону</t>
  </si>
  <si>
    <t>Група Фазе</t>
  </si>
  <si>
    <t>Шибице</t>
  </si>
  <si>
    <t>Табеле</t>
  </si>
  <si>
    <t>Датум</t>
  </si>
  <si>
    <t>Земља</t>
  </si>
  <si>
    <t>Оцена</t>
  </si>
  <si>
    <t>Коло 16</t>
  </si>
  <si>
    <t>Полуфинале</t>
  </si>
  <si>
    <t>Полу-Финале</t>
  </si>
  <si>
    <t>Утакмица за треће место</t>
  </si>
  <si>
    <t>Коначни</t>
  </si>
  <si>
    <t>Победник</t>
  </si>
  <si>
    <t>Руннер Горе</t>
  </si>
  <si>
    <t>Нормална Време</t>
  </si>
  <si>
    <t>Додатне Време</t>
  </si>
  <si>
    <t>Казнени избијати</t>
  </si>
  <si>
    <t>Mehika</t>
  </si>
  <si>
    <t>Alžirija</t>
  </si>
  <si>
    <t>Avstralija</t>
  </si>
  <si>
    <t>Japonska</t>
  </si>
  <si>
    <t>Slonokoščena obala</t>
  </si>
  <si>
    <t>Skupina</t>
  </si>
  <si>
    <t>Čas</t>
  </si>
  <si>
    <t>Tekma za tretje mesto</t>
  </si>
  <si>
    <t>Zmagovalec</t>
  </si>
  <si>
    <t>อาร์เจนตินา</t>
  </si>
  <si>
    <t>ไนจีเรีย</t>
  </si>
  <si>
    <t>เกาหลีใต้</t>
  </si>
  <si>
    <t>แอลจีเรีย</t>
  </si>
  <si>
    <t>ออสเตรเลีย</t>
  </si>
  <si>
    <t>กานา</t>
  </si>
  <si>
    <t>เนเธอร์แลนด์</t>
  </si>
  <si>
    <t>ฮอนดูรัส</t>
  </si>
  <si>
    <t>ภาษา</t>
  </si>
  <si>
    <t>กลุ่ม</t>
  </si>
  <si>
    <t>ประเทศ</t>
  </si>
  <si>
    <t>เวลา</t>
  </si>
  <si>
    <t>แชมป์</t>
  </si>
  <si>
    <t>Thai</t>
  </si>
  <si>
    <t>Argelia</t>
  </si>
  <si>
    <t>Países Bajos</t>
  </si>
  <si>
    <t>Japón</t>
  </si>
  <si>
    <t>Camerún</t>
  </si>
  <si>
    <t>Costa de Marfil</t>
  </si>
  <si>
    <t>Zona Horaria</t>
  </si>
  <si>
    <t>Fase de grupos</t>
  </si>
  <si>
    <t>Partidos</t>
  </si>
  <si>
    <t>Clasificación</t>
  </si>
  <si>
    <t>Fecha</t>
  </si>
  <si>
    <t>Cuartos de final</t>
  </si>
  <si>
    <t>Semifinales</t>
  </si>
  <si>
    <t>Ganador</t>
  </si>
  <si>
    <t>Subcampeón</t>
  </si>
  <si>
    <t>Campeón</t>
  </si>
  <si>
    <t>Arjantin</t>
  </si>
  <si>
    <t>Nijerya</t>
  </si>
  <si>
    <t>Güney Kore</t>
  </si>
  <si>
    <t>ABD</t>
  </si>
  <si>
    <t>Cezayir</t>
  </si>
  <si>
    <t>Avustralya</t>
  </si>
  <si>
    <t>Japonya</t>
  </si>
  <si>
    <t>Brezilya</t>
  </si>
  <si>
    <t>Şili</t>
  </si>
  <si>
    <t>Dil</t>
  </si>
  <si>
    <t>Maçlar</t>
  </si>
  <si>
    <t>Tarih</t>
  </si>
  <si>
    <t>Ülke</t>
  </si>
  <si>
    <t>Puan</t>
  </si>
  <si>
    <t>Çeyrek Final</t>
  </si>
  <si>
    <t>Şampiyon</t>
  </si>
  <si>
    <t>Anh</t>
  </si>
  <si>
    <t>An-giê-ri</t>
  </si>
  <si>
    <t>Úc</t>
  </si>
  <si>
    <t>Nhật Bản</t>
  </si>
  <si>
    <t>Ý</t>
  </si>
  <si>
    <t>Bờ Biển Ngà</t>
  </si>
  <si>
    <t>Ngôn ngữ</t>
  </si>
  <si>
    <t>Múi giờ</t>
  </si>
  <si>
    <t>Ngày</t>
  </si>
  <si>
    <t>Thời gian</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</si>
  <si>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</si>
  <si>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</si>
  <si>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</si>
  <si>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</si>
  <si>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</si>
  <si>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</si>
  <si>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</si>
  <si>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</si>
  <si>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</si>
  <si>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</si>
  <si>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</si>
  <si>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</si>
  <si>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</si>
  <si>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</si>
  <si>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</si>
  <si>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</si>
  <si>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Match 53 Winner</t>
  </si>
  <si>
    <t>Match 54 Winner</t>
  </si>
  <si>
    <t>Match 56 Winner</t>
  </si>
  <si>
    <t>Match 57 Winner</t>
  </si>
  <si>
    <t>Match 58 Winner</t>
  </si>
  <si>
    <t>Match 61 Winner</t>
  </si>
  <si>
    <t>Match 62 Winner</t>
  </si>
  <si>
    <t>Match 63 Winner</t>
  </si>
  <si>
    <t>Match 64 Winner</t>
  </si>
  <si>
    <t>Match 60 Winner</t>
  </si>
  <si>
    <t>Match 59 Winner</t>
  </si>
  <si>
    <t>Match 55 Winner</t>
  </si>
  <si>
    <t>メキシコ</t>
  </si>
  <si>
    <t>ウルグアイ</t>
  </si>
  <si>
    <t>フランス</t>
  </si>
  <si>
    <t>アルゼンチン</t>
  </si>
  <si>
    <t>ナイジェリア</t>
  </si>
  <si>
    <t>大韓民国</t>
  </si>
  <si>
    <t>ギリシャ</t>
  </si>
  <si>
    <t>イングランド</t>
  </si>
  <si>
    <t>アメリカ合衆国</t>
  </si>
  <si>
    <t>アルジェリア</t>
  </si>
  <si>
    <t>ドイツ</t>
  </si>
  <si>
    <t>オーストラリア</t>
  </si>
  <si>
    <t>ガーナ</t>
  </si>
  <si>
    <t>オランダ</t>
  </si>
  <si>
    <t>カメルーン</t>
  </si>
  <si>
    <t>イタリア</t>
  </si>
  <si>
    <t>ブラジル</t>
  </si>
  <si>
    <t>コートジボワール</t>
  </si>
  <si>
    <t>ポルトガル</t>
  </si>
  <si>
    <t>スペイン</t>
  </si>
  <si>
    <t>スイス</t>
  </si>
  <si>
    <t>ホンジュラス</t>
  </si>
  <si>
    <t>チリ</t>
  </si>
  <si>
    <t>言語</t>
  </si>
  <si>
    <t>タイムゾーン</t>
  </si>
  <si>
    <t>グループステージ</t>
  </si>
  <si>
    <t>一致</t>
  </si>
  <si>
    <t>順位表</t>
  </si>
  <si>
    <t>グループ</t>
  </si>
  <si>
    <t>日付</t>
  </si>
  <si>
    <t>Νικητής Α Ομίλου</t>
  </si>
  <si>
    <t>Νικητής Β Ομίλου</t>
  </si>
  <si>
    <t>Νικητής Γ Ομίλου</t>
  </si>
  <si>
    <t>Νικητής Δ Ομίλου</t>
  </si>
  <si>
    <t>Νικητής Ε Ομίλου</t>
  </si>
  <si>
    <t>Νικητής ΣΤ Ομίλου</t>
  </si>
  <si>
    <t>Νικητής Ζ Ομίλου</t>
  </si>
  <si>
    <t>Νικητής Η Ομίλου</t>
  </si>
  <si>
    <t>Δεύτερος Α Ομίλου</t>
  </si>
  <si>
    <t>Δεύτερος Β Ομίλου</t>
  </si>
  <si>
    <t>Δεύτερος Γ Ομίλου</t>
  </si>
  <si>
    <t>Δεύτερος Δ Ομίλου</t>
  </si>
  <si>
    <t>Δεύτερος Ε Ομίλου</t>
  </si>
  <si>
    <t>Δεύτερος ΣΤ Ομίλου</t>
  </si>
  <si>
    <t>Δεύτερος Ζ Ομίλου</t>
  </si>
  <si>
    <t>Δεύτερος Η Ομίλου</t>
  </si>
  <si>
    <t>Νίκες</t>
  </si>
  <si>
    <t>Ισοπαλίες</t>
  </si>
  <si>
    <t>Ήττες</t>
  </si>
  <si>
    <t>Γκολ υπέρ</t>
  </si>
  <si>
    <t>Γκολ κατά</t>
  </si>
  <si>
    <t>Βαθμοί</t>
  </si>
  <si>
    <t>Δεύτερη θέση</t>
  </si>
  <si>
    <t>Όμιλος Α</t>
  </si>
  <si>
    <t>Όμιλος Β</t>
  </si>
  <si>
    <t>Όμιλος Γ</t>
  </si>
  <si>
    <t>Όμιλος Δ</t>
  </si>
  <si>
    <t>Όμιλος Ε</t>
  </si>
  <si>
    <t>Όμιλος ΣΤ</t>
  </si>
  <si>
    <t>Όμιλος Ζ</t>
  </si>
  <si>
    <t>Όμιλος Η</t>
  </si>
  <si>
    <t>Ηττημένος Αγώνα 61</t>
  </si>
  <si>
    <t>Ηττημένος Αγώνα 62</t>
  </si>
  <si>
    <t>Urugway</t>
  </si>
  <si>
    <t>Korea Poludniowa</t>
  </si>
  <si>
    <t>Alegria</t>
  </si>
  <si>
    <t>Wlochy</t>
  </si>
  <si>
    <t>Wybrzeze Kosci Sloniowej</t>
  </si>
  <si>
    <t>Jezyk</t>
  </si>
  <si>
    <t>Strefa Czasu</t>
  </si>
  <si>
    <t>Czesc Grupowa</t>
  </si>
  <si>
    <t>Mecze</t>
  </si>
  <si>
    <t>Pozycja</t>
  </si>
  <si>
    <t>Wynik</t>
  </si>
  <si>
    <t>Runda 16</t>
  </si>
  <si>
    <t>Cwierc-finaly</t>
  </si>
  <si>
    <t>Pol-finaly</t>
  </si>
  <si>
    <t>Mecz o 3-cia pozycje</t>
  </si>
  <si>
    <t>Zwyciezca</t>
  </si>
  <si>
    <t>2gi finalista</t>
  </si>
  <si>
    <t>Dodatkowy czas</t>
  </si>
  <si>
    <t>Karne</t>
  </si>
  <si>
    <t>Mistrz</t>
  </si>
  <si>
    <t>Mecz</t>
  </si>
  <si>
    <t>Grupa A Zwyciezca</t>
  </si>
  <si>
    <t>Grupa B Zwyciezca</t>
  </si>
  <si>
    <t>Grupa C Zwyciezca</t>
  </si>
  <si>
    <t>Grupa D Zwyciezca</t>
  </si>
  <si>
    <t>Grupa E Zwyciezca</t>
  </si>
  <si>
    <t>Grupa F Zwyciezca</t>
  </si>
  <si>
    <t>Grupa G Zwyciezca</t>
  </si>
  <si>
    <t>Grupa H Zwyciezca</t>
  </si>
  <si>
    <t>Grupa A 2gi</t>
  </si>
  <si>
    <t>Grupa B 2gi</t>
  </si>
  <si>
    <t>Grupa C 2gi</t>
  </si>
  <si>
    <t>Grupa D 2gi</t>
  </si>
  <si>
    <t>Grupa E 2gi</t>
  </si>
  <si>
    <t>Grupa F 2gi</t>
  </si>
  <si>
    <t>Grupa G 2gi</t>
  </si>
  <si>
    <t>Grupa H 2gi</t>
  </si>
  <si>
    <t>Mecz 53 Zwyciezca</t>
  </si>
  <si>
    <t>Mecz 54 Zwyciezca</t>
  </si>
  <si>
    <t>Mecz 55 Zwyciezca</t>
  </si>
  <si>
    <t>Mecz 56 Zwyciezca</t>
  </si>
  <si>
    <t>Mecz 57 Zwyciezca</t>
  </si>
  <si>
    <t>Mecz 58 Zwyciezca</t>
  </si>
  <si>
    <t>Mecz 59 Zwyciezca</t>
  </si>
  <si>
    <t>Mecz 60 Zwyciezca</t>
  </si>
  <si>
    <t>Mecz 61 Zwyciezca</t>
  </si>
  <si>
    <t>Mecz 62 Zwyciezca</t>
  </si>
  <si>
    <t>Mecz 63 Zwyciezca</t>
  </si>
  <si>
    <t>Mecz 64 Zwyciezca</t>
  </si>
  <si>
    <t xml:space="preserve">Bramki Strzelone </t>
  </si>
  <si>
    <t>Bramki Stracone</t>
  </si>
  <si>
    <t>Punkty</t>
  </si>
  <si>
    <t>2gie miejsce</t>
  </si>
  <si>
    <t>Mecz 49 Zwyciezca</t>
  </si>
  <si>
    <t>Mecz 50 Zwyciezca</t>
  </si>
  <si>
    <t>Mecz 51 Zwyciezca</t>
  </si>
  <si>
    <t>Mecz 52 Zwyciezca</t>
  </si>
  <si>
    <t>Mecz 61 Przegrany</t>
  </si>
  <si>
    <t>Mecz 62 Przegrany</t>
  </si>
  <si>
    <t>Südkorea</t>
  </si>
  <si>
    <t>Tabellen</t>
  </si>
  <si>
    <t>Spiel um Platz 3</t>
  </si>
  <si>
    <t>Sieger</t>
  </si>
  <si>
    <t>Zweiter</t>
  </si>
  <si>
    <t>Reguläre Spielzeit</t>
  </si>
  <si>
    <t>Verlängerung</t>
  </si>
  <si>
    <t>Elfmeterschießen</t>
  </si>
  <si>
    <t>Meister</t>
  </si>
  <si>
    <t>Sieger Gruppe A</t>
  </si>
  <si>
    <t>Sieger Gruppe B</t>
  </si>
  <si>
    <t>Sieger Gruppe D</t>
  </si>
  <si>
    <t>Sieger Gruppe E</t>
  </si>
  <si>
    <t>Sieger Gruppe F</t>
  </si>
  <si>
    <t>Sieger Gruppe G</t>
  </si>
  <si>
    <t>Sieger Gruppe H</t>
  </si>
  <si>
    <t>Zweiter Gruppe A</t>
  </si>
  <si>
    <t>Zweiter Gruppe B</t>
  </si>
  <si>
    <t>Zweiter Gruppe C</t>
  </si>
  <si>
    <t>Zweiter Gruppe D</t>
  </si>
  <si>
    <t>Zweiter Gruppe E</t>
  </si>
  <si>
    <t>Zweiter Gruppe F</t>
  </si>
  <si>
    <t>Zweiter Gruppe G</t>
  </si>
  <si>
    <t>Zweiter Gruppe H</t>
  </si>
  <si>
    <t>Sieger Spiel 53</t>
  </si>
  <si>
    <t>Sieger Spiel 54</t>
  </si>
  <si>
    <t>Sieger Spiel 55</t>
  </si>
  <si>
    <t>Sieger Spiel 56</t>
  </si>
  <si>
    <t>Sieger Spiel 57</t>
  </si>
  <si>
    <t>Sieger Spiel 58</t>
  </si>
  <si>
    <t>Sieger Spiel 59</t>
  </si>
  <si>
    <t>Sieger Spiel 60</t>
  </si>
  <si>
    <t>Sieger Spiel 61</t>
  </si>
  <si>
    <t>Sieger Spiel 62</t>
  </si>
  <si>
    <t>Sieger Spiel 63</t>
  </si>
  <si>
    <t>Sieger Spiel 64</t>
  </si>
  <si>
    <t>Zweiter Platz</t>
  </si>
  <si>
    <t>Sieger Spiel 49</t>
  </si>
  <si>
    <t>Sieger Spiel 50</t>
  </si>
  <si>
    <t>Sieger Spiel 51</t>
  </si>
  <si>
    <t>Sieger Spiel 52</t>
  </si>
  <si>
    <t>Verlierer Spiel 61</t>
  </si>
  <si>
    <t>Verlierer Spiel 62</t>
  </si>
  <si>
    <t>Francúzko</t>
  </si>
  <si>
    <t>Južná Kórea</t>
  </si>
  <si>
    <t>Grécko</t>
  </si>
  <si>
    <t>Anglicko</t>
  </si>
  <si>
    <t>Alžírsko</t>
  </si>
  <si>
    <t>Nemecko</t>
  </si>
  <si>
    <t>Holandsko</t>
  </si>
  <si>
    <t>Japonsko</t>
  </si>
  <si>
    <t>Taliansko</t>
  </si>
  <si>
    <t>Pobrežie Slonoviny</t>
  </si>
  <si>
    <t>Portugalsko</t>
  </si>
  <si>
    <t>Španielsko</t>
  </si>
  <si>
    <t>Švajčiarsko</t>
  </si>
  <si>
    <t>Slovenčina</t>
  </si>
  <si>
    <t>Časové pásmo</t>
  </si>
  <si>
    <t>Skupinová fáza</t>
  </si>
  <si>
    <t>Zápasy</t>
  </si>
  <si>
    <t>Poradie</t>
  </si>
  <si>
    <t>Krajina</t>
  </si>
  <si>
    <t>Výsledok</t>
  </si>
  <si>
    <t>Osemfinále</t>
  </si>
  <si>
    <t>Štvrťfinále</t>
  </si>
  <si>
    <t>Semifinále</t>
  </si>
  <si>
    <t>Zápas o tretie miesto</t>
  </si>
  <si>
    <t>Finále</t>
  </si>
  <si>
    <t>Víťaz</t>
  </si>
  <si>
    <t>Postupujúci</t>
  </si>
  <si>
    <t>Normálny hrací čas</t>
  </si>
  <si>
    <t>Predĺženie</t>
  </si>
  <si>
    <t>Po pok.kopoch</t>
  </si>
  <si>
    <t>Vinnare match 60</t>
  </si>
  <si>
    <t>Vinnare match 61</t>
  </si>
  <si>
    <t>Vinnare match 62</t>
  </si>
  <si>
    <t>Vinnare match 63</t>
  </si>
  <si>
    <t>Vinnare match 64</t>
  </si>
  <si>
    <t>Vinnare match 49</t>
  </si>
  <si>
    <t>Vinnare match 50</t>
  </si>
  <si>
    <t>Vinnare match 51</t>
  </si>
  <si>
    <t>Vinnare match 52</t>
  </si>
  <si>
    <t>Förlorare match 61</t>
  </si>
  <si>
    <t>Förlorare match 62</t>
  </si>
  <si>
    <t>Visit exceltemplate.net for more templates and updates</t>
  </si>
  <si>
    <t>Played</t>
  </si>
  <si>
    <t>Draw</t>
  </si>
  <si>
    <t>Lose</t>
  </si>
  <si>
    <t>Goal scored for</t>
  </si>
  <si>
    <t>Match 49 Winnaar</t>
  </si>
  <si>
    <t>Match 50 Winnaar</t>
  </si>
  <si>
    <t>Match 51 Winnaar</t>
  </si>
  <si>
    <t>Match 52 Winnaar</t>
  </si>
  <si>
    <t>Носител на срещата 49</t>
  </si>
  <si>
    <t>Носител на срещата 50</t>
  </si>
  <si>
    <t>Носител на срещата 51</t>
  </si>
  <si>
    <t>Носител на срещата 52</t>
  </si>
  <si>
    <t>Мачът 61 Loser</t>
  </si>
  <si>
    <t>Мачът 62 Loser</t>
  </si>
  <si>
    <t>Pemenang Pertandingan 49</t>
  </si>
  <si>
    <t>Pemenang Pertandingan 50</t>
  </si>
  <si>
    <t>Pemenang Pertandingan 51</t>
  </si>
  <si>
    <t>Pemenang Pertandingan 52</t>
  </si>
  <si>
    <t>Guanyador Partit 49</t>
  </si>
  <si>
    <t>Guanyador Partit 50</t>
  </si>
  <si>
    <t>Guanyador del partit 51</t>
  </si>
  <si>
    <t>Guanyador del partit 52</t>
  </si>
  <si>
    <t>Perdedor partit 61</t>
  </si>
  <si>
    <t>Perdedor partit 62</t>
  </si>
  <si>
    <t>Match Winner 49</t>
  </si>
  <si>
    <t>Winner Match 50</t>
  </si>
  <si>
    <t>Match Winner 51</t>
  </si>
  <si>
    <t>Match Winner 52</t>
  </si>
  <si>
    <t>Match 61 Gubitnik</t>
  </si>
  <si>
    <t>Match 62 Gubitnik</t>
  </si>
  <si>
    <t>Match Winner 50</t>
  </si>
  <si>
    <t>Ottelun 49 voittaja</t>
  </si>
  <si>
    <t>Ottelun 50 voittaja</t>
  </si>
  <si>
    <t>Ottelun 51 voittaja</t>
  </si>
  <si>
    <t>Ottelun 52 voittaja</t>
  </si>
  <si>
    <t>2º Classificado Grupo C</t>
  </si>
  <si>
    <t>2º Classificado Grupo D</t>
  </si>
  <si>
    <t>2º Classificado Grupo E</t>
  </si>
  <si>
    <t>2º Classificado Grupo F</t>
  </si>
  <si>
    <t>2º Classificado Grupo G</t>
  </si>
  <si>
    <t>2º Classificado Grupo H</t>
  </si>
  <si>
    <t>Vencedor Jogo 57</t>
  </si>
  <si>
    <t>Vencedor Jogo 58</t>
  </si>
  <si>
    <t>Vencedor Jogo 59</t>
  </si>
  <si>
    <t>Vencedor Jogo 60</t>
  </si>
  <si>
    <t>Vencedor Jogo 61</t>
  </si>
  <si>
    <t>Vencedor Jogo 62</t>
  </si>
  <si>
    <t>Vencedor Jogo 63</t>
  </si>
  <si>
    <t>Vencedor Jogo 64</t>
  </si>
  <si>
    <t>Vencedor do Grupo F</t>
  </si>
  <si>
    <t>Vencedor do Grupo G</t>
  </si>
  <si>
    <t>Vencedor do Grupo H</t>
  </si>
  <si>
    <t>Vencedor Jogo 53</t>
  </si>
  <si>
    <t>Vencedor Jogo 54</t>
  </si>
  <si>
    <t>Vencedor Jogo 55</t>
  </si>
  <si>
    <t>Vencedor Jogo 56</t>
  </si>
  <si>
    <t>Visite exceltemplate.net para modelos mais e atualizações</t>
  </si>
  <si>
    <t>Jogado</t>
  </si>
  <si>
    <t>Grupo A</t>
  </si>
  <si>
    <t>Grupo B</t>
  </si>
  <si>
    <t>Grupo C</t>
  </si>
  <si>
    <t>Grupo D</t>
  </si>
  <si>
    <t>Grupo E</t>
  </si>
  <si>
    <t>Grupo F</t>
  </si>
  <si>
    <t>Grupo G</t>
  </si>
  <si>
    <t>Grupo H</t>
  </si>
  <si>
    <t>Vizitaţi exceltemplate.net pentru mai multe template-uri şi actualizări</t>
  </si>
  <si>
    <t>Grupa A</t>
  </si>
  <si>
    <t>Матч #</t>
  </si>
  <si>
    <t>Победитель группы B</t>
  </si>
  <si>
    <t>Победитель группы С</t>
  </si>
  <si>
    <t>Победитель группы D</t>
  </si>
  <si>
    <t>Победитель группы E</t>
  </si>
  <si>
    <t>Победитель группы F</t>
  </si>
  <si>
    <t>Победитель матча 53</t>
  </si>
  <si>
    <t>Победитель матча 54</t>
  </si>
  <si>
    <t>Победитель матча 55</t>
  </si>
  <si>
    <t>Победитель матча 56</t>
  </si>
  <si>
    <t>Победитель матча 57</t>
  </si>
  <si>
    <t>Победитель матча 58</t>
  </si>
  <si>
    <t>Победитель матча 59</t>
  </si>
  <si>
    <t>Победитель матча 60</t>
  </si>
  <si>
    <t>Победитель матча 61</t>
  </si>
  <si>
    <t>Победитель матча 62</t>
  </si>
  <si>
    <t>Победитель матча 63</t>
  </si>
  <si>
    <t>Победитель матча 64</t>
  </si>
  <si>
    <t>Посетите exceltemplate.net Дополнительные шаблоны и обновления</t>
  </si>
  <si>
    <t>Сыграно</t>
  </si>
  <si>
    <t>Второе место</t>
  </si>
  <si>
    <t>Группа A</t>
  </si>
  <si>
    <t>Группа B</t>
  </si>
  <si>
    <t>Группа C</t>
  </si>
  <si>
    <t>Группа D</t>
  </si>
  <si>
    <t>Группа E</t>
  </si>
  <si>
    <t>Группа F</t>
  </si>
  <si>
    <t>Группа G</t>
  </si>
  <si>
    <t>Группа H</t>
  </si>
  <si>
    <t>Одговара #</t>
  </si>
  <si>
    <t>Група меча</t>
  </si>
  <si>
    <t>Група Б меча</t>
  </si>
  <si>
    <t>Група Ц меча</t>
  </si>
  <si>
    <t>Група Д меча</t>
  </si>
  <si>
    <t>Група Е меча</t>
  </si>
  <si>
    <t>Група Ф меча</t>
  </si>
  <si>
    <t>Група Г меча</t>
  </si>
  <si>
    <t>Група Х меча</t>
  </si>
  <si>
    <t>Група виљушкари Горе</t>
  </si>
  <si>
    <t>Група Б виљушкари Горе</t>
  </si>
  <si>
    <t>Група Ц виљушкари Горе</t>
  </si>
  <si>
    <t>Група Д виљушкари Горе</t>
  </si>
  <si>
    <t>Група Е виљушкари Горе</t>
  </si>
  <si>
    <t>Група Ф виљушкари Горе</t>
  </si>
  <si>
    <t>Група Г виљушкари Горе</t>
  </si>
  <si>
    <t>Група Х виљушкари Горе</t>
  </si>
  <si>
    <t>Победник меча 53</t>
  </si>
  <si>
    <t>Победник меча 54</t>
  </si>
  <si>
    <t>Победник меча 55</t>
  </si>
  <si>
    <t>Победник меча 56</t>
  </si>
  <si>
    <t>Победник меча 57</t>
  </si>
  <si>
    <t>Победник меча 58</t>
  </si>
  <si>
    <t>Победник меча 59</t>
  </si>
  <si>
    <t>Победник меча 60</t>
  </si>
  <si>
    <t>Победник меча 61</t>
  </si>
  <si>
    <t>Победник меча 62</t>
  </si>
  <si>
    <t>Победник меча 63</t>
  </si>
  <si>
    <t>Победник меча 64</t>
  </si>
  <si>
    <t>Посетите ексцелтемплате.нет за више предложака и допуне</t>
  </si>
  <si>
    <t>Одиграно</t>
  </si>
  <si>
    <t>Извлачење</t>
  </si>
  <si>
    <t>Изгубити</t>
  </si>
  <si>
    <t>Постигао гол за</t>
  </si>
  <si>
    <t>Постигао гол против</t>
  </si>
  <si>
    <t>Тачка</t>
  </si>
  <si>
    <t>Другом месту</t>
  </si>
  <si>
    <t>Група Б</t>
  </si>
  <si>
    <t>Група Ц</t>
  </si>
  <si>
    <t>Група Д</t>
  </si>
  <si>
    <t>Група Е</t>
  </si>
  <si>
    <t>Група Ф</t>
  </si>
  <si>
    <t>Група Г</t>
  </si>
  <si>
    <t>Група Х</t>
  </si>
  <si>
    <t>Skupina Winner</t>
  </si>
  <si>
    <t>Skupina B Zmagovalec</t>
  </si>
  <si>
    <t>Skupina C Winner</t>
  </si>
  <si>
    <t>Skupina D Zmagovalec</t>
  </si>
  <si>
    <t>Skupina E Winner</t>
  </si>
  <si>
    <t>Skupina F Winner</t>
  </si>
  <si>
    <t>Skupina G Winner</t>
  </si>
  <si>
    <t>Skupina H Winner</t>
  </si>
  <si>
    <t>Skupina Runner Up</t>
  </si>
  <si>
    <t>Skupina B Runner Up</t>
  </si>
  <si>
    <t>Skupina C Runner Up</t>
  </si>
  <si>
    <t>Skupina D Runner Up</t>
  </si>
  <si>
    <t>Skupina E Runner Up</t>
  </si>
  <si>
    <t>Skupina F Runner Up</t>
  </si>
  <si>
    <t>Skupina G Runner Up</t>
  </si>
  <si>
    <t>Skupina H Runner Up</t>
  </si>
  <si>
    <t>Obiščite exceltemplate.net za več predlog in posodobitve</t>
  </si>
  <si>
    <t>Risati</t>
  </si>
  <si>
    <t>Izgubiti</t>
  </si>
  <si>
    <t>Gol za</t>
  </si>
  <si>
    <t>Gol proti</t>
  </si>
  <si>
    <t>Drugo mesto</t>
  </si>
  <si>
    <t>Skupina B</t>
  </si>
  <si>
    <t>Skupina C</t>
  </si>
  <si>
    <t>Skupina D</t>
  </si>
  <si>
    <t>Skupina E</t>
  </si>
  <si>
    <t>Skupina F</t>
  </si>
  <si>
    <t>Skupina G</t>
  </si>
  <si>
    <t>Skupina H</t>
  </si>
  <si>
    <t>Exceltemplate.net ดู แม่ แบบ เพิ่มเติม และ ปรับปรุง</t>
  </si>
  <si>
    <t>กลุ่ม E</t>
  </si>
  <si>
    <t>Ganador del partido 64</t>
  </si>
  <si>
    <t>Visita exceltemplate.net para las plantillas más y actualizaciones</t>
  </si>
  <si>
    <t>Maç 53 Galibi</t>
  </si>
  <si>
    <t>Maç 54 Galibi</t>
  </si>
  <si>
    <t>Maç 55 Galibi</t>
  </si>
  <si>
    <t>Maç 56 Galibi</t>
  </si>
  <si>
    <t>Maç 57 Galibi</t>
  </si>
  <si>
    <t>Maç 58 Galibi</t>
  </si>
  <si>
    <t>Maç 59 Galibi</t>
  </si>
  <si>
    <t>Maç 60 Galibi</t>
  </si>
  <si>
    <t>Maç 61 Galibi</t>
  </si>
  <si>
    <t>Maç 62 Galibi</t>
  </si>
  <si>
    <t>Maç 63 Galibi</t>
  </si>
  <si>
    <t>Maç 64 Galibi</t>
  </si>
  <si>
    <t>Daha fazla şablon ve güncellemeler için Visit exceltemplate.net</t>
  </si>
  <si>
    <t>تیم دوم گروه G</t>
  </si>
  <si>
    <t>تیم دوم گروه H</t>
  </si>
  <si>
    <t>برنده بازی 53</t>
  </si>
  <si>
    <t>برنده بازی 54</t>
  </si>
  <si>
    <t>برنده بازی 55</t>
  </si>
  <si>
    <t>برنده بازی 56</t>
  </si>
  <si>
    <t>برنده بازی 57</t>
  </si>
  <si>
    <t>برنده بازی 58</t>
  </si>
  <si>
    <t>برنده بازی 59</t>
  </si>
  <si>
    <t>برنده بازی 60</t>
  </si>
  <si>
    <t>برنده بازی 61</t>
  </si>
  <si>
    <t>برنده بازی 62</t>
  </si>
  <si>
    <t>برنده بازی 63</t>
  </si>
  <si>
    <t>برنده بازی 64</t>
  </si>
  <si>
    <t>بازی</t>
  </si>
  <si>
    <t>برد</t>
  </si>
  <si>
    <t>مساوی</t>
  </si>
  <si>
    <t>باخت</t>
  </si>
  <si>
    <t>گل زده</t>
  </si>
  <si>
    <t>گل خورده</t>
  </si>
  <si>
    <t>امتیاز</t>
  </si>
  <si>
    <t>جایگاه دوم</t>
  </si>
  <si>
    <t>گروه A</t>
  </si>
  <si>
    <t>گروه B</t>
  </si>
  <si>
    <t>گروه C</t>
  </si>
  <si>
    <t>گروه D</t>
  </si>
  <si>
    <t>گروه E</t>
  </si>
  <si>
    <t>گروه F</t>
  </si>
  <si>
    <t>گروه G</t>
  </si>
  <si>
    <t>گروه H</t>
  </si>
  <si>
    <t>برنده بازی 49</t>
  </si>
  <si>
    <t>برنده بازی 50</t>
  </si>
  <si>
    <t>برنده بازی 51</t>
  </si>
  <si>
    <t>برنده بازی 52</t>
  </si>
  <si>
    <t>بازنده بازی 61</t>
  </si>
  <si>
    <t>بازنده بازی 62</t>
  </si>
  <si>
    <t>เม็กซิโก</t>
  </si>
  <si>
    <t>อุรุกวัย</t>
  </si>
  <si>
    <t>ฝรั่งเศส</t>
  </si>
  <si>
    <t>กรีก</t>
  </si>
  <si>
    <t>อังกฤษ</t>
  </si>
  <si>
    <t>สหรัฐอเมริกา</t>
  </si>
  <si>
    <t>เยอรมัน</t>
  </si>
  <si>
    <t>ญี่ปุ่น</t>
  </si>
  <si>
    <t>แคเมรูน</t>
  </si>
  <si>
    <t>อิตาลี</t>
  </si>
  <si>
    <t>บราซิล</t>
  </si>
  <si>
    <t>ไอวอรีโคสต์</t>
  </si>
  <si>
    <t>โปรตุเกส</t>
  </si>
  <si>
    <t>สเปน</t>
  </si>
  <si>
    <t>สวิสเซอร์แลนด์</t>
  </si>
  <si>
    <t>ชิลี</t>
  </si>
  <si>
    <t>เขตเวลา</t>
  </si>
  <si>
    <t>วันที่</t>
  </si>
  <si>
    <t>ผลการแข่งขัน</t>
  </si>
  <si>
    <t>รอบ 16 ทีม</t>
  </si>
  <si>
    <t>รอบรองชนะเลิศ</t>
  </si>
  <si>
    <t>รอบชิงที่สาม</t>
  </si>
  <si>
    <t>รอบชิงชนะเลิศ</t>
  </si>
  <si>
    <t>ผู้ชนะ</t>
  </si>
  <si>
    <t>ที่สอง</t>
  </si>
  <si>
    <t>เวลาปกติ</t>
  </si>
  <si>
    <t>ต่อเวลา</t>
  </si>
  <si>
    <t>ยิงลูกโทษ</t>
  </si>
  <si>
    <t>แม็ช #</t>
  </si>
  <si>
    <t>ผู้ชนะ กลุ่ม A</t>
  </si>
  <si>
    <t>ผู้ชนะ กลุ่ม B</t>
  </si>
  <si>
    <t>ผู้ชนะ กลุ่ม C</t>
  </si>
  <si>
    <t>ผู้ชนะ กลุ่ม D</t>
  </si>
  <si>
    <t>ผู้ชนะ กลุ่ม E</t>
  </si>
  <si>
    <t>ผู้ชนะ กลุ่ม F</t>
  </si>
  <si>
    <t>ผู้ชนะ กลุ่ม G</t>
  </si>
  <si>
    <t>ผู้ชนะ กลุ่ม H</t>
  </si>
  <si>
    <t xml:space="preserve">ที่สอง กลุ่ม A </t>
  </si>
  <si>
    <t>ที่สอง กลุ่ม B</t>
  </si>
  <si>
    <t>ที่สอง กลุ่ม C</t>
  </si>
  <si>
    <t>ที่สอง กลุ่ม D</t>
  </si>
  <si>
    <t>ที่สอง กลุ่ม E</t>
  </si>
  <si>
    <t>ที่สอง กลุ่ม F</t>
  </si>
  <si>
    <t>ที่สอง กลุ่ม G</t>
  </si>
  <si>
    <t>ที่สอง กลุ่ม H</t>
  </si>
  <si>
    <t>รองแชมป์</t>
  </si>
  <si>
    <t>กลุ่ม A</t>
  </si>
  <si>
    <t>กลุ่ม B</t>
  </si>
  <si>
    <t>กลุ่ม C</t>
  </si>
  <si>
    <t>กลุ่ม D</t>
  </si>
  <si>
    <t>กลุ่ม F</t>
  </si>
  <si>
    <t>กลุ่ม G</t>
  </si>
  <si>
    <t>กลุ่ม H</t>
  </si>
  <si>
    <t>Úrslit</t>
  </si>
  <si>
    <t>Sigurvegari</t>
  </si>
  <si>
    <t>2.sæti</t>
  </si>
  <si>
    <t>Venjulegur leiktími</t>
  </si>
  <si>
    <t>Framlenging</t>
  </si>
  <si>
    <t>Vítaspyrnukeppni</t>
  </si>
  <si>
    <t>Meistari</t>
  </si>
  <si>
    <t>Leikur #</t>
  </si>
  <si>
    <t>1.sæti riðill A</t>
  </si>
  <si>
    <t>1.sæti riðill B</t>
  </si>
  <si>
    <t>1.sæti riðill C</t>
  </si>
  <si>
    <t>1.sæti riðill D</t>
  </si>
  <si>
    <t>1.sæti riðill E</t>
  </si>
  <si>
    <t>1.sæti riðill F</t>
  </si>
  <si>
    <t>1.sæti riðill G</t>
  </si>
  <si>
    <t>1.sæti riðill H</t>
  </si>
  <si>
    <t>2.sæti riðill A</t>
  </si>
  <si>
    <t>2.sæti riðill B</t>
  </si>
  <si>
    <t>2.sæti riðill C</t>
  </si>
  <si>
    <t>2.sæti riðill D</t>
  </si>
  <si>
    <t>2.sæti riðill E</t>
  </si>
  <si>
    <t>Aikavyöhyke</t>
  </si>
  <si>
    <t>Alkulohkot</t>
  </si>
  <si>
    <t>Ottelut</t>
  </si>
  <si>
    <t>Taulukot</t>
  </si>
  <si>
    <t>Lohko</t>
  </si>
  <si>
    <t>Pvm</t>
  </si>
  <si>
    <t>Joukkue</t>
  </si>
  <si>
    <t>Tulos</t>
  </si>
  <si>
    <t>Aika</t>
  </si>
  <si>
    <t>Neljännesvälierät</t>
  </si>
  <si>
    <t>Puolivälierät</t>
  </si>
  <si>
    <t>Välierät</t>
  </si>
  <si>
    <t>Pronssiottelu</t>
  </si>
  <si>
    <t>Loppuottelu</t>
  </si>
  <si>
    <t>Voittaja</t>
  </si>
  <si>
    <t>Kakkonen</t>
  </si>
  <si>
    <t>Varsinainen peliaika</t>
  </si>
  <si>
    <t>Jatkoaika</t>
  </si>
  <si>
    <t>Rangaistuspotkut</t>
  </si>
  <si>
    <t>Mestari</t>
  </si>
  <si>
    <t>Ottelu #</t>
  </si>
  <si>
    <t>Lohkon A voittaja</t>
  </si>
  <si>
    <t>Lohkon B voittaja</t>
  </si>
  <si>
    <t>Lohkon C voittaja</t>
  </si>
  <si>
    <t>Lohkon D voittaja</t>
  </si>
  <si>
    <t>Lohkon E voittaja</t>
  </si>
  <si>
    <t>Lohkon F voittaja</t>
  </si>
  <si>
    <t>Lohkon G voittaja</t>
  </si>
  <si>
    <t>Lohkon H voittaja</t>
  </si>
  <si>
    <t>Lohkon A kakkonen</t>
  </si>
  <si>
    <t>Lohkon B kakkonen</t>
  </si>
  <si>
    <t>Lohkon C kakkonen</t>
  </si>
  <si>
    <t>Lohkon D kakkonen</t>
  </si>
  <si>
    <t>Lohkon E kakkonen</t>
  </si>
  <si>
    <t>Lohkon F kakkonen</t>
  </si>
  <si>
    <t>Lohkon G kakkonen</t>
  </si>
  <si>
    <t>Lohkon H kakkonen</t>
  </si>
  <si>
    <t>Voitot</t>
  </si>
  <si>
    <t>Tasapelit</t>
  </si>
  <si>
    <t>Häviöt</t>
  </si>
  <si>
    <t>Tehdyt maalit</t>
  </si>
  <si>
    <t>Päästetyt maalit</t>
  </si>
  <si>
    <t>Toinen sija</t>
  </si>
  <si>
    <t>Lohko A</t>
  </si>
  <si>
    <t>Lohko B</t>
  </si>
  <si>
    <t>Lohko C</t>
  </si>
  <si>
    <t>Lohko D</t>
  </si>
  <si>
    <t>Ottelun 61 häviäjä</t>
  </si>
  <si>
    <t>Ottelun 62 häviäjä</t>
  </si>
  <si>
    <t>Corée du Sud</t>
  </si>
  <si>
    <t xml:space="preserve">États-Unis </t>
  </si>
  <si>
    <t>Phases de poules</t>
  </si>
  <si>
    <t>Rencontres</t>
  </si>
  <si>
    <t xml:space="preserve">Huitièmes de finale </t>
  </si>
  <si>
    <t>Quarts de finale</t>
  </si>
  <si>
    <t>Second</t>
  </si>
  <si>
    <t>Temps réglementaire</t>
  </si>
  <si>
    <t>Temps additionnel</t>
  </si>
  <si>
    <t>Tirs au but</t>
  </si>
  <si>
    <t>Groupe A Vainqueur</t>
  </si>
  <si>
    <t>Groupe B Vainqueur</t>
  </si>
  <si>
    <t>Groupe C Vainqueur</t>
  </si>
  <si>
    <t>Groupe D Vainqueur</t>
  </si>
  <si>
    <t>Groupe E Vainqueur</t>
  </si>
  <si>
    <t>Groupe F Vainqueur</t>
  </si>
  <si>
    <t>Groupe G Vainqueur</t>
  </si>
  <si>
    <t>Groupe H Vainqueur</t>
  </si>
  <si>
    <t>Second Groupe A</t>
  </si>
  <si>
    <t>Second Groupe B</t>
  </si>
  <si>
    <t>Second Groupe C</t>
  </si>
  <si>
    <t>Second Groupe D</t>
  </si>
  <si>
    <t>Second Groupe E</t>
  </si>
  <si>
    <t>Second Groupe F</t>
  </si>
  <si>
    <t>Second Groupe G</t>
  </si>
  <si>
    <t>Second Groupe H</t>
  </si>
  <si>
    <t>Match 53 Vainqueur</t>
  </si>
  <si>
    <t>Match 54 Vainqueur</t>
  </si>
  <si>
    <t>Match 55 Vainqueur</t>
  </si>
  <si>
    <t>Match 56 Vainqueur</t>
  </si>
  <si>
    <t>Match 57 Vainqueur</t>
  </si>
  <si>
    <t>Match 58 Vainqueur</t>
  </si>
  <si>
    <t>Match 59 Vainqueur</t>
  </si>
  <si>
    <t>Match 60 Vainqueur</t>
  </si>
  <si>
    <t>Match 61 Vainqueur</t>
  </si>
  <si>
    <t>Match 62 Vainqueur</t>
  </si>
  <si>
    <t>Match 63 Vainqueur</t>
  </si>
  <si>
    <t>Match 64 Vainqueur</t>
  </si>
  <si>
    <t xml:space="preserve">Joué </t>
  </si>
  <si>
    <t>Gagné</t>
  </si>
  <si>
    <t>Nul</t>
  </si>
  <si>
    <t>Perdu</t>
  </si>
  <si>
    <t>But pour</t>
  </si>
  <si>
    <t>But contre</t>
  </si>
  <si>
    <t>Deuxième place</t>
  </si>
  <si>
    <t>Match 49 Vainqueur</t>
  </si>
  <si>
    <t>Match 50 Vainqueur</t>
  </si>
  <si>
    <t>Match 51 Vainqueur</t>
  </si>
  <si>
    <t>Match 52 Vainqueur</t>
  </si>
  <si>
    <t>Match 61 Perdant</t>
  </si>
  <si>
    <t>Match 62 Perdant</t>
  </si>
  <si>
    <t>მექსიკა</t>
  </si>
  <si>
    <t>ურუგვაი</t>
  </si>
  <si>
    <t>საფრანგეთი</t>
  </si>
  <si>
    <t>არგენტინა</t>
  </si>
  <si>
    <t>ნიგერია</t>
  </si>
  <si>
    <t>სამხრეთ კორეა</t>
  </si>
  <si>
    <t>საბერძნეთი</t>
  </si>
  <si>
    <t>ინგლისი</t>
  </si>
  <si>
    <t>აშშ</t>
  </si>
  <si>
    <t>ალჟირი</t>
  </si>
  <si>
    <t>გერმანია</t>
  </si>
  <si>
    <t>ავსტრალია</t>
  </si>
  <si>
    <t>განა</t>
  </si>
  <si>
    <t>ჰოლანდია</t>
  </si>
  <si>
    <t>იაპონია</t>
  </si>
  <si>
    <t>კამერუნი</t>
  </si>
  <si>
    <t>იტალია</t>
  </si>
  <si>
    <t>ბრაზილია</t>
  </si>
  <si>
    <t>კოტ-დ'ივუარი</t>
  </si>
  <si>
    <t>პორტუგალია</t>
  </si>
  <si>
    <t>ესპანეთი</t>
  </si>
  <si>
    <t>შვეიცარია</t>
  </si>
  <si>
    <t>ჰონდურასი</t>
  </si>
  <si>
    <t>ჩილე</t>
  </si>
  <si>
    <t>ენა</t>
  </si>
  <si>
    <t>სასაათო სარტყელი</t>
  </si>
  <si>
    <t>ჯგუფური ეტაპი</t>
  </si>
  <si>
    <t>მატჩები</t>
  </si>
  <si>
    <t>მდგომარეობა</t>
  </si>
  <si>
    <t>ჯგუფი</t>
  </si>
  <si>
    <t>თარიღი</t>
  </si>
  <si>
    <t>ქვეყანა</t>
  </si>
  <si>
    <t>ანგარიში</t>
  </si>
  <si>
    <t>დრო</t>
  </si>
  <si>
    <t>მერვედფინალი</t>
  </si>
  <si>
    <t>მეოთხედფინალი</t>
  </si>
  <si>
    <t>ნახევარფინალი</t>
  </si>
  <si>
    <t>მატჩი მესამე ადგილისთვის</t>
  </si>
  <si>
    <t>ფინალი</t>
  </si>
  <si>
    <t>გამარჯვებული</t>
  </si>
  <si>
    <t>მეორე ადგილი</t>
  </si>
  <si>
    <t>ძირითადი დრო</t>
  </si>
  <si>
    <t>დამატებითი დრო</t>
  </si>
  <si>
    <t>პენალტების სერია</t>
  </si>
  <si>
    <t>ჩემპიონი</t>
  </si>
  <si>
    <t>მატჩი #</t>
  </si>
  <si>
    <t>ჯგუფი A-ს გამარჯვებული</t>
  </si>
  <si>
    <t>ჯგუფი B-ს გამარჯვებული</t>
  </si>
  <si>
    <t>ჯგუფი C-ს გამარჯვებული</t>
  </si>
  <si>
    <t>ჯგუფი D-ს გამარჯვებული</t>
  </si>
  <si>
    <t>ჯგუფი E-ს გამარჯვებული</t>
  </si>
  <si>
    <t>ჯგუფი F-ს გამარჯვებული</t>
  </si>
  <si>
    <t>ჯგუფი G-ს გამარჯვებული</t>
  </si>
  <si>
    <t>ჯგუფი H-ს გამარჯვებული</t>
  </si>
  <si>
    <t>ჯგუფი A-ს მეორე ადგილი</t>
  </si>
  <si>
    <t>ჯგუფი B-ს მეორე ადგილი</t>
  </si>
  <si>
    <t>ჯგუფი C-ს მეორე ადგილი</t>
  </si>
  <si>
    <t>ჯგუფი D-ს მეორე ადგილი</t>
  </si>
  <si>
    <t>ჯგუფი E-ს მეორე ადგილი</t>
  </si>
  <si>
    <t>ჯგუფი F-ს მეორე ადგილი</t>
  </si>
  <si>
    <t>ჯგუფი G-ს მეორე ადგილი</t>
  </si>
  <si>
    <t>ჯგუფი H-ს მეორე ადგილი</t>
  </si>
  <si>
    <t>53-ე მატჩის გამარჯვებული</t>
  </si>
  <si>
    <t>54-ე მატჩის გამარჯვებული</t>
  </si>
  <si>
    <t>55-ე მატჩის გამარჯვებული</t>
  </si>
  <si>
    <t>56-ე მატჩის გამარჯვებული</t>
  </si>
  <si>
    <t>57-ე მატჩის გამარჯვებული</t>
  </si>
  <si>
    <t xml:space="preserve">Minneapolis </t>
  </si>
  <si>
    <t xml:space="preserve">Minsk </t>
  </si>
  <si>
    <t>Montevideo</t>
  </si>
  <si>
    <t xml:space="preserve">Montgomery </t>
  </si>
  <si>
    <t xml:space="preserve">Montreal </t>
  </si>
  <si>
    <t xml:space="preserve">Moscow </t>
  </si>
  <si>
    <t>Mumbai</t>
  </si>
  <si>
    <t>Nairobi</t>
  </si>
  <si>
    <t xml:space="preserve">Nassau </t>
  </si>
  <si>
    <t>New Delhi</t>
  </si>
  <si>
    <t xml:space="preserve">New Orleans </t>
  </si>
  <si>
    <t xml:space="preserve">New York </t>
  </si>
  <si>
    <t xml:space="preserve">Oslo </t>
  </si>
  <si>
    <t xml:space="preserve">Ottawa </t>
  </si>
  <si>
    <t xml:space="preserve">Paris </t>
  </si>
  <si>
    <t>Perth</t>
  </si>
  <si>
    <t xml:space="preserve">Philadelphia </t>
  </si>
  <si>
    <t>Phoenix</t>
  </si>
  <si>
    <t xml:space="preserve">Prague </t>
  </si>
  <si>
    <t>Reykjavik</t>
  </si>
  <si>
    <t>Rio de Janeiro</t>
  </si>
  <si>
    <t>Riyadh</t>
  </si>
  <si>
    <t xml:space="preserve">Rome </t>
  </si>
  <si>
    <t xml:space="preserve">San Francisco </t>
  </si>
  <si>
    <t>San Juan</t>
  </si>
  <si>
    <t>San Salvador</t>
  </si>
  <si>
    <t>Santiago</t>
  </si>
  <si>
    <t>Santo Domingo</t>
  </si>
  <si>
    <t>Sao Paulo</t>
  </si>
  <si>
    <t xml:space="preserve">Seattle </t>
  </si>
  <si>
    <t>Seoul</t>
  </si>
  <si>
    <t>Shanghai</t>
  </si>
  <si>
    <t>Singapore</t>
  </si>
  <si>
    <t xml:space="preserve">Sofia </t>
  </si>
  <si>
    <t xml:space="preserve">St. John's </t>
  </si>
  <si>
    <t xml:space="preserve">St. Paul </t>
  </si>
  <si>
    <t xml:space="preserve">Stockholm </t>
  </si>
  <si>
    <t>Suva</t>
  </si>
  <si>
    <t>Sydney</t>
  </si>
  <si>
    <t>Taipei</t>
  </si>
  <si>
    <t xml:space="preserve">Tallinn </t>
  </si>
  <si>
    <t>Tashkent</t>
  </si>
  <si>
    <t>Tegucigalpa</t>
  </si>
  <si>
    <t xml:space="preserve">Tehran </t>
  </si>
  <si>
    <t>Tokyo</t>
  </si>
  <si>
    <t xml:space="preserve">Toronto </t>
  </si>
  <si>
    <t xml:space="preserve">Vancouver </t>
  </si>
  <si>
    <t xml:space="preserve">Vienna </t>
  </si>
  <si>
    <t xml:space="preserve">Vladivostok </t>
  </si>
  <si>
    <t xml:space="preserve">Warsaw </t>
  </si>
  <si>
    <t xml:space="preserve">Washington DC </t>
  </si>
  <si>
    <t xml:space="preserve">Winnipeg </t>
  </si>
  <si>
    <t>Yangon</t>
  </si>
  <si>
    <t xml:space="preserve">Zagreb </t>
  </si>
  <si>
    <t xml:space="preserve">Zürich </t>
  </si>
  <si>
    <t>r musadya</t>
  </si>
  <si>
    <t>Mexico</t>
  </si>
  <si>
    <t>Uruguay</t>
  </si>
  <si>
    <t>Argentina</t>
  </si>
  <si>
    <t>Nigeria</t>
  </si>
  <si>
    <t>England</t>
  </si>
  <si>
    <t>USA</t>
  </si>
  <si>
    <t>Algeria</t>
  </si>
  <si>
    <t>Slovenia</t>
  </si>
  <si>
    <t>Australia</t>
  </si>
  <si>
    <t>Serbia</t>
  </si>
  <si>
    <t>Ghana</t>
  </si>
  <si>
    <t>Denmark</t>
  </si>
  <si>
    <t>Japan</t>
  </si>
  <si>
    <t>Cameroon</t>
  </si>
  <si>
    <t>Paraguay</t>
  </si>
  <si>
    <t>New Zealand</t>
  </si>
  <si>
    <t>Slovakia</t>
  </si>
  <si>
    <t>Brazil</t>
  </si>
  <si>
    <t>Honduras</t>
  </si>
  <si>
    <t>Chile</t>
  </si>
  <si>
    <t>Meksiko</t>
  </si>
  <si>
    <t>Korea Selatan</t>
  </si>
  <si>
    <t>Inggris</t>
  </si>
  <si>
    <t>Amerika Serikat</t>
  </si>
  <si>
    <t>Aljazair</t>
  </si>
  <si>
    <t>Jepang</t>
  </si>
  <si>
    <t>Kamerun</t>
  </si>
  <si>
    <t>A3</t>
  </si>
  <si>
    <t>A4</t>
  </si>
  <si>
    <t>1st</t>
  </si>
  <si>
    <t>2nd</t>
  </si>
  <si>
    <t>3rd</t>
  </si>
  <si>
    <t>4th</t>
  </si>
  <si>
    <t>5th</t>
  </si>
  <si>
    <t>6th</t>
  </si>
  <si>
    <t>7th</t>
  </si>
  <si>
    <t>8th</t>
  </si>
  <si>
    <t>Top Scorer</t>
  </si>
  <si>
    <t>All Players</t>
  </si>
  <si>
    <t>A5</t>
  </si>
  <si>
    <t>A6</t>
  </si>
  <si>
    <t>A7</t>
  </si>
  <si>
    <t>A8</t>
  </si>
  <si>
    <t>A9</t>
  </si>
  <si>
    <t>A10</t>
  </si>
  <si>
    <t>A11</t>
  </si>
  <si>
    <t>A12</t>
  </si>
  <si>
    <t>A13</t>
  </si>
  <si>
    <t>A14</t>
  </si>
  <si>
    <t>A15</t>
  </si>
  <si>
    <t>A16</t>
  </si>
  <si>
    <t>A17</t>
  </si>
  <si>
    <t>A18</t>
  </si>
  <si>
    <t>A19</t>
  </si>
  <si>
    <t>A20</t>
  </si>
  <si>
    <t>A21</t>
  </si>
  <si>
    <t>A22</t>
  </si>
  <si>
    <t>A23</t>
  </si>
  <si>
    <t>A24</t>
  </si>
  <si>
    <t>A25</t>
  </si>
  <si>
    <t>Player 1</t>
  </si>
  <si>
    <t>Player 2</t>
  </si>
  <si>
    <t>Player 3</t>
  </si>
  <si>
    <t>Player 4</t>
  </si>
  <si>
    <t>Player 5</t>
  </si>
  <si>
    <t>Player 6</t>
  </si>
  <si>
    <t>Player 7</t>
  </si>
  <si>
    <t>Player 8</t>
  </si>
  <si>
    <t>Player 9</t>
  </si>
  <si>
    <t>Player 10</t>
  </si>
  <si>
    <t>Player 11</t>
  </si>
  <si>
    <t>Player 12</t>
  </si>
  <si>
    <t>Player 13</t>
  </si>
  <si>
    <t>Player 14</t>
  </si>
  <si>
    <t>Player 15</t>
  </si>
  <si>
    <t>Player 16</t>
  </si>
  <si>
    <t>Player 17</t>
  </si>
  <si>
    <t>Player 18</t>
  </si>
  <si>
    <t>Player 19</t>
  </si>
  <si>
    <t>Player 20</t>
  </si>
  <si>
    <t>Player 21</t>
  </si>
  <si>
    <t>Player 22</t>
  </si>
  <si>
    <t>Player 23</t>
  </si>
  <si>
    <t>Top Scorer :</t>
  </si>
  <si>
    <t>FT</t>
  </si>
  <si>
    <t>ET</t>
  </si>
  <si>
    <t>PK</t>
  </si>
  <si>
    <t>'Player Database'!A3</t>
  </si>
  <si>
    <t>'Player Database'!A4</t>
  </si>
  <si>
    <t>'Player Database'!A5</t>
  </si>
  <si>
    <t>'Player Database'!A6</t>
  </si>
  <si>
    <t>'Player Database'!A7</t>
  </si>
  <si>
    <t>'Player Database'!A8</t>
  </si>
  <si>
    <t>'Player Database'!A9</t>
  </si>
  <si>
    <t>'Player Database'!A10</t>
  </si>
  <si>
    <t>'Player Database'!A11</t>
  </si>
  <si>
    <t>'Player Database'!A12</t>
  </si>
  <si>
    <t>'Player Database'!A13</t>
  </si>
  <si>
    <t>'Player Database'!A14</t>
  </si>
  <si>
    <t>'Player Database'!A15</t>
  </si>
  <si>
    <t>'Player Database'!A16</t>
  </si>
  <si>
    <t>'Player Database'!A17</t>
  </si>
  <si>
    <t>'Player Database'!A18</t>
  </si>
  <si>
    <t>'Player Database'!A19</t>
  </si>
  <si>
    <t>'Player Database'!A20</t>
  </si>
  <si>
    <t>'Player Database'!A21</t>
  </si>
  <si>
    <t>'Player Database'!A22</t>
  </si>
  <si>
    <t>'Player Database'!A23</t>
  </si>
  <si>
    <t>'Player Database'!A24</t>
  </si>
  <si>
    <t>'Player Database'!A25</t>
  </si>
  <si>
    <t>South Africa</t>
  </si>
  <si>
    <t>South Korea</t>
  </si>
  <si>
    <t>Germany</t>
  </si>
  <si>
    <t>Netherlands</t>
  </si>
  <si>
    <t>Italy</t>
  </si>
  <si>
    <t>North Korea</t>
  </si>
  <si>
    <t>Spain</t>
  </si>
  <si>
    <t>CR4</t>
  </si>
  <si>
    <t>CR5</t>
  </si>
  <si>
    <t>CR6</t>
  </si>
  <si>
    <t>CR7</t>
  </si>
  <si>
    <t>CR8</t>
  </si>
  <si>
    <t>CR9</t>
  </si>
  <si>
    <t>CR10</t>
  </si>
  <si>
    <t>CR11</t>
  </si>
  <si>
    <t>CR12</t>
  </si>
  <si>
    <t>CR13</t>
  </si>
  <si>
    <t>CR14</t>
  </si>
  <si>
    <t>CR15</t>
  </si>
  <si>
    <t>CR16</t>
  </si>
  <si>
    <t>CR17</t>
  </si>
  <si>
    <t>CR18</t>
  </si>
  <si>
    <t>CR19</t>
  </si>
  <si>
    <t>CR20</t>
  </si>
  <si>
    <t>CR21</t>
  </si>
  <si>
    <t>CR22</t>
  </si>
  <si>
    <t>CR23</t>
  </si>
  <si>
    <t>CR24</t>
  </si>
  <si>
    <t>CR25</t>
  </si>
  <si>
    <t>CR26</t>
  </si>
  <si>
    <t>CR27</t>
  </si>
  <si>
    <t>CR28</t>
  </si>
  <si>
    <t>CR29</t>
  </si>
  <si>
    <t>CR30</t>
  </si>
  <si>
    <t>CR31</t>
  </si>
  <si>
    <t>CR32</t>
  </si>
  <si>
    <t>CR33</t>
  </si>
  <si>
    <t>CR34</t>
  </si>
  <si>
    <t>CR35</t>
  </si>
  <si>
    <t>CR36</t>
  </si>
  <si>
    <t>CR37</t>
  </si>
  <si>
    <t>CR38</t>
  </si>
  <si>
    <t>CR39</t>
  </si>
  <si>
    <t>CR40</t>
  </si>
  <si>
    <t>CR41</t>
  </si>
  <si>
    <t>CR42</t>
  </si>
  <si>
    <t>CR43</t>
  </si>
  <si>
    <t>CR44</t>
  </si>
  <si>
    <t>CR45</t>
  </si>
  <si>
    <t>Rank</t>
  </si>
  <si>
    <t>group</t>
  </si>
  <si>
    <t>Croatia</t>
  </si>
  <si>
    <t>Kroasië</t>
  </si>
  <si>
    <t>Kroacia</t>
  </si>
  <si>
    <t>كرواتيا</t>
  </si>
  <si>
    <t>Хърватия</t>
  </si>
  <si>
    <t>Croàcia</t>
  </si>
  <si>
    <t>克罗地亚</t>
  </si>
  <si>
    <t>克羅地亞</t>
  </si>
  <si>
    <t>Hrvatska</t>
  </si>
  <si>
    <t>Kroatien</t>
  </si>
  <si>
    <t>Kroatië</t>
  </si>
  <si>
    <t>Kroatia</t>
  </si>
  <si>
    <t>Croatie</t>
  </si>
  <si>
    <t>ხორვატია</t>
  </si>
  <si>
    <t xml:space="preserve">Κροατία </t>
  </si>
  <si>
    <t>קרואטיה</t>
  </si>
  <si>
    <t>Horvátország</t>
  </si>
  <si>
    <t>Kroasia</t>
  </si>
  <si>
    <t>Króatía</t>
  </si>
  <si>
    <t>Croazia</t>
  </si>
  <si>
    <t>クロアチア</t>
  </si>
  <si>
    <t>크로아티아</t>
  </si>
  <si>
    <t>Kroatija</t>
  </si>
  <si>
    <t>Хрватска</t>
  </si>
  <si>
    <t>Croatia *</t>
  </si>
  <si>
    <t>Kroazja</t>
  </si>
  <si>
    <t>کرواسی</t>
  </si>
  <si>
    <t>Chorwacja</t>
  </si>
  <si>
    <t>Croácia</t>
  </si>
  <si>
    <t>Хорватия</t>
  </si>
  <si>
    <t>Chorvátsko</t>
  </si>
  <si>
    <t>Hrvaška</t>
  </si>
  <si>
    <t>Croacia</t>
  </si>
  <si>
    <t>kroatien</t>
  </si>
  <si>
    <t>โครเอเชีย</t>
  </si>
  <si>
    <t>Hırvatistan</t>
  </si>
  <si>
    <t>хорватія</t>
  </si>
  <si>
    <t>Colombia</t>
  </si>
  <si>
    <t>Kolumbi</t>
  </si>
  <si>
    <t>كولومبيا</t>
  </si>
  <si>
    <t>Колумбия</t>
  </si>
  <si>
    <t>Colòmbia</t>
  </si>
  <si>
    <t>哥伦比亚</t>
  </si>
  <si>
    <t>哥倫比亞</t>
  </si>
  <si>
    <t>Kolumbija</t>
  </si>
  <si>
    <t>Kolumbia</t>
  </si>
  <si>
    <t>Colombie</t>
  </si>
  <si>
    <t>კოლუმბიის</t>
  </si>
  <si>
    <t>Kolumbien</t>
  </si>
  <si>
    <t>Κολομβία</t>
  </si>
  <si>
    <t>קולומביה</t>
  </si>
  <si>
    <t>Kólumbía</t>
  </si>
  <si>
    <t>コロンビア</t>
  </si>
  <si>
    <t>콜롬비아</t>
  </si>
  <si>
    <t>Колумбија</t>
  </si>
  <si>
    <t>Kolombja</t>
  </si>
  <si>
    <t>کلمبیا</t>
  </si>
  <si>
    <t>Colômbia</t>
  </si>
  <si>
    <t>Columbia</t>
  </si>
  <si>
    <t>kolumbia</t>
  </si>
  <si>
    <t>ประเทศโคลอมเบีย</t>
  </si>
  <si>
    <t>Kolombiya</t>
  </si>
  <si>
    <t>Колумбія</t>
  </si>
  <si>
    <t>Costa Rica</t>
  </si>
  <si>
    <t>Kosta Rika</t>
  </si>
  <si>
    <t>كوستاريكا</t>
  </si>
  <si>
    <t>哥斯达黎加</t>
  </si>
  <si>
    <t>哥斯達黎加</t>
  </si>
  <si>
    <t>Kostarika</t>
  </si>
  <si>
    <t>კოსტა რიკის</t>
  </si>
  <si>
    <t>Κόστα Ρίκα</t>
  </si>
  <si>
    <t>קוסטה ריקה</t>
  </si>
  <si>
    <t>コスタリカ</t>
  </si>
  <si>
    <t>코스타리카</t>
  </si>
  <si>
    <t>Костарика</t>
  </si>
  <si>
    <t>کاستاریکا</t>
  </si>
  <si>
    <t>Kostaryka</t>
  </si>
  <si>
    <t>Коста-Рика</t>
  </si>
  <si>
    <t>COSTA RICA</t>
  </si>
  <si>
    <t>คอสตาริกา</t>
  </si>
  <si>
    <t>Коста-Ріка</t>
  </si>
  <si>
    <t>Ecuador</t>
  </si>
  <si>
    <t>Ekuador</t>
  </si>
  <si>
    <t>الاكوادور</t>
  </si>
  <si>
    <t>Еквадор</t>
  </si>
  <si>
    <t>equador</t>
  </si>
  <si>
    <t>厄瓜多尔</t>
  </si>
  <si>
    <t>厄瓜多爾</t>
  </si>
  <si>
    <t>Ekvador</t>
  </si>
  <si>
    <t>Equateur</t>
  </si>
  <si>
    <t>ეკვადორის</t>
  </si>
  <si>
    <t>Εκουαδόρ</t>
  </si>
  <si>
    <t>אקוודור</t>
  </si>
  <si>
    <t>エクアドル</t>
  </si>
  <si>
    <t>에콰도르</t>
  </si>
  <si>
    <t>Ekvadoras</t>
  </si>
  <si>
    <t>Ekwador</t>
  </si>
  <si>
    <t>اکوادور</t>
  </si>
  <si>
    <t>Equador</t>
  </si>
  <si>
    <t>Эквадор</t>
  </si>
  <si>
    <t>Ekvádor</t>
  </si>
  <si>
    <t>เอกวาดอร์</t>
  </si>
  <si>
    <t>Bosnia-Herzegovina</t>
  </si>
  <si>
    <t>Bosnië-Herzegowina</t>
  </si>
  <si>
    <t>Bosnje-Hercegovina</t>
  </si>
  <si>
    <t>البوسنة والهرسك</t>
  </si>
  <si>
    <t>Босна и Херцеговина</t>
  </si>
  <si>
    <t>Bòsnia i Hercegovina</t>
  </si>
  <si>
    <t>波斯尼亚和黑塞哥维那</t>
  </si>
  <si>
    <t>波斯尼亞和黑塞哥維那</t>
  </si>
  <si>
    <t>Bosna i Hercegovina</t>
  </si>
  <si>
    <t>Bosnien-Hercegovina</t>
  </si>
  <si>
    <t>Bosnië-Herzegovina</t>
  </si>
  <si>
    <t>Bosnia ja Hertsegovina</t>
  </si>
  <si>
    <t>Bosnie-Herzégovine</t>
  </si>
  <si>
    <t>ბოსნია და ჰერცოგოვინა</t>
  </si>
  <si>
    <t>Bosnien-Herzegowina</t>
  </si>
  <si>
    <t>Βοσνία-Ερζεγοβίνη</t>
  </si>
  <si>
    <t>בוסניה הרצגובינה</t>
  </si>
  <si>
    <t>Bosznia-Hercegovina</t>
  </si>
  <si>
    <t>Bosnía-Hersegóvína</t>
  </si>
  <si>
    <t>Bosnia-Erzegovina</t>
  </si>
  <si>
    <t>ボスニア·ヘルツェゴビナ</t>
  </si>
  <si>
    <t>보스니아 - 헤르체고비나</t>
  </si>
  <si>
    <t>Bosnija ir Hercegovina</t>
  </si>
  <si>
    <t>Bosnia-Hercegovina</t>
  </si>
  <si>
    <t>بوسنی و هرزگوین</t>
  </si>
  <si>
    <t>Bośnia i Hercegowina</t>
  </si>
  <si>
    <t>Bósnia-Herzegovina</t>
  </si>
  <si>
    <t>Bosnia-Herțegovina</t>
  </si>
  <si>
    <t>Босния и Герцеговина</t>
  </si>
  <si>
    <t>Bosna a Hercegovina</t>
  </si>
  <si>
    <t>Bosna in Hercegovina</t>
  </si>
  <si>
    <t>Bosnien och Hercegovina</t>
  </si>
  <si>
    <t>บอสเนีย</t>
  </si>
  <si>
    <t>Bosna-Hersek</t>
  </si>
  <si>
    <t>Боснія і Герцеговина</t>
  </si>
  <si>
    <t>Iran</t>
  </si>
  <si>
    <t>ايران</t>
  </si>
  <si>
    <t>Иран</t>
  </si>
  <si>
    <t>伊朗</t>
  </si>
  <si>
    <t>ირანის</t>
  </si>
  <si>
    <t>Ιράν</t>
  </si>
  <si>
    <t>אירן</t>
  </si>
  <si>
    <t>Irán</t>
  </si>
  <si>
    <t>Íran</t>
  </si>
  <si>
    <t>イラン</t>
  </si>
  <si>
    <t>이란</t>
  </si>
  <si>
    <t>Iranas</t>
  </si>
  <si>
    <t>ایران</t>
  </si>
  <si>
    <t>Irã</t>
  </si>
  <si>
    <t>อิหร่าน</t>
  </si>
  <si>
    <t>İran</t>
  </si>
  <si>
    <t>Іран</t>
  </si>
  <si>
    <t>Belgium</t>
  </si>
  <si>
    <t>België</t>
  </si>
  <si>
    <t>Belgjikë</t>
  </si>
  <si>
    <t>بلجيكا</t>
  </si>
  <si>
    <t>Белгия</t>
  </si>
  <si>
    <t>Bèlgica</t>
  </si>
  <si>
    <t>比利时</t>
  </si>
  <si>
    <t>比利時</t>
  </si>
  <si>
    <t>Belgija</t>
  </si>
  <si>
    <t>Belgien</t>
  </si>
  <si>
    <t>Belgia</t>
  </si>
  <si>
    <t>Belgique</t>
  </si>
  <si>
    <t>ბელგიის</t>
  </si>
  <si>
    <t>Βέλγιο</t>
  </si>
  <si>
    <t>בלגיה</t>
  </si>
  <si>
    <t>Belgía</t>
  </si>
  <si>
    <t>Belgio</t>
  </si>
  <si>
    <t>ベルギー</t>
  </si>
  <si>
    <t>벨기에</t>
  </si>
  <si>
    <t>Белгија</t>
  </si>
  <si>
    <t>Belġju</t>
  </si>
  <si>
    <t>بلژیک</t>
  </si>
  <si>
    <t>Bélgica</t>
  </si>
  <si>
    <t>Бельгия</t>
  </si>
  <si>
    <t>belgicko</t>
  </si>
  <si>
    <t>เบลเยี่ยม</t>
  </si>
  <si>
    <t>Belçika</t>
  </si>
  <si>
    <t>Бельгія</t>
  </si>
  <si>
    <t>Bỉ</t>
  </si>
  <si>
    <t>Russia</t>
  </si>
  <si>
    <t>Rusland</t>
  </si>
  <si>
    <t>Rusi</t>
  </si>
  <si>
    <t>روسيا</t>
  </si>
  <si>
    <t>Русия</t>
  </si>
  <si>
    <t>Rússia</t>
  </si>
  <si>
    <t>俄国</t>
  </si>
  <si>
    <t>俄國</t>
  </si>
  <si>
    <t>Rusija</t>
  </si>
  <si>
    <t>Venäjä</t>
  </si>
  <si>
    <t>Russie</t>
  </si>
  <si>
    <t>რუსეთის</t>
  </si>
  <si>
    <t>Russland</t>
  </si>
  <si>
    <t>Ρωσία</t>
  </si>
  <si>
    <t>רוסיה</t>
  </si>
  <si>
    <t>Oroszország</t>
  </si>
  <si>
    <t>Rusia</t>
  </si>
  <si>
    <t>Rússland</t>
  </si>
  <si>
    <t>ロシア</t>
  </si>
  <si>
    <t>러시아</t>
  </si>
  <si>
    <t>Русија</t>
  </si>
  <si>
    <t>Russja</t>
  </si>
  <si>
    <t>روسیه</t>
  </si>
  <si>
    <t>Rosja</t>
  </si>
  <si>
    <t>Россия</t>
  </si>
  <si>
    <t>Rusko</t>
  </si>
  <si>
    <t>Ryssland</t>
  </si>
  <si>
    <t>ประเทศรัสเซีย</t>
  </si>
  <si>
    <t>Rusya</t>
  </si>
  <si>
    <t>Росія</t>
  </si>
  <si>
    <t>Nga</t>
  </si>
  <si>
    <r>
      <t>16</t>
    </r>
    <r>
      <rPr>
        <sz val="10"/>
        <color theme="0"/>
        <rFont val="宋体"/>
        <charset val="134"/>
      </rPr>
      <t>强</t>
    </r>
  </si>
  <si>
    <r>
      <t>90</t>
    </r>
    <r>
      <rPr>
        <sz val="10"/>
        <color theme="0"/>
        <rFont val="宋体"/>
        <charset val="134"/>
      </rPr>
      <t>分钟</t>
    </r>
  </si>
  <si>
    <r>
      <t>A</t>
    </r>
    <r>
      <rPr>
        <sz val="10"/>
        <color theme="0"/>
        <rFont val="宋体"/>
        <charset val="134"/>
      </rPr>
      <t>组第一</t>
    </r>
  </si>
  <si>
    <r>
      <t>B</t>
    </r>
    <r>
      <rPr>
        <sz val="10"/>
        <color theme="0"/>
        <rFont val="宋体"/>
        <charset val="134"/>
      </rPr>
      <t>组第一</t>
    </r>
  </si>
  <si>
    <r>
      <t>C</t>
    </r>
    <r>
      <rPr>
        <sz val="10"/>
        <color theme="0"/>
        <rFont val="宋体"/>
        <charset val="134"/>
      </rPr>
      <t>组第一</t>
    </r>
  </si>
  <si>
    <r>
      <t>D</t>
    </r>
    <r>
      <rPr>
        <sz val="10"/>
        <color theme="0"/>
        <rFont val="宋体"/>
        <charset val="134"/>
      </rPr>
      <t>组第一</t>
    </r>
  </si>
  <si>
    <r>
      <t>E</t>
    </r>
    <r>
      <rPr>
        <sz val="10"/>
        <color theme="0"/>
        <rFont val="宋体"/>
        <charset val="134"/>
      </rPr>
      <t>组第一</t>
    </r>
  </si>
  <si>
    <r>
      <t>F</t>
    </r>
    <r>
      <rPr>
        <sz val="10"/>
        <color theme="0"/>
        <rFont val="宋体"/>
        <charset val="134"/>
      </rPr>
      <t>组第一</t>
    </r>
  </si>
  <si>
    <r>
      <t>G</t>
    </r>
    <r>
      <rPr>
        <sz val="10"/>
        <color theme="0"/>
        <rFont val="宋体"/>
        <charset val="134"/>
      </rPr>
      <t>组第一</t>
    </r>
  </si>
  <si>
    <r>
      <t>H</t>
    </r>
    <r>
      <rPr>
        <sz val="10"/>
        <color theme="0"/>
        <rFont val="宋体"/>
        <charset val="134"/>
      </rPr>
      <t>组第一</t>
    </r>
  </si>
  <si>
    <r>
      <t xml:space="preserve">53 </t>
    </r>
    <r>
      <rPr>
        <sz val="10"/>
        <color theme="0"/>
        <rFont val="宋体"/>
        <charset val="134"/>
      </rPr>
      <t>胜者</t>
    </r>
  </si>
  <si>
    <r>
      <t xml:space="preserve">54 </t>
    </r>
    <r>
      <rPr>
        <sz val="10"/>
        <color theme="0"/>
        <rFont val="宋体"/>
        <charset val="134"/>
      </rPr>
      <t>胜者</t>
    </r>
  </si>
  <si>
    <r>
      <t xml:space="preserve">55 </t>
    </r>
    <r>
      <rPr>
        <sz val="10"/>
        <color theme="0"/>
        <rFont val="宋体"/>
        <charset val="134"/>
      </rPr>
      <t>胜者</t>
    </r>
  </si>
  <si>
    <r>
      <t xml:space="preserve">56 </t>
    </r>
    <r>
      <rPr>
        <sz val="10"/>
        <color theme="0"/>
        <rFont val="宋体"/>
        <charset val="134"/>
      </rPr>
      <t>胜者</t>
    </r>
  </si>
  <si>
    <r>
      <t xml:space="preserve">57 </t>
    </r>
    <r>
      <rPr>
        <sz val="10"/>
        <color theme="0"/>
        <rFont val="宋体"/>
        <charset val="134"/>
      </rPr>
      <t>胜者</t>
    </r>
  </si>
  <si>
    <r>
      <t xml:space="preserve">58 </t>
    </r>
    <r>
      <rPr>
        <sz val="10"/>
        <color theme="0"/>
        <rFont val="宋体"/>
        <charset val="134"/>
      </rPr>
      <t>胜者</t>
    </r>
  </si>
  <si>
    <r>
      <t xml:space="preserve">59 </t>
    </r>
    <r>
      <rPr>
        <sz val="10"/>
        <color theme="0"/>
        <rFont val="宋体"/>
        <charset val="134"/>
      </rPr>
      <t>胜者</t>
    </r>
  </si>
  <si>
    <r>
      <t xml:space="preserve">60 </t>
    </r>
    <r>
      <rPr>
        <sz val="10"/>
        <color theme="0"/>
        <rFont val="宋体"/>
        <charset val="134"/>
      </rPr>
      <t>胜者</t>
    </r>
  </si>
  <si>
    <r>
      <t xml:space="preserve">61 </t>
    </r>
    <r>
      <rPr>
        <sz val="10"/>
        <color theme="0"/>
        <rFont val="宋体"/>
        <charset val="134"/>
      </rPr>
      <t>胜者</t>
    </r>
  </si>
  <si>
    <r>
      <t xml:space="preserve">62 </t>
    </r>
    <r>
      <rPr>
        <sz val="10"/>
        <color theme="0"/>
        <rFont val="宋体"/>
        <charset val="134"/>
      </rPr>
      <t>胜者</t>
    </r>
  </si>
  <si>
    <r>
      <t xml:space="preserve">63 </t>
    </r>
    <r>
      <rPr>
        <sz val="10"/>
        <color theme="0"/>
        <rFont val="宋体"/>
        <charset val="134"/>
      </rPr>
      <t>胜者</t>
    </r>
  </si>
  <si>
    <r>
      <t xml:space="preserve">64 </t>
    </r>
    <r>
      <rPr>
        <sz val="10"/>
        <color theme="0"/>
        <rFont val="宋体"/>
        <charset val="134"/>
      </rPr>
      <t>胜者</t>
    </r>
  </si>
  <si>
    <r>
      <t>A</t>
    </r>
    <r>
      <rPr>
        <sz val="10"/>
        <color theme="0"/>
        <rFont val="宋体"/>
        <charset val="134"/>
      </rPr>
      <t>组</t>
    </r>
  </si>
  <si>
    <r>
      <t>B</t>
    </r>
    <r>
      <rPr>
        <sz val="10"/>
        <color theme="0"/>
        <rFont val="宋体"/>
        <charset val="134"/>
      </rPr>
      <t>组</t>
    </r>
  </si>
  <si>
    <r>
      <t>C</t>
    </r>
    <r>
      <rPr>
        <sz val="10"/>
        <color theme="0"/>
        <rFont val="宋体"/>
        <charset val="134"/>
      </rPr>
      <t>组</t>
    </r>
  </si>
  <si>
    <r>
      <t>D</t>
    </r>
    <r>
      <rPr>
        <sz val="10"/>
        <color theme="0"/>
        <rFont val="宋体"/>
        <charset val="134"/>
      </rPr>
      <t>组</t>
    </r>
  </si>
  <si>
    <r>
      <t>E</t>
    </r>
    <r>
      <rPr>
        <sz val="10"/>
        <color theme="0"/>
        <rFont val="宋体"/>
        <charset val="134"/>
      </rPr>
      <t>组</t>
    </r>
  </si>
  <si>
    <r>
      <t>F</t>
    </r>
    <r>
      <rPr>
        <sz val="10"/>
        <color theme="0"/>
        <rFont val="宋体"/>
        <charset val="134"/>
      </rPr>
      <t>组</t>
    </r>
  </si>
  <si>
    <r>
      <t>G</t>
    </r>
    <r>
      <rPr>
        <sz val="10"/>
        <color theme="0"/>
        <rFont val="宋体"/>
        <charset val="134"/>
      </rPr>
      <t>组</t>
    </r>
  </si>
  <si>
    <r>
      <t>H</t>
    </r>
    <r>
      <rPr>
        <sz val="10"/>
        <color theme="0"/>
        <rFont val="宋体"/>
        <charset val="134"/>
      </rPr>
      <t>组</t>
    </r>
  </si>
  <si>
    <r>
      <t xml:space="preserve">49 </t>
    </r>
    <r>
      <rPr>
        <sz val="10"/>
        <color theme="0"/>
        <rFont val="宋体"/>
        <charset val="134"/>
      </rPr>
      <t>胜者</t>
    </r>
  </si>
  <si>
    <r>
      <t xml:space="preserve">50 </t>
    </r>
    <r>
      <rPr>
        <sz val="10"/>
        <color theme="0"/>
        <rFont val="宋体"/>
        <charset val="134"/>
      </rPr>
      <t>胜者</t>
    </r>
  </si>
  <si>
    <r>
      <t xml:space="preserve">51 </t>
    </r>
    <r>
      <rPr>
        <sz val="10"/>
        <color theme="0"/>
        <rFont val="宋体"/>
        <charset val="134"/>
      </rPr>
      <t>胜者</t>
    </r>
  </si>
  <si>
    <r>
      <t xml:space="preserve">52 </t>
    </r>
    <r>
      <rPr>
        <sz val="10"/>
        <color theme="0"/>
        <rFont val="宋体"/>
        <charset val="134"/>
      </rPr>
      <t>胜者</t>
    </r>
  </si>
  <si>
    <r>
      <t xml:space="preserve">61 </t>
    </r>
    <r>
      <rPr>
        <sz val="10"/>
        <color theme="0"/>
        <rFont val="宋体"/>
        <charset val="134"/>
      </rPr>
      <t>负者</t>
    </r>
  </si>
  <si>
    <r>
      <t xml:space="preserve">62 </t>
    </r>
    <r>
      <rPr>
        <sz val="10"/>
        <color theme="0"/>
        <rFont val="宋体"/>
        <charset val="134"/>
      </rPr>
      <t>负者</t>
    </r>
  </si>
  <si>
    <t>World Cup 2014 Schedule and Scoresheet</t>
  </si>
  <si>
    <t>World Cup 2014 Bylae en score</t>
  </si>
  <si>
    <t>Kupa Botërore 2014 - Orari dhe rezultatet</t>
  </si>
  <si>
    <t>جدول ونتائج نهائيات كأس العالم 2014</t>
  </si>
  <si>
    <t>Световно първенство 2014 График и бланката</t>
  </si>
  <si>
    <t>Copa del Món de 2014 Horari i Puntuacions</t>
  </si>
  <si>
    <t>2014年世界杯比赛时间表和计分表</t>
  </si>
  <si>
    <t>2014年世界盃賽程表</t>
  </si>
  <si>
    <t>World Cup 2014 Schedule i Scoresheet</t>
  </si>
  <si>
    <t>World Cup 2014 Kampprogram og Stillinger</t>
  </si>
  <si>
    <t>Wereldkampioenschap 2014 Schema en Scorebord</t>
  </si>
  <si>
    <t>Jalkapallon MM 2014: otteluohjelma ja tulokset</t>
  </si>
  <si>
    <t>Programme et Feuille de match de la Coupe du Monde 2014</t>
  </si>
  <si>
    <t>2014 წლის მსოფლიო ჩემპიონატის განრიგი და ცხრილი</t>
  </si>
  <si>
    <t>Weltmeisterschaft 2014 Spielplan und Ergebnisse</t>
  </si>
  <si>
    <t>Πρόγραμμα και Βαθμολογία Παγκοσμίου Κυπέλλου 2014</t>
  </si>
  <si>
    <t xml:space="preserve">גביע העולם 2014 - משחקי ולוח תוצאות </t>
  </si>
  <si>
    <t>2014-es világbajnokság menetrend és ponttáblázat</t>
  </si>
  <si>
    <t>Jadwal Pertandingan dan Lembar Skor Piala Dunia 2014</t>
  </si>
  <si>
    <t>Heimsmeistarakeppni 2014 tíma og stigatafla</t>
  </si>
  <si>
    <t>Coppa del Mondo 2014 programma e risultati</t>
  </si>
  <si>
    <t>ワールドカップ2014のスケジュールと得点</t>
  </si>
  <si>
    <t>2014 독일 월드컵 일정 및 Scoresheet</t>
  </si>
  <si>
    <t>World Cup 2014 Užimtumo ir varžybos</t>
  </si>
  <si>
    <t>Распоред за Светското Првенство 2014</t>
  </si>
  <si>
    <t>Jadual Piala Dunia 2014 dan Keputusan</t>
  </si>
  <si>
    <t>ވޯރޑްކަޕް 2014 - ޝެޑިއުލް އަދި ސްކޯ ތާވަލް</t>
  </si>
  <si>
    <t>Дэлхийн Цом 2014 хуваарь, онооны хүснэгт</t>
  </si>
  <si>
    <t>Fotball-VM 2014 Kampprogram og Resultatliste</t>
  </si>
  <si>
    <t>برنامه و جدول نتایج بازیهای جام جهانی 2014</t>
  </si>
  <si>
    <t>Mistrzostwa Swiata 2014 Program i Lista wynikow</t>
  </si>
  <si>
    <t>Tabela da Copa do Mundo 2014</t>
  </si>
  <si>
    <t>Campeonato Mundial 2014 Horários e Resultados</t>
  </si>
  <si>
    <t>Programul si Scorurile Cupei Mondiale 2014</t>
  </si>
  <si>
    <t>Расписание и таблица Чемпионата мира 2014</t>
  </si>
  <si>
    <t>Светско првенство 2014 Распореди и Сцоресхеет</t>
  </si>
  <si>
    <t>Program a výsledky MS 2014</t>
  </si>
  <si>
    <t>World Cup 2014 Urnik in scoresheet</t>
  </si>
  <si>
    <t>Copa del Mundo de 2014, Horario y Puntuaciones</t>
  </si>
  <si>
    <t>Copa del Mundo 2014 Horario y Resultados</t>
  </si>
  <si>
    <t>VM 2014 spelplan och resultat</t>
  </si>
  <si>
    <t>กำหนดการแข่งขันและตารางคะแนนฟุตบอลโลก 2014</t>
  </si>
  <si>
    <t>2014 Dünya Kupası Takvim ve Skor Tablosu</t>
  </si>
  <si>
    <t>Чемпіонат світу з футболу 2014. Розклад ігр та становище команд</t>
  </si>
  <si>
    <t>Lịch Thi Đấu và Bảng Tỷ Số World Cup 2014</t>
  </si>
  <si>
    <t>World Cup 2014 Champion</t>
  </si>
  <si>
    <t>World Cup 2014 Kampioen</t>
  </si>
  <si>
    <t>Kampion i Kupës Botërore 2014</t>
  </si>
  <si>
    <t>بطل العالم لكرة القدم 2014</t>
  </si>
  <si>
    <t>Световно първенство 2014 Шампион</t>
  </si>
  <si>
    <t>Campió de la Copa del Món 2014</t>
  </si>
  <si>
    <t>2014年世界杯冠军</t>
  </si>
  <si>
    <t>2014年世界杯冠軍</t>
  </si>
  <si>
    <t>Svjetsko prvenstvo 2014 prvak</t>
  </si>
  <si>
    <t>World Cup 2014 Vinder</t>
  </si>
  <si>
    <t>Wereldkampioenschap 2014 Kampioen</t>
  </si>
  <si>
    <t>Maailmanmestari 2014</t>
  </si>
  <si>
    <t xml:space="preserve">Champion Coupe du Monde 2014 </t>
  </si>
  <si>
    <t>2014 წლის მსოფლიო ჩემპიონი</t>
  </si>
  <si>
    <t>Weltmeister 2014</t>
  </si>
  <si>
    <t>Νικητής Παγκοσμίου Κυπέλλου 2014</t>
  </si>
  <si>
    <t>מחזיקי גביע העולם 2014</t>
  </si>
  <si>
    <t>2014 futball világbajnoka</t>
  </si>
  <si>
    <t>Juara Dunia 2014</t>
  </si>
  <si>
    <t xml:space="preserve">Heimsmeistarakeppni 2014 </t>
  </si>
  <si>
    <t>Campione del Mondo 2014</t>
  </si>
  <si>
    <t>ワールドカップ2014チャンピオン</t>
  </si>
  <si>
    <t>2014 독일 월드컵 챔피언</t>
  </si>
  <si>
    <t>Шампион на Светското Првенство 2014</t>
  </si>
  <si>
    <t>Johan Piala Dunia 2014</t>
  </si>
  <si>
    <t>ވޯރޑްކަޕް 2014 ޗެންޕިއަން</t>
  </si>
  <si>
    <t>Дэлхийн Цом 2014 Аварга</t>
  </si>
  <si>
    <t>Vinner Fotball-VM 2014</t>
  </si>
  <si>
    <t>قهرمان جام جهانی 2014</t>
  </si>
  <si>
    <t>Mistrz Swiata 2014</t>
  </si>
  <si>
    <t>Campeão da Copa do Mundo 2014</t>
  </si>
  <si>
    <t>Campeão Mundial 2014</t>
  </si>
  <si>
    <t>Campionul Mondial 2014</t>
  </si>
  <si>
    <t>Чемпион мира 2014</t>
  </si>
  <si>
    <t>Светски куп 2014 победник</t>
  </si>
  <si>
    <t>Majster sveta 2014</t>
  </si>
  <si>
    <t>Svetovni pokal 2014 Champion</t>
  </si>
  <si>
    <t>Campeón de la Copa del Mundo 2014</t>
  </si>
  <si>
    <t xml:space="preserve">Campeón de la Copa del Mundo 2014 </t>
  </si>
  <si>
    <t>Världsmästare 2014</t>
  </si>
  <si>
    <t>แชมป์ฟุตบอลโลก 2014</t>
  </si>
  <si>
    <t>2014 Dünya Kupası Şampiyonu</t>
  </si>
  <si>
    <t>Чемпіон світу з футболу 2014</t>
  </si>
  <si>
    <t>Vô Địch World Cup 2014</t>
  </si>
  <si>
    <t>musadya</t>
  </si>
  <si>
    <t>SOCCER LEAGUE CREATOR</t>
  </si>
  <si>
    <t>This is the template to emulate Italian Serie A,Spanish La Liga, Bundesliga etc. It will allow you to create your own soccer competition or emulate any soccer competition in the world based on common tie-breaker regulation. Download and try the lite version to understand the template.</t>
  </si>
  <si>
    <t>Price</t>
  </si>
  <si>
    <t>Payment Method</t>
  </si>
  <si>
    <t>Excelindo Soccer League Creator Lite (with Fixtures Generator)</t>
  </si>
  <si>
    <t>Free</t>
  </si>
  <si>
    <t>Download</t>
  </si>
  <si>
    <t>Excelindo Soccer League Creator Lite (without Fixtures Generator)</t>
  </si>
  <si>
    <t>Excelindo Soccer League Creator Pro</t>
  </si>
  <si>
    <t>USD 15.99</t>
  </si>
  <si>
    <t>Excelindo Soccer League Creator Pro Password (For layout customization on shown worksheets)</t>
  </si>
  <si>
    <t>USD 5.99</t>
  </si>
  <si>
    <t>SOCCER TOURNAMENT CREATOR</t>
  </si>
  <si>
    <t>This is the template to emulate European Champions League competition. It will allow you to create your own soccer tournament or emulate any soccer tournament in the world based on common tie-breaker regulation. Download and try the lite version to understand the template.</t>
  </si>
  <si>
    <t>Excelindo Soccer Tournament Creator Lite (with Fixtures Generator)</t>
  </si>
  <si>
    <t>Excelindo Soccer Tournament Creator Lite (without Fixtures Generator)</t>
  </si>
  <si>
    <t>Excelindo Soccer Tournament Creator Pro (all shown worksheets are unlocked)</t>
  </si>
  <si>
    <t>USD 20.99</t>
  </si>
  <si>
    <t>EUROPEAN FOOTBALL LEAGUE FIXTURES AND SCORESHEET</t>
  </si>
  <si>
    <t>If you just want to emulate top 4 Europe Football League, or just want to copy it to other leagues with related league tie-breaker regulation, you can purchase the unlocked one. You can use it for future competition as long as the regulation is not changed.</t>
  </si>
  <si>
    <t>Italian Serie A 2013/2014</t>
  </si>
  <si>
    <t>Spanish La Liga 2013/2014</t>
  </si>
  <si>
    <t>Bundesliga 2013/2014</t>
  </si>
  <si>
    <t>French Ligue 1 2013/2014</t>
  </si>
  <si>
    <t>Serie A - La Liga - Bundesliga - Ligue 1 unlocked</t>
  </si>
  <si>
    <t>USD 11.99</t>
  </si>
  <si>
    <t>CHAMPIONS LEAGUE FIXTURES AND SCORESHEET</t>
  </si>
  <si>
    <t>The unlocked one is built on single code which intended only for Champions League competition. You can learn the code, tweak it or just modify its layout.</t>
  </si>
  <si>
    <t>UEFA Champions League 2013/2014</t>
  </si>
  <si>
    <t>UEFA Champions League 2013/2014 - unlocked</t>
  </si>
  <si>
    <t>USD 10</t>
  </si>
  <si>
    <r>
      <t xml:space="preserve">Notes : </t>
    </r>
    <r>
      <rPr>
        <u/>
        <sz val="10"/>
        <rFont val="Calibri"/>
        <family val="2"/>
        <scheme val="minor"/>
      </rPr>
      <t>Prices are subject to change without prior notice</t>
    </r>
  </si>
  <si>
    <t>Salvador</t>
  </si>
  <si>
    <t>Natal</t>
  </si>
  <si>
    <t>Cuiaba</t>
  </si>
  <si>
    <t>Belo Horizonte</t>
  </si>
  <si>
    <t>Recife</t>
  </si>
  <si>
    <t>Fortaleza</t>
  </si>
  <si>
    <t>Manaus</t>
  </si>
  <si>
    <t>Porto Alegre</t>
  </si>
  <si>
    <t>Curitiba</t>
  </si>
  <si>
    <t>© 2014 - Exceltemplate.net</t>
  </si>
  <si>
    <t>WORLD CUP SCHEDULE AND SCORESHEET</t>
  </si>
  <si>
    <t>WORLD CUP OFFICE POOL</t>
  </si>
  <si>
    <t>FIFA World Cup 2014 Office Pool Lite - Up to 15 Players</t>
  </si>
  <si>
    <t>FOOTBALL FORMATION CREATOR</t>
  </si>
  <si>
    <t>This is the template to emulate your player position in football field.</t>
  </si>
  <si>
    <t>USD 5</t>
  </si>
  <si>
    <t>USD 6.99</t>
  </si>
  <si>
    <t xml:space="preserve">This is the template that will help you create your own photo calendar. You can put your favorite team star or 12 players of your choice as calendar background. With capability to customize its date to suit your agenda, it should become your calendar best choice </t>
  </si>
  <si>
    <t>FOOTBALL STAR PHOTO CALENDAR CREATOR</t>
  </si>
  <si>
    <t>FIFA World Cup 2014 Office Pool Pro - Up to 100 Players - unlocked</t>
  </si>
  <si>
    <t>USD 8.99</t>
  </si>
  <si>
    <t>Photo Calendar Creator Pro - 3 Models (Single Photo Landscape, 12 Photos Landscape, 12 Photos Portrait)</t>
  </si>
  <si>
    <t>Photo Calendar Creator Lite - 1 Model (Single Photo only)</t>
  </si>
  <si>
    <t>This is the template that is designed to help you managing pool competition among your friends, colleagues, relatives etc. There are up until 100 people can be involved in this prediction game from the start until the end of World Cup tournament</t>
  </si>
  <si>
    <t>Football Formation Creator Lite - 3 Non Customized templates with Premade Formation (4-4-2, 4-4-2 Diamond, 4-3-3)</t>
  </si>
  <si>
    <t>Football Formation Creator Pro - 10 Customized templates with Premade Formation</t>
  </si>
  <si>
    <t>The unlocked one is built on single code which intended only for World Cup competition. You can learn the code, tweak it or just modify its layout. Only template with National Flag is unlocked since all are sharing the same formula</t>
  </si>
  <si>
    <t>FIFA World Cup 2014 Schedule and Scoresheet with National Flag</t>
  </si>
  <si>
    <t>FIFA World Cup 2014 Schedule and Scoresheet with National Flag - unlocked</t>
  </si>
  <si>
    <t>Jefferson</t>
  </si>
  <si>
    <t>Dani Alves</t>
  </si>
  <si>
    <t>David Luiz</t>
  </si>
  <si>
    <t>Fernandinho</t>
  </si>
  <si>
    <t>Marcelo</t>
  </si>
  <si>
    <t>Hulk</t>
  </si>
  <si>
    <t>Paulinho</t>
  </si>
  <si>
    <t>Fred</t>
  </si>
  <si>
    <t>Neymar</t>
  </si>
  <si>
    <t>Oscar</t>
  </si>
  <si>
    <t>Júlio César</t>
  </si>
  <si>
    <t>Dante</t>
  </si>
  <si>
    <t>Maxwell</t>
  </si>
  <si>
    <t>Henrique</t>
  </si>
  <si>
    <t>Ramires</t>
  </si>
  <si>
    <t>Luiz Gustavo</t>
  </si>
  <si>
    <t>Hernanes</t>
  </si>
  <si>
    <t>Willian</t>
  </si>
  <si>
    <t>Bernard</t>
  </si>
  <si>
    <t>Jô</t>
  </si>
  <si>
    <t>Victor</t>
  </si>
  <si>
    <t>Maicon</t>
  </si>
  <si>
    <t>Thiago Silva</t>
  </si>
  <si>
    <t>Loïc Feudjou</t>
  </si>
  <si>
    <t>Benoît Assou-Ekotto</t>
  </si>
  <si>
    <t>Nicolas N'Koulou</t>
  </si>
  <si>
    <t>Cédric Djeugoué</t>
  </si>
  <si>
    <t>Dany Nounkeu</t>
  </si>
  <si>
    <t>Alex Song</t>
  </si>
  <si>
    <t>Landry N'Guémo</t>
  </si>
  <si>
    <t>Benjamin Moukandjo</t>
  </si>
  <si>
    <t>Vincent Aboubakar</t>
  </si>
  <si>
    <t>Jean Makoun</t>
  </si>
  <si>
    <t>Henri Bedimo</t>
  </si>
  <si>
    <t>Maxim Choupo-Moting</t>
  </si>
  <si>
    <t>Aurélien Chedjou</t>
  </si>
  <si>
    <t>Pierre Webó</t>
  </si>
  <si>
    <t>Charles Itandje</t>
  </si>
  <si>
    <t>Stéphane Mbia</t>
  </si>
  <si>
    <t>Eyong Enoh</t>
  </si>
  <si>
    <t>Fabrice Olinga</t>
  </si>
  <si>
    <t>Edgar Salli</t>
  </si>
  <si>
    <t>Joël Matip</t>
  </si>
  <si>
    <t>Allan Nyom</t>
  </si>
  <si>
    <t>Sammy N'Djock</t>
  </si>
  <si>
    <t>Stipe Pletikosa</t>
  </si>
  <si>
    <t>Šime Vrsaljko</t>
  </si>
  <si>
    <t>Danijel Pranjić</t>
  </si>
  <si>
    <t>Ivan Perišić</t>
  </si>
  <si>
    <t>Vedran Ćorluka</t>
  </si>
  <si>
    <t>Dejan Lovren</t>
  </si>
  <si>
    <t>Ivan Rakitić</t>
  </si>
  <si>
    <t>Ognjen Vukojević</t>
  </si>
  <si>
    <t>Nikica Jelavić</t>
  </si>
  <si>
    <t>Luka Modrić</t>
  </si>
  <si>
    <t>Oliver Zelenika</t>
  </si>
  <si>
    <t>Gordon Schildenfeld</t>
  </si>
  <si>
    <t>Marcelo Brozović</t>
  </si>
  <si>
    <t>Milan Badelj</t>
  </si>
  <si>
    <t>Ante Rebić</t>
  </si>
  <si>
    <t>Mario Mandžukić</t>
  </si>
  <si>
    <t>Ivica Olić</t>
  </si>
  <si>
    <t>Sammir</t>
  </si>
  <si>
    <t>Mateo Kovačić</t>
  </si>
  <si>
    <t>Domagoj Vida</t>
  </si>
  <si>
    <t>Eduardo</t>
  </si>
  <si>
    <t>Danijel Subašić</t>
  </si>
  <si>
    <t>José de Jesús Corona</t>
  </si>
  <si>
    <t>Francisco Javier Rodríguez</t>
  </si>
  <si>
    <t>Carlos Salcido</t>
  </si>
  <si>
    <t>Diego Reyes</t>
  </si>
  <si>
    <t>Héctor Herrera</t>
  </si>
  <si>
    <t>Miguel Layún</t>
  </si>
  <si>
    <t>Marco Fabián</t>
  </si>
  <si>
    <t>Raúl Jiménez</t>
  </si>
  <si>
    <t>Giovani dos Santos</t>
  </si>
  <si>
    <t>Alan Pulido</t>
  </si>
  <si>
    <t>Alfredo Talavera</t>
  </si>
  <si>
    <t>Guillermo Ochoa</t>
  </si>
  <si>
    <t>Javier Hernández</t>
  </si>
  <si>
    <t>Héctor Moreno</t>
  </si>
  <si>
    <t>Miguel Ángel Ponce</t>
  </si>
  <si>
    <t>Isaác Brizuela</t>
  </si>
  <si>
    <t>Andrés Guardado</t>
  </si>
  <si>
    <t>Oribe Peralta</t>
  </si>
  <si>
    <t>Javier Aquino</t>
  </si>
  <si>
    <t>Carlos Peña</t>
  </si>
  <si>
    <t>Paul Aguilar</t>
  </si>
  <si>
    <t>José Juan Vázquez</t>
  </si>
  <si>
    <t>Mathew Ryan</t>
  </si>
  <si>
    <t>Ivan Franjić</t>
  </si>
  <si>
    <t>Jason Davidson</t>
  </si>
  <si>
    <t>Tim Cahill</t>
  </si>
  <si>
    <t>Mark Milligan</t>
  </si>
  <si>
    <t>Matthew Špiranović</t>
  </si>
  <si>
    <t>Mathew Leckie</t>
  </si>
  <si>
    <t>Bailey Wright</t>
  </si>
  <si>
    <t>Adam Taggart</t>
  </si>
  <si>
    <t>Ben Halloran</t>
  </si>
  <si>
    <t>Tommy Oar</t>
  </si>
  <si>
    <t>Mitchell Langerak</t>
  </si>
  <si>
    <t>Oliver Bozanić</t>
  </si>
  <si>
    <t>James Troisi</t>
  </si>
  <si>
    <t>James Holland</t>
  </si>
  <si>
    <t>Matt McKay</t>
  </si>
  <si>
    <t>Eugene Galeković</t>
  </si>
  <si>
    <t>Ryan McGowan</t>
  </si>
  <si>
    <t>Dario Vidošić</t>
  </si>
  <si>
    <t>Massimo Luongo</t>
  </si>
  <si>
    <t>Alex Wilkinson</t>
  </si>
  <si>
    <t>Mark Bresciano</t>
  </si>
  <si>
    <t>Eugenio Mena</t>
  </si>
  <si>
    <t>Miiko Albornoz</t>
  </si>
  <si>
    <t>Mauricio Isla</t>
  </si>
  <si>
    <t>Francisco Silva</t>
  </si>
  <si>
    <t>Carlos Carmona</t>
  </si>
  <si>
    <t>Alexis Sánchez</t>
  </si>
  <si>
    <t>Arturo Vidal</t>
  </si>
  <si>
    <t>Mauricio Pinilla</t>
  </si>
  <si>
    <t>Jorge Valdívia</t>
  </si>
  <si>
    <t>Eduardo Vargas</t>
  </si>
  <si>
    <t>Cristopher Toselli</t>
  </si>
  <si>
    <t>José Rojas</t>
  </si>
  <si>
    <t>Fabián Orellana</t>
  </si>
  <si>
    <t>Jean Beausejour</t>
  </si>
  <si>
    <t>Felipe Gutiérrez</t>
  </si>
  <si>
    <t>Gary Medel</t>
  </si>
  <si>
    <t>Gonzalo Jara</t>
  </si>
  <si>
    <t>José Pedro Fuenzalida</t>
  </si>
  <si>
    <t>Charles Aránguiz</t>
  </si>
  <si>
    <t>Marcelo Díaz</t>
  </si>
  <si>
    <t>Esteban Paredes</t>
  </si>
  <si>
    <t>Johnny Herrera</t>
  </si>
  <si>
    <t>Jasper Cillessen</t>
  </si>
  <si>
    <t>Ron Vlaar</t>
  </si>
  <si>
    <t>Stefan de Vrij</t>
  </si>
  <si>
    <t>Bruno Martins Indi</t>
  </si>
  <si>
    <t>Daley Blind</t>
  </si>
  <si>
    <t>Jonathan de Guzmán</t>
  </si>
  <si>
    <t>Daryl Janmaat</t>
  </si>
  <si>
    <t>Nigel de Jong</t>
  </si>
  <si>
    <t>Wesley Sneijder</t>
  </si>
  <si>
    <t>Arjen Robben</t>
  </si>
  <si>
    <t>Paul Verhaegh</t>
  </si>
  <si>
    <t>Joël Veltman</t>
  </si>
  <si>
    <t>Terence Kongolo</t>
  </si>
  <si>
    <t>Dirk Kuyt</t>
  </si>
  <si>
    <t>Jordy Clasie</t>
  </si>
  <si>
    <t>Jeremain Lens</t>
  </si>
  <si>
    <t>Leroy Fer</t>
  </si>
  <si>
    <t>Klaas-Jan Huntelaar</t>
  </si>
  <si>
    <t>Georginio Wijnaldum</t>
  </si>
  <si>
    <t>Memphis Depay</t>
  </si>
  <si>
    <t>Michel Vorm</t>
  </si>
  <si>
    <t>Tim Krul</t>
  </si>
  <si>
    <t>Raúl Albiol</t>
  </si>
  <si>
    <t>Gerard Piqué</t>
  </si>
  <si>
    <t>Javi Martínez</t>
  </si>
  <si>
    <t>Juanfran</t>
  </si>
  <si>
    <t>Andrés Iniesta</t>
  </si>
  <si>
    <t>David Villa</t>
  </si>
  <si>
    <t>Xavi</t>
  </si>
  <si>
    <t>Fernando Torres</t>
  </si>
  <si>
    <t>Cesc Fàbregas</t>
  </si>
  <si>
    <t>Pedro</t>
  </si>
  <si>
    <t>David de Gea</t>
  </si>
  <si>
    <t>Juan Mata</t>
  </si>
  <si>
    <t>Xabi Alonso</t>
  </si>
  <si>
    <t>Sergio Ramos</t>
  </si>
  <si>
    <t>Sergio Busquets</t>
  </si>
  <si>
    <t>Koke</t>
  </si>
  <si>
    <t>Jordi Alba</t>
  </si>
  <si>
    <t>Diego Costa</t>
  </si>
  <si>
    <t>Santi Cazorla</t>
  </si>
  <si>
    <t>David Silva</t>
  </si>
  <si>
    <t>César Azpilicueta</t>
  </si>
  <si>
    <t>Pepe Reina</t>
  </si>
  <si>
    <t>David Ospina</t>
  </si>
  <si>
    <t>Cristián Zapata</t>
  </si>
  <si>
    <t>Santiago Arias</t>
  </si>
  <si>
    <t>Carlos Carbonero</t>
  </si>
  <si>
    <t>Carlos Sánchez</t>
  </si>
  <si>
    <t>Pablo Armero</t>
  </si>
  <si>
    <t>Abel Aguilar</t>
  </si>
  <si>
    <t>Teófilo Gutiérrez</t>
  </si>
  <si>
    <t>James Rodríguez</t>
  </si>
  <si>
    <t>Juan Guillermo Cuadrado</t>
  </si>
  <si>
    <t>Camilo Vargas</t>
  </si>
  <si>
    <t>Fredy Guarín</t>
  </si>
  <si>
    <t>Víctor Ibarbo</t>
  </si>
  <si>
    <t>Alexander Mejía</t>
  </si>
  <si>
    <t>Éder Álvarez Balanta</t>
  </si>
  <si>
    <t>Carlos Bacca</t>
  </si>
  <si>
    <t>Juan Camilo Zúñiga</t>
  </si>
  <si>
    <t>Adrián Ramos</t>
  </si>
  <si>
    <t>Juan Fernando Quintero</t>
  </si>
  <si>
    <t>Jackson Martínez</t>
  </si>
  <si>
    <t>Faryd Mondragón</t>
  </si>
  <si>
    <t>Carlos Valdés</t>
  </si>
  <si>
    <t>Orestis Karnezis</t>
  </si>
  <si>
    <t>Giannis Maniatis</t>
  </si>
  <si>
    <t>Giorgos Tzavellas</t>
  </si>
  <si>
    <t>Kostas Manolas</t>
  </si>
  <si>
    <t>Vangelis Moras</t>
  </si>
  <si>
    <t>Alexandros Tziolis</t>
  </si>
  <si>
    <t>Giorgos Samaras</t>
  </si>
  <si>
    <t>Panagiotis Kone</t>
  </si>
  <si>
    <t>Kostas Mitroglou</t>
  </si>
  <si>
    <t>Loukas Vyntra</t>
  </si>
  <si>
    <t>Panagiotis Glykos</t>
  </si>
  <si>
    <t>Stefanos Kapino</t>
  </si>
  <si>
    <t>Dimitris Salpingidis</t>
  </si>
  <si>
    <t>Vasilis Torosidis</t>
  </si>
  <si>
    <t>Lazaros Christodoulopoulos</t>
  </si>
  <si>
    <t>Theofanis Gekas</t>
  </si>
  <si>
    <t>Giannis Fetfatzidis</t>
  </si>
  <si>
    <t>Sokratis Papastathopoulos</t>
  </si>
  <si>
    <t>José Holebas</t>
  </si>
  <si>
    <t>Kostas Katsouranis</t>
  </si>
  <si>
    <t>Andreas Samaris</t>
  </si>
  <si>
    <t>Panagiotis Tachtsidis</t>
  </si>
  <si>
    <t>Boubacar Barry</t>
  </si>
  <si>
    <t>Ousmane Viera</t>
  </si>
  <si>
    <t>Arthur Boka</t>
  </si>
  <si>
    <t>Kolo Touré</t>
  </si>
  <si>
    <t>Didier Zokora</t>
  </si>
  <si>
    <t>Mathis Bolly</t>
  </si>
  <si>
    <t>Jean-Daniel Akpa-Akpro</t>
  </si>
  <si>
    <t>Salomon Kalou</t>
  </si>
  <si>
    <t>Cheick Tioté</t>
  </si>
  <si>
    <t>Gervinho</t>
  </si>
  <si>
    <t>Wilfried Bony</t>
  </si>
  <si>
    <t>Didier Ya Konan</t>
  </si>
  <si>
    <t>Ismaël Diomandé</t>
  </si>
  <si>
    <t>Max Gradel</t>
  </si>
  <si>
    <t>Sylvain Gbohouo</t>
  </si>
  <si>
    <t>Serge Aurier</t>
  </si>
  <si>
    <t>Constant Djakpa</t>
  </si>
  <si>
    <t>Yaya Touré</t>
  </si>
  <si>
    <t>Serey Die</t>
  </si>
  <si>
    <t>Giovanni Sio</t>
  </si>
  <si>
    <t>Sol Bamba</t>
  </si>
  <si>
    <t>Sayouba Mandé</t>
  </si>
  <si>
    <t>Eiji Kawashima</t>
  </si>
  <si>
    <t>Atsuto Uchida</t>
  </si>
  <si>
    <t>Gōtoku Sakai</t>
  </si>
  <si>
    <t>Keisuke Honda</t>
  </si>
  <si>
    <t>Yuto Nagatomo</t>
  </si>
  <si>
    <t>Masato Morishige</t>
  </si>
  <si>
    <t>Yasuhito Endō</t>
  </si>
  <si>
    <t>Hiroshi Kiyotake</t>
  </si>
  <si>
    <t>Shinji Okazaki</t>
  </si>
  <si>
    <t>Shinji Kagawa</t>
  </si>
  <si>
    <t>Yoichiro Kakitani</t>
  </si>
  <si>
    <t>Shusaku Nishikawa</t>
  </si>
  <si>
    <t>Yoshito Ōkubo</t>
  </si>
  <si>
    <t>Toshihiro Aoyama</t>
  </si>
  <si>
    <t>Yasuyuki Konno</t>
  </si>
  <si>
    <t>Hotaru Yamaguchi</t>
  </si>
  <si>
    <t>Yuya Osako</t>
  </si>
  <si>
    <t>Masahiko Inoha</t>
  </si>
  <si>
    <t>Manabu Saitō</t>
  </si>
  <si>
    <t>Hiroki Sakai</t>
  </si>
  <si>
    <t>Maya Yoshida</t>
  </si>
  <si>
    <t>Shūichi Gonda</t>
  </si>
  <si>
    <t>Keylor Navas</t>
  </si>
  <si>
    <t>Johnny Acosta</t>
  </si>
  <si>
    <t>Giancarlo González</t>
  </si>
  <si>
    <t>Michael Umaña</t>
  </si>
  <si>
    <t>Celso Borges</t>
  </si>
  <si>
    <t>Óscar Duarte</t>
  </si>
  <si>
    <t>Christian Bolaños</t>
  </si>
  <si>
    <t>Heiner Mora</t>
  </si>
  <si>
    <t>Joel Campbell</t>
  </si>
  <si>
    <t>Michael Barrantes</t>
  </si>
  <si>
    <t>Waylon Francis</t>
  </si>
  <si>
    <t>Esteban Granados</t>
  </si>
  <si>
    <t>Randall Brenes</t>
  </si>
  <si>
    <t>Júnior Díaz</t>
  </si>
  <si>
    <t>Cristian Gamboa</t>
  </si>
  <si>
    <t>Yeltsin Tejeda</t>
  </si>
  <si>
    <t>Patrick Pemberton</t>
  </si>
  <si>
    <t>Roy Miller</t>
  </si>
  <si>
    <t>Diego Calvo</t>
  </si>
  <si>
    <t>Marco Ureña</t>
  </si>
  <si>
    <t>José Miguel Cubero</t>
  </si>
  <si>
    <t>Daniel Cambronero</t>
  </si>
  <si>
    <t>Joe Hart</t>
  </si>
  <si>
    <t>Glen Johnson</t>
  </si>
  <si>
    <t>Leighton Baines</t>
  </si>
  <si>
    <t>Gary Cahill</t>
  </si>
  <si>
    <t>Phil Jagielka</t>
  </si>
  <si>
    <t>Jack Wilshere</t>
  </si>
  <si>
    <t>Frank Lampard</t>
  </si>
  <si>
    <t>Daniel Sturridge</t>
  </si>
  <si>
    <t>Wayne Rooney</t>
  </si>
  <si>
    <t>Danny Welbeck</t>
  </si>
  <si>
    <t>Chris Smalling</t>
  </si>
  <si>
    <t>Ben Foster</t>
  </si>
  <si>
    <t>Jordan Henderson</t>
  </si>
  <si>
    <t>Alex Oxlade-Chamberlain</t>
  </si>
  <si>
    <t>Phil Jones</t>
  </si>
  <si>
    <t>James Milner</t>
  </si>
  <si>
    <t>Rickie Lambert</t>
  </si>
  <si>
    <t>Raheem Sterling</t>
  </si>
  <si>
    <t>Adam Lallana</t>
  </si>
  <si>
    <t>Ross Barkley</t>
  </si>
  <si>
    <t>Fraser Forster</t>
  </si>
  <si>
    <t>Luke Shaw</t>
  </si>
  <si>
    <t>Mattia De Sciglio</t>
  </si>
  <si>
    <t>Giorgio Chiellini</t>
  </si>
  <si>
    <t>Matteo Darmian</t>
  </si>
  <si>
    <t>Thiago Motta</t>
  </si>
  <si>
    <t>Antonio Candreva</t>
  </si>
  <si>
    <t>Ignazio Abate</t>
  </si>
  <si>
    <t>Claudio Marchisio</t>
  </si>
  <si>
    <t>Mario Balotelli</t>
  </si>
  <si>
    <t>Antonio Cassano</t>
  </si>
  <si>
    <t>Alessio Cerci</t>
  </si>
  <si>
    <t>Salvatore Sirigu</t>
  </si>
  <si>
    <t>Mattia Perin</t>
  </si>
  <si>
    <t>Alberto Aquilani</t>
  </si>
  <si>
    <t>Andrea Barzagli</t>
  </si>
  <si>
    <t>Daniele De Rossi</t>
  </si>
  <si>
    <t>Ciro Immobile</t>
  </si>
  <si>
    <t>Marco Parolo</t>
  </si>
  <si>
    <t>Leonardo Bonucci</t>
  </si>
  <si>
    <t>Gabriel Paletta</t>
  </si>
  <si>
    <t>Andrea Pirlo</t>
  </si>
  <si>
    <t>Lorenzo Insigne</t>
  </si>
  <si>
    <t>Marco Verratti</t>
  </si>
  <si>
    <t>Fernando Muslera</t>
  </si>
  <si>
    <t>Diego Godín</t>
  </si>
  <si>
    <t>Sebastián Coates</t>
  </si>
  <si>
    <t>Walter Gargano</t>
  </si>
  <si>
    <t>Álvaro Pereira</t>
  </si>
  <si>
    <t>Cristian Rodríguez</t>
  </si>
  <si>
    <t>Abel Hernández</t>
  </si>
  <si>
    <t>Luis Suárez</t>
  </si>
  <si>
    <t>Diego Forlán</t>
  </si>
  <si>
    <t>Christian Stuani</t>
  </si>
  <si>
    <t>Rodrigo Muñoz</t>
  </si>
  <si>
    <t>Jorge Fucile</t>
  </si>
  <si>
    <t>Nicolás Lodeiro</t>
  </si>
  <si>
    <t>Diego Pérez</t>
  </si>
  <si>
    <t>Maxi Pereira</t>
  </si>
  <si>
    <t>Egidio Arévalo Ríos</t>
  </si>
  <si>
    <t>Gastón Ramírez</t>
  </si>
  <si>
    <t>José María Giménez</t>
  </si>
  <si>
    <t>Álvaro González</t>
  </si>
  <si>
    <t>Edinson Cavani</t>
  </si>
  <si>
    <t>Martín Cáceres</t>
  </si>
  <si>
    <t>Martín Silva</t>
  </si>
  <si>
    <t>Máximo Banguera</t>
  </si>
  <si>
    <t>Jorge Guagua</t>
  </si>
  <si>
    <t>Frickson Erazo</t>
  </si>
  <si>
    <t>Juan Carlos Paredes</t>
  </si>
  <si>
    <t>Renato Ibarra</t>
  </si>
  <si>
    <t>Christian Noboa</t>
  </si>
  <si>
    <t>Jefferson Montero</t>
  </si>
  <si>
    <t>Édison Méndez</t>
  </si>
  <si>
    <t>Joao Rojas</t>
  </si>
  <si>
    <t>Walter Ayoví</t>
  </si>
  <si>
    <t>Felipe Caicedo</t>
  </si>
  <si>
    <t>Adrián Bone</t>
  </si>
  <si>
    <t>Enner Valencia</t>
  </si>
  <si>
    <t>Oswaldo Minda</t>
  </si>
  <si>
    <t>Michael Arroyo</t>
  </si>
  <si>
    <t>Jaime Ayoví</t>
  </si>
  <si>
    <t>Óscar Bagüí</t>
  </si>
  <si>
    <t>Luis Saritama</t>
  </si>
  <si>
    <t>Fidel Martínez</t>
  </si>
  <si>
    <t>Gabriel Achilier</t>
  </si>
  <si>
    <t>Alexander Domínguez</t>
  </si>
  <si>
    <t>Carlos Gruezo</t>
  </si>
  <si>
    <t>Mathieu Debuchy</t>
  </si>
  <si>
    <t>Patrice Evra</t>
  </si>
  <si>
    <t>Raphaël Varane</t>
  </si>
  <si>
    <t>Mamadou Sakho</t>
  </si>
  <si>
    <t>Yohan Cabaye</t>
  </si>
  <si>
    <t>Rémy Cabella[38]</t>
  </si>
  <si>
    <t>Mathieu Valbuena</t>
  </si>
  <si>
    <t>Olivier Giroud</t>
  </si>
  <si>
    <t>Karim Benzema</t>
  </si>
  <si>
    <t>Antoine Griezmann</t>
  </si>
  <si>
    <t>Rio Mavuba</t>
  </si>
  <si>
    <t>Eliaquim Mangala</t>
  </si>
  <si>
    <t>Blaise Matuidi</t>
  </si>
  <si>
    <t>Bacary Sagna</t>
  </si>
  <si>
    <t>Stéphane Ruffier[39]</t>
  </si>
  <si>
    <t>Lucas Digne</t>
  </si>
  <si>
    <t>Moussa Sissoko</t>
  </si>
  <si>
    <t>Paul Pogba</t>
  </si>
  <si>
    <t>Loïc Rémy</t>
  </si>
  <si>
    <t>Laurent Koscielny</t>
  </si>
  <si>
    <t>Morgan Schneiderlin[40]</t>
  </si>
  <si>
    <t>Mickaël Landreau</t>
  </si>
  <si>
    <t>Luis López</t>
  </si>
  <si>
    <t>Osman Chávez</t>
  </si>
  <si>
    <t>Maynor Figueroa</t>
  </si>
  <si>
    <t>Juan Pablo Montes</t>
  </si>
  <si>
    <t>Víctor Bernárdez</t>
  </si>
  <si>
    <t>Juan Carlos García</t>
  </si>
  <si>
    <t>Emilio Izaguirre</t>
  </si>
  <si>
    <t>Wilson Palacios</t>
  </si>
  <si>
    <t>Jerry Palacios</t>
  </si>
  <si>
    <t>Mario Martínez</t>
  </si>
  <si>
    <t>Jerry Bengtson</t>
  </si>
  <si>
    <t>Edder Delgado[42]</t>
  </si>
  <si>
    <t>Carlo Costly</t>
  </si>
  <si>
    <t>Óscar García</t>
  </si>
  <si>
    <t>Roger Espinoza</t>
  </si>
  <si>
    <t>Rony Martínez</t>
  </si>
  <si>
    <t>Marvin Chávez</t>
  </si>
  <si>
    <t>Luis Garrido</t>
  </si>
  <si>
    <t>Jorge Claros</t>
  </si>
  <si>
    <t>Andy Najar</t>
  </si>
  <si>
    <t>Donis Escober</t>
  </si>
  <si>
    <t>Brayan Beckeles</t>
  </si>
  <si>
    <t>Diego Benaglio</t>
  </si>
  <si>
    <t>Stephan Lichtsteiner</t>
  </si>
  <si>
    <t>Reto Ziegler</t>
  </si>
  <si>
    <t>Philippe Senderos</t>
  </si>
  <si>
    <t>Steve von Bergen</t>
  </si>
  <si>
    <t>Michael Lang</t>
  </si>
  <si>
    <t>Tranquillo Barnetta</t>
  </si>
  <si>
    <t>Haris Seferović</t>
  </si>
  <si>
    <t>Granit Xhaka</t>
  </si>
  <si>
    <t>Valon Behrami</t>
  </si>
  <si>
    <t>Yann Sommer</t>
  </si>
  <si>
    <t>Ricardo Rodríguez</t>
  </si>
  <si>
    <t>Valentin Stocker</t>
  </si>
  <si>
    <t>Blerim Džemaili</t>
  </si>
  <si>
    <t>Gelson Fernandes</t>
  </si>
  <si>
    <t>Mario Gavranović</t>
  </si>
  <si>
    <t>Admir Mehmedi</t>
  </si>
  <si>
    <t>Josip Drmić</t>
  </si>
  <si>
    <t>Johan Djourou</t>
  </si>
  <si>
    <t>Roman Bürki</t>
  </si>
  <si>
    <t>Fabian Schär</t>
  </si>
  <si>
    <t>Xherdan Shaqiri</t>
  </si>
  <si>
    <t>Sergio Romero</t>
  </si>
  <si>
    <t>Ezequiel Garay</t>
  </si>
  <si>
    <t>Hugo Campagnaro</t>
  </si>
  <si>
    <t>Pablo Zabaleta</t>
  </si>
  <si>
    <t>Fernando Gago</t>
  </si>
  <si>
    <t>Lucas Biglia</t>
  </si>
  <si>
    <t>Ángel di María</t>
  </si>
  <si>
    <t>Enzo Pérez</t>
  </si>
  <si>
    <t>Gonzalo Higuaín</t>
  </si>
  <si>
    <t>Maxi Rodríguez</t>
  </si>
  <si>
    <t>Agustín Orión</t>
  </si>
  <si>
    <t>Augusto Fernández</t>
  </si>
  <si>
    <t>Javier Mascherano</t>
  </si>
  <si>
    <t>Martín Demichelis</t>
  </si>
  <si>
    <t>Marcos Rojo</t>
  </si>
  <si>
    <t>Federico Fernández</t>
  </si>
  <si>
    <t>Rodrigo Palacio</t>
  </si>
  <si>
    <t>Ricardo Álvarez</t>
  </si>
  <si>
    <t>Sergio Agüero</t>
  </si>
  <si>
    <t>Mariano Andújar</t>
  </si>
  <si>
    <t>Ezequiel Lavezzi</t>
  </si>
  <si>
    <t>José María Basanta</t>
  </si>
  <si>
    <t>Asmir Begović</t>
  </si>
  <si>
    <t>Avdija Vršajević</t>
  </si>
  <si>
    <t>Ermin Bičakčić</t>
  </si>
  <si>
    <t>Sead Kolašinac</t>
  </si>
  <si>
    <t>Ognjen Vranješ</t>
  </si>
  <si>
    <t>Muhamed Bešić</t>
  </si>
  <si>
    <t>Miralem Pjanić</t>
  </si>
  <si>
    <t>Vedad Ibišević</t>
  </si>
  <si>
    <t>Zvjezdan Misimović</t>
  </si>
  <si>
    <t>Edin Džeko</t>
  </si>
  <si>
    <t>Jasmin Fejzić</t>
  </si>
  <si>
    <t>Mensur Mujdža</t>
  </si>
  <si>
    <t>Izet Hajrović</t>
  </si>
  <si>
    <t>Toni Šunjić</t>
  </si>
  <si>
    <t>Senad Lulić</t>
  </si>
  <si>
    <t>Senijad Ibričić</t>
  </si>
  <si>
    <t>Haris Medunjanin</t>
  </si>
  <si>
    <t>Edin Višća</t>
  </si>
  <si>
    <t>Anel Hadžić</t>
  </si>
  <si>
    <t>Tino-Sven Sušić</t>
  </si>
  <si>
    <t>Asmir Avdukić</t>
  </si>
  <si>
    <t>Sejad Salihović</t>
  </si>
  <si>
    <t>Rahman Ahmadi</t>
  </si>
  <si>
    <t>Khosro Heydari</t>
  </si>
  <si>
    <t>Ehsan Hajsafi</t>
  </si>
  <si>
    <t>Jalal Hosseini</t>
  </si>
  <si>
    <t>Amir Hossein Sadeghi</t>
  </si>
  <si>
    <t>Masoud Shojaei</t>
  </si>
  <si>
    <t>Reza Haghighi</t>
  </si>
  <si>
    <t>Alireza Jahanbakhsh</t>
  </si>
  <si>
    <t>Karim Ansarifard</t>
  </si>
  <si>
    <t>Ghasem Haddadifar</t>
  </si>
  <si>
    <t>Alireza Haghighi</t>
  </si>
  <si>
    <t>Hossein Mahini</t>
  </si>
  <si>
    <t>Andranik Teymourian</t>
  </si>
  <si>
    <t>Pejman Montazeri</t>
  </si>
  <si>
    <t>Reza Ghoochannejhad</t>
  </si>
  <si>
    <t>Ahmad Alenemeh</t>
  </si>
  <si>
    <t>Bakhtiar Rahmani</t>
  </si>
  <si>
    <t>Hashem Beikzadeh</t>
  </si>
  <si>
    <t>Steven Beitashour</t>
  </si>
  <si>
    <t>Ashkan Dejagah</t>
  </si>
  <si>
    <t>Daniel Davari</t>
  </si>
  <si>
    <t>Mehrdad Pouladi</t>
  </si>
  <si>
    <t>Joseph Yobo</t>
  </si>
  <si>
    <t>Ejike Uzoenyi</t>
  </si>
  <si>
    <t>Reuben Gabriel</t>
  </si>
  <si>
    <t>Efe Ambrose</t>
  </si>
  <si>
    <t>Azubuike Egwuekwe</t>
  </si>
  <si>
    <t>Ahmed Musa</t>
  </si>
  <si>
    <t>Peter Odemwingie</t>
  </si>
  <si>
    <t>Emmanuel Emenike</t>
  </si>
  <si>
    <t>John Obi Mikel</t>
  </si>
  <si>
    <t>Victor Moses</t>
  </si>
  <si>
    <t>Kunle Odunlami</t>
  </si>
  <si>
    <t>Juwon Oshaniwa</t>
  </si>
  <si>
    <t>Godfrey Oboabona</t>
  </si>
  <si>
    <t>Ramon Azeez</t>
  </si>
  <si>
    <t>Austin Ejide</t>
  </si>
  <si>
    <t>Ogenyi Onazi</t>
  </si>
  <si>
    <t>Michael Babatunde</t>
  </si>
  <si>
    <t>Uche Nwofor</t>
  </si>
  <si>
    <t>Michael Uchebo</t>
  </si>
  <si>
    <t>Chigozie Agbim</t>
  </si>
  <si>
    <t>Kenneth Omeruo</t>
  </si>
  <si>
    <t>Shola Ameobi</t>
  </si>
  <si>
    <t>Manuel Neuer</t>
  </si>
  <si>
    <t>Kevin Großkreutz</t>
  </si>
  <si>
    <t>Matthias Ginter</t>
  </si>
  <si>
    <t>Benedikt Höwedes</t>
  </si>
  <si>
    <t>Mats Hummels</t>
  </si>
  <si>
    <t>Sami Khedira</t>
  </si>
  <si>
    <t>Bastian Schweinsteiger</t>
  </si>
  <si>
    <t>Mesut Özil</t>
  </si>
  <si>
    <t>André Schürrle</t>
  </si>
  <si>
    <t>Lukas Podolski</t>
  </si>
  <si>
    <t>Miroslav Klose</t>
  </si>
  <si>
    <t>Ron-Robert Zieler</t>
  </si>
  <si>
    <t>Thomas Müller</t>
  </si>
  <si>
    <t>Julian Draxler</t>
  </si>
  <si>
    <t>Erik Durm</t>
  </si>
  <si>
    <t>Per Mertesacker</t>
  </si>
  <si>
    <t>Toni Kroos</t>
  </si>
  <si>
    <t>Mario Götze</t>
  </si>
  <si>
    <t>Jérôme Boateng</t>
  </si>
  <si>
    <t>Shkodran Mustafi</t>
  </si>
  <si>
    <t>Roman Weidenfeller</t>
  </si>
  <si>
    <t>Christoph Kramer</t>
  </si>
  <si>
    <t>Stephen Adams</t>
  </si>
  <si>
    <t>Samuel Inkoom</t>
  </si>
  <si>
    <t>Daniel Opare</t>
  </si>
  <si>
    <t>Michael Essien</t>
  </si>
  <si>
    <t>Afriyie Acquah</t>
  </si>
  <si>
    <t>Christian Atsu</t>
  </si>
  <si>
    <t>Emmanuel Agyemang-Badu</t>
  </si>
  <si>
    <t>Kevin-Prince Boateng</t>
  </si>
  <si>
    <t>André Ayew</t>
  </si>
  <si>
    <t>Sulley Muntari</t>
  </si>
  <si>
    <t>Adam Kwarasey</t>
  </si>
  <si>
    <t>Jordan Ayew</t>
  </si>
  <si>
    <t>Albert Adomah</t>
  </si>
  <si>
    <t>Rashid Sumaila</t>
  </si>
  <si>
    <t>Fatau Dauda</t>
  </si>
  <si>
    <t>Mohammed Rabiu</t>
  </si>
  <si>
    <t>Majeed Waris</t>
  </si>
  <si>
    <t>Jonathan Mensah</t>
  </si>
  <si>
    <t>Kwadwo Asamoah</t>
  </si>
  <si>
    <t>John Boye</t>
  </si>
  <si>
    <t>Wakaso Mubarak</t>
  </si>
  <si>
    <t>Harrison Afful</t>
  </si>
  <si>
    <t>Bruno Alves</t>
  </si>
  <si>
    <t>Pepe</t>
  </si>
  <si>
    <t>Miguel Veloso</t>
  </si>
  <si>
    <t>Fábio Coentrão</t>
  </si>
  <si>
    <t>William Carvalho</t>
  </si>
  <si>
    <t>João Moutinho</t>
  </si>
  <si>
    <t>Hugo Almeida</t>
  </si>
  <si>
    <t>Vieirinha</t>
  </si>
  <si>
    <t>Éder</t>
  </si>
  <si>
    <t>Rui Patrício</t>
  </si>
  <si>
    <t>Ricardo Costa</t>
  </si>
  <si>
    <t>Luís Neto</t>
  </si>
  <si>
    <t>Rafa Silva</t>
  </si>
  <si>
    <t>Raul Meireles</t>
  </si>
  <si>
    <t>Nani</t>
  </si>
  <si>
    <t>Silvestre Varela</t>
  </si>
  <si>
    <t>André Almeida</t>
  </si>
  <si>
    <t>Rúben Amorim</t>
  </si>
  <si>
    <t>João Pereira</t>
  </si>
  <si>
    <t>Beto</t>
  </si>
  <si>
    <t>Hélder Postiga</t>
  </si>
  <si>
    <t>Tim Howard</t>
  </si>
  <si>
    <t>DeAndre Yedlin</t>
  </si>
  <si>
    <t>Omar Gonzalez</t>
  </si>
  <si>
    <t>Michael Bradley</t>
  </si>
  <si>
    <t>Matt Besler</t>
  </si>
  <si>
    <t>John Brooks</t>
  </si>
  <si>
    <t>DaMarcus Beasley</t>
  </si>
  <si>
    <t>Aron Jóhannsson</t>
  </si>
  <si>
    <t>Mikkel Diskerud</t>
  </si>
  <si>
    <t>Alejandro Bedoya</t>
  </si>
  <si>
    <t>Brad Guzan</t>
  </si>
  <si>
    <t>Jermaine Jones</t>
  </si>
  <si>
    <t>Brad Davis</t>
  </si>
  <si>
    <t>Kyle Beckerman</t>
  </si>
  <si>
    <t>Julian Green</t>
  </si>
  <si>
    <t>Jozy Altidore</t>
  </si>
  <si>
    <t>Chris Wondolowski</t>
  </si>
  <si>
    <t>Graham Zusi</t>
  </si>
  <si>
    <t>Geoff Cameron</t>
  </si>
  <si>
    <t>Timothy Chandler</t>
  </si>
  <si>
    <t>Nick Rimando</t>
  </si>
  <si>
    <t>Fabian Johnson</t>
  </si>
  <si>
    <t>Cédric Si Mohamed</t>
  </si>
  <si>
    <t>Faouzi Ghoulam</t>
  </si>
  <si>
    <t>Essaïd Belkalem</t>
  </si>
  <si>
    <t>Rafik Halliche</t>
  </si>
  <si>
    <t>Djamel Mesbah</t>
  </si>
  <si>
    <t>Carl Medjani</t>
  </si>
  <si>
    <t>Hassan Yebda</t>
  </si>
  <si>
    <t>Nabil Ghilas</t>
  </si>
  <si>
    <t>Sofiane Feghouli</t>
  </si>
  <si>
    <t>Yacine Brahimi</t>
  </si>
  <si>
    <t>Medhi Lacen</t>
  </si>
  <si>
    <t>Islam Slimani</t>
  </si>
  <si>
    <t>Nabil Bentaleb</t>
  </si>
  <si>
    <t>El Arbi Hillel Soudani</t>
  </si>
  <si>
    <t>Mohamed Zemmamouche</t>
  </si>
  <si>
    <t>Liassine Cadamuro-Bentaïba</t>
  </si>
  <si>
    <t>Abdelmoumene Djabou</t>
  </si>
  <si>
    <t>Saphir Taïder</t>
  </si>
  <si>
    <t>Aïssa Mandi</t>
  </si>
  <si>
    <t>Riyad Mahrez</t>
  </si>
  <si>
    <t>Mehdi Mostefa</t>
  </si>
  <si>
    <t>Raïs M'Bolhi</t>
  </si>
  <si>
    <t>Thibaut Courtois</t>
  </si>
  <si>
    <t>Toby Alderweireld</t>
  </si>
  <si>
    <t>Thomas Vermaelen</t>
  </si>
  <si>
    <t>Jan Vertonghen</t>
  </si>
  <si>
    <t>Axel Witsel</t>
  </si>
  <si>
    <t>Kevin De Bruyne</t>
  </si>
  <si>
    <t>Marouane Fellaini</t>
  </si>
  <si>
    <t>Romelu Lukaku</t>
  </si>
  <si>
    <t>Eden Hazard</t>
  </si>
  <si>
    <t>Kevin Mirallas</t>
  </si>
  <si>
    <t>Simon Mignolet</t>
  </si>
  <si>
    <t>Sammy Bossut</t>
  </si>
  <si>
    <t>Dries Mertens</t>
  </si>
  <si>
    <t>Daniel Van Buyten</t>
  </si>
  <si>
    <t>Steven Defour</t>
  </si>
  <si>
    <t>Divock Origi</t>
  </si>
  <si>
    <t>Nicolas Lombaerts</t>
  </si>
  <si>
    <t>Mousa Dembélé</t>
  </si>
  <si>
    <t>Adnan Januzaj</t>
  </si>
  <si>
    <t>Anthony Vanden Borre</t>
  </si>
  <si>
    <t>Nacer Chadli</t>
  </si>
  <si>
    <t>Laurent Ciman</t>
  </si>
  <si>
    <t>Igor Akinfeev</t>
  </si>
  <si>
    <t>Aleksei Kozlov</t>
  </si>
  <si>
    <t>Georgi Shchennikov</t>
  </si>
  <si>
    <t>Sergei Ignashevich</t>
  </si>
  <si>
    <t>Andrei Semyonov</t>
  </si>
  <si>
    <t>Maksim Kanunnikov</t>
  </si>
  <si>
    <t>Igor Denisov</t>
  </si>
  <si>
    <t>Denis Glushakov</t>
  </si>
  <si>
    <t>Aleksandr Kokorin</t>
  </si>
  <si>
    <t>Alan Dzagoev</t>
  </si>
  <si>
    <t>Aleksandr Kerzhakov</t>
  </si>
  <si>
    <t>Yuri Lodygin</t>
  </si>
  <si>
    <t>Vladimir Granat</t>
  </si>
  <si>
    <t>Pavel Mogilevets</t>
  </si>
  <si>
    <t>Sergey Ryzhikov</t>
  </si>
  <si>
    <t>Oleg Shatov</t>
  </si>
  <si>
    <t>Yuri Zhirkov</t>
  </si>
  <si>
    <t>Aleksandr Samedov</t>
  </si>
  <si>
    <t>Viktor Fayzulin</t>
  </si>
  <si>
    <t>Aleksei Ionov</t>
  </si>
  <si>
    <t>Andrey Yeshchenko</t>
  </si>
  <si>
    <t>Dmitri Kombarov</t>
  </si>
  <si>
    <t>Jung Sung-ryong</t>
  </si>
  <si>
    <t>Kim Chang-soo</t>
  </si>
  <si>
    <t>Yun Suk-young</t>
  </si>
  <si>
    <t>Kwak Tae-hwi</t>
  </si>
  <si>
    <t>Kim Young-gwon</t>
  </si>
  <si>
    <t>Hwang Seok-ho</t>
  </si>
  <si>
    <t>Kim Bo-kyung</t>
  </si>
  <si>
    <t>Ha Dae-sung</t>
  </si>
  <si>
    <t>Son Heung-min</t>
  </si>
  <si>
    <t>Park Chu-young</t>
  </si>
  <si>
    <t>Lee Keun-ho</t>
  </si>
  <si>
    <t>Lee Yong</t>
  </si>
  <si>
    <t>Han Kook-young</t>
  </si>
  <si>
    <t>Park Jong-woo</t>
  </si>
  <si>
    <t>Ki Sung-yueng</t>
  </si>
  <si>
    <t>Lee Chung-yong</t>
  </si>
  <si>
    <t>Kim Shin-wook</t>
  </si>
  <si>
    <t>Ji Dong-won</t>
  </si>
  <si>
    <t>Hong Jeong-ho</t>
  </si>
  <si>
    <t>Kim Seung-gyu</t>
  </si>
  <si>
    <t>Park Joo-ho[66]</t>
  </si>
  <si>
    <t>Lee Bum-young</t>
  </si>
  <si>
    <t xml:space="preserve">Iker Casillas </t>
  </si>
  <si>
    <t xml:space="preserve">Claudio Bravo </t>
  </si>
  <si>
    <t xml:space="preserve">Gianluigi Buffon </t>
  </si>
  <si>
    <t xml:space="preserve">Hugo Lloris </t>
  </si>
  <si>
    <t xml:space="preserve">Vincent Enyeama </t>
  </si>
  <si>
    <t xml:space="preserve">Diego Lugano </t>
  </si>
  <si>
    <t xml:space="preserve">Madjid Bougherra </t>
  </si>
  <si>
    <t xml:space="preserve">Mario Yepes </t>
  </si>
  <si>
    <t xml:space="preserve">Asamoah Gyan </t>
  </si>
  <si>
    <t xml:space="preserve">Rafael Márquez </t>
  </si>
  <si>
    <t xml:space="preserve">Steven Gerrard </t>
  </si>
  <si>
    <t xml:space="preserve">Emir Spahić </t>
  </si>
  <si>
    <t xml:space="preserve">Vincent Kompany </t>
  </si>
  <si>
    <t xml:space="preserve">Javad Nekounam </t>
  </si>
  <si>
    <t xml:space="preserve">Cristiano Ronaldo </t>
  </si>
  <si>
    <t xml:space="preserve">Gökhan Inler </t>
  </si>
  <si>
    <t xml:space="preserve">Clint Dempsey </t>
  </si>
  <si>
    <t xml:space="preserve">Samuel Eto'o </t>
  </si>
  <si>
    <t xml:space="preserve">Robin van Persie </t>
  </si>
  <si>
    <t xml:space="preserve">Giorgos Karagounis </t>
  </si>
  <si>
    <t xml:space="preserve">Bryan Ruiz </t>
  </si>
  <si>
    <t xml:space="preserve">Lionel Messi </t>
  </si>
  <si>
    <t xml:space="preserve">Darijo Srna </t>
  </si>
  <si>
    <t xml:space="preserve">Didier Drogba </t>
  </si>
  <si>
    <t xml:space="preserve">Koo Ja-cheol </t>
  </si>
  <si>
    <t xml:space="preserve">Vasili Berezutski </t>
  </si>
  <si>
    <t xml:space="preserve">Mile Jedinak </t>
  </si>
  <si>
    <t xml:space="preserve">Antonio Valencia </t>
  </si>
  <si>
    <t xml:space="preserve">Philipp Lahm </t>
  </si>
  <si>
    <t xml:space="preserve">Makoto Hasebe </t>
  </si>
  <si>
    <t xml:space="preserve">Noel Valladares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</si>
</sst>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h:mm;@"/>
    <numFmt numFmtId="165" formatCode="m/d/yy\ h:mm;@"/>
  </numFmts>
  <fonts count="25">
    <font>
      <sz val="10"/>
      <name val="Arial"/>
    </font>
    <font>
      <sz val="8"/>
      <name val="Arial"/>
      <family val="2"/>
    </font>
    <font>
      <u/>
      <sz val="10"/>
      <color indexed="12"/>
      <name val="Arial"/>
      <family val="2"/>
    </font>
    <font>
      <b/>
      <sz val="11"/>
      <color theme="0"/>
      <name val="Calibri"/>
      <family val="2"/>
      <scheme val="minor"/>
    </font>
    <font>
      <sz val="11"/>
      <color theme="0"/>
      <name val="Calibri"/>
      <family val="2"/>
      <scheme val="minor"/>
    </font>
    <font>
      <sz val="10"/>
      <name val="Calibri"/>
      <family val="2"/>
      <scheme val="minor"/>
    </font>
    <font>
      <b/>
      <sz val="10"/>
      <name val="Calibri"/>
      <family val="2"/>
      <scheme val="minor"/>
    </font>
    <font>
      <b/>
      <sz val="11"/>
      <name val="Calibri"/>
      <family val="2"/>
      <scheme val="minor"/>
    </font>
    <font>
      <sz val="11"/>
      <name val="Calibri"/>
      <family val="2"/>
      <scheme val="minor"/>
    </font>
    <font>
      <b/>
      <sz val="11"/>
      <color indexed="9"/>
      <name val="Calibri"/>
      <family val="2"/>
      <scheme val="minor"/>
    </font>
    <font>
      <sz val="11"/>
      <color indexed="10"/>
      <name val="Calibri"/>
      <family val="2"/>
      <scheme val="minor"/>
    </font>
    <font>
      <sz val="11"/>
      <color indexed="9"/>
      <name val="Calibri"/>
      <family val="2"/>
      <scheme val="minor"/>
    </font>
    <font>
      <b/>
      <sz val="24"/>
      <name val="Calibri"/>
      <family val="2"/>
      <scheme val="minor"/>
    </font>
    <font>
      <sz val="10"/>
      <color theme="0"/>
      <name val="Arial"/>
      <family val="2"/>
    </font>
    <font>
      <b/>
      <sz val="10"/>
      <color theme="0"/>
      <name val="Calibri"/>
      <family val="2"/>
      <scheme val="minor"/>
    </font>
    <font>
      <sz val="10"/>
      <color theme="0"/>
      <name val="Verdana"/>
      <family val="2"/>
    </font>
    <font>
      <sz val="10"/>
      <color theme="0"/>
      <name val="宋体"/>
      <charset val="134"/>
    </font>
    <font>
      <sz val="12"/>
      <color theme="0"/>
      <name val="Arial"/>
      <family val="2"/>
    </font>
    <font>
      <sz val="8"/>
      <color theme="0"/>
      <name val="Verdana"/>
      <family val="2"/>
    </font>
    <font>
      <b/>
      <sz val="10"/>
      <color theme="0"/>
      <name val="Verdana"/>
      <family val="2"/>
    </font>
    <font>
      <b/>
      <sz val="16"/>
      <color rgb="FFFFFF00"/>
      <name val="Calibri"/>
      <family val="2"/>
      <scheme val="minor"/>
    </font>
    <font>
      <sz val="10"/>
      <name val="Arial"/>
      <family val="2"/>
    </font>
    <font>
      <u/>
      <sz val="10"/>
      <color indexed="12"/>
      <name val="Calibri"/>
      <family val="2"/>
      <scheme val="minor"/>
    </font>
    <font>
      <u/>
      <sz val="10"/>
      <name val="Calibri"/>
      <family val="2"/>
      <scheme val="minor"/>
    </font>
    <font>
      <b/>
      <sz val="16"/>
      <color indexed="9"/>
      <name val="Calibri"/>
      <family val="2"/>
      <scheme val="minor"/>
    </font>
  </fonts>
  <fills count="10">
    <fill>
      <patternFill patternType="none"/>
    </fill>
    <fill>
      <patternFill patternType="gray125"/>
    </fill>
    <fill>
      <patternFill patternType="solid">
        <fgColor indexed="48"/>
        <bgColor indexed="64"/>
      </patternFill>
    </fill>
    <fill>
      <patternFill patternType="solid">
        <fgColor indexed="9"/>
        <bgColor indexed="64"/>
      </patternFill>
    </fill>
    <fill>
      <patternFill patternType="solid">
        <fgColor indexed="44"/>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3366FF"/>
        <bgColor indexed="64"/>
      </patternFill>
    </fill>
    <fill>
      <patternFill patternType="solid">
        <fgColor theme="3" tint="-0.249977111117893"/>
        <bgColor indexed="64"/>
      </patternFill>
    </fill>
  </fills>
  <borders count="18">
    <border>
      <left/>
      <right/>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style="thin">
        <color theme="3" tint="0.39994506668294322"/>
      </top>
      <bottom/>
      <diagonal/>
    </border>
    <border>
      <left/>
      <right/>
      <top/>
      <bottom style="thin">
        <color theme="3" tint="0.39994506668294322"/>
      </bottom>
      <diagonal/>
    </border>
    <border>
      <left/>
      <right/>
      <top/>
      <bottom style="thin">
        <color theme="3" tint="0.39991454817346722"/>
      </bottom>
      <diagonal/>
    </border>
    <border>
      <left/>
      <right/>
      <top style="thin">
        <color rgb="FF3366FF"/>
      </top>
      <bottom style="thin">
        <color rgb="FF3366FF"/>
      </bottom>
      <diagonal/>
    </border>
    <border>
      <left style="thin">
        <color theme="3" tint="0.39991454817346722"/>
      </left>
      <right style="thin">
        <color theme="3" tint="0.39991454817346722"/>
      </right>
      <top style="thin">
        <color theme="3" tint="0.39991454817346722"/>
      </top>
      <bottom style="thin">
        <color theme="3" tint="0.39991454817346722"/>
      </bottom>
      <diagonal/>
    </border>
    <border>
      <left/>
      <right style="thin">
        <color indexed="64"/>
      </right>
      <top style="thin">
        <color indexed="64"/>
      </top>
      <bottom style="thin">
        <color indexed="64"/>
      </bottom>
      <diagonal/>
    </border>
  </borders>
  <cellStyleXfs count="3">
    <xf numFmtId="0" fontId="0" fillId="0" borderId="0"/>
    <xf numFmtId="0" fontId="2" fillId="0" borderId="0" applyNumberFormat="0" applyFill="0" applyBorder="0" applyAlignment="0" applyProtection="0">
      <alignment vertical="top"/>
      <protection locked="0"/>
    </xf>
    <xf numFmtId="43" fontId="21" fillId="0" borderId="0" applyFont="0" applyFill="0" applyBorder="0" applyAlignment="0" applyProtection="0"/>
  </cellStyleXfs>
  <cellXfs count="239">
    <xf numFmtId="0" fontId="0" fillId="0" borderId="0" xfId="0"/>
    <xf numFmtId="0" fontId="5" fillId="0" borderId="0" xfId="0" applyFont="1" applyAlignment="1">
      <alignment horizontal="center" vertical="center"/>
    </xf>
    <xf numFmtId="0" fontId="5" fillId="0" borderId="0" xfId="0" applyFont="1" applyAlignment="1">
      <alignment vertical="center"/>
    </xf>
    <xf numFmtId="0" fontId="6" fillId="5" borderId="11" xfId="0" applyFont="1" applyFill="1" applyBorder="1" applyAlignment="1">
      <alignment horizontal="center" vertical="center"/>
    </xf>
    <xf numFmtId="0" fontId="5" fillId="0" borderId="11" xfId="0" applyFont="1" applyBorder="1" applyAlignment="1">
      <alignment horizontal="center" vertical="center"/>
    </xf>
    <xf numFmtId="0" fontId="5" fillId="7" borderId="11" xfId="0" applyFont="1" applyFill="1" applyBorder="1" applyAlignment="1">
      <alignment vertical="center"/>
    </xf>
    <xf numFmtId="0" fontId="7" fillId="0" borderId="0" xfId="0" applyFont="1" applyAlignment="1" applyProtection="1">
      <alignment vertical="center"/>
      <protection hidden="1"/>
    </xf>
    <xf numFmtId="0" fontId="8" fillId="0" borderId="0" xfId="0" applyFont="1" applyAlignment="1" applyProtection="1">
      <alignment vertical="center"/>
      <protection hidden="1"/>
    </xf>
    <xf numFmtId="0" fontId="8" fillId="0" borderId="0" xfId="0" applyFont="1" applyAlignment="1" applyProtection="1">
      <alignment horizontal="center" vertical="center"/>
      <protection hidden="1"/>
    </xf>
    <xf numFmtId="0" fontId="10" fillId="0" borderId="0" xfId="0" applyFont="1" applyAlignment="1" applyProtection="1">
      <alignment vertical="center"/>
      <protection hidden="1"/>
    </xf>
    <xf numFmtId="0" fontId="11" fillId="0" borderId="0" xfId="0" applyFont="1" applyAlignment="1" applyProtection="1">
      <alignment vertical="center"/>
      <protection hidden="1"/>
    </xf>
    <xf numFmtId="0" fontId="8" fillId="0" borderId="1" xfId="0" applyFont="1" applyBorder="1" applyAlignment="1" applyProtection="1">
      <alignment vertical="center"/>
      <protection hidden="1"/>
    </xf>
    <xf numFmtId="0" fontId="8" fillId="0" borderId="0" xfId="0"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9" fillId="0" borderId="0" xfId="0" applyFont="1" applyFill="1" applyBorder="1" applyAlignment="1" applyProtection="1">
      <alignment horizontal="center" vertical="center"/>
      <protection hidden="1"/>
    </xf>
    <xf numFmtId="0" fontId="8" fillId="0" borderId="2" xfId="0" applyFont="1" applyBorder="1" applyAlignment="1" applyProtection="1">
      <alignment vertical="center"/>
      <protection hidden="1"/>
    </xf>
    <xf numFmtId="0" fontId="8" fillId="0" borderId="10" xfId="0" applyFont="1" applyBorder="1" applyAlignment="1" applyProtection="1">
      <alignment vertical="center"/>
      <protection hidden="1"/>
    </xf>
    <xf numFmtId="0" fontId="7" fillId="0" borderId="0" xfId="0" applyFont="1" applyBorder="1" applyAlignment="1" applyProtection="1">
      <alignment horizontal="center" vertical="center"/>
      <protection hidden="1"/>
    </xf>
    <xf numFmtId="0" fontId="7" fillId="0" borderId="0" xfId="0" applyFont="1" applyBorder="1" applyAlignment="1" applyProtection="1">
      <alignment vertical="center"/>
      <protection hidden="1"/>
    </xf>
    <xf numFmtId="0" fontId="7" fillId="0" borderId="0" xfId="0" applyFont="1" applyAlignment="1" applyProtection="1">
      <alignment horizontal="center" vertical="center"/>
      <protection hidden="1"/>
    </xf>
    <xf numFmtId="0" fontId="10" fillId="0" borderId="0" xfId="0" applyFont="1" applyBorder="1" applyAlignment="1" applyProtection="1">
      <alignment vertical="center"/>
      <protection hidden="1"/>
    </xf>
    <xf numFmtId="0" fontId="8" fillId="0" borderId="0" xfId="0" applyFont="1" applyBorder="1" applyAlignment="1" applyProtection="1">
      <alignment horizontal="left" vertical="center" indent="1"/>
      <protection hidden="1"/>
    </xf>
    <xf numFmtId="0" fontId="10" fillId="0" borderId="0" xfId="0" applyFont="1" applyFill="1" applyBorder="1" applyAlignment="1" applyProtection="1">
      <alignment vertical="center"/>
      <protection hidden="1"/>
    </xf>
    <xf numFmtId="0" fontId="8" fillId="0" borderId="8"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6" xfId="0" applyFont="1" applyBorder="1" applyAlignment="1" applyProtection="1">
      <alignment horizontal="left" vertical="center"/>
      <protection hidden="1"/>
    </xf>
    <xf numFmtId="0" fontId="8" fillId="0" borderId="6" xfId="0" applyFont="1" applyBorder="1" applyAlignment="1" applyProtection="1">
      <alignment horizontal="center" vertical="center"/>
      <protection hidden="1"/>
    </xf>
    <xf numFmtId="0" fontId="8" fillId="0" borderId="7" xfId="0" applyFont="1" applyBorder="1" applyAlignment="1" applyProtection="1">
      <alignment vertical="center"/>
      <protection hidden="1"/>
    </xf>
    <xf numFmtId="0" fontId="7" fillId="0" borderId="0" xfId="0" applyFont="1" applyAlignment="1" applyProtection="1">
      <alignment horizontal="right" vertical="center"/>
      <protection hidden="1"/>
    </xf>
    <xf numFmtId="0" fontId="8" fillId="0" borderId="0" xfId="0" applyFont="1" applyAlignment="1" applyProtection="1">
      <alignment horizontal="center"/>
      <protection hidden="1"/>
    </xf>
    <xf numFmtId="0" fontId="8" fillId="0" borderId="0" xfId="0" applyFont="1" applyBorder="1" applyAlignment="1" applyProtection="1">
      <alignment horizontal="left" vertical="center"/>
      <protection hidden="1"/>
    </xf>
    <xf numFmtId="0" fontId="9" fillId="2" borderId="1" xfId="0" applyFont="1" applyFill="1" applyBorder="1" applyAlignment="1" applyProtection="1">
      <alignment vertical="center"/>
      <protection hidden="1"/>
    </xf>
    <xf numFmtId="0" fontId="9" fillId="2" borderId="0" xfId="0" applyFont="1" applyFill="1" applyBorder="1" applyAlignment="1" applyProtection="1">
      <alignment vertical="center"/>
      <protection hidden="1"/>
    </xf>
    <xf numFmtId="0" fontId="9" fillId="2" borderId="5" xfId="0" applyFont="1" applyFill="1" applyBorder="1" applyAlignment="1" applyProtection="1">
      <alignment vertical="center"/>
      <protection hidden="1"/>
    </xf>
    <xf numFmtId="0" fontId="8" fillId="2" borderId="3" xfId="0" applyFont="1" applyFill="1" applyBorder="1" applyAlignment="1" applyProtection="1">
      <alignment vertical="center"/>
      <protection hidden="1"/>
    </xf>
    <xf numFmtId="0" fontId="8" fillId="2" borderId="5" xfId="0" applyFont="1" applyFill="1" applyBorder="1" applyAlignment="1" applyProtection="1">
      <alignment vertical="center"/>
      <protection hidden="1"/>
    </xf>
    <xf numFmtId="0" fontId="8" fillId="2" borderId="5" xfId="0" applyFont="1" applyFill="1" applyBorder="1" applyAlignment="1" applyProtection="1">
      <alignment horizontal="center" vertical="center"/>
      <protection hidden="1"/>
    </xf>
    <xf numFmtId="0" fontId="8" fillId="2" borderId="1" xfId="0" applyFont="1" applyFill="1" applyBorder="1" applyAlignment="1" applyProtection="1">
      <alignment vertical="center"/>
      <protection hidden="1"/>
    </xf>
    <xf numFmtId="0" fontId="8" fillId="2" borderId="0" xfId="0" applyFont="1" applyFill="1" applyBorder="1" applyAlignment="1" applyProtection="1">
      <alignment vertical="center"/>
      <protection hidden="1"/>
    </xf>
    <xf numFmtId="0" fontId="8" fillId="2" borderId="0" xfId="0" applyFont="1" applyFill="1" applyBorder="1" applyAlignment="1" applyProtection="1">
      <alignment horizontal="center" vertical="center"/>
      <protection hidden="1"/>
    </xf>
    <xf numFmtId="0" fontId="8" fillId="2" borderId="8" xfId="0" applyFont="1" applyFill="1" applyBorder="1" applyAlignment="1" applyProtection="1">
      <alignment vertical="center"/>
      <protection hidden="1"/>
    </xf>
    <xf numFmtId="0" fontId="8" fillId="2" borderId="6" xfId="0" applyFont="1" applyFill="1" applyBorder="1" applyAlignment="1" applyProtection="1">
      <alignment vertical="center"/>
      <protection hidden="1"/>
    </xf>
    <xf numFmtId="0" fontId="8" fillId="2" borderId="6" xfId="0" applyFont="1" applyFill="1" applyBorder="1" applyAlignment="1" applyProtection="1">
      <alignment horizontal="center" vertical="center"/>
      <protection hidden="1"/>
    </xf>
    <xf numFmtId="0" fontId="8" fillId="0" borderId="0" xfId="0" applyFont="1" applyProtection="1">
      <protection hidden="1"/>
    </xf>
    <xf numFmtId="0" fontId="10" fillId="0" borderId="0" xfId="0" applyFont="1" applyProtection="1">
      <protection hidden="1"/>
    </xf>
    <xf numFmtId="0" fontId="11" fillId="0" borderId="0" xfId="0" applyFont="1" applyProtection="1">
      <protection hidden="1"/>
    </xf>
    <xf numFmtId="0" fontId="8" fillId="0" borderId="0" xfId="0" applyFont="1" applyAlignment="1" applyProtection="1">
      <alignment horizontal="left" indent="1"/>
      <protection hidden="1"/>
    </xf>
    <xf numFmtId="0" fontId="11" fillId="0" borderId="0" xfId="0" applyFont="1" applyAlignment="1" applyProtection="1">
      <alignment horizontal="center"/>
      <protection hidden="1"/>
    </xf>
    <xf numFmtId="0" fontId="8" fillId="0" borderId="0" xfId="0" applyFont="1" applyAlignment="1" applyProtection="1">
      <alignment horizontal="left" vertical="center" indent="1"/>
      <protection hidden="1"/>
    </xf>
    <xf numFmtId="0" fontId="8" fillId="0" borderId="2" xfId="0" applyFont="1" applyBorder="1" applyAlignment="1" applyProtection="1">
      <alignment horizontal="center" vertical="center"/>
      <protection hidden="1"/>
    </xf>
    <xf numFmtId="0" fontId="10" fillId="0" borderId="2" xfId="0" applyFont="1" applyBorder="1" applyAlignment="1" applyProtection="1">
      <alignment vertical="center"/>
      <protection hidden="1"/>
    </xf>
    <xf numFmtId="0" fontId="11" fillId="0" borderId="0" xfId="0" applyFont="1" applyBorder="1" applyAlignment="1" applyProtection="1">
      <alignment horizontal="left" vertical="center" indent="1"/>
      <protection hidden="1"/>
    </xf>
    <xf numFmtId="0" fontId="11" fillId="0" borderId="0" xfId="0" applyFont="1" applyBorder="1" applyAlignment="1" applyProtection="1">
      <alignment horizontal="center" vertical="center"/>
      <protection hidden="1"/>
    </xf>
    <xf numFmtId="0" fontId="10" fillId="0" borderId="0" xfId="0" applyFont="1" applyBorder="1" applyProtection="1">
      <protection hidden="1"/>
    </xf>
    <xf numFmtId="164" fontId="11" fillId="0" borderId="0" xfId="0" applyNumberFormat="1" applyFont="1" applyBorder="1" applyAlignment="1" applyProtection="1">
      <alignment horizontal="left" vertical="center" indent="1" shrinkToFit="1"/>
      <protection hidden="1"/>
    </xf>
    <xf numFmtId="0" fontId="11" fillId="0" borderId="0" xfId="0" applyFont="1" applyAlignment="1" applyProtection="1">
      <alignment horizontal="center" vertical="center"/>
      <protection hidden="1"/>
    </xf>
    <xf numFmtId="0" fontId="8" fillId="0" borderId="2" xfId="0" applyFont="1" applyBorder="1" applyAlignment="1" applyProtection="1">
      <alignment horizontal="left" vertical="center" indent="1"/>
      <protection hidden="1"/>
    </xf>
    <xf numFmtId="0" fontId="8" fillId="0" borderId="1" xfId="0" applyFont="1" applyFill="1" applyBorder="1" applyAlignment="1" applyProtection="1">
      <alignment vertical="center"/>
      <protection hidden="1"/>
    </xf>
    <xf numFmtId="0" fontId="8" fillId="0" borderId="0" xfId="0" applyFont="1" applyFill="1" applyBorder="1" applyAlignment="1" applyProtection="1">
      <alignment horizontal="right" vertical="center"/>
      <protection hidden="1"/>
    </xf>
    <xf numFmtId="0" fontId="8" fillId="0" borderId="0" xfId="0" applyFont="1" applyFill="1" applyBorder="1" applyAlignment="1" applyProtection="1">
      <alignment vertical="center"/>
      <protection hidden="1"/>
    </xf>
    <xf numFmtId="0" fontId="8" fillId="0" borderId="8" xfId="0" applyFont="1" applyFill="1" applyBorder="1" applyAlignment="1" applyProtection="1">
      <alignment vertical="center"/>
      <protection hidden="1"/>
    </xf>
    <xf numFmtId="0" fontId="8" fillId="0" borderId="6" xfId="0" applyFont="1" applyFill="1" applyBorder="1" applyAlignment="1" applyProtection="1">
      <alignment horizontal="right" vertical="center"/>
      <protection hidden="1"/>
    </xf>
    <xf numFmtId="0" fontId="8" fillId="0" borderId="6" xfId="0" applyFont="1" applyFill="1" applyBorder="1" applyAlignment="1" applyProtection="1">
      <alignment vertical="center"/>
      <protection hidden="1"/>
    </xf>
    <xf numFmtId="0" fontId="10" fillId="0" borderId="6" xfId="0" applyFont="1" applyBorder="1" applyAlignment="1" applyProtection="1">
      <alignment vertical="center"/>
      <protection hidden="1"/>
    </xf>
    <xf numFmtId="0" fontId="8" fillId="0" borderId="6" xfId="0" applyFont="1" applyBorder="1" applyAlignment="1" applyProtection="1">
      <alignment horizontal="left" vertical="center" indent="1"/>
      <protection hidden="1"/>
    </xf>
    <xf numFmtId="0" fontId="8" fillId="0" borderId="7" xfId="0" applyFont="1" applyBorder="1" applyAlignment="1" applyProtection="1">
      <alignment horizontal="center" vertical="center"/>
      <protection hidden="1"/>
    </xf>
    <xf numFmtId="0" fontId="8" fillId="0" borderId="0" xfId="0" applyFont="1" applyBorder="1" applyProtection="1">
      <protection hidden="1"/>
    </xf>
    <xf numFmtId="0" fontId="9" fillId="0" borderId="0" xfId="0" applyFont="1" applyFill="1" applyBorder="1" applyAlignment="1" applyProtection="1">
      <alignment vertical="center"/>
      <protection hidden="1"/>
    </xf>
    <xf numFmtId="0" fontId="4" fillId="0" borderId="0" xfId="0" applyFont="1" applyAlignment="1" applyProtection="1">
      <alignment vertical="center"/>
      <protection hidden="1"/>
    </xf>
    <xf numFmtId="0" fontId="3" fillId="8" borderId="0" xfId="0" applyFont="1" applyFill="1" applyBorder="1" applyAlignment="1" applyProtection="1">
      <alignment horizontal="left" vertical="center" indent="1"/>
      <protection hidden="1"/>
    </xf>
    <xf numFmtId="0" fontId="3" fillId="8" borderId="0" xfId="0" applyFont="1" applyFill="1" applyBorder="1" applyAlignment="1" applyProtection="1">
      <alignment horizontal="center" vertical="center"/>
      <protection hidden="1"/>
    </xf>
    <xf numFmtId="0" fontId="4" fillId="8" borderId="0" xfId="0" applyFont="1" applyFill="1" applyBorder="1" applyAlignment="1" applyProtection="1">
      <alignment vertical="center"/>
      <protection hidden="1"/>
    </xf>
    <xf numFmtId="0" fontId="8" fillId="0" borderId="15" xfId="0" applyFont="1" applyBorder="1" applyAlignment="1" applyProtection="1">
      <alignment vertical="center"/>
      <protection hidden="1"/>
    </xf>
    <xf numFmtId="0" fontId="8" fillId="0" borderId="15" xfId="0" applyFont="1" applyBorder="1" applyAlignment="1" applyProtection="1">
      <alignment horizontal="left" vertical="center"/>
      <protection hidden="1"/>
    </xf>
    <xf numFmtId="0" fontId="8" fillId="0" borderId="15" xfId="0" applyFont="1" applyBorder="1" applyAlignment="1" applyProtection="1">
      <alignment horizontal="center" vertical="center"/>
      <protection hidden="1"/>
    </xf>
    <xf numFmtId="0" fontId="8" fillId="6" borderId="16" xfId="0" applyFont="1" applyFill="1" applyBorder="1" applyAlignment="1" applyProtection="1">
      <alignment horizontal="center" vertical="center"/>
      <protection locked="0"/>
    </xf>
    <xf numFmtId="0" fontId="8" fillId="0" borderId="0" xfId="0" applyFont="1" applyBorder="1" applyAlignment="1" applyProtection="1">
      <alignment horizontal="center" vertical="center"/>
      <protection hidden="1"/>
    </xf>
    <xf numFmtId="0" fontId="13" fillId="0" borderId="0" xfId="0" applyFont="1" applyFill="1" applyBorder="1"/>
    <xf numFmtId="0" fontId="14" fillId="0" borderId="0" xfId="0" applyFont="1" applyFill="1" applyBorder="1" applyAlignment="1">
      <alignment horizontal="center" vertical="center"/>
    </xf>
    <xf numFmtId="0" fontId="13" fillId="0" borderId="0" xfId="0" quotePrefix="1" applyFont="1" applyFill="1" applyBorder="1"/>
    <xf numFmtId="0" fontId="13" fillId="0" borderId="0" xfId="0" applyFont="1" applyBorder="1" applyProtection="1">
      <protection hidden="1"/>
    </xf>
    <xf numFmtId="0" fontId="13" fillId="0" borderId="0" xfId="0" applyFont="1" applyBorder="1"/>
    <xf numFmtId="0" fontId="15" fillId="0" borderId="0" xfId="0" applyFont="1"/>
    <xf numFmtId="0" fontId="16" fillId="0" borderId="0" xfId="0" applyFont="1" applyBorder="1"/>
    <xf numFmtId="0" fontId="13" fillId="0" borderId="0" xfId="0" applyFont="1" applyFill="1" applyBorder="1" applyProtection="1">
      <protection hidden="1"/>
    </xf>
    <xf numFmtId="0" fontId="13" fillId="0" borderId="0" xfId="0" applyFont="1" applyBorder="1" applyAlignment="1">
      <alignment wrapText="1"/>
    </xf>
    <xf numFmtId="0" fontId="13" fillId="3" borderId="0" xfId="0" applyFont="1" applyFill="1" applyBorder="1"/>
    <xf numFmtId="0" fontId="13" fillId="0" borderId="0" xfId="0" quotePrefix="1" applyFont="1" applyBorder="1"/>
    <xf numFmtId="0" fontId="17" fillId="0" borderId="0" xfId="0" applyFont="1" applyBorder="1"/>
    <xf numFmtId="0" fontId="18" fillId="0" borderId="0" xfId="0" applyFont="1" applyAlignment="1" applyProtection="1">
      <protection hidden="1"/>
    </xf>
    <xf numFmtId="0" fontId="18" fillId="0" borderId="0" xfId="0" applyFont="1" applyAlignment="1" applyProtection="1">
      <alignment horizontal="center"/>
      <protection hidden="1"/>
    </xf>
    <xf numFmtId="0" fontId="18" fillId="0" borderId="0" xfId="0" applyFont="1" applyAlignment="1" applyProtection="1">
      <alignment horizontal="right"/>
      <protection hidden="1"/>
    </xf>
    <xf numFmtId="0" fontId="15" fillId="0" borderId="0" xfId="0" applyFont="1" applyProtection="1">
      <protection hidden="1"/>
    </xf>
    <xf numFmtId="0" fontId="18" fillId="0" borderId="0" xfId="0" applyFont="1" applyBorder="1" applyAlignment="1" applyProtection="1">
      <protection hidden="1"/>
    </xf>
    <xf numFmtId="164" fontId="18" fillId="0" borderId="0" xfId="0" applyNumberFormat="1" applyFont="1" applyBorder="1" applyAlignment="1" applyProtection="1">
      <protection hidden="1"/>
    </xf>
    <xf numFmtId="0" fontId="18" fillId="0" borderId="0" xfId="0" applyNumberFormat="1" applyFont="1" applyAlignment="1" applyProtection="1">
      <protection hidden="1"/>
    </xf>
    <xf numFmtId="164" fontId="18" fillId="0" borderId="0" xfId="0" applyNumberFormat="1" applyFont="1" applyAlignment="1" applyProtection="1">
      <protection hidden="1"/>
    </xf>
    <xf numFmtId="0" fontId="18" fillId="0" borderId="0" xfId="0" applyFont="1" applyBorder="1" applyAlignment="1" applyProtection="1">
      <alignment horizontal="center" vertical="center"/>
      <protection hidden="1"/>
    </xf>
    <xf numFmtId="16" fontId="18" fillId="0" borderId="0" xfId="0" applyNumberFormat="1" applyFont="1" applyBorder="1" applyAlignment="1" applyProtection="1">
      <alignment vertical="center"/>
      <protection hidden="1"/>
    </xf>
    <xf numFmtId="165" fontId="18" fillId="0" borderId="0" xfId="0" applyNumberFormat="1" applyFont="1" applyBorder="1" applyAlignment="1" applyProtection="1">
      <alignment horizontal="right" vertical="center"/>
      <protection hidden="1"/>
    </xf>
    <xf numFmtId="165" fontId="18" fillId="0" borderId="0" xfId="0" applyNumberFormat="1" applyFont="1" applyAlignment="1" applyProtection="1">
      <protection hidden="1"/>
    </xf>
    <xf numFmtId="0" fontId="19" fillId="0" borderId="0" xfId="0" applyFont="1" applyFill="1" applyBorder="1" applyAlignment="1">
      <alignment horizontal="center"/>
    </xf>
    <xf numFmtId="0" fontId="18" fillId="0" borderId="0" xfId="0" applyFont="1" applyBorder="1" applyAlignment="1">
      <alignment horizontal="center" vertical="center" textRotation="255"/>
    </xf>
    <xf numFmtId="0" fontId="15" fillId="0" borderId="0" xfId="0" applyFont="1" applyBorder="1" applyAlignment="1">
      <alignment horizontal="left" vertical="center" indent="1"/>
    </xf>
    <xf numFmtId="0" fontId="15" fillId="0" borderId="0" xfId="0" applyFont="1" applyBorder="1" applyAlignment="1" applyProtection="1">
      <alignment horizontal="left" vertical="center" indent="1"/>
      <protection hidden="1"/>
    </xf>
    <xf numFmtId="0" fontId="18" fillId="0" borderId="0" xfId="0" applyFont="1" applyFill="1" applyBorder="1" applyAlignment="1" applyProtection="1">
      <protection hidden="1"/>
    </xf>
    <xf numFmtId="165" fontId="18" fillId="0" borderId="0" xfId="0" applyNumberFormat="1" applyFont="1" applyAlignment="1" applyProtection="1">
      <alignment horizontal="right"/>
      <protection hidden="1"/>
    </xf>
    <xf numFmtId="0" fontId="15" fillId="0" borderId="0" xfId="0" applyFont="1" applyBorder="1" applyAlignment="1" applyProtection="1">
      <alignment vertical="center"/>
      <protection hidden="1"/>
    </xf>
    <xf numFmtId="0" fontId="15" fillId="0" borderId="0" xfId="0" applyFont="1" applyAlignment="1"/>
    <xf numFmtId="0" fontId="4" fillId="0" borderId="0" xfId="0" applyFont="1" applyFill="1" applyBorder="1" applyAlignment="1" applyProtection="1">
      <alignment horizontal="center" vertical="center"/>
      <protection locked="0"/>
    </xf>
    <xf numFmtId="0" fontId="4"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4" fillId="0" borderId="0" xfId="0" applyFont="1" applyFill="1" applyBorder="1" applyAlignment="1" applyProtection="1">
      <alignment horizontal="right" vertical="center"/>
      <protection hidden="1"/>
    </xf>
    <xf numFmtId="0" fontId="3" fillId="0" borderId="0" xfId="0" applyFont="1" applyFill="1" applyBorder="1" applyAlignment="1" applyProtection="1">
      <alignment vertical="center"/>
      <protection hidden="1"/>
    </xf>
    <xf numFmtId="0" fontId="4" fillId="0" borderId="0" xfId="0" applyFont="1" applyFill="1" applyBorder="1" applyAlignment="1" applyProtection="1">
      <alignment horizontal="left" vertical="center" indent="1"/>
      <protection hidden="1"/>
    </xf>
    <xf numFmtId="0" fontId="3" fillId="0" borderId="0" xfId="0" applyFont="1" applyFill="1" applyBorder="1" applyAlignment="1" applyProtection="1">
      <alignment horizontal="center" vertical="center"/>
      <protection hidden="1"/>
    </xf>
    <xf numFmtId="0" fontId="4" fillId="0" borderId="0" xfId="0" applyFont="1" applyFill="1" applyBorder="1" applyProtection="1">
      <protection hidden="1"/>
    </xf>
    <xf numFmtId="16" fontId="4" fillId="0" borderId="0" xfId="0" applyNumberFormat="1" applyFont="1" applyFill="1" applyBorder="1" applyAlignment="1" applyProtection="1">
      <alignment horizontal="right" vertical="center" indent="1" shrinkToFit="1"/>
      <protection hidden="1"/>
    </xf>
    <xf numFmtId="164" fontId="4" fillId="0" borderId="0" xfId="0" applyNumberFormat="1" applyFont="1" applyFill="1" applyBorder="1" applyAlignment="1" applyProtection="1">
      <alignment horizontal="right" vertical="center"/>
      <protection hidden="1"/>
    </xf>
    <xf numFmtId="0" fontId="4" fillId="0" borderId="0" xfId="0" applyFont="1" applyFill="1" applyBorder="1" applyAlignment="1" applyProtection="1">
      <protection hidden="1"/>
    </xf>
    <xf numFmtId="0" fontId="4" fillId="0" borderId="0" xfId="0" applyFont="1" applyFill="1" applyBorder="1" applyAlignment="1" applyProtection="1">
      <alignment horizontal="center"/>
      <protection hidden="1"/>
    </xf>
    <xf numFmtId="0" fontId="4" fillId="0" borderId="0" xfId="0" applyFont="1" applyFill="1" applyBorder="1" applyAlignment="1" applyProtection="1">
      <alignment horizontal="left"/>
      <protection hidden="1"/>
    </xf>
    <xf numFmtId="0" fontId="4" fillId="0" borderId="0" xfId="0" applyFont="1" applyFill="1" applyBorder="1" applyAlignment="1" applyProtection="1">
      <alignment horizontal="right"/>
      <protection hidden="1"/>
    </xf>
    <xf numFmtId="0" fontId="3" fillId="0" borderId="0" xfId="0" applyFont="1" applyFill="1" applyBorder="1" applyAlignment="1" applyProtection="1">
      <alignment horizontal="left" vertical="center"/>
      <protection hidden="1"/>
    </xf>
    <xf numFmtId="0" fontId="3" fillId="0" borderId="0" xfId="0" applyFont="1" applyFill="1" applyBorder="1" applyProtection="1">
      <protection hidden="1"/>
    </xf>
    <xf numFmtId="49" fontId="4" fillId="0" borderId="0" xfId="0" applyNumberFormat="1" applyFont="1" applyFill="1" applyBorder="1" applyProtection="1">
      <protection hidden="1"/>
    </xf>
    <xf numFmtId="0" fontId="8" fillId="0" borderId="5" xfId="0" applyFont="1" applyBorder="1" applyAlignment="1" applyProtection="1">
      <alignment vertical="center"/>
      <protection hidden="1"/>
    </xf>
    <xf numFmtId="0" fontId="19" fillId="0" borderId="0" xfId="0" applyFont="1" applyProtection="1">
      <protection hidden="1"/>
    </xf>
    <xf numFmtId="0" fontId="20" fillId="2" borderId="0" xfId="0" applyFont="1" applyFill="1" applyBorder="1" applyAlignment="1" applyProtection="1">
      <alignment horizontal="left" vertical="center"/>
      <protection hidden="1"/>
    </xf>
    <xf numFmtId="0" fontId="6" fillId="0" borderId="6" xfId="0" applyFont="1" applyBorder="1"/>
    <xf numFmtId="0" fontId="5" fillId="0" borderId="6" xfId="0" applyFont="1" applyBorder="1"/>
    <xf numFmtId="0" fontId="6" fillId="0" borderId="0" xfId="0" applyFont="1"/>
    <xf numFmtId="0" fontId="5" fillId="0" borderId="0" xfId="0" applyFont="1"/>
    <xf numFmtId="0" fontId="5" fillId="0" borderId="0" xfId="0" applyFont="1" applyBorder="1" applyAlignment="1">
      <alignment horizontal="center" vertical="center"/>
    </xf>
    <xf numFmtId="0" fontId="5" fillId="0" borderId="0" xfId="0" applyFont="1" applyBorder="1" applyAlignment="1">
      <alignment horizontal="left" vertical="center"/>
    </xf>
    <xf numFmtId="43" fontId="8" fillId="0" borderId="0" xfId="2" applyFont="1" applyBorder="1" applyAlignment="1">
      <alignment horizontal="center" vertical="center"/>
    </xf>
    <xf numFmtId="0" fontId="8" fillId="0" borderId="0" xfId="0" applyFont="1" applyBorder="1" applyAlignment="1">
      <alignment horizontal="center" vertical="center"/>
    </xf>
    <xf numFmtId="0" fontId="6" fillId="0" borderId="6" xfId="0" applyFont="1" applyBorder="1" applyAlignment="1">
      <alignment horizontal="left" vertical="center"/>
    </xf>
    <xf numFmtId="0" fontId="5" fillId="0" borderId="6" xfId="0" applyFont="1" applyBorder="1" applyAlignment="1">
      <alignment horizontal="center" vertical="center"/>
    </xf>
    <xf numFmtId="43" fontId="8" fillId="0" borderId="6" xfId="2" applyFont="1" applyBorder="1" applyAlignment="1">
      <alignment horizontal="center" vertical="center"/>
    </xf>
    <xf numFmtId="0" fontId="8" fillId="0" borderId="6" xfId="0" applyFont="1" applyBorder="1" applyAlignment="1">
      <alignment horizontal="center" vertical="center"/>
    </xf>
    <xf numFmtId="0" fontId="6" fillId="0" borderId="0" xfId="0" applyFont="1" applyBorder="1" applyAlignment="1">
      <alignment horizontal="left" vertical="center"/>
    </xf>
    <xf numFmtId="0" fontId="5" fillId="0" borderId="0" xfId="0" applyFont="1" applyBorder="1"/>
    <xf numFmtId="0" fontId="4" fillId="0" borderId="0" xfId="0" applyFont="1" applyBorder="1" applyAlignment="1" applyProtection="1">
      <alignment vertical="center"/>
      <protection hidden="1"/>
    </xf>
    <xf numFmtId="0" fontId="8" fillId="0" borderId="12" xfId="0" applyFont="1" applyBorder="1" applyAlignment="1" applyProtection="1">
      <alignment horizontal="center" vertical="center"/>
      <protection locked="0"/>
    </xf>
    <xf numFmtId="0" fontId="8" fillId="0" borderId="12" xfId="0" applyFont="1" applyBorder="1" applyAlignment="1" applyProtection="1">
      <alignment vertical="center"/>
      <protection locked="0"/>
    </xf>
    <xf numFmtId="0" fontId="8" fillId="0" borderId="13" xfId="0" applyFont="1" applyBorder="1" applyAlignment="1" applyProtection="1">
      <alignment horizontal="center" vertical="center"/>
      <protection locked="0"/>
    </xf>
    <xf numFmtId="0" fontId="8" fillId="0" borderId="13" xfId="0" applyFont="1" applyBorder="1" applyAlignment="1" applyProtection="1">
      <alignment vertical="center"/>
      <protection locked="0"/>
    </xf>
    <xf numFmtId="0" fontId="8" fillId="0" borderId="0" xfId="0" applyFont="1" applyBorder="1" applyAlignment="1" applyProtection="1">
      <alignment horizontal="center" vertical="center"/>
      <protection locked="0"/>
    </xf>
    <xf numFmtId="0" fontId="8" fillId="0" borderId="0" xfId="0" applyFont="1" applyBorder="1" applyAlignment="1" applyProtection="1">
      <alignment vertical="center"/>
      <protection locked="0"/>
    </xf>
    <xf numFmtId="0" fontId="8" fillId="0" borderId="0" xfId="0" applyFont="1" applyAlignment="1" applyProtection="1">
      <alignment horizontal="center" vertical="center"/>
      <protection locked="0"/>
    </xf>
    <xf numFmtId="0" fontId="8" fillId="0" borderId="0" xfId="0" applyFont="1" applyAlignment="1" applyProtection="1">
      <alignment vertical="center"/>
      <protection locked="0"/>
    </xf>
    <xf numFmtId="0" fontId="9" fillId="2" borderId="5" xfId="0" applyFont="1" applyFill="1" applyBorder="1" applyAlignment="1" applyProtection="1">
      <alignment vertical="center"/>
      <protection locked="0"/>
    </xf>
    <xf numFmtId="0" fontId="9" fillId="2" borderId="5" xfId="0" applyFont="1" applyFill="1" applyBorder="1" applyAlignment="1" applyProtection="1">
      <alignment horizontal="center" vertical="center"/>
      <protection locked="0"/>
    </xf>
    <xf numFmtId="0" fontId="9" fillId="2" borderId="0" xfId="0" applyFont="1" applyFill="1" applyBorder="1" applyAlignment="1" applyProtection="1">
      <alignment vertical="center"/>
      <protection locked="0"/>
    </xf>
    <xf numFmtId="0" fontId="9" fillId="2" borderId="0" xfId="0" applyFont="1" applyFill="1" applyBorder="1" applyAlignment="1" applyProtection="1">
      <alignment horizontal="center" vertical="center"/>
      <protection locked="0"/>
    </xf>
    <xf numFmtId="0" fontId="10" fillId="0" borderId="0" xfId="0" applyFont="1" applyBorder="1" applyAlignment="1" applyProtection="1">
      <alignment vertical="center"/>
      <protection locked="0"/>
    </xf>
    <xf numFmtId="16" fontId="8" fillId="0" borderId="12" xfId="0" applyNumberFormat="1" applyFont="1" applyBorder="1" applyAlignment="1" applyProtection="1">
      <alignment horizontal="center" vertical="center"/>
      <protection locked="0" hidden="1"/>
    </xf>
    <xf numFmtId="164" fontId="8" fillId="0" borderId="12" xfId="0" applyNumberFormat="1" applyFont="1" applyBorder="1" applyAlignment="1" applyProtection="1">
      <alignment horizontal="center" vertical="center"/>
      <protection locked="0" hidden="1"/>
    </xf>
    <xf numFmtId="0" fontId="8" fillId="0" borderId="12" xfId="0" applyFont="1" applyBorder="1" applyAlignment="1" applyProtection="1">
      <alignment horizontal="left" vertical="center"/>
      <protection locked="0" hidden="1"/>
    </xf>
    <xf numFmtId="0" fontId="8" fillId="0" borderId="13" xfId="0" applyFont="1" applyBorder="1" applyAlignment="1" applyProtection="1">
      <alignment horizontal="left" vertical="center"/>
      <protection locked="0" hidden="1"/>
    </xf>
    <xf numFmtId="16" fontId="8" fillId="0" borderId="0" xfId="0" applyNumberFormat="1" applyFont="1" applyBorder="1" applyAlignment="1" applyProtection="1">
      <alignment horizontal="right" vertical="center"/>
      <protection locked="0" hidden="1"/>
    </xf>
    <xf numFmtId="164" fontId="8" fillId="0" borderId="0" xfId="0" applyNumberFormat="1" applyFont="1" applyBorder="1" applyAlignment="1" applyProtection="1">
      <alignment horizontal="right" vertical="center"/>
      <protection locked="0" hidden="1"/>
    </xf>
    <xf numFmtId="0" fontId="8" fillId="0" borderId="0" xfId="0" applyFont="1" applyBorder="1" applyAlignment="1" applyProtection="1">
      <alignment horizontal="left" vertical="center"/>
      <protection locked="0" hidden="1"/>
    </xf>
    <xf numFmtId="0" fontId="9" fillId="2" borderId="5" xfId="0" applyFont="1" applyFill="1" applyBorder="1" applyAlignment="1" applyProtection="1">
      <alignment vertical="center"/>
      <protection locked="0" hidden="1"/>
    </xf>
    <xf numFmtId="0" fontId="8" fillId="0" borderId="0" xfId="0" applyFont="1" applyBorder="1" applyAlignment="1" applyProtection="1">
      <alignment vertical="center"/>
      <protection locked="0" hidden="1"/>
    </xf>
    <xf numFmtId="0" fontId="9" fillId="2" borderId="5" xfId="0" applyFont="1" applyFill="1" applyBorder="1" applyAlignment="1" applyProtection="1">
      <alignment horizontal="left" vertical="center"/>
      <protection locked="0" hidden="1"/>
    </xf>
    <xf numFmtId="0" fontId="8" fillId="0" borderId="12" xfId="0" applyFont="1" applyFill="1" applyBorder="1" applyAlignment="1" applyProtection="1">
      <alignment vertical="center"/>
      <protection locked="0"/>
    </xf>
    <xf numFmtId="0" fontId="8" fillId="0" borderId="13" xfId="0" applyFont="1" applyFill="1" applyBorder="1" applyAlignment="1" applyProtection="1">
      <alignment vertical="center"/>
      <protection locked="0"/>
    </xf>
    <xf numFmtId="0" fontId="8" fillId="0" borderId="14" xfId="0" applyFont="1" applyBorder="1" applyAlignment="1" applyProtection="1">
      <alignment vertical="center"/>
      <protection locked="0"/>
    </xf>
    <xf numFmtId="16" fontId="8" fillId="0" borderId="12" xfId="0" applyNumberFormat="1" applyFont="1" applyFill="1" applyBorder="1" applyAlignment="1" applyProtection="1">
      <alignment horizontal="center" vertical="center"/>
      <protection locked="0" hidden="1"/>
    </xf>
    <xf numFmtId="164" fontId="8" fillId="0" borderId="12" xfId="0" applyNumberFormat="1" applyFont="1" applyFill="1" applyBorder="1" applyAlignment="1" applyProtection="1">
      <alignment horizontal="center" vertical="center"/>
      <protection locked="0" hidden="1"/>
    </xf>
    <xf numFmtId="0" fontId="8" fillId="0" borderId="12" xfId="0" applyFont="1" applyFill="1" applyBorder="1" applyAlignment="1" applyProtection="1">
      <alignment horizontal="left" vertical="center"/>
      <protection locked="0" hidden="1"/>
    </xf>
    <xf numFmtId="0" fontId="8" fillId="0" borderId="13" xfId="0" applyFont="1" applyFill="1" applyBorder="1" applyAlignment="1" applyProtection="1">
      <alignment horizontal="left" vertical="center"/>
      <protection locked="0" hidden="1"/>
    </xf>
    <xf numFmtId="0" fontId="8" fillId="0" borderId="14" xfId="0" applyFont="1" applyBorder="1" applyAlignment="1" applyProtection="1">
      <alignment horizontal="left" vertical="center"/>
      <protection locked="0" hidden="1"/>
    </xf>
    <xf numFmtId="49" fontId="4" fillId="0" borderId="0" xfId="0" applyNumberFormat="1" applyFont="1" applyAlignment="1" applyProtection="1">
      <alignment vertical="center"/>
      <protection hidden="1"/>
    </xf>
    <xf numFmtId="0" fontId="0" fillId="0" borderId="6" xfId="0" applyBorder="1"/>
    <xf numFmtId="0" fontId="8" fillId="0" borderId="12" xfId="0" applyFont="1" applyBorder="1" applyAlignment="1" applyProtection="1">
      <alignment horizontal="center" vertical="center"/>
      <protection locked="0"/>
    </xf>
    <xf numFmtId="0" fontId="8" fillId="0" borderId="0" xfId="0" applyFont="1" applyBorder="1" applyAlignment="1" applyProtection="1">
      <alignment horizontal="center" vertical="center"/>
      <protection locked="0"/>
    </xf>
    <xf numFmtId="0" fontId="12" fillId="0" borderId="12" xfId="0" applyFont="1" applyFill="1" applyBorder="1" applyAlignment="1" applyProtection="1">
      <alignment horizontal="center" vertical="center"/>
      <protection hidden="1"/>
    </xf>
    <xf numFmtId="0" fontId="12" fillId="0" borderId="0" xfId="0" applyFont="1" applyFill="1" applyBorder="1" applyAlignment="1" applyProtection="1">
      <alignment horizontal="center" vertical="center"/>
      <protection hidden="1"/>
    </xf>
    <xf numFmtId="0" fontId="12" fillId="0" borderId="13" xfId="0" applyFont="1" applyFill="1" applyBorder="1" applyAlignment="1" applyProtection="1">
      <alignment horizontal="center" vertical="center"/>
      <protection hidden="1"/>
    </xf>
    <xf numFmtId="0" fontId="9" fillId="2" borderId="9" xfId="0" applyFont="1" applyFill="1" applyBorder="1" applyAlignment="1" applyProtection="1">
      <alignment horizontal="center" vertical="center"/>
      <protection hidden="1"/>
    </xf>
    <xf numFmtId="0" fontId="9" fillId="2" borderId="4" xfId="0" applyFont="1" applyFill="1" applyBorder="1" applyAlignment="1" applyProtection="1">
      <alignment horizontal="center" vertical="center"/>
      <protection hidden="1"/>
    </xf>
    <xf numFmtId="0" fontId="24" fillId="2" borderId="0" xfId="1" applyFont="1" applyFill="1" applyAlignment="1" applyProtection="1">
      <alignment horizontal="center" vertical="center"/>
      <protection hidden="1"/>
    </xf>
    <xf numFmtId="0" fontId="8" fillId="0" borderId="12" xfId="0" applyFont="1" applyFill="1" applyBorder="1" applyAlignment="1" applyProtection="1">
      <alignment horizontal="center" vertical="center"/>
      <protection locked="0"/>
    </xf>
    <xf numFmtId="0" fontId="8" fillId="0" borderId="13" xfId="0" applyFont="1" applyFill="1" applyBorder="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7" fillId="4" borderId="0" xfId="0" applyFont="1" applyFill="1" applyAlignment="1" applyProtection="1">
      <alignment horizontal="left" vertical="center"/>
      <protection locked="0"/>
    </xf>
    <xf numFmtId="49" fontId="7" fillId="4" borderId="0" xfId="0" applyNumberFormat="1" applyFont="1" applyFill="1" applyAlignment="1" applyProtection="1">
      <alignment horizontal="left" vertical="center"/>
      <protection locked="0"/>
    </xf>
    <xf numFmtId="0" fontId="9" fillId="2" borderId="0" xfId="0" applyFont="1" applyFill="1" applyAlignment="1" applyProtection="1">
      <alignment horizontal="center" vertical="center"/>
      <protection hidden="1"/>
    </xf>
    <xf numFmtId="0" fontId="9" fillId="2" borderId="1" xfId="0" applyFont="1" applyFill="1" applyBorder="1" applyAlignment="1" applyProtection="1">
      <alignment horizontal="center" vertical="center"/>
      <protection hidden="1"/>
    </xf>
    <xf numFmtId="0" fontId="9" fillId="2" borderId="0" xfId="0" applyFont="1" applyFill="1" applyBorder="1" applyAlignment="1" applyProtection="1">
      <alignment horizontal="center" vertical="center"/>
      <protection hidden="1"/>
    </xf>
    <xf numFmtId="0" fontId="9" fillId="2" borderId="2" xfId="0" applyFont="1" applyFill="1" applyBorder="1" applyAlignment="1" applyProtection="1">
      <alignment horizontal="center" vertical="center"/>
      <protection hidden="1"/>
    </xf>
    <xf numFmtId="16" fontId="8" fillId="0" borderId="13" xfId="0" applyNumberFormat="1" applyFont="1" applyFill="1" applyBorder="1" applyAlignment="1" applyProtection="1">
      <alignment horizontal="center" vertical="center"/>
      <protection locked="0" hidden="1"/>
    </xf>
    <xf numFmtId="16" fontId="8" fillId="0" borderId="13" xfId="0" applyNumberFormat="1" applyFont="1" applyBorder="1" applyAlignment="1" applyProtection="1">
      <alignment horizontal="center" vertical="center"/>
      <protection locked="0" hidden="1"/>
    </xf>
    <xf numFmtId="0" fontId="3" fillId="0" borderId="0" xfId="0" applyFont="1" applyFill="1" applyBorder="1" applyAlignment="1" applyProtection="1">
      <alignment horizontal="center"/>
      <protection hidden="1"/>
    </xf>
    <xf numFmtId="0" fontId="7" fillId="2" borderId="0" xfId="0" applyFont="1" applyFill="1" applyBorder="1" applyAlignment="1" applyProtection="1">
      <alignment horizontal="center" vertical="center"/>
      <protection hidden="1"/>
    </xf>
    <xf numFmtId="0" fontId="9" fillId="2" borderId="3" xfId="0" applyFont="1" applyFill="1" applyBorder="1" applyAlignment="1" applyProtection="1">
      <alignment horizontal="center" vertical="center"/>
      <protection hidden="1"/>
    </xf>
    <xf numFmtId="0" fontId="9" fillId="2" borderId="5" xfId="0" applyFont="1" applyFill="1" applyBorder="1" applyAlignment="1" applyProtection="1">
      <alignment horizontal="center" vertical="center"/>
      <protection hidden="1"/>
    </xf>
    <xf numFmtId="0" fontId="9" fillId="2" borderId="10" xfId="0" applyFont="1" applyFill="1" applyBorder="1" applyAlignment="1" applyProtection="1">
      <alignment horizontal="center" vertical="center"/>
      <protection hidden="1"/>
    </xf>
    <xf numFmtId="0" fontId="7" fillId="8" borderId="0" xfId="0" applyFont="1" applyFill="1" applyBorder="1" applyAlignment="1" applyProtection="1">
      <alignment horizontal="center" vertical="center"/>
      <protection hidden="1"/>
    </xf>
    <xf numFmtId="0" fontId="19" fillId="0" borderId="0" xfId="0" applyFont="1" applyBorder="1" applyAlignment="1">
      <alignment horizontal="center" vertical="center" textRotation="255"/>
    </xf>
    <xf numFmtId="0" fontId="5" fillId="0" borderId="9"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7" xfId="0" applyFont="1" applyBorder="1" applyAlignment="1">
      <alignment horizontal="center" vertical="center" wrapText="1"/>
    </xf>
    <xf numFmtId="0" fontId="14" fillId="9" borderId="9" xfId="0" applyFont="1" applyFill="1" applyBorder="1" applyAlignment="1">
      <alignment horizontal="center" vertical="center"/>
    </xf>
    <xf numFmtId="0" fontId="14" fillId="9" borderId="4" xfId="0" applyFont="1" applyFill="1" applyBorder="1" applyAlignment="1">
      <alignment horizontal="center" vertical="center"/>
    </xf>
    <xf numFmtId="0" fontId="14" fillId="9" borderId="17" xfId="0" applyFont="1" applyFill="1" applyBorder="1" applyAlignment="1">
      <alignment horizontal="center" vertical="center"/>
    </xf>
    <xf numFmtId="0" fontId="5" fillId="0" borderId="9" xfId="0" applyFont="1" applyBorder="1" applyAlignment="1">
      <alignment horizontal="center" vertical="center"/>
    </xf>
    <xf numFmtId="0" fontId="5" fillId="0" borderId="4" xfId="0" applyFont="1" applyBorder="1" applyAlignment="1">
      <alignment horizontal="center" vertical="center"/>
    </xf>
    <xf numFmtId="0" fontId="5" fillId="0" borderId="17" xfId="0" applyFont="1" applyBorder="1" applyAlignment="1">
      <alignment horizontal="center" vertical="center"/>
    </xf>
    <xf numFmtId="0" fontId="22" fillId="0" borderId="9" xfId="1" applyFont="1" applyBorder="1" applyAlignment="1" applyProtection="1">
      <alignment horizontal="center" vertical="center"/>
    </xf>
    <xf numFmtId="0" fontId="22" fillId="0" borderId="4" xfId="1" applyFont="1" applyBorder="1" applyAlignment="1" applyProtection="1">
      <alignment horizontal="center" vertical="center"/>
    </xf>
    <xf numFmtId="0" fontId="22" fillId="0" borderId="17" xfId="1" applyFont="1" applyBorder="1" applyAlignment="1" applyProtection="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43" fontId="8" fillId="0" borderId="3" xfId="2" applyFont="1" applyBorder="1" applyAlignment="1">
      <alignment horizontal="center" vertical="center"/>
    </xf>
    <xf numFmtId="43" fontId="8" fillId="0" borderId="5" xfId="2" applyFont="1" applyBorder="1" applyAlignment="1">
      <alignment horizontal="center" vertical="center"/>
    </xf>
    <xf numFmtId="43" fontId="8" fillId="0" borderId="10" xfId="2" applyFont="1" applyBorder="1" applyAlignment="1">
      <alignment horizontal="center" vertical="center"/>
    </xf>
    <xf numFmtId="43" fontId="8" fillId="0" borderId="8" xfId="2" applyFont="1" applyBorder="1" applyAlignment="1">
      <alignment horizontal="center" vertical="center"/>
    </xf>
    <xf numFmtId="43" fontId="8" fillId="0" borderId="6" xfId="2" applyFont="1" applyBorder="1" applyAlignment="1">
      <alignment horizontal="center" vertical="center"/>
    </xf>
    <xf numFmtId="43" fontId="8" fillId="0" borderId="7" xfId="2"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10"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cellXfs>
  <cellStyles count="3">
    <cellStyle name="Comma" xfId="2" builtinId="3"/>
    <cellStyle name="Hyperlink" xfId="1" builtinId="8"/>
    <cellStyle name="Normal" xfId="0" builtinId="0"/>
  </cellStyles>
  <dxfs count="343">
    <dxf>
      <font>
        <color theme="0"/>
      </font>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b val="0"/>
        <i val="0"/>
        <condense val="0"/>
        <extend val="0"/>
        <color auto="1"/>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b/>
        <i val="0"/>
        <condense val="0"/>
        <extend val="0"/>
        <color indexed="12"/>
      </font>
      <fill>
        <patternFill>
          <bgColor theme="3" tint="0.79998168889431442"/>
        </patternFill>
      </fill>
    </dxf>
    <dxf>
      <font>
        <b/>
        <i val="0"/>
        <condense val="0"/>
        <extend val="0"/>
        <color indexed="12"/>
      </font>
      <fill>
        <patternFill>
          <bgColor theme="3" tint="0.79998168889431442"/>
        </patternFill>
      </fill>
    </dxf>
    <dxf>
      <font>
        <b/>
        <i val="0"/>
        <condense val="0"/>
        <extend val="0"/>
        <color indexed="12"/>
      </font>
      <fill>
        <patternFill>
          <bgColor theme="3" tint="0.79998168889431442"/>
        </patternFill>
      </fill>
    </dxf>
    <dxf>
      <font>
        <b/>
        <i val="0"/>
        <condense val="0"/>
        <extend val="0"/>
        <color indexed="12"/>
      </font>
      <fill>
        <patternFill>
          <bgColor theme="3" tint="0.79998168889431442"/>
        </patternFill>
      </fill>
    </dxf>
    <dxf>
      <font>
        <b/>
        <i val="0"/>
        <condense val="0"/>
        <extend val="0"/>
        <color indexed="12"/>
      </font>
      <fill>
        <patternFill>
          <bgColor theme="3" tint="0.79998168889431442"/>
        </patternFill>
      </fill>
    </dxf>
    <dxf>
      <font>
        <b/>
        <i val="0"/>
        <condense val="0"/>
        <extend val="0"/>
        <color indexed="12"/>
      </font>
      <fill>
        <patternFill>
          <bgColor theme="3" tint="0.79998168889431442"/>
        </patternFill>
      </fill>
    </dxf>
    <dxf>
      <font>
        <b/>
        <i val="0"/>
        <condense val="0"/>
        <extend val="0"/>
        <color indexed="12"/>
      </font>
      <fill>
        <patternFill>
          <bgColor theme="3" tint="0.79998168889431442"/>
        </patternFill>
      </fill>
    </dxf>
    <dxf>
      <font>
        <b/>
        <i val="0"/>
        <condense val="0"/>
        <extend val="0"/>
        <color indexed="12"/>
      </font>
      <fill>
        <patternFill>
          <bgColor theme="3" tint="0.79998168889431442"/>
        </patternFill>
      </fill>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0"/>
        </patternFill>
      </fill>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ill>
        <patternFill>
          <bgColor theme="3" tint="0.79998168889431442"/>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dxf>
      <font>
        <condense val="0"/>
        <extend val="0"/>
        <color indexed="55"/>
      </font>
    </dxf>
    <dxf>
      <font>
        <b/>
        <i val="0"/>
        <condense val="0"/>
        <extend val="0"/>
        <color indexed="12"/>
      </font>
    </dxf>
    <dxf>
      <font>
        <condense val="0"/>
        <extend val="0"/>
        <color indexed="55"/>
      </font>
    </dxf>
    <dxf>
      <font>
        <b/>
        <i val="0"/>
        <condense val="0"/>
        <extend val="0"/>
        <color indexed="12"/>
      </font>
    </dxf>
    <dxf>
      <fill>
        <patternFill patternType="none">
          <bgColor auto="1"/>
        </patternFill>
      </fill>
      <border>
        <left style="thin">
          <color theme="3" tint="0.39994506668294322"/>
        </left>
        <right style="thin">
          <color theme="3" tint="0.39994506668294322"/>
        </right>
        <top style="thin">
          <color theme="3" tint="0.39994506668294322"/>
        </top>
        <bottom style="thin">
          <color theme="3" tint="0.39994506668294322"/>
        </bottom>
      </border>
    </dxf>
  </dxfs>
  <tableStyles count="0" defaultTableStyle="TableStyleMedium2" defaultPivotStyle="PivotStyleLight16"/>
  <colors>
    <mruColors>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drawing4.xml.rels><?xml version="1.0" encoding="UTF-8" standalone="yes"?>
<Relationships xmlns="http://schemas.openxmlformats.org/package/2006/relationships"><Relationship Id="rId8" Type="http://schemas.openxmlformats.org/officeDocument/2006/relationships/hyperlink" Target="https://www.e-junkie.com/ecom/gb.php?i=1103823&amp;c=single&amp;cl=192175" TargetMode="External"/><Relationship Id="rId3" Type="http://schemas.openxmlformats.org/officeDocument/2006/relationships/hyperlink" Target="https://www.e-junkie.com/ecom/gb.php?i=1140675&amp;c=single&amp;cl=192175" TargetMode="External"/><Relationship Id="rId7" Type="http://schemas.openxmlformats.org/officeDocument/2006/relationships/hyperlink" Target="https://www.e-junkie.com/ecom/gb.php?i=1329269&amp;c=single&amp;cl=192175" TargetMode="External"/><Relationship Id="rId2" Type="http://schemas.openxmlformats.org/officeDocument/2006/relationships/image" Target="../media/image9.jpg"/><Relationship Id="rId1" Type="http://schemas.openxmlformats.org/officeDocument/2006/relationships/hyperlink" Target="https://www.e-junkie.com/ecom/gb.php?i=1139576&amp;c=single&amp;cl=192175" TargetMode="External"/><Relationship Id="rId6" Type="http://schemas.openxmlformats.org/officeDocument/2006/relationships/hyperlink" Target="https://www.e-junkie.com/ecom/gb.php?i=1152672&amp;c=single&amp;cl=192175" TargetMode="External"/><Relationship Id="rId5" Type="http://schemas.openxmlformats.org/officeDocument/2006/relationships/hyperlink" Target="https://www.e-junkie.com/ecom/gb.php?i=1282999&amp;c=single&amp;cl=192175" TargetMode="External"/><Relationship Id="rId10" Type="http://schemas.openxmlformats.org/officeDocument/2006/relationships/hyperlink" Target="https://www.e-junkie.com/ecom/gb.php?i=1329268&amp;c=single&amp;cl=192175" TargetMode="External"/><Relationship Id="rId4" Type="http://schemas.openxmlformats.org/officeDocument/2006/relationships/hyperlink" Target="https://www.e-junkie.com/ecom/gb.php?i=1201300&amp;c=single&amp;cl=192175" TargetMode="External"/><Relationship Id="rId9" Type="http://schemas.openxmlformats.org/officeDocument/2006/relationships/hyperlink" Target="https://www.e-junkie.com/ecom/gb.php?i=1329266&amp;c=single&amp;cl=192175" TargetMode="External"/></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16933</xdr:colOff>
          <xdr:row>111</xdr:row>
          <xdr:rowOff>0</xdr:rowOff>
        </xdr:from>
        <xdr:to>
          <xdr:col>10</xdr:col>
          <xdr:colOff>27940</xdr:colOff>
          <xdr:row>134</xdr:row>
          <xdr:rowOff>7620</xdr:rowOff>
        </xdr:to>
        <xdr:pic>
          <xdr:nvPicPr>
            <xdr:cNvPr id="5" name="Picture 4"/>
            <xdr:cNvPicPr>
              <a:picLocks noChangeAspect="1" noChangeArrowheads="1"/>
              <a:extLst>
                <a:ext uri="{84589F7E-364E-4C9E-8A38-B11213B215E9}">
                  <a14:cameraTool cellRange="Tournament!$S$12:$AD$34" spid="_x0000_s3458"/>
                </a:ext>
              </a:extLst>
            </xdr:cNvPicPr>
          </xdr:nvPicPr>
          <xdr:blipFill>
            <a:blip xmlns:r="http://schemas.openxmlformats.org/officeDocument/2006/relationships" r:embed="rId1"/>
            <a:srcRect/>
            <a:stretch>
              <a:fillRect/>
            </a:stretch>
          </xdr:blipFill>
          <xdr:spPr bwMode="auto">
            <a:xfrm>
              <a:off x="355600" y="21547667"/>
              <a:ext cx="4464473" cy="44864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111</xdr:row>
          <xdr:rowOff>0</xdr:rowOff>
        </xdr:from>
        <xdr:to>
          <xdr:col>15</xdr:col>
          <xdr:colOff>129540</xdr:colOff>
          <xdr:row>134</xdr:row>
          <xdr:rowOff>7620</xdr:rowOff>
        </xdr:to>
        <xdr:pic>
          <xdr:nvPicPr>
            <xdr:cNvPr id="7" name="Picture 6"/>
            <xdr:cNvPicPr>
              <a:picLocks noChangeAspect="1" noChangeArrowheads="1"/>
              <a:extLst>
                <a:ext uri="{84589F7E-364E-4C9E-8A38-B11213B215E9}">
                  <a14:cameraTool cellRange="Tournament!$S$36:$AD$58" spid="_x0000_s3459"/>
                </a:ext>
              </a:extLst>
            </xdr:cNvPicPr>
          </xdr:nvPicPr>
          <xdr:blipFill>
            <a:blip xmlns:r="http://schemas.openxmlformats.org/officeDocument/2006/relationships" r:embed="rId2"/>
            <a:srcRect/>
            <a:stretch>
              <a:fillRect/>
            </a:stretch>
          </xdr:blipFill>
          <xdr:spPr bwMode="auto">
            <a:xfrm>
              <a:off x="4978400" y="21547667"/>
              <a:ext cx="4464473" cy="4486486"/>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101600</xdr:colOff>
          <xdr:row>8</xdr:row>
          <xdr:rowOff>152403</xdr:rowOff>
        </xdr:from>
        <xdr:to>
          <xdr:col>9</xdr:col>
          <xdr:colOff>270933</xdr:colOff>
          <xdr:row>31</xdr:row>
          <xdr:rowOff>152404</xdr:rowOff>
        </xdr:to>
        <xdr:pic>
          <xdr:nvPicPr>
            <xdr:cNvPr id="2" name="Picture 1"/>
            <xdr:cNvPicPr>
              <a:picLocks noChangeAspect="1" noChangeArrowheads="1"/>
              <a:extLst>
                <a:ext uri="{84589F7E-364E-4C9E-8A38-B11213B215E9}">
                  <a14:cameraTool cellRange="Tournament!$S$12:$AD$34" spid="_x0000_s10596"/>
                </a:ext>
              </a:extLst>
            </xdr:cNvPicPr>
          </xdr:nvPicPr>
          <xdr:blipFill>
            <a:blip xmlns:r="http://schemas.openxmlformats.org/officeDocument/2006/relationships" r:embed="rId1"/>
            <a:srcRect/>
            <a:stretch>
              <a:fillRect/>
            </a:stretch>
          </xdr:blipFill>
          <xdr:spPr bwMode="auto">
            <a:xfrm>
              <a:off x="270933" y="1710270"/>
              <a:ext cx="4470400" cy="447886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101600</xdr:colOff>
          <xdr:row>8</xdr:row>
          <xdr:rowOff>152403</xdr:rowOff>
        </xdr:from>
        <xdr:to>
          <xdr:col>16</xdr:col>
          <xdr:colOff>491066</xdr:colOff>
          <xdr:row>31</xdr:row>
          <xdr:rowOff>152404</xdr:rowOff>
        </xdr:to>
        <xdr:pic>
          <xdr:nvPicPr>
            <xdr:cNvPr id="3" name="Picture 2"/>
            <xdr:cNvPicPr>
              <a:picLocks noChangeAspect="1" noChangeArrowheads="1"/>
              <a:extLst>
                <a:ext uri="{84589F7E-364E-4C9E-8A38-B11213B215E9}">
                  <a14:cameraTool cellRange="Tournament!$S$36:$AD$58" spid="_x0000_s10597"/>
                </a:ext>
              </a:extLst>
            </xdr:cNvPicPr>
          </xdr:nvPicPr>
          <xdr:blipFill>
            <a:blip xmlns:r="http://schemas.openxmlformats.org/officeDocument/2006/relationships" r:embed="rId2"/>
            <a:srcRect/>
            <a:stretch>
              <a:fillRect/>
            </a:stretch>
          </xdr:blipFill>
          <xdr:spPr bwMode="auto">
            <a:xfrm>
              <a:off x="4893733" y="1710270"/>
              <a:ext cx="4470400" cy="4478867"/>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525780</xdr:colOff>
      <xdr:row>1</xdr:row>
      <xdr:rowOff>137160</xdr:rowOff>
    </xdr:from>
    <xdr:to>
      <xdr:col>15</xdr:col>
      <xdr:colOff>525780</xdr:colOff>
      <xdr:row>78</xdr:row>
      <xdr:rowOff>30480</xdr:rowOff>
    </xdr:to>
    <xdr:sp macro="" textlink="">
      <xdr:nvSpPr>
        <xdr:cNvPr id="2" name="TextBox 1"/>
        <xdr:cNvSpPr txBox="1"/>
      </xdr:nvSpPr>
      <xdr:spPr>
        <a:xfrm>
          <a:off x="525780" y="304800"/>
          <a:ext cx="9144000" cy="12801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SINGLE USER LICENSE AGREEMENT</a:t>
          </a:r>
        </a:p>
        <a:p>
          <a:endParaRPr lang="en-US" sz="1100"/>
        </a:p>
        <a:p>
          <a:r>
            <a:rPr lang="en-US" sz="1100" b="1"/>
            <a:t>IMPORTANT. PLEASE READ THE TERMS AND CONDITIONS OF THIS LICENSE AGREEMENT CAREFULLY BEFORE USING THIS SOFTWARE</a:t>
          </a:r>
        </a:p>
        <a:p>
          <a:r>
            <a:rPr lang="en-US" sz="1100"/>
            <a:t>This is a legal agreement between you (either an individual or a single entity) and EXCELTEMPLATE.NET for the WORLD CUP 2014 SCHEDULE AND SCORESHEET identified above which may include associated software components, media, printed materials, and "online" or electronic documentation ("WORLD CUP 2014 SCHEDULE AND SCORESHEET"). By installing, copying, or otherwise using the WORLD CUP 2014 SCHEDULE AND SCORESHEET, you agree to be bound by the terms of this agreement. This license agreement represents the entire agreement concerning the program between you and EXCELTEMPLATE.NET, (referred to as "licenser"), and it supersedes any prior proposal, representation, or understanding between the parties. If you do not agree to the terms of this agreement, do not install or use the WORLD CUP 2014 SCHEDULE AND SCORESHEET.</a:t>
          </a:r>
        </a:p>
        <a:p>
          <a:endParaRPr lang="en-US" sz="1100"/>
        </a:p>
        <a:p>
          <a:r>
            <a:rPr lang="en-US" sz="1100"/>
            <a:t>The WORLD CUP 2014 SCHEDULE AND SCORESHEET is protected by copyright laws and international copyright treaties, as well as other intellectual property laws and treaties. The WORLD CUP 2014 SCHEDULE AND SCORESHEET is licensed, not sold.</a:t>
          </a:r>
        </a:p>
        <a:p>
          <a:endParaRPr lang="en-US" sz="1100"/>
        </a:p>
        <a:p>
          <a:r>
            <a:rPr lang="en-US" sz="1100" b="1"/>
            <a:t>1. GRANT OF LICENSE TO A SINGLE USER.</a:t>
          </a:r>
        </a:p>
        <a:p>
          <a:r>
            <a:rPr lang="en-US" sz="1100"/>
            <a:t>The WORLD CUP 2014 SCHEDULE AND SCORESHEET is licensed as follows:</a:t>
          </a:r>
        </a:p>
        <a:p>
          <a:r>
            <a:rPr lang="en-US" sz="1100"/>
            <a:t>(a) Installation and Use.</a:t>
          </a:r>
        </a:p>
        <a:p>
          <a:r>
            <a:rPr lang="en-US" sz="1100"/>
            <a:t>EXCELTEMPLATE.NET grants you the right to install and use copies of the WORLD CUP 2014 SCHEDULE AND SCORESHEET on your own computer running validly licensed copies of the office suite [Microsoft Excel 2007, Microsoft Excel 2010, Microsoft Excel 2013) and Windows operating system [Windows NT, Windows 98, Windows 2000, Windows 2003, Windows XP, Windows ME, Windows Vista, Windows 7, Windows 8] for which the WORLD CUP 2014 SCHEDULE AND SCORESHEET was designed.</a:t>
          </a:r>
        </a:p>
        <a:p>
          <a:r>
            <a:rPr lang="en-US" sz="1100"/>
            <a:t>(b) Backup Copies.</a:t>
          </a:r>
        </a:p>
        <a:p>
          <a:r>
            <a:rPr lang="en-US" sz="1100"/>
            <a:t>You may also make copies of the WORLD CUP 2014 SCHEDULE AND SCORESHEET as may be necessary for backup and archival purposes.</a:t>
          </a:r>
        </a:p>
        <a:p>
          <a:endParaRPr lang="en-US" sz="1100"/>
        </a:p>
        <a:p>
          <a:r>
            <a:rPr lang="en-US" sz="1100" b="1"/>
            <a:t>2. DESCRIPTION OF OTHER RIGHTS AND LIMITATIONS.</a:t>
          </a:r>
        </a:p>
        <a:p>
          <a:r>
            <a:rPr lang="en-US" sz="1100"/>
            <a:t>(a) Maintenance of Copyright Notices.</a:t>
          </a:r>
        </a:p>
        <a:p>
          <a:r>
            <a:rPr lang="en-US" sz="1100"/>
            <a:t>You must not remove or alter any copyright notices on any and all copies of the WORLD CUP 2014 SCHEDULE AND SCORESHEET.</a:t>
          </a:r>
        </a:p>
        <a:p>
          <a:r>
            <a:rPr lang="en-US" sz="1100"/>
            <a:t>(b) Distribution.</a:t>
          </a:r>
        </a:p>
        <a:p>
          <a:r>
            <a:rPr lang="en-US" sz="1100"/>
            <a:t>You may not distribute registered copies of the WORLD CUP 2014 SCHEDULE AND SCORESHEET to third parties. The customized version may be used and shared within your company, but it may NOT be sold, distributed, or placed on a public server which could be accessed through internet without permission. Evaluation versions available for download from EXCELTEMPLATE.NET's websites may be freely distributed.</a:t>
          </a:r>
        </a:p>
        <a:p>
          <a:r>
            <a:rPr lang="en-US" sz="1100"/>
            <a:t>(c) Prohibition on Reverse Engineering, Decompilation, and Disassembly.</a:t>
          </a:r>
        </a:p>
        <a:p>
          <a:r>
            <a:rPr lang="en-US" sz="1100"/>
            <a:t>You may not reverse engineer, decompile, or disassemble the WORLD CUP 2014 SCHEDULE AND SCORESHEET, except and only to the extent that such activity is expressly permitted by applicable law notwithstanding this limitation.</a:t>
          </a:r>
        </a:p>
        <a:p>
          <a:r>
            <a:rPr lang="en-US" sz="1100"/>
            <a:t>(d) Rental.</a:t>
          </a:r>
        </a:p>
        <a:p>
          <a:r>
            <a:rPr lang="en-US" sz="1100"/>
            <a:t>You may not rent, lease, or lend the WORLD CUP 2014 SCHEDULE AND SCORESHEET.</a:t>
          </a:r>
        </a:p>
        <a:p>
          <a:r>
            <a:rPr lang="en-US" sz="1100"/>
            <a:t>(e) Support Services.</a:t>
          </a:r>
        </a:p>
        <a:p>
          <a:r>
            <a:rPr lang="en-US" sz="1100"/>
            <a:t>EXCELTEMPLATE.NET may provide you with support services related to the WORLD CUP 2014 SCHEDULE AND SCORESHEET ("Support Services"). Any supplemental software code provided to you as part of the Support Services shall be considered part of the WORLD CUP 2014 SCHEDULE AND SCORESHEET and subject to the terms and conditions of this agreement.</a:t>
          </a:r>
        </a:p>
        <a:p>
          <a:r>
            <a:rPr lang="en-US" sz="1100"/>
            <a:t>(f) Compliance with Applicable Laws.</a:t>
          </a:r>
        </a:p>
        <a:p>
          <a:r>
            <a:rPr lang="en-US" sz="1100"/>
            <a:t>Some countries and their authorities required any third parties to apply for licenses to duplicate their competition/tournament. You must comply with those requirements and all applicable laws regarding use of the WORLD CUP 2014 SCHEDULE AND SCORESHEET.</a:t>
          </a:r>
        </a:p>
        <a:p>
          <a:endParaRPr lang="en-US" sz="1100"/>
        </a:p>
        <a:p>
          <a:r>
            <a:rPr lang="en-US" sz="1100" b="1"/>
            <a:t>3. TERMINATION</a:t>
          </a:r>
        </a:p>
        <a:p>
          <a:r>
            <a:rPr lang="en-US" sz="1100"/>
            <a:t>Without prejudice to any other rights, EXCELTEMPLATE.NET may terminate this agreement if you fail to comply with the terms and conditions of this agreement. In such event, you must destroy all copies of the WORLD CUP 2014 SCHEDULE AND SCORESHEET in your possession.</a:t>
          </a:r>
        </a:p>
        <a:p>
          <a:endParaRPr lang="en-US" sz="1100"/>
        </a:p>
        <a:p>
          <a:r>
            <a:rPr lang="en-US" sz="1100" b="1"/>
            <a:t>4. COPYRIGHT</a:t>
          </a:r>
        </a:p>
        <a:p>
          <a:r>
            <a:rPr lang="en-US" sz="1100"/>
            <a:t>All title, including but not limited to copyrights, in and to the WORLD CUP 2014 SCHEDULE AND SCORESHEET and any copies thereof are owned by EXCELTEMPLATE.NET or its suppliers. All title and intellectual property rights in and to the content which may be accessed through use of the WORLD CUP 2014 SCHEDULE AND SCORESHEET is the property of the respective content owner and may be protected by applicable copyright or other intellectual property laws and treaties. This agreement grants you no rights to use such content. All rights not expressly granted are reserved by EXCELTEMPLATE.NET.</a:t>
          </a:r>
        </a:p>
        <a:p>
          <a:endParaRPr lang="en-US" sz="1100"/>
        </a:p>
        <a:p>
          <a:r>
            <a:rPr lang="en-US" sz="1100" b="1"/>
            <a:t>5. NO WARRANTIES</a:t>
          </a:r>
        </a:p>
        <a:p>
          <a:r>
            <a:rPr lang="en-US" sz="1100"/>
            <a:t>EXCELTEMPLATE.NET expressly disclaims any warranty for the WORLD CUP 2014 SCHEDULE AND SCORESHEET. The WORLD CUP 2014 SCHEDULE AND SCORESHEET is provided 'As Is' without any express or implied warranty of any kind, including but not limited to any warranties of merchantability, noninfringement, or fitness of a particular purpose. EXCELTEMPLATE.NET does not warrant or assume responsibility for the accuracy or completeness of any information, text, graphics, links or other items contained within the WORLD CUP 2014 SCHEDULE AND SCORESHEET. EXCELTEMPLATE.NET makes no warranties respecting any harm that may be caused by the transmission of a computer virus, worm, time bomb, logic bomb, or other such computer program. EXCELTEMPLATE.NET further expressly disclaims any warranty or representation to Authorized Users or to any third party.</a:t>
          </a:r>
        </a:p>
        <a:p>
          <a:endParaRPr lang="en-US" sz="1100"/>
        </a:p>
        <a:p>
          <a:r>
            <a:rPr lang="en-US" sz="1100" b="1"/>
            <a:t>6. LIMITATION OF LIABILITY</a:t>
          </a:r>
        </a:p>
        <a:p>
          <a:r>
            <a:rPr lang="en-US" sz="1100"/>
            <a:t>In no event shall EXCELTEMPLATE.NET be liable for any damages (including, without limitation, lost profits, business interruption, or lost information) rising out of 'Authorized Users' use of or inability to use the WORLD CUP 2014 SCHEDULE AND SCORESHEET, even if EXCELTEMPLATE.NET has been advised of the possibility of such damages. In no event will EXCELTEMPLATE.NET be liable for loss of data or for indirect, special, incidental, consequential (including lost profit), or other damages based in contract, tort or otherwise. EXCELTEMPLATE.NET shall have no liability with respect to the content of the WORLD CUP 2014 SCHEDULE AND SCORESHEET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p>
        <a:p>
          <a:endParaRPr lang="en-US" sz="1100"/>
        </a:p>
        <a:p>
          <a:r>
            <a:rPr lang="en-US" sz="1100"/>
            <a:t>Developers are responsible for the content of their agreement and this should only be used as a guide.</a:t>
          </a:r>
        </a:p>
        <a:p>
          <a:endParaRPr lang="en-US" sz="1100"/>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205740</xdr:colOff>
      <xdr:row>1</xdr:row>
      <xdr:rowOff>7620</xdr:rowOff>
    </xdr:from>
    <xdr:to>
      <xdr:col>38</xdr:col>
      <xdr:colOff>45720</xdr:colOff>
      <xdr:row>11</xdr:row>
      <xdr:rowOff>38100</xdr:rowOff>
    </xdr:to>
    <xdr:sp macro="" textlink="">
      <xdr:nvSpPr>
        <xdr:cNvPr id="2" name="TextBox 1"/>
        <xdr:cNvSpPr txBox="1"/>
      </xdr:nvSpPr>
      <xdr:spPr>
        <a:xfrm>
          <a:off x="3474720" y="198120"/>
          <a:ext cx="6126480" cy="1935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solidFill>
                <a:schemeClr val="dk1"/>
              </a:solidFill>
              <a:effectLst/>
              <a:latin typeface="+mn-lt"/>
              <a:ea typeface="+mn-ea"/>
              <a:cs typeface="+mn-cs"/>
            </a:rPr>
            <a:t>World Cup 2014</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Schedule and</a:t>
          </a:r>
          <a:r>
            <a:rPr lang="en-US" sz="1100" b="1" baseline="0">
              <a:solidFill>
                <a:schemeClr val="dk1"/>
              </a:solidFill>
              <a:effectLst/>
              <a:latin typeface="+mn-lt"/>
              <a:ea typeface="+mn-ea"/>
              <a:cs typeface="+mn-cs"/>
            </a:rPr>
            <a:t> Scoresheet</a:t>
          </a:r>
        </a:p>
        <a:p>
          <a:pPr algn="ctr"/>
          <a:r>
            <a:rPr lang="en-US" sz="1100" b="1" baseline="0">
              <a:solidFill>
                <a:schemeClr val="dk1"/>
              </a:solidFill>
              <a:effectLst/>
              <a:latin typeface="+mn-lt"/>
              <a:ea typeface="+mn-ea"/>
              <a:cs typeface="+mn-cs"/>
            </a:rPr>
            <a:t>Without National Flag - With Top Scorer</a:t>
          </a:r>
          <a:endParaRPr lang="en-US">
            <a:effectLst/>
          </a:endParaRPr>
        </a:p>
        <a:p>
          <a:pPr algn="ctr"/>
          <a:r>
            <a:rPr lang="en-US" sz="1100" baseline="0">
              <a:solidFill>
                <a:schemeClr val="dk1"/>
              </a:solidFill>
              <a:effectLst/>
              <a:latin typeface="+mn-lt"/>
              <a:ea typeface="+mn-ea"/>
              <a:cs typeface="+mn-cs"/>
            </a:rPr>
            <a:t>V1.58</a:t>
          </a:r>
        </a:p>
        <a:p>
          <a:pPr algn="ctr"/>
          <a:endParaRPr lang="en-US">
            <a:effectLst/>
          </a:endParaRPr>
        </a:p>
        <a:p>
          <a:pPr algn="ctr"/>
          <a:r>
            <a:rPr lang="en-US" sz="1100" baseline="0">
              <a:solidFill>
                <a:schemeClr val="dk1"/>
              </a:solidFill>
              <a:effectLst/>
              <a:latin typeface="+mn-lt"/>
              <a:ea typeface="+mn-ea"/>
              <a:cs typeface="+mn-cs"/>
            </a:rPr>
            <a:t>License: Free for Personal Usage (read EULA)</a:t>
          </a:r>
          <a:endParaRPr lang="en-US">
            <a:effectLst/>
          </a:endParaRPr>
        </a:p>
        <a:p>
          <a:pPr algn="ctr"/>
          <a:r>
            <a:rPr lang="en-US" sz="1100" baseline="0">
              <a:solidFill>
                <a:schemeClr val="dk1"/>
              </a:solidFill>
              <a:effectLst/>
              <a:latin typeface="+mn-lt"/>
              <a:ea typeface="+mn-ea"/>
              <a:cs typeface="+mn-cs"/>
            </a:rPr>
            <a:t>Copyrights (c) 2014 - Exceltemplate.net</a:t>
          </a:r>
          <a:endParaRPr lang="en-US">
            <a:effectLst/>
          </a:endParaRPr>
        </a:p>
        <a:p>
          <a:pPr algn="ctr"/>
          <a:r>
            <a:rPr lang="en-US" sz="1100" baseline="0">
              <a:solidFill>
                <a:schemeClr val="dk1"/>
              </a:solidFill>
              <a:effectLst/>
              <a:latin typeface="+mn-lt"/>
              <a:ea typeface="+mn-ea"/>
              <a:cs typeface="+mn-cs"/>
            </a:rPr>
            <a:t>All rights reserved</a:t>
          </a:r>
        </a:p>
        <a:p>
          <a:pPr algn="ctr"/>
          <a:endParaRPr lang="en-US">
            <a:effectLst/>
          </a:endParaRPr>
        </a:p>
        <a:p>
          <a:pPr algn="ctr"/>
          <a:r>
            <a:rPr lang="en-US" sz="1100" baseline="0">
              <a:solidFill>
                <a:schemeClr val="dk1"/>
              </a:solidFill>
              <a:effectLst/>
              <a:latin typeface="+mn-lt"/>
              <a:ea typeface="+mn-ea"/>
              <a:cs typeface="+mn-cs"/>
            </a:rPr>
            <a:t>More template information</a:t>
          </a:r>
          <a:endParaRPr lang="en-US">
            <a:effectLst/>
          </a:endParaRPr>
        </a:p>
        <a:p>
          <a:pPr algn="ctr"/>
          <a:r>
            <a:rPr lang="en-US" sz="1100">
              <a:solidFill>
                <a:schemeClr val="dk1"/>
              </a:solidFill>
              <a:effectLst/>
              <a:latin typeface="+mn-lt"/>
              <a:ea typeface="+mn-ea"/>
              <a:cs typeface="+mn-cs"/>
            </a:rPr>
            <a:t>http://exceltemplate.net/sports/world-cup-2014-schedule-and-scoresheet/</a:t>
          </a:r>
          <a:endParaRPr lang="en-US">
            <a:effectLst/>
          </a:endParaRPr>
        </a:p>
        <a:p>
          <a:endParaRPr lang="en-US" sz="1100"/>
        </a:p>
      </xdr:txBody>
    </xdr:sp>
    <xdr:clientData/>
  </xdr:twoCellAnchor>
  <xdr:twoCellAnchor>
    <xdr:from>
      <xdr:col>13</xdr:col>
      <xdr:colOff>205740</xdr:colOff>
      <xdr:row>12</xdr:row>
      <xdr:rowOff>83820</xdr:rowOff>
    </xdr:from>
    <xdr:to>
      <xdr:col>38</xdr:col>
      <xdr:colOff>45720</xdr:colOff>
      <xdr:row>15</xdr:row>
      <xdr:rowOff>129540</xdr:rowOff>
    </xdr:to>
    <xdr:sp macro="" textlink="">
      <xdr:nvSpPr>
        <xdr:cNvPr id="3" name="TextBox 2"/>
        <xdr:cNvSpPr txBox="1"/>
      </xdr:nvSpPr>
      <xdr:spPr>
        <a:xfrm>
          <a:off x="3474720" y="2369820"/>
          <a:ext cx="6126480" cy="6172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0">
              <a:solidFill>
                <a:schemeClr val="dk1"/>
              </a:solidFill>
              <a:effectLst/>
              <a:latin typeface="+mn-lt"/>
              <a:ea typeface="+mn-ea"/>
              <a:cs typeface="+mn-cs"/>
            </a:rPr>
            <a:t>Below are several of my sport</a:t>
          </a:r>
          <a:r>
            <a:rPr lang="en-US" sz="1100" b="0" baseline="0">
              <a:solidFill>
                <a:schemeClr val="dk1"/>
              </a:solidFill>
              <a:effectLst/>
              <a:latin typeface="+mn-lt"/>
              <a:ea typeface="+mn-ea"/>
              <a:cs typeface="+mn-cs"/>
            </a:rPr>
            <a:t> templates that you might need. You can download or purchase where you can learn the formula, create your own sport competition or modify its layout to meet your own requirement</a:t>
          </a:r>
          <a:endParaRPr lang="en-US" sz="1100"/>
        </a:p>
      </xdr:txBody>
    </xdr:sp>
    <xdr:clientData/>
  </xdr:twoCellAnchor>
  <xdr:oneCellAnchor>
    <xdr:from>
      <xdr:col>20</xdr:col>
      <xdr:colOff>161926</xdr:colOff>
      <xdr:row>38</xdr:row>
      <xdr:rowOff>58197</xdr:rowOff>
    </xdr:from>
    <xdr:ext cx="914400" cy="320040"/>
    <xdr:pic>
      <xdr:nvPicPr>
        <xdr:cNvPr id="4" name="Picture 3">
          <a:hlinkClick xmlns:r="http://schemas.openxmlformats.org/officeDocument/2006/relationships" r:id="rId1"/>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91126" y="9583197"/>
          <a:ext cx="914400" cy="320040"/>
        </a:xfrm>
        <a:prstGeom prst="rect">
          <a:avLst/>
        </a:prstGeom>
      </xdr:spPr>
    </xdr:pic>
    <xdr:clientData/>
  </xdr:oneCellAnchor>
  <xdr:oneCellAnchor>
    <xdr:from>
      <xdr:col>20</xdr:col>
      <xdr:colOff>167640</xdr:colOff>
      <xdr:row>40</xdr:row>
      <xdr:rowOff>45720</xdr:rowOff>
    </xdr:from>
    <xdr:ext cx="914400" cy="320040"/>
    <xdr:pic>
      <xdr:nvPicPr>
        <xdr:cNvPr id="5" name="Picture 4">
          <a:hlinkClick xmlns:r="http://schemas.openxmlformats.org/officeDocument/2006/relationships" r:id="rId3"/>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96840" y="9951720"/>
          <a:ext cx="914400" cy="320040"/>
        </a:xfrm>
        <a:prstGeom prst="rect">
          <a:avLst/>
        </a:prstGeom>
      </xdr:spPr>
    </xdr:pic>
    <xdr:clientData/>
  </xdr:oneCellAnchor>
  <xdr:oneCellAnchor>
    <xdr:from>
      <xdr:col>45</xdr:col>
      <xdr:colOff>198120</xdr:colOff>
      <xdr:row>38</xdr:row>
      <xdr:rowOff>45720</xdr:rowOff>
    </xdr:from>
    <xdr:ext cx="914400" cy="320040"/>
    <xdr:pic>
      <xdr:nvPicPr>
        <xdr:cNvPr id="6" name="Picture 5">
          <a:hlinkClick xmlns:r="http://schemas.openxmlformats.org/officeDocument/2006/relationships" r:id="rId4"/>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13820" y="9570720"/>
          <a:ext cx="914400" cy="320040"/>
        </a:xfrm>
        <a:prstGeom prst="rect">
          <a:avLst/>
        </a:prstGeom>
      </xdr:spPr>
    </xdr:pic>
    <xdr:clientData/>
  </xdr:oneCellAnchor>
  <xdr:oneCellAnchor>
    <xdr:from>
      <xdr:col>20</xdr:col>
      <xdr:colOff>175260</xdr:colOff>
      <xdr:row>51</xdr:row>
      <xdr:rowOff>45719</xdr:rowOff>
    </xdr:from>
    <xdr:ext cx="914400" cy="322252"/>
    <xdr:pic>
      <xdr:nvPicPr>
        <xdr:cNvPr id="7" name="Picture 6">
          <a:hlinkClick xmlns:r="http://schemas.openxmlformats.org/officeDocument/2006/relationships" r:id="rId5"/>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04460" y="8161019"/>
          <a:ext cx="914400" cy="322252"/>
        </a:xfrm>
        <a:prstGeom prst="rect">
          <a:avLst/>
        </a:prstGeom>
      </xdr:spPr>
    </xdr:pic>
    <xdr:clientData/>
  </xdr:oneCellAnchor>
  <xdr:oneCellAnchor>
    <xdr:from>
      <xdr:col>45</xdr:col>
      <xdr:colOff>190500</xdr:colOff>
      <xdr:row>48</xdr:row>
      <xdr:rowOff>45719</xdr:rowOff>
    </xdr:from>
    <xdr:ext cx="914400" cy="322252"/>
    <xdr:pic>
      <xdr:nvPicPr>
        <xdr:cNvPr id="8" name="Picture 7">
          <a:hlinkClick xmlns:r="http://schemas.openxmlformats.org/officeDocument/2006/relationships" r:id="rId6"/>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9387839"/>
          <a:ext cx="914400" cy="322252"/>
        </a:xfrm>
        <a:prstGeom prst="rect">
          <a:avLst/>
        </a:prstGeom>
      </xdr:spPr>
    </xdr:pic>
    <xdr:clientData/>
  </xdr:oneCellAnchor>
  <xdr:oneCellAnchor>
    <xdr:from>
      <xdr:col>20</xdr:col>
      <xdr:colOff>190500</xdr:colOff>
      <xdr:row>23</xdr:row>
      <xdr:rowOff>45719</xdr:rowOff>
    </xdr:from>
    <xdr:ext cx="914400" cy="322252"/>
    <xdr:pic>
      <xdr:nvPicPr>
        <xdr:cNvPr id="9" name="Picture 8">
          <a:hlinkClick xmlns:r="http://schemas.openxmlformats.org/officeDocument/2006/relationships" r:id="rId7"/>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14142719"/>
          <a:ext cx="914400" cy="322252"/>
        </a:xfrm>
        <a:prstGeom prst="rect">
          <a:avLst/>
        </a:prstGeom>
      </xdr:spPr>
    </xdr:pic>
    <xdr:clientData/>
  </xdr:oneCellAnchor>
  <xdr:oneCellAnchor>
    <xdr:from>
      <xdr:col>45</xdr:col>
      <xdr:colOff>190500</xdr:colOff>
      <xdr:row>23</xdr:row>
      <xdr:rowOff>45719</xdr:rowOff>
    </xdr:from>
    <xdr:ext cx="914400" cy="322252"/>
    <xdr:pic>
      <xdr:nvPicPr>
        <xdr:cNvPr id="10" name="Picture 9">
          <a:hlinkClick xmlns:r="http://schemas.openxmlformats.org/officeDocument/2006/relationships" r:id="rId8"/>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4808219"/>
          <a:ext cx="914400" cy="322252"/>
        </a:xfrm>
        <a:prstGeom prst="rect">
          <a:avLst/>
        </a:prstGeom>
      </xdr:spPr>
    </xdr:pic>
    <xdr:clientData/>
  </xdr:oneCellAnchor>
  <xdr:oneCellAnchor>
    <xdr:from>
      <xdr:col>20</xdr:col>
      <xdr:colOff>190500</xdr:colOff>
      <xdr:row>30</xdr:row>
      <xdr:rowOff>45719</xdr:rowOff>
    </xdr:from>
    <xdr:ext cx="914400" cy="322252"/>
    <xdr:pic>
      <xdr:nvPicPr>
        <xdr:cNvPr id="11" name="Picture 10">
          <a:hlinkClick xmlns:r="http://schemas.openxmlformats.org/officeDocument/2006/relationships" r:id="rId9"/>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6713219"/>
          <a:ext cx="914400" cy="322252"/>
        </a:xfrm>
        <a:prstGeom prst="rect">
          <a:avLst/>
        </a:prstGeom>
      </xdr:spPr>
    </xdr:pic>
    <xdr:clientData/>
  </xdr:oneCellAnchor>
  <xdr:oneCellAnchor>
    <xdr:from>
      <xdr:col>45</xdr:col>
      <xdr:colOff>190500</xdr:colOff>
      <xdr:row>30</xdr:row>
      <xdr:rowOff>45719</xdr:rowOff>
    </xdr:from>
    <xdr:ext cx="914400" cy="322252"/>
    <xdr:pic>
      <xdr:nvPicPr>
        <xdr:cNvPr id="12" name="Picture 11">
          <a:hlinkClick xmlns:r="http://schemas.openxmlformats.org/officeDocument/2006/relationships" r:id="rId10"/>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13571219"/>
          <a:ext cx="914400" cy="322252"/>
        </a:xfrm>
        <a:prstGeom prst="rect">
          <a:avLst/>
        </a:prstGeom>
      </xdr:spPr>
    </xdr:pic>
    <xdr:clientData/>
  </xdr:oneCellAnchor>
  <xdr:twoCellAnchor>
    <xdr:from>
      <xdr:col>38</xdr:col>
      <xdr:colOff>160020</xdr:colOff>
      <xdr:row>1</xdr:row>
      <xdr:rowOff>7620</xdr:rowOff>
    </xdr:from>
    <xdr:to>
      <xdr:col>50</xdr:col>
      <xdr:colOff>7620</xdr:colOff>
      <xdr:row>15</xdr:row>
      <xdr:rowOff>129540</xdr:rowOff>
    </xdr:to>
    <xdr:sp macro="" textlink="">
      <xdr:nvSpPr>
        <xdr:cNvPr id="13" name="TextBox 12"/>
        <xdr:cNvSpPr txBox="1"/>
      </xdr:nvSpPr>
      <xdr:spPr>
        <a:xfrm>
          <a:off x="9715500" y="198120"/>
          <a:ext cx="2865120" cy="27889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V1.58</a:t>
          </a:r>
        </a:p>
        <a:p>
          <a:r>
            <a:rPr lang="en-US" sz="1100"/>
            <a:t>- Fixed group standing formula</a:t>
          </a:r>
        </a:p>
        <a:p>
          <a:r>
            <a:rPr lang="en-US" sz="1100"/>
            <a:t>- Fixed incorrect group</a:t>
          </a:r>
          <a:r>
            <a:rPr lang="en-US" sz="1100" baseline="0"/>
            <a:t> matches time</a:t>
          </a:r>
          <a:endParaRPr lang="en-US" sz="1100"/>
        </a:p>
        <a:p>
          <a:endParaRPr lang="en-US" sz="1100"/>
        </a:p>
        <a:p>
          <a:r>
            <a:rPr lang="en-US" sz="1100"/>
            <a:t>V1.57</a:t>
          </a:r>
        </a:p>
        <a:p>
          <a:r>
            <a:rPr lang="en-US" sz="1100"/>
            <a:t>- First release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exceltemplate.net/" TargetMode="External"/><Relationship Id="rId2" Type="http://schemas.openxmlformats.org/officeDocument/2006/relationships/hyperlink" Target="http://www.exceltemplate.net/" TargetMode="External"/><Relationship Id="rId1" Type="http://schemas.openxmlformats.org/officeDocument/2006/relationships/hyperlink" Target="http://www.exceltemplate.net/"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exceltemplate.net/" TargetMode="External"/><Relationship Id="rId2" Type="http://schemas.openxmlformats.org/officeDocument/2006/relationships/hyperlink" Target="http://www.exceltemplate.net/" TargetMode="External"/><Relationship Id="rId1" Type="http://schemas.openxmlformats.org/officeDocument/2006/relationships/hyperlink" Target="http://www.exceltemplate.net/" TargetMode="External"/><Relationship Id="rId6" Type="http://schemas.openxmlformats.org/officeDocument/2006/relationships/vmlDrawing" Target="../drawings/vmlDrawing2.vm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8" Type="http://schemas.openxmlformats.org/officeDocument/2006/relationships/hyperlink" Target="http://exceltemplate.net/download/118/" TargetMode="External"/><Relationship Id="rId13" Type="http://schemas.openxmlformats.org/officeDocument/2006/relationships/hyperlink" Target="http://exceltemplate.net/download/122/" TargetMode="External"/><Relationship Id="rId3" Type="http://schemas.openxmlformats.org/officeDocument/2006/relationships/hyperlink" Target="http://exceltemplate.net/download/100/" TargetMode="External"/><Relationship Id="rId7" Type="http://schemas.openxmlformats.org/officeDocument/2006/relationships/hyperlink" Target="http://exceltemplate.net/download/117/" TargetMode="External"/><Relationship Id="rId12" Type="http://schemas.openxmlformats.org/officeDocument/2006/relationships/hyperlink" Target="http://exceltemplate.net/download/124/" TargetMode="External"/><Relationship Id="rId2" Type="http://schemas.openxmlformats.org/officeDocument/2006/relationships/hyperlink" Target="http://exceltemplate.net/download/75/" TargetMode="External"/><Relationship Id="rId1" Type="http://schemas.openxmlformats.org/officeDocument/2006/relationships/hyperlink" Target="http://exceltemplate.net/download/74/" TargetMode="External"/><Relationship Id="rId6" Type="http://schemas.openxmlformats.org/officeDocument/2006/relationships/hyperlink" Target="http://exceltemplate.net/download/116/" TargetMode="External"/><Relationship Id="rId11" Type="http://schemas.openxmlformats.org/officeDocument/2006/relationships/hyperlink" Target="http://exceltemplate.net/download/121/" TargetMode="External"/><Relationship Id="rId5" Type="http://schemas.openxmlformats.org/officeDocument/2006/relationships/hyperlink" Target="http://exceltemplate.net/download/120/" TargetMode="External"/><Relationship Id="rId15" Type="http://schemas.openxmlformats.org/officeDocument/2006/relationships/drawing" Target="../drawings/drawing4.xml"/><Relationship Id="rId10" Type="http://schemas.openxmlformats.org/officeDocument/2006/relationships/hyperlink" Target="http://exceltemplate.net/download/123/" TargetMode="External"/><Relationship Id="rId4" Type="http://schemas.openxmlformats.org/officeDocument/2006/relationships/hyperlink" Target="http://exceltemplate.net/download/101/" TargetMode="External"/><Relationship Id="rId9" Type="http://schemas.openxmlformats.org/officeDocument/2006/relationships/hyperlink" Target="http://exceltemplate.net/download/119/" TargetMode="External"/><Relationship Id="rId14"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P137"/>
  <sheetViews>
    <sheetView showGridLines="0" tabSelected="1" topLeftCell="A4" zoomScaleNormal="100" workbookViewId="0">
      <selection activeCell="D14" sqref="D14:D17"/>
    </sheetView>
  </sheetViews>
  <sheetFormatPr defaultColWidth="0" defaultRowHeight="14.4" zeroHeight="1"/>
  <cols>
    <col min="1" max="3" width="2.44140625" style="7" customWidth="1"/>
    <col min="4" max="5" width="7.5546875" style="7" customWidth="1"/>
    <col min="6" max="6" width="10" style="7" customWidth="1"/>
    <col min="7" max="7" width="10.33203125" style="7" customWidth="1"/>
    <col min="8" max="8" width="20.6640625" style="7" customWidth="1"/>
    <col min="9" max="9" width="1.6640625" style="7" customWidth="1"/>
    <col min="10" max="10" width="4.6640625" style="7" customWidth="1"/>
    <col min="11" max="11" width="2.6640625" style="8" customWidth="1"/>
    <col min="12" max="19" width="15.77734375" style="7" customWidth="1"/>
    <col min="20" max="21" width="2.44140625" style="7" customWidth="1"/>
    <col min="22" max="22" width="9.109375" style="7" customWidth="1"/>
    <col min="23" max="87" width="0" style="7" hidden="1" customWidth="1"/>
    <col min="88" max="91" width="0" style="9" hidden="1" customWidth="1"/>
    <col min="92" max="94" width="0" style="7" hidden="1" customWidth="1"/>
    <col min="95" max="16384" width="9.109375" style="7" hidden="1"/>
  </cols>
  <sheetData>
    <row r="1" spans="2:94"/>
    <row r="2" spans="2:94" ht="15" customHeight="1">
      <c r="B2" s="6"/>
      <c r="C2" s="6" t="str">
        <f>INDEX(Language!$A$1:$AX$115,MATCH("Language",Language!$B$1:$B$115,0),MATCH($G$2,Language!$A$1:$AW$1,0))</f>
        <v>Language</v>
      </c>
      <c r="E2" s="8"/>
      <c r="F2" s="8" t="s">
        <v>82</v>
      </c>
      <c r="G2" s="188" t="s">
        <v>75</v>
      </c>
      <c r="H2" s="188"/>
      <c r="I2" s="188"/>
      <c r="J2" s="188"/>
      <c r="K2" s="188"/>
      <c r="N2" s="184" t="str">
        <f>INDEX(Language!$A$1:$AX$115,MATCH("Visit exceltemplate.net for more templates and updates",Language!$B$1:$B$115,0),MATCH($G$2,Language!$A$1:$AW$1,0))</f>
        <v>Visit exceltemplate.net for more templates and updates</v>
      </c>
      <c r="O2" s="184"/>
      <c r="P2" s="184"/>
      <c r="Q2" s="184"/>
      <c r="R2" s="184"/>
      <c r="S2" s="184"/>
      <c r="T2" s="184"/>
      <c r="U2" s="184"/>
    </row>
    <row r="3" spans="2:94" ht="8.25" customHeight="1">
      <c r="E3" s="8"/>
      <c r="F3" s="8"/>
      <c r="N3" s="184"/>
      <c r="O3" s="184"/>
      <c r="P3" s="184"/>
      <c r="Q3" s="184"/>
      <c r="R3" s="184"/>
      <c r="S3" s="184"/>
      <c r="T3" s="184"/>
      <c r="U3" s="184"/>
      <c r="CK3" s="10" t="s">
        <v>3845</v>
      </c>
    </row>
    <row r="4" spans="2:94" ht="15" customHeight="1">
      <c r="B4" s="6"/>
      <c r="C4" s="6" t="str">
        <f>INDEX(Language!$A$1:$AX$115,MATCH("Timezone",Language!$B$1:$B$115,0),MATCH($G$2,Language!$A$1:$AW$1,0))</f>
        <v>Timezone</v>
      </c>
      <c r="E4" s="8"/>
      <c r="F4" s="8" t="s">
        <v>82</v>
      </c>
      <c r="G4" s="189" t="s">
        <v>381</v>
      </c>
      <c r="H4" s="189"/>
      <c r="I4" s="189"/>
      <c r="J4" s="189"/>
      <c r="K4" s="189"/>
      <c r="N4" s="184"/>
      <c r="O4" s="184"/>
      <c r="P4" s="184"/>
      <c r="Q4" s="184"/>
      <c r="R4" s="184"/>
      <c r="S4" s="184"/>
      <c r="T4" s="184"/>
      <c r="U4" s="184"/>
    </row>
    <row r="5" spans="2:94"/>
    <row r="6" spans="2:94" ht="25.5" customHeight="1">
      <c r="B6" s="190" t="str">
        <f>INDEX(Language!$A$1:$AX$115,MATCH("World Cup 2014 Schedule and Scoresheet",Language!$B$1:$B$115,0),MATCH($G$2,Language!$A$1:$AW$1,0))</f>
        <v>World Cup 2014 Schedule and Scoresheet</v>
      </c>
      <c r="C6" s="190"/>
      <c r="D6" s="190"/>
      <c r="E6" s="190"/>
      <c r="F6" s="190"/>
      <c r="G6" s="190"/>
      <c r="H6" s="190"/>
      <c r="I6" s="190"/>
      <c r="J6" s="190"/>
      <c r="K6" s="190"/>
      <c r="L6" s="190"/>
      <c r="M6" s="190"/>
      <c r="N6" s="190"/>
      <c r="O6" s="190"/>
      <c r="P6" s="190"/>
      <c r="Q6" s="190"/>
      <c r="R6" s="190"/>
      <c r="S6" s="190"/>
      <c r="T6" s="190"/>
      <c r="U6" s="190"/>
    </row>
    <row r="7" spans="2:94"/>
    <row r="8" spans="2:94" ht="15" customHeight="1">
      <c r="B8" s="191" t="str">
        <f>INDEX(Language!$A$1:$AX$115,MATCH("Group Stages",Language!$B$1:$B$115,0),MATCH($G$2,Language!$A$1:$AW$1,0))</f>
        <v>Group Stages</v>
      </c>
      <c r="C8" s="192"/>
      <c r="D8" s="192"/>
      <c r="E8" s="192"/>
      <c r="F8" s="192"/>
      <c r="G8" s="192"/>
      <c r="H8" s="192"/>
      <c r="I8" s="192"/>
      <c r="J8" s="192"/>
      <c r="K8" s="192"/>
      <c r="L8" s="192"/>
      <c r="M8" s="192"/>
      <c r="N8" s="192"/>
      <c r="O8" s="192"/>
      <c r="P8" s="192"/>
      <c r="Q8" s="192"/>
      <c r="R8" s="192"/>
      <c r="S8" s="192"/>
      <c r="T8" s="192"/>
      <c r="U8" s="193"/>
    </row>
    <row r="9" spans="2:94" ht="15" customHeight="1">
      <c r="B9" s="11"/>
      <c r="C9" s="12"/>
      <c r="D9" s="12"/>
      <c r="E9" s="12"/>
      <c r="F9" s="12"/>
      <c r="G9" s="12"/>
      <c r="H9" s="12"/>
      <c r="I9" s="12"/>
      <c r="J9" s="12"/>
      <c r="K9" s="13"/>
      <c r="L9" s="12"/>
      <c r="M9" s="12"/>
      <c r="N9" s="12"/>
      <c r="O9" s="12"/>
      <c r="P9" s="14"/>
      <c r="Q9" s="12"/>
      <c r="R9" s="12"/>
      <c r="S9" s="12"/>
      <c r="T9" s="12"/>
      <c r="U9" s="15"/>
    </row>
    <row r="10" spans="2:94" ht="15" customHeight="1">
      <c r="B10" s="11"/>
      <c r="C10" s="182" t="str">
        <f>INDEX(Language!$A$1:$AX$115,MATCH("Matches",Language!$B$1:$B$115,0),MATCH($G$2,Language!$A$1:$AW$1,0))</f>
        <v>Matches</v>
      </c>
      <c r="D10" s="183"/>
      <c r="E10" s="183"/>
      <c r="F10" s="183"/>
      <c r="G10" s="183"/>
      <c r="H10" s="183"/>
      <c r="I10" s="183"/>
      <c r="J10" s="183"/>
      <c r="K10" s="183"/>
      <c r="L10" s="183"/>
      <c r="M10" s="183"/>
      <c r="N10" s="183"/>
      <c r="O10" s="183"/>
      <c r="P10" s="183"/>
      <c r="Q10" s="183"/>
      <c r="R10" s="183"/>
      <c r="S10" s="183"/>
      <c r="T10" s="183"/>
      <c r="U10" s="15"/>
    </row>
    <row r="11" spans="2:94" ht="15" customHeight="1">
      <c r="B11" s="11"/>
      <c r="C11" s="11"/>
      <c r="D11" s="12"/>
      <c r="E11" s="12"/>
      <c r="F11" s="12"/>
      <c r="G11" s="12"/>
      <c r="H11" s="12"/>
      <c r="I11" s="12"/>
      <c r="J11" s="12"/>
      <c r="K11" s="13"/>
      <c r="L11" s="12"/>
      <c r="M11" s="12"/>
      <c r="N11" s="12"/>
      <c r="O11" s="12"/>
      <c r="P11" s="12"/>
      <c r="Q11" s="12"/>
      <c r="T11" s="16"/>
      <c r="U11" s="15"/>
    </row>
    <row r="12" spans="2:94" ht="15" customHeight="1">
      <c r="B12" s="11"/>
      <c r="C12" s="11"/>
      <c r="D12" s="17" t="str">
        <f>INDEX(Language!$A$1:$AX$115,MATCH("Group",Language!$B$1:$B$115,0),MATCH($G$2,Language!$A$1:$AW$1,0))</f>
        <v>Group</v>
      </c>
      <c r="E12" s="17" t="str">
        <f>INDEX(Language!$A$1:$AX$115,MATCH("Match #",Language!$B$1:$B$115,0),MATCH($G$2,Language!$A$1:$AW$1,0))</f>
        <v>Match #</v>
      </c>
      <c r="F12" s="17" t="str">
        <f>INDEX(Language!$A$1:$AX$115,MATCH("Date",Language!$B$1:$B$115,0),MATCH($G$2,Language!$A$1:$AW$1,0))</f>
        <v>Date</v>
      </c>
      <c r="G12" s="17" t="str">
        <f>INDEX(Language!$A$1:$AX$115,MATCH("Time",Language!$B$1:$B$115,0),MATCH($G$2,Language!$A$1:$AW$1,0))</f>
        <v>Time</v>
      </c>
      <c r="H12" s="17" t="str">
        <f>INDEX(Language!$A$1:$AX$115,MATCH("Country",Language!$B$1:$B$115,0),MATCH($G$2,Language!$A$1:$AW$1,0))</f>
        <v>Country</v>
      </c>
      <c r="I12" s="17"/>
      <c r="J12" s="17" t="str">
        <f>INDEX(Language!$A$1:$AX$115,MATCH("Score",Language!$B$1:$B$115,0),MATCH($G$2,Language!$A$1:$AW$1,0))</f>
        <v>Score</v>
      </c>
      <c r="K12" s="18"/>
      <c r="L12" s="17" t="s">
        <v>3875</v>
      </c>
      <c r="M12" s="17" t="s">
        <v>3876</v>
      </c>
      <c r="N12" s="17" t="s">
        <v>3877</v>
      </c>
      <c r="O12" s="17" t="s">
        <v>3878</v>
      </c>
      <c r="P12" s="17" t="s">
        <v>3879</v>
      </c>
      <c r="Q12" s="17" t="s">
        <v>3880</v>
      </c>
      <c r="R12" s="19" t="s">
        <v>3881</v>
      </c>
      <c r="S12" s="19" t="s">
        <v>3882</v>
      </c>
      <c r="T12" s="15"/>
      <c r="U12" s="15"/>
      <c r="CJ12" s="7"/>
      <c r="CK12" s="7"/>
      <c r="CL12" s="7"/>
      <c r="CN12" s="20"/>
      <c r="CO12" s="20"/>
      <c r="CP12" s="9"/>
    </row>
    <row r="13" spans="2:94" ht="15" customHeight="1">
      <c r="B13" s="11"/>
      <c r="C13" s="11"/>
      <c r="D13" s="12"/>
      <c r="E13" s="12"/>
      <c r="F13" s="12"/>
      <c r="G13" s="12"/>
      <c r="H13" s="12"/>
      <c r="I13" s="12"/>
      <c r="J13" s="12"/>
      <c r="K13" s="12"/>
      <c r="L13" s="12"/>
      <c r="M13" s="12"/>
      <c r="N13" s="12"/>
      <c r="O13" s="12"/>
      <c r="P13" s="12"/>
      <c r="Q13" s="12"/>
      <c r="T13" s="15"/>
      <c r="U13" s="15"/>
      <c r="CJ13" s="7"/>
      <c r="CK13" s="7"/>
      <c r="CL13" s="7"/>
      <c r="CN13" s="20"/>
      <c r="CO13" s="20"/>
      <c r="CP13" s="9"/>
    </row>
    <row r="14" spans="2:94" ht="15" customHeight="1">
      <c r="B14" s="11"/>
      <c r="C14" s="11"/>
      <c r="D14" s="179" t="s">
        <v>72</v>
      </c>
      <c r="E14" s="185">
        <v>1</v>
      </c>
      <c r="F14" s="170">
        <f>G14</f>
        <v>41802.875</v>
      </c>
      <c r="G14" s="171">
        <f>'Countries and Timezone'!R2</f>
        <v>41802.875</v>
      </c>
      <c r="H14" s="172" t="str">
        <f>INDEX(Language!$A$1:$AX$115,MATCH('Countries and Timezone'!$AG$7,Language!$B$1:$B$115,0),MATCH($G$2,Language!$A$1:$AW$1,0))</f>
        <v>Brazil</v>
      </c>
      <c r="I14" s="167"/>
      <c r="J14" s="75"/>
      <c r="K14" s="167"/>
      <c r="L14" s="167"/>
      <c r="M14" s="167"/>
      <c r="N14" s="167"/>
      <c r="O14" s="167"/>
      <c r="P14" s="167"/>
      <c r="Q14" s="167"/>
      <c r="R14" s="167"/>
      <c r="S14" s="167"/>
      <c r="T14" s="15"/>
      <c r="U14" s="15"/>
      <c r="CJ14" s="7"/>
      <c r="CK14" s="7"/>
      <c r="CL14" s="7"/>
      <c r="CN14" s="20"/>
      <c r="CO14" s="20"/>
      <c r="CP14" s="9"/>
    </row>
    <row r="15" spans="2:94" ht="15" customHeight="1">
      <c r="B15" s="11"/>
      <c r="C15" s="11"/>
      <c r="D15" s="180"/>
      <c r="E15" s="186"/>
      <c r="F15" s="194" t="s">
        <v>3818</v>
      </c>
      <c r="G15" s="194"/>
      <c r="H15" s="173" t="str">
        <f>INDEX(Language!$A$1:$AX$115,MATCH('Countries and Timezone'!$AG$8,Language!$B$1:$B$115,0),MATCH($G$2,Language!$A$1:$AW$1,0))</f>
        <v>Croatia</v>
      </c>
      <c r="I15" s="168"/>
      <c r="J15" s="75"/>
      <c r="K15" s="168"/>
      <c r="L15" s="168"/>
      <c r="M15" s="168"/>
      <c r="N15" s="168"/>
      <c r="O15" s="168"/>
      <c r="P15" s="168"/>
      <c r="Q15" s="168"/>
      <c r="R15" s="168"/>
      <c r="S15" s="168"/>
      <c r="T15" s="15"/>
      <c r="U15" s="15"/>
      <c r="X15" s="68" t="s">
        <v>4346</v>
      </c>
      <c r="CJ15" s="7"/>
      <c r="CK15" s="7"/>
      <c r="CL15" s="7"/>
      <c r="CN15" s="20"/>
      <c r="CO15" s="20"/>
      <c r="CP15" s="9"/>
    </row>
    <row r="16" spans="2:94" ht="15" customHeight="1">
      <c r="B16" s="11"/>
      <c r="C16" s="11"/>
      <c r="D16" s="180"/>
      <c r="E16" s="177">
        <v>2</v>
      </c>
      <c r="F16" s="157">
        <f t="shared" ref="F16:F108" si="0">G16</f>
        <v>41803.708333333328</v>
      </c>
      <c r="G16" s="158">
        <f>'Countries and Timezone'!R3</f>
        <v>41803.708333333328</v>
      </c>
      <c r="H16" s="159" t="str">
        <f>INDEX(Language!$A$1:$AX$115,MATCH('Countries and Timezone'!$AG$9,Language!$B$1:$B$115,0),MATCH($G$2,Language!$A$1:$AW$1,0))</f>
        <v>Mexico</v>
      </c>
      <c r="I16" s="145"/>
      <c r="J16" s="75"/>
      <c r="K16" s="145"/>
      <c r="L16" s="145"/>
      <c r="M16" s="145"/>
      <c r="N16" s="145"/>
      <c r="O16" s="145"/>
      <c r="P16" s="145"/>
      <c r="Q16" s="145"/>
      <c r="R16" s="145"/>
      <c r="S16" s="145"/>
      <c r="T16" s="15"/>
      <c r="U16" s="15"/>
      <c r="CJ16" s="7"/>
      <c r="CK16" s="7"/>
      <c r="CL16" s="7"/>
      <c r="CN16" s="20"/>
      <c r="CO16" s="20"/>
      <c r="CP16" s="9"/>
    </row>
    <row r="17" spans="2:94" ht="15" customHeight="1">
      <c r="B17" s="11"/>
      <c r="C17" s="11"/>
      <c r="D17" s="181"/>
      <c r="E17" s="187"/>
      <c r="F17" s="194" t="s">
        <v>4380</v>
      </c>
      <c r="G17" s="194"/>
      <c r="H17" s="160" t="str">
        <f>INDEX(Language!$A$1:$AX$115,MATCH('Countries and Timezone'!$AG$10,Language!$B$1:$B$115,0),MATCH($G$2,Language!$A$1:$AW$1,0))</f>
        <v>Cameroon</v>
      </c>
      <c r="I17" s="147"/>
      <c r="J17" s="75"/>
      <c r="K17" s="147"/>
      <c r="L17" s="147"/>
      <c r="M17" s="147"/>
      <c r="N17" s="147"/>
      <c r="O17" s="147"/>
      <c r="P17" s="147"/>
      <c r="Q17" s="147"/>
      <c r="R17" s="147"/>
      <c r="S17" s="147"/>
      <c r="T17" s="15"/>
      <c r="U17" s="15"/>
      <c r="CJ17" s="7"/>
      <c r="CK17" s="7"/>
      <c r="CL17" s="7"/>
      <c r="CN17" s="20"/>
      <c r="CO17" s="20"/>
      <c r="CP17" s="9"/>
    </row>
    <row r="18" spans="2:94" ht="15" customHeight="1">
      <c r="B18" s="11"/>
      <c r="C18" s="11"/>
      <c r="D18" s="179" t="s">
        <v>580</v>
      </c>
      <c r="E18" s="185">
        <v>3</v>
      </c>
      <c r="F18" s="170">
        <f t="shared" si="0"/>
        <v>41803.833333333328</v>
      </c>
      <c r="G18" s="171">
        <f>'Countries and Timezone'!R4</f>
        <v>41803.833333333328</v>
      </c>
      <c r="H18" s="172" t="str">
        <f>INDEX(Language!$A$1:$AX$115,MATCH('Countries and Timezone'!$AG$11,Language!$B$1:$B$115,0),MATCH($G$2,Language!$A$1:$AW$1,0))</f>
        <v>Spain</v>
      </c>
      <c r="I18" s="167"/>
      <c r="J18" s="75"/>
      <c r="K18" s="167"/>
      <c r="L18" s="167"/>
      <c r="M18" s="167"/>
      <c r="N18" s="167"/>
      <c r="O18" s="167"/>
      <c r="P18" s="167"/>
      <c r="Q18" s="167"/>
      <c r="R18" s="167"/>
      <c r="S18" s="167"/>
      <c r="T18" s="15"/>
      <c r="U18" s="15"/>
      <c r="CJ18" s="7"/>
      <c r="CK18" s="7"/>
      <c r="CL18" s="7"/>
      <c r="CN18" s="20"/>
      <c r="CO18" s="20"/>
      <c r="CP18" s="9"/>
    </row>
    <row r="19" spans="2:94" ht="15" customHeight="1">
      <c r="B19" s="11"/>
      <c r="C19" s="11"/>
      <c r="D19" s="180"/>
      <c r="E19" s="186"/>
      <c r="F19" s="194" t="s">
        <v>4379</v>
      </c>
      <c r="G19" s="194"/>
      <c r="H19" s="173" t="str">
        <f>INDEX(Language!$A$1:$AX$115,MATCH('Countries and Timezone'!$AG$12,Language!$B$1:$B$115,0),MATCH($G$2,Language!$A$1:$AW$1,0))</f>
        <v>Netherlands</v>
      </c>
      <c r="I19" s="168"/>
      <c r="J19" s="75"/>
      <c r="K19" s="168"/>
      <c r="L19" s="168"/>
      <c r="M19" s="168"/>
      <c r="N19" s="168"/>
      <c r="O19" s="168"/>
      <c r="P19" s="168"/>
      <c r="Q19" s="168"/>
      <c r="R19" s="168"/>
      <c r="S19" s="168"/>
      <c r="T19" s="15"/>
      <c r="U19" s="15"/>
      <c r="CJ19" s="7"/>
      <c r="CK19" s="7"/>
      <c r="CL19" s="7"/>
      <c r="CN19" s="20"/>
      <c r="CO19" s="20"/>
      <c r="CP19" s="9"/>
    </row>
    <row r="20" spans="2:94" ht="15" customHeight="1">
      <c r="B20" s="11"/>
      <c r="C20" s="11"/>
      <c r="D20" s="180"/>
      <c r="E20" s="177">
        <v>4</v>
      </c>
      <c r="F20" s="157">
        <f t="shared" si="0"/>
        <v>41803.958333333328</v>
      </c>
      <c r="G20" s="158">
        <f>'Countries and Timezone'!R5</f>
        <v>41803.958333333328</v>
      </c>
      <c r="H20" s="159" t="str">
        <f>INDEX(Language!$A$1:$AX$115,MATCH('Countries and Timezone'!$AG$13,Language!$B$1:$B$115,0),MATCH($G$2,Language!$A$1:$AW$1,0))</f>
        <v>Chile</v>
      </c>
      <c r="I20" s="145"/>
      <c r="J20" s="75"/>
      <c r="K20" s="145"/>
      <c r="L20" s="145"/>
      <c r="M20" s="145"/>
      <c r="N20" s="145"/>
      <c r="O20" s="145"/>
      <c r="P20" s="145"/>
      <c r="Q20" s="145"/>
      <c r="R20" s="145"/>
      <c r="S20" s="145"/>
      <c r="T20" s="15"/>
      <c r="U20" s="15"/>
      <c r="CJ20" s="7"/>
      <c r="CK20" s="7"/>
      <c r="CL20" s="7"/>
      <c r="CN20" s="20"/>
      <c r="CO20" s="20"/>
      <c r="CP20" s="9"/>
    </row>
    <row r="21" spans="2:94" ht="15" customHeight="1">
      <c r="B21" s="11"/>
      <c r="C21" s="11"/>
      <c r="D21" s="181"/>
      <c r="E21" s="178"/>
      <c r="F21" s="194" t="s">
        <v>4381</v>
      </c>
      <c r="G21" s="194"/>
      <c r="H21" s="163" t="str">
        <f>INDEX(Language!$A$1:$AX$115,MATCH('Countries and Timezone'!$AG$14,Language!$B$1:$B$115,0),MATCH($G$2,Language!$A$1:$AW$1,0))</f>
        <v>Australia</v>
      </c>
      <c r="I21" s="149"/>
      <c r="J21" s="75"/>
      <c r="K21" s="149"/>
      <c r="L21" s="149"/>
      <c r="M21" s="149"/>
      <c r="N21" s="149"/>
      <c r="O21" s="149"/>
      <c r="P21" s="149"/>
      <c r="Q21" s="149"/>
      <c r="R21" s="149"/>
      <c r="S21" s="149"/>
      <c r="T21" s="15"/>
      <c r="U21" s="15"/>
      <c r="CJ21" s="7"/>
      <c r="CK21" s="7"/>
      <c r="CL21" s="7"/>
      <c r="CN21" s="20"/>
      <c r="CO21" s="20"/>
      <c r="CP21" s="9"/>
    </row>
    <row r="22" spans="2:94" ht="15" customHeight="1">
      <c r="B22" s="11"/>
      <c r="C22" s="11"/>
      <c r="D22" s="179" t="s">
        <v>581</v>
      </c>
      <c r="E22" s="177">
        <v>5</v>
      </c>
      <c r="F22" s="157">
        <f t="shared" si="0"/>
        <v>41804.708333333328</v>
      </c>
      <c r="G22" s="158">
        <f>'Countries and Timezone'!R6</f>
        <v>41804.708333333328</v>
      </c>
      <c r="H22" s="159" t="str">
        <f>INDEX(Language!$A$1:$AX$115,MATCH('Countries and Timezone'!$AG$15,Language!$B$1:$B$115,0),MATCH($G$2,Language!$A$1:$AW$1,0))</f>
        <v>Colombia</v>
      </c>
      <c r="I22" s="145"/>
      <c r="J22" s="75"/>
      <c r="K22" s="145"/>
      <c r="L22" s="145"/>
      <c r="M22" s="145"/>
      <c r="N22" s="145"/>
      <c r="O22" s="145"/>
      <c r="P22" s="145"/>
      <c r="Q22" s="145"/>
      <c r="R22" s="145"/>
      <c r="S22" s="145"/>
      <c r="T22" s="15"/>
      <c r="U22" s="15"/>
      <c r="CJ22" s="7"/>
      <c r="CK22" s="7"/>
      <c r="CL22" s="7"/>
      <c r="CN22" s="20"/>
      <c r="CO22" s="20"/>
      <c r="CP22" s="9"/>
    </row>
    <row r="23" spans="2:94" ht="15" customHeight="1">
      <c r="B23" s="11"/>
      <c r="C23" s="11"/>
      <c r="D23" s="180"/>
      <c r="E23" s="178"/>
      <c r="F23" s="194" t="s">
        <v>4382</v>
      </c>
      <c r="G23" s="194"/>
      <c r="H23" s="163" t="str">
        <f>INDEX(Language!$A$1:$AX$115,MATCH('Countries and Timezone'!$AG$16,Language!$B$1:$B$115,0),MATCH($G$2,Language!$A$1:$AW$1,0))</f>
        <v>Greece</v>
      </c>
      <c r="I23" s="149"/>
      <c r="J23" s="75"/>
      <c r="K23" s="149"/>
      <c r="L23" s="149"/>
      <c r="M23" s="149"/>
      <c r="N23" s="149"/>
      <c r="O23" s="149"/>
      <c r="P23" s="149"/>
      <c r="Q23" s="149"/>
      <c r="R23" s="149"/>
      <c r="S23" s="149"/>
      <c r="T23" s="15"/>
      <c r="U23" s="15"/>
      <c r="CJ23" s="7"/>
      <c r="CK23" s="7"/>
      <c r="CL23" s="7"/>
      <c r="CN23" s="20"/>
      <c r="CO23" s="20"/>
      <c r="CP23" s="9"/>
    </row>
    <row r="24" spans="2:94" ht="15" customHeight="1">
      <c r="B24" s="11"/>
      <c r="C24" s="11"/>
      <c r="D24" s="180"/>
      <c r="E24" s="177">
        <v>6</v>
      </c>
      <c r="F24" s="157">
        <f t="shared" si="0"/>
        <v>41805.083333333328</v>
      </c>
      <c r="G24" s="158">
        <f>'Countries and Timezone'!R7</f>
        <v>41805.083333333328</v>
      </c>
      <c r="H24" s="159" t="str">
        <f>INDEX(Language!$A$1:$AX$115,MATCH('Countries and Timezone'!$AG$17,Language!$B$1:$B$115,0),MATCH($G$2,Language!$A$1:$AW$1,0))</f>
        <v>Ivory Coast</v>
      </c>
      <c r="I24" s="145"/>
      <c r="J24" s="75"/>
      <c r="K24" s="145"/>
      <c r="L24" s="145"/>
      <c r="M24" s="145"/>
      <c r="N24" s="145"/>
      <c r="O24" s="145"/>
      <c r="P24" s="145"/>
      <c r="Q24" s="145"/>
      <c r="R24" s="145"/>
      <c r="S24" s="145"/>
      <c r="T24" s="15"/>
      <c r="U24" s="15"/>
      <c r="CJ24" s="7"/>
      <c r="CK24" s="7"/>
      <c r="CL24" s="7"/>
      <c r="CN24" s="20"/>
      <c r="CO24" s="20"/>
      <c r="CP24" s="9"/>
    </row>
    <row r="25" spans="2:94" ht="15" customHeight="1">
      <c r="B25" s="11"/>
      <c r="C25" s="11"/>
      <c r="D25" s="181"/>
      <c r="E25" s="187"/>
      <c r="F25" s="194" t="s">
        <v>4383</v>
      </c>
      <c r="G25" s="194"/>
      <c r="H25" s="163" t="str">
        <f>INDEX(Language!$A$1:$AX$115,MATCH('Countries and Timezone'!$AG$18,Language!$B$1:$B$115,0),MATCH($G$2,Language!$A$1:$AW$1,0))</f>
        <v>Japan</v>
      </c>
      <c r="I25" s="149"/>
      <c r="J25" s="75"/>
      <c r="K25" s="149"/>
      <c r="L25" s="149"/>
      <c r="M25" s="149"/>
      <c r="N25" s="149"/>
      <c r="O25" s="149"/>
      <c r="P25" s="149"/>
      <c r="Q25" s="149"/>
      <c r="R25" s="149"/>
      <c r="S25" s="149"/>
      <c r="T25" s="15"/>
      <c r="U25" s="15"/>
      <c r="CJ25" s="7"/>
      <c r="CK25" s="7"/>
      <c r="CL25" s="7"/>
      <c r="CN25" s="20"/>
      <c r="CO25" s="20"/>
      <c r="CP25" s="9"/>
    </row>
    <row r="26" spans="2:94" ht="15" customHeight="1">
      <c r="B26" s="11"/>
      <c r="C26" s="11"/>
      <c r="D26" s="179" t="s">
        <v>65</v>
      </c>
      <c r="E26" s="177">
        <v>7</v>
      </c>
      <c r="F26" s="157">
        <f t="shared" si="0"/>
        <v>41804.833333333328</v>
      </c>
      <c r="G26" s="158">
        <f>'Countries and Timezone'!R8</f>
        <v>41804.833333333328</v>
      </c>
      <c r="H26" s="159" t="str">
        <f>INDEX(Language!$A$1:$AX$115,MATCH('Countries and Timezone'!$AG$19,Language!$B$1:$B$115,0),MATCH($G$2,Language!$A$1:$AW$1,0))</f>
        <v>Uruguay</v>
      </c>
      <c r="I26" s="145"/>
      <c r="J26" s="75"/>
      <c r="K26" s="145"/>
      <c r="L26" s="145"/>
      <c r="M26" s="145"/>
      <c r="N26" s="145"/>
      <c r="O26" s="145"/>
      <c r="P26" s="145"/>
      <c r="Q26" s="145"/>
      <c r="R26" s="145"/>
      <c r="S26" s="145"/>
      <c r="T26" s="15"/>
      <c r="U26" s="15"/>
      <c r="CJ26" s="7"/>
      <c r="CK26" s="7"/>
      <c r="CL26" s="7"/>
      <c r="CN26" s="22"/>
      <c r="CO26" s="20"/>
      <c r="CP26" s="9"/>
    </row>
    <row r="27" spans="2:94" ht="15" customHeight="1">
      <c r="B27" s="11"/>
      <c r="C27" s="11"/>
      <c r="D27" s="180"/>
      <c r="E27" s="187"/>
      <c r="F27" s="194" t="s">
        <v>4384</v>
      </c>
      <c r="G27" s="194"/>
      <c r="H27" s="163" t="str">
        <f>INDEX(Language!$A$1:$AX$115,MATCH('Countries and Timezone'!$AG$20,Language!$B$1:$B$115,0),MATCH($G$2,Language!$A$1:$AW$1,0))</f>
        <v>Costa Rica</v>
      </c>
      <c r="I27" s="149"/>
      <c r="J27" s="75"/>
      <c r="K27" s="149"/>
      <c r="L27" s="149"/>
      <c r="M27" s="149"/>
      <c r="N27" s="149"/>
      <c r="O27" s="149"/>
      <c r="P27" s="149"/>
      <c r="Q27" s="149"/>
      <c r="R27" s="149"/>
      <c r="S27" s="149"/>
      <c r="T27" s="15"/>
      <c r="U27" s="15"/>
      <c r="CJ27" s="7"/>
      <c r="CK27" s="7"/>
      <c r="CL27" s="7"/>
      <c r="CN27" s="22"/>
      <c r="CO27" s="20"/>
      <c r="CP27" s="9"/>
    </row>
    <row r="28" spans="2:94" ht="15" customHeight="1">
      <c r="B28" s="11"/>
      <c r="C28" s="11"/>
      <c r="D28" s="180"/>
      <c r="E28" s="177">
        <v>8</v>
      </c>
      <c r="F28" s="157">
        <f t="shared" si="0"/>
        <v>41804.958333333328</v>
      </c>
      <c r="G28" s="158">
        <f>'Countries and Timezone'!R9</f>
        <v>41804.958333333328</v>
      </c>
      <c r="H28" s="159" t="str">
        <f>INDEX(Language!$A$1:$AX$115,MATCH('Countries and Timezone'!$AG$21,Language!$B$1:$B$115,0),MATCH($G$2,Language!$A$1:$AW$1,0))</f>
        <v>England</v>
      </c>
      <c r="I28" s="145"/>
      <c r="J28" s="75"/>
      <c r="K28" s="145"/>
      <c r="L28" s="145"/>
      <c r="M28" s="145"/>
      <c r="N28" s="145"/>
      <c r="O28" s="145"/>
      <c r="P28" s="145"/>
      <c r="Q28" s="145"/>
      <c r="R28" s="145"/>
      <c r="S28" s="145"/>
      <c r="T28" s="15"/>
      <c r="U28" s="15"/>
      <c r="CJ28" s="7"/>
      <c r="CK28" s="7"/>
      <c r="CL28" s="7"/>
      <c r="CN28" s="20"/>
      <c r="CO28" s="20"/>
      <c r="CP28" s="9"/>
    </row>
    <row r="29" spans="2:94" ht="15" customHeight="1">
      <c r="B29" s="11"/>
      <c r="C29" s="11"/>
      <c r="D29" s="181"/>
      <c r="E29" s="187"/>
      <c r="F29" s="194" t="s">
        <v>4385</v>
      </c>
      <c r="G29" s="194"/>
      <c r="H29" s="163" t="str">
        <f>INDEX(Language!$A$1:$AX$115,MATCH('Countries and Timezone'!$AG$22,Language!$B$1:$B$115,0),MATCH($G$2,Language!$A$1:$AW$1,0))</f>
        <v>Italy</v>
      </c>
      <c r="I29" s="149"/>
      <c r="J29" s="75"/>
      <c r="K29" s="149"/>
      <c r="L29" s="149"/>
      <c r="M29" s="149"/>
      <c r="N29" s="149"/>
      <c r="O29" s="149"/>
      <c r="P29" s="149"/>
      <c r="Q29" s="149"/>
      <c r="R29" s="149"/>
      <c r="S29" s="149"/>
      <c r="T29" s="15"/>
      <c r="U29" s="15"/>
      <c r="CJ29" s="7"/>
      <c r="CK29" s="7"/>
      <c r="CL29" s="7"/>
      <c r="CN29" s="20"/>
      <c r="CO29" s="20"/>
      <c r="CP29" s="9"/>
    </row>
    <row r="30" spans="2:94" ht="15" customHeight="1">
      <c r="B30" s="11"/>
      <c r="C30" s="11"/>
      <c r="D30" s="179" t="s">
        <v>582</v>
      </c>
      <c r="E30" s="177">
        <v>9</v>
      </c>
      <c r="F30" s="157">
        <f t="shared" si="0"/>
        <v>41805.708333333328</v>
      </c>
      <c r="G30" s="158">
        <f>'Countries and Timezone'!R10</f>
        <v>41805.708333333328</v>
      </c>
      <c r="H30" s="159" t="str">
        <f>INDEX(Language!$A$1:$AX$115,MATCH('Countries and Timezone'!$AG$23,Language!$B$1:$B$115,0),MATCH($G$2,Language!$A$1:$AW$1,0))</f>
        <v>Switzerland</v>
      </c>
      <c r="I30" s="145"/>
      <c r="J30" s="75"/>
      <c r="K30" s="145"/>
      <c r="L30" s="145"/>
      <c r="M30" s="145"/>
      <c r="N30" s="145"/>
      <c r="O30" s="145"/>
      <c r="P30" s="145"/>
      <c r="Q30" s="145"/>
      <c r="R30" s="145"/>
      <c r="S30" s="145"/>
      <c r="T30" s="15"/>
      <c r="U30" s="15"/>
      <c r="CJ30" s="7"/>
      <c r="CK30" s="7"/>
      <c r="CL30" s="7"/>
      <c r="CN30" s="20"/>
      <c r="CO30" s="20"/>
      <c r="CP30" s="9"/>
    </row>
    <row r="31" spans="2:94" ht="15" customHeight="1">
      <c r="B31" s="11"/>
      <c r="C31" s="11"/>
      <c r="D31" s="180"/>
      <c r="E31" s="187"/>
      <c r="F31" s="194" t="s">
        <v>329</v>
      </c>
      <c r="G31" s="194"/>
      <c r="H31" s="163" t="str">
        <f>INDEX(Language!$A$1:$AX$115,MATCH('Countries and Timezone'!$AG$24,Language!$B$1:$B$115,0),MATCH($G$2,Language!$A$1:$AW$1,0))</f>
        <v>Ecuador</v>
      </c>
      <c r="I31" s="149"/>
      <c r="J31" s="75"/>
      <c r="K31" s="149"/>
      <c r="L31" s="149"/>
      <c r="M31" s="149"/>
      <c r="N31" s="149"/>
      <c r="O31" s="149"/>
      <c r="P31" s="149"/>
      <c r="Q31" s="149"/>
      <c r="R31" s="149"/>
      <c r="S31" s="149"/>
      <c r="T31" s="15"/>
      <c r="U31" s="15"/>
      <c r="CJ31" s="7"/>
      <c r="CK31" s="7"/>
      <c r="CL31" s="7"/>
      <c r="CN31" s="20"/>
      <c r="CO31" s="20"/>
      <c r="CP31" s="9"/>
    </row>
    <row r="32" spans="2:94" ht="15" customHeight="1">
      <c r="B32" s="11"/>
      <c r="C32" s="11"/>
      <c r="D32" s="180"/>
      <c r="E32" s="177">
        <v>10</v>
      </c>
      <c r="F32" s="157">
        <f t="shared" si="0"/>
        <v>41805.833333333328</v>
      </c>
      <c r="G32" s="158">
        <f>'Countries and Timezone'!R11</f>
        <v>41805.833333333328</v>
      </c>
      <c r="H32" s="159" t="str">
        <f>INDEX(Language!$A$1:$AX$115,MATCH('Countries and Timezone'!$AG$25,Language!$B$1:$B$115,0),MATCH($G$2,Language!$A$1:$AW$1,0))</f>
        <v>France</v>
      </c>
      <c r="I32" s="145"/>
      <c r="J32" s="75"/>
      <c r="K32" s="145"/>
      <c r="L32" s="145"/>
      <c r="M32" s="145"/>
      <c r="N32" s="145"/>
      <c r="O32" s="145"/>
      <c r="P32" s="145"/>
      <c r="Q32" s="145"/>
      <c r="R32" s="145"/>
      <c r="S32" s="145"/>
      <c r="T32" s="15"/>
      <c r="U32" s="15"/>
      <c r="CJ32" s="7"/>
      <c r="CK32" s="7"/>
      <c r="CL32" s="7"/>
      <c r="CN32" s="20"/>
      <c r="CO32" s="20"/>
      <c r="CP32" s="9"/>
    </row>
    <row r="33" spans="2:94" ht="15" customHeight="1">
      <c r="B33" s="11"/>
      <c r="C33" s="11"/>
      <c r="D33" s="181"/>
      <c r="E33" s="187"/>
      <c r="F33" s="194" t="s">
        <v>4386</v>
      </c>
      <c r="G33" s="194"/>
      <c r="H33" s="163" t="str">
        <f>INDEX(Language!$A$1:$AX$115,MATCH('Countries and Timezone'!$AG$26,Language!$B$1:$B$115,0),MATCH($G$2,Language!$A$1:$AW$1,0))</f>
        <v>Honduras</v>
      </c>
      <c r="I33" s="149"/>
      <c r="J33" s="75"/>
      <c r="K33" s="149"/>
      <c r="L33" s="149"/>
      <c r="M33" s="149"/>
      <c r="N33" s="149"/>
      <c r="O33" s="149"/>
      <c r="P33" s="149"/>
      <c r="Q33" s="149"/>
      <c r="R33" s="149"/>
      <c r="S33" s="149"/>
      <c r="T33" s="15"/>
      <c r="U33" s="15"/>
      <c r="CJ33" s="7"/>
      <c r="CK33" s="7"/>
      <c r="CL33" s="7"/>
      <c r="CN33" s="20"/>
      <c r="CO33" s="20"/>
      <c r="CP33" s="9"/>
    </row>
    <row r="34" spans="2:94" ht="15" customHeight="1">
      <c r="B34" s="11"/>
      <c r="C34" s="11"/>
      <c r="D34" s="179" t="s">
        <v>71</v>
      </c>
      <c r="E34" s="177">
        <v>11</v>
      </c>
      <c r="F34" s="157">
        <f t="shared" si="0"/>
        <v>41805.958333333328</v>
      </c>
      <c r="G34" s="158">
        <f>'Countries and Timezone'!R12</f>
        <v>41805.958333333328</v>
      </c>
      <c r="H34" s="159" t="str">
        <f>INDEX(Language!$A$1:$AX$115,MATCH('Countries and Timezone'!$AG$27,Language!$B$1:$B$115,0),MATCH($G$2,Language!$A$1:$AW$1,0))</f>
        <v>Argentina</v>
      </c>
      <c r="I34" s="145"/>
      <c r="J34" s="75"/>
      <c r="K34" s="145"/>
      <c r="L34" s="145"/>
      <c r="M34" s="145"/>
      <c r="N34" s="145"/>
      <c r="O34" s="145"/>
      <c r="P34" s="145"/>
      <c r="Q34" s="145"/>
      <c r="R34" s="145"/>
      <c r="S34" s="145"/>
      <c r="T34" s="15"/>
      <c r="U34" s="15"/>
      <c r="CJ34" s="7"/>
      <c r="CK34" s="7"/>
      <c r="CL34" s="7"/>
      <c r="CN34" s="20"/>
      <c r="CO34" s="20"/>
      <c r="CP34" s="9"/>
    </row>
    <row r="35" spans="2:94" ht="15" customHeight="1">
      <c r="B35" s="11"/>
      <c r="C35" s="11"/>
      <c r="D35" s="180"/>
      <c r="E35" s="187"/>
      <c r="F35" s="194" t="s">
        <v>3810</v>
      </c>
      <c r="G35" s="194"/>
      <c r="H35" s="163" t="str">
        <f>INDEX(Language!$A$1:$AX$115,MATCH('Countries and Timezone'!$AG$28,Language!$B$1:$B$115,0),MATCH($G$2,Language!$A$1:$AW$1,0))</f>
        <v>Bosnia-Herzegovina</v>
      </c>
      <c r="I35" s="149"/>
      <c r="J35" s="75"/>
      <c r="K35" s="149"/>
      <c r="L35" s="149"/>
      <c r="M35" s="149"/>
      <c r="N35" s="149"/>
      <c r="O35" s="149"/>
      <c r="P35" s="149"/>
      <c r="Q35" s="149"/>
      <c r="R35" s="149"/>
      <c r="S35" s="149"/>
      <c r="T35" s="15"/>
      <c r="U35" s="15"/>
      <c r="CJ35" s="7"/>
      <c r="CK35" s="7"/>
      <c r="CL35" s="7"/>
      <c r="CN35" s="20"/>
      <c r="CO35" s="20"/>
      <c r="CP35" s="9"/>
    </row>
    <row r="36" spans="2:94" ht="15" customHeight="1">
      <c r="B36" s="11"/>
      <c r="C36" s="11"/>
      <c r="D36" s="180"/>
      <c r="E36" s="177">
        <v>12</v>
      </c>
      <c r="F36" s="157">
        <f t="shared" si="0"/>
        <v>41806.833333333328</v>
      </c>
      <c r="G36" s="158">
        <f>'Countries and Timezone'!R13</f>
        <v>41806.833333333328</v>
      </c>
      <c r="H36" s="159" t="str">
        <f>INDEX(Language!$A$1:$AX$115,MATCH('Countries and Timezone'!$AG$29,Language!$B$1:$B$115,0),MATCH($G$2,Language!$A$1:$AW$1,0))</f>
        <v>Iran</v>
      </c>
      <c r="I36" s="145"/>
      <c r="J36" s="75"/>
      <c r="K36" s="145"/>
      <c r="L36" s="145"/>
      <c r="M36" s="145"/>
      <c r="N36" s="145"/>
      <c r="O36" s="145"/>
      <c r="P36" s="145"/>
      <c r="Q36" s="145"/>
      <c r="R36" s="145"/>
      <c r="S36" s="145"/>
      <c r="T36" s="15"/>
      <c r="U36" s="15"/>
      <c r="CJ36" s="7"/>
      <c r="CK36" s="7"/>
      <c r="CL36" s="7"/>
      <c r="CN36" s="20"/>
      <c r="CO36" s="20"/>
      <c r="CP36" s="9"/>
    </row>
    <row r="37" spans="2:94" ht="15" customHeight="1">
      <c r="B37" s="11"/>
      <c r="C37" s="11"/>
      <c r="D37" s="181"/>
      <c r="E37" s="187"/>
      <c r="F37" s="194" t="s">
        <v>4387</v>
      </c>
      <c r="G37" s="194"/>
      <c r="H37" s="163" t="str">
        <f>INDEX(Language!$A$1:$AX$115,MATCH('Countries and Timezone'!$AG$30,Language!$B$1:$B$115,0),MATCH($G$2,Language!$A$1:$AW$1,0))</f>
        <v>Nigeria</v>
      </c>
      <c r="I37" s="149"/>
      <c r="J37" s="75"/>
      <c r="K37" s="149"/>
      <c r="L37" s="149"/>
      <c r="M37" s="149"/>
      <c r="N37" s="149"/>
      <c r="O37" s="149"/>
      <c r="P37" s="149"/>
      <c r="Q37" s="149"/>
      <c r="R37" s="149"/>
      <c r="S37" s="149"/>
      <c r="T37" s="15"/>
      <c r="U37" s="15"/>
      <c r="CJ37" s="7"/>
      <c r="CK37" s="7"/>
      <c r="CL37" s="7"/>
      <c r="CN37" s="20"/>
      <c r="CO37" s="20"/>
      <c r="CP37" s="9"/>
    </row>
    <row r="38" spans="2:94" ht="15" customHeight="1">
      <c r="B38" s="11"/>
      <c r="C38" s="11"/>
      <c r="D38" s="179" t="s">
        <v>583</v>
      </c>
      <c r="E38" s="177">
        <v>13</v>
      </c>
      <c r="F38" s="157">
        <f t="shared" si="0"/>
        <v>41806.708333333328</v>
      </c>
      <c r="G38" s="158">
        <f>'Countries and Timezone'!R14</f>
        <v>41806.708333333328</v>
      </c>
      <c r="H38" s="159" t="str">
        <f>INDEX(Language!$A$1:$AX$115,MATCH('Countries and Timezone'!$AG$31,Language!$B$1:$B$115,0),MATCH($G$2,Language!$A$1:$AW$1,0))</f>
        <v>Germany</v>
      </c>
      <c r="I38" s="145"/>
      <c r="J38" s="75"/>
      <c r="K38" s="145"/>
      <c r="L38" s="145"/>
      <c r="M38" s="145"/>
      <c r="N38" s="145"/>
      <c r="O38" s="145"/>
      <c r="P38" s="145"/>
      <c r="Q38" s="145"/>
      <c r="R38" s="145"/>
      <c r="S38" s="145"/>
      <c r="T38" s="15"/>
      <c r="U38" s="15"/>
      <c r="CJ38" s="7"/>
      <c r="CK38" s="7"/>
      <c r="CL38" s="7"/>
      <c r="CN38" s="20"/>
      <c r="CO38" s="20"/>
      <c r="CP38" s="9"/>
    </row>
    <row r="39" spans="2:94" ht="15" customHeight="1">
      <c r="B39" s="11"/>
      <c r="C39" s="11"/>
      <c r="D39" s="180"/>
      <c r="E39" s="187"/>
      <c r="F39" s="194" t="s">
        <v>4379</v>
      </c>
      <c r="G39" s="194"/>
      <c r="H39" s="163" t="str">
        <f>INDEX(Language!$A$1:$AX$115,MATCH('Countries and Timezone'!$AG$32,Language!$B$1:$B$115,0),MATCH($G$2,Language!$A$1:$AW$1,0))</f>
        <v>Portugal</v>
      </c>
      <c r="I39" s="149"/>
      <c r="J39" s="75"/>
      <c r="K39" s="149"/>
      <c r="L39" s="149"/>
      <c r="M39" s="149"/>
      <c r="N39" s="149"/>
      <c r="O39" s="149"/>
      <c r="P39" s="149"/>
      <c r="Q39" s="149"/>
      <c r="R39" s="149"/>
      <c r="S39" s="149"/>
      <c r="T39" s="15"/>
      <c r="U39" s="15"/>
      <c r="CJ39" s="7"/>
      <c r="CK39" s="7"/>
      <c r="CL39" s="7"/>
      <c r="CN39" s="20"/>
      <c r="CO39" s="20"/>
      <c r="CP39" s="9"/>
    </row>
    <row r="40" spans="2:94" ht="15" customHeight="1">
      <c r="B40" s="11"/>
      <c r="C40" s="11"/>
      <c r="D40" s="180"/>
      <c r="E40" s="177">
        <v>14</v>
      </c>
      <c r="F40" s="157">
        <f t="shared" si="0"/>
        <v>41806.958333333328</v>
      </c>
      <c r="G40" s="158">
        <f>'Countries and Timezone'!R15</f>
        <v>41806.958333333328</v>
      </c>
      <c r="H40" s="159" t="str">
        <f>INDEX(Language!$A$1:$AX$115,MATCH('Countries and Timezone'!$AG$33,Language!$B$1:$B$115,0),MATCH($G$2,Language!$A$1:$AW$1,0))</f>
        <v>Ghana</v>
      </c>
      <c r="I40" s="145"/>
      <c r="J40" s="75"/>
      <c r="K40" s="145"/>
      <c r="L40" s="145"/>
      <c r="M40" s="145"/>
      <c r="N40" s="145"/>
      <c r="O40" s="145"/>
      <c r="P40" s="145"/>
      <c r="Q40" s="145"/>
      <c r="R40" s="145"/>
      <c r="S40" s="145"/>
      <c r="T40" s="15"/>
      <c r="U40" s="15"/>
      <c r="CJ40" s="7"/>
      <c r="CK40" s="7"/>
      <c r="CL40" s="7"/>
      <c r="CN40" s="20"/>
      <c r="CO40" s="20"/>
      <c r="CP40" s="9"/>
    </row>
    <row r="41" spans="2:94" ht="15" customHeight="1">
      <c r="B41" s="11"/>
      <c r="C41" s="11"/>
      <c r="D41" s="181"/>
      <c r="E41" s="187"/>
      <c r="F41" s="194" t="s">
        <v>4380</v>
      </c>
      <c r="G41" s="194"/>
      <c r="H41" s="163" t="str">
        <f>INDEX(Language!$A$1:$AX$115,MATCH('Countries and Timezone'!$AG$34,Language!$B$1:$B$115,0),MATCH($G$2,Language!$A$1:$AW$1,0))</f>
        <v>USA</v>
      </c>
      <c r="I41" s="149"/>
      <c r="J41" s="75"/>
      <c r="K41" s="149"/>
      <c r="L41" s="149"/>
      <c r="M41" s="149"/>
      <c r="N41" s="149"/>
      <c r="O41" s="149"/>
      <c r="P41" s="149"/>
      <c r="Q41" s="149"/>
      <c r="R41" s="149"/>
      <c r="S41" s="149"/>
      <c r="T41" s="15"/>
      <c r="U41" s="15"/>
      <c r="CJ41" s="7"/>
      <c r="CK41" s="7"/>
      <c r="CL41" s="7"/>
      <c r="CN41" s="20"/>
      <c r="CO41" s="20"/>
      <c r="CP41" s="9"/>
    </row>
    <row r="42" spans="2:94" ht="15" customHeight="1">
      <c r="B42" s="11"/>
      <c r="C42" s="11"/>
      <c r="D42" s="179" t="s">
        <v>584</v>
      </c>
      <c r="E42" s="177">
        <v>15</v>
      </c>
      <c r="F42" s="157">
        <f t="shared" si="0"/>
        <v>41807.708333333328</v>
      </c>
      <c r="G42" s="158">
        <f>'Countries and Timezone'!R16</f>
        <v>41807.708333333328</v>
      </c>
      <c r="H42" s="159" t="str">
        <f>INDEX(Language!$A$1:$AX$115,MATCH('Countries and Timezone'!$AG$35,Language!$B$1:$B$115,0),MATCH($G$2,Language!$A$1:$AW$1,0))</f>
        <v>Belgium</v>
      </c>
      <c r="I42" s="145"/>
      <c r="J42" s="75"/>
      <c r="K42" s="145"/>
      <c r="L42" s="145"/>
      <c r="M42" s="145"/>
      <c r="N42" s="145"/>
      <c r="O42" s="145"/>
      <c r="P42" s="145"/>
      <c r="Q42" s="145"/>
      <c r="R42" s="145"/>
      <c r="S42" s="145"/>
      <c r="T42" s="15"/>
      <c r="U42" s="15"/>
      <c r="CJ42" s="7"/>
      <c r="CK42" s="7"/>
      <c r="CL42" s="7"/>
      <c r="CN42" s="20"/>
      <c r="CO42" s="20"/>
      <c r="CP42" s="9"/>
    </row>
    <row r="43" spans="2:94" ht="15" customHeight="1">
      <c r="B43" s="11"/>
      <c r="C43" s="11"/>
      <c r="D43" s="180"/>
      <c r="E43" s="187"/>
      <c r="F43" s="194" t="s">
        <v>4382</v>
      </c>
      <c r="G43" s="194"/>
      <c r="H43" s="163" t="str">
        <f>INDEX(Language!$A$1:$AX$115,MATCH('Countries and Timezone'!$AG$36,Language!$B$1:$B$115,0),MATCH($G$2,Language!$A$1:$AW$1,0))</f>
        <v>Algeria</v>
      </c>
      <c r="I43" s="149"/>
      <c r="J43" s="75"/>
      <c r="K43" s="149"/>
      <c r="L43" s="149"/>
      <c r="M43" s="149"/>
      <c r="N43" s="149"/>
      <c r="O43" s="149"/>
      <c r="P43" s="149"/>
      <c r="Q43" s="149"/>
      <c r="R43" s="149"/>
      <c r="S43" s="149"/>
      <c r="T43" s="15"/>
      <c r="U43" s="15"/>
      <c r="CJ43" s="7"/>
      <c r="CK43" s="7"/>
      <c r="CL43" s="7"/>
      <c r="CN43" s="20"/>
      <c r="CO43" s="20"/>
      <c r="CP43" s="9"/>
    </row>
    <row r="44" spans="2:94" ht="15" customHeight="1">
      <c r="B44" s="11"/>
      <c r="C44" s="11"/>
      <c r="D44" s="180"/>
      <c r="E44" s="177">
        <v>16</v>
      </c>
      <c r="F44" s="157">
        <f t="shared" si="0"/>
        <v>41807.958333333328</v>
      </c>
      <c r="G44" s="158">
        <f>'Countries and Timezone'!R17</f>
        <v>41807.958333333328</v>
      </c>
      <c r="H44" s="159" t="str">
        <f>INDEX(Language!$A$1:$AX$115,MATCH('Countries and Timezone'!$AG$37,Language!$B$1:$B$115,0),MATCH($G$2,Language!$A$1:$AW$1,0))</f>
        <v>Russia</v>
      </c>
      <c r="I44" s="145"/>
      <c r="J44" s="75"/>
      <c r="K44" s="145"/>
      <c r="L44" s="145"/>
      <c r="M44" s="145"/>
      <c r="N44" s="145"/>
      <c r="O44" s="145"/>
      <c r="P44" s="145"/>
      <c r="Q44" s="145"/>
      <c r="R44" s="145"/>
      <c r="S44" s="145"/>
      <c r="T44" s="15"/>
      <c r="U44" s="15"/>
      <c r="CJ44" s="7"/>
      <c r="CK44" s="7"/>
      <c r="CL44" s="7"/>
      <c r="CN44" s="20"/>
      <c r="CO44" s="20"/>
      <c r="CP44" s="9"/>
    </row>
    <row r="45" spans="2:94" ht="15" customHeight="1">
      <c r="B45" s="11"/>
      <c r="C45" s="11"/>
      <c r="D45" s="181"/>
      <c r="E45" s="187"/>
      <c r="F45" s="194" t="s">
        <v>4381</v>
      </c>
      <c r="G45" s="194"/>
      <c r="H45" s="174" t="str">
        <f>INDEX(Language!$A$1:$AX$115,MATCH('Countries and Timezone'!$AG$38,Language!$B$1:$B$115,0),MATCH($G$2,Language!$A$1:$AW$1,0))</f>
        <v>South Korea</v>
      </c>
      <c r="I45" s="169"/>
      <c r="J45" s="75"/>
      <c r="K45" s="169"/>
      <c r="L45" s="169"/>
      <c r="M45" s="169"/>
      <c r="N45" s="169"/>
      <c r="O45" s="169"/>
      <c r="P45" s="169"/>
      <c r="Q45" s="169"/>
      <c r="R45" s="169"/>
      <c r="S45" s="169"/>
      <c r="T45" s="15"/>
      <c r="U45" s="15"/>
      <c r="CJ45" s="7"/>
      <c r="CK45" s="7"/>
      <c r="CL45" s="7"/>
      <c r="CN45" s="20"/>
      <c r="CO45" s="20"/>
      <c r="CP45" s="9"/>
    </row>
    <row r="46" spans="2:94" ht="15" customHeight="1">
      <c r="B46" s="11"/>
      <c r="C46" s="11"/>
      <c r="D46" s="179" t="s">
        <v>72</v>
      </c>
      <c r="E46" s="177">
        <v>17</v>
      </c>
      <c r="F46" s="170">
        <f t="shared" si="0"/>
        <v>41807.833333333328</v>
      </c>
      <c r="G46" s="171">
        <f>'Countries and Timezone'!R18</f>
        <v>41807.833333333328</v>
      </c>
      <c r="H46" s="172" t="str">
        <f>H14</f>
        <v>Brazil</v>
      </c>
      <c r="I46" s="167"/>
      <c r="J46" s="75"/>
      <c r="K46" s="167"/>
      <c r="L46" s="167"/>
      <c r="M46" s="167"/>
      <c r="N46" s="167"/>
      <c r="O46" s="167"/>
      <c r="P46" s="167"/>
      <c r="Q46" s="167"/>
      <c r="R46" s="167"/>
      <c r="S46" s="167"/>
      <c r="T46" s="15"/>
      <c r="U46" s="15"/>
      <c r="CJ46" s="7"/>
      <c r="CK46" s="7"/>
      <c r="CL46" s="7"/>
      <c r="CN46" s="20"/>
      <c r="CO46" s="20"/>
      <c r="CP46" s="9"/>
    </row>
    <row r="47" spans="2:94" ht="15" customHeight="1">
      <c r="B47" s="11"/>
      <c r="C47" s="11"/>
      <c r="D47" s="180"/>
      <c r="E47" s="187"/>
      <c r="F47" s="194" t="s">
        <v>4384</v>
      </c>
      <c r="G47" s="194"/>
      <c r="H47" s="173" t="str">
        <f>H16</f>
        <v>Mexico</v>
      </c>
      <c r="I47" s="168"/>
      <c r="J47" s="75"/>
      <c r="K47" s="168"/>
      <c r="L47" s="168"/>
      <c r="M47" s="168"/>
      <c r="N47" s="168"/>
      <c r="O47" s="168"/>
      <c r="P47" s="168"/>
      <c r="Q47" s="168"/>
      <c r="R47" s="168"/>
      <c r="S47" s="168"/>
      <c r="T47" s="15"/>
      <c r="U47" s="15"/>
      <c r="CJ47" s="7"/>
      <c r="CK47" s="7"/>
      <c r="CL47" s="7"/>
      <c r="CN47" s="20"/>
      <c r="CO47" s="20"/>
      <c r="CP47" s="9"/>
    </row>
    <row r="48" spans="2:94" ht="15" customHeight="1">
      <c r="B48" s="11"/>
      <c r="C48" s="11"/>
      <c r="D48" s="180"/>
      <c r="E48" s="177">
        <v>18</v>
      </c>
      <c r="F48" s="157">
        <f t="shared" si="0"/>
        <v>41808.958333333328</v>
      </c>
      <c r="G48" s="158">
        <f>'Countries and Timezone'!R19</f>
        <v>41808.958333333328</v>
      </c>
      <c r="H48" s="159" t="str">
        <f>H17</f>
        <v>Cameroon</v>
      </c>
      <c r="I48" s="145"/>
      <c r="J48" s="75"/>
      <c r="K48" s="145"/>
      <c r="L48" s="145"/>
      <c r="M48" s="145"/>
      <c r="N48" s="145"/>
      <c r="O48" s="145"/>
      <c r="P48" s="145"/>
      <c r="Q48" s="145"/>
      <c r="R48" s="145"/>
      <c r="S48" s="145"/>
      <c r="T48" s="15"/>
      <c r="U48" s="15"/>
      <c r="CJ48" s="7"/>
      <c r="CK48" s="7"/>
      <c r="CL48" s="7"/>
      <c r="CN48" s="20"/>
      <c r="CO48" s="20"/>
      <c r="CP48" s="9"/>
    </row>
    <row r="49" spans="2:94" ht="15" customHeight="1">
      <c r="B49" s="11"/>
      <c r="C49" s="11"/>
      <c r="D49" s="181"/>
      <c r="E49" s="187"/>
      <c r="F49" s="194" t="s">
        <v>4385</v>
      </c>
      <c r="G49" s="194"/>
      <c r="H49" s="160" t="str">
        <f>H15</f>
        <v>Croatia</v>
      </c>
      <c r="I49" s="147"/>
      <c r="J49" s="75"/>
      <c r="K49" s="147"/>
      <c r="L49" s="147"/>
      <c r="M49" s="147"/>
      <c r="N49" s="147"/>
      <c r="O49" s="147"/>
      <c r="P49" s="147"/>
      <c r="Q49" s="147"/>
      <c r="R49" s="147"/>
      <c r="S49" s="147"/>
      <c r="T49" s="15"/>
      <c r="U49" s="15"/>
      <c r="CJ49" s="7"/>
      <c r="CK49" s="7"/>
      <c r="CL49" s="7"/>
      <c r="CN49" s="20"/>
      <c r="CO49" s="20"/>
      <c r="CP49" s="9"/>
    </row>
    <row r="50" spans="2:94" ht="15" customHeight="1">
      <c r="B50" s="11"/>
      <c r="C50" s="11"/>
      <c r="D50" s="179" t="s">
        <v>580</v>
      </c>
      <c r="E50" s="177">
        <v>19</v>
      </c>
      <c r="F50" s="170">
        <f t="shared" si="0"/>
        <v>41808.833333333328</v>
      </c>
      <c r="G50" s="171">
        <f>'Countries and Timezone'!R20</f>
        <v>41808.833333333328</v>
      </c>
      <c r="H50" s="172" t="str">
        <f>H18</f>
        <v>Spain</v>
      </c>
      <c r="I50" s="167"/>
      <c r="J50" s="75"/>
      <c r="K50" s="167"/>
      <c r="L50" s="167"/>
      <c r="M50" s="167"/>
      <c r="N50" s="167"/>
      <c r="O50" s="167"/>
      <c r="P50" s="167"/>
      <c r="Q50" s="167"/>
      <c r="R50" s="167"/>
      <c r="S50" s="167"/>
      <c r="T50" s="15"/>
      <c r="U50" s="15"/>
      <c r="CJ50" s="7"/>
      <c r="CK50" s="7"/>
      <c r="CL50" s="7"/>
      <c r="CN50" s="20"/>
      <c r="CO50" s="20"/>
      <c r="CP50" s="9"/>
    </row>
    <row r="51" spans="2:94" ht="15" customHeight="1">
      <c r="B51" s="11"/>
      <c r="C51" s="11"/>
      <c r="D51" s="180"/>
      <c r="E51" s="187"/>
      <c r="F51" s="194" t="s">
        <v>3810</v>
      </c>
      <c r="G51" s="194"/>
      <c r="H51" s="173" t="str">
        <f>H20</f>
        <v>Chile</v>
      </c>
      <c r="I51" s="168"/>
      <c r="J51" s="75"/>
      <c r="K51" s="168"/>
      <c r="L51" s="168"/>
      <c r="M51" s="168"/>
      <c r="N51" s="168"/>
      <c r="O51" s="168"/>
      <c r="P51" s="168"/>
      <c r="Q51" s="168"/>
      <c r="R51" s="168"/>
      <c r="S51" s="168"/>
      <c r="T51" s="15"/>
      <c r="U51" s="15"/>
      <c r="CJ51" s="7"/>
      <c r="CK51" s="7"/>
      <c r="CL51" s="7"/>
      <c r="CN51" s="20"/>
      <c r="CO51" s="20"/>
      <c r="CP51" s="9"/>
    </row>
    <row r="52" spans="2:94" ht="15" customHeight="1">
      <c r="B52" s="11"/>
      <c r="C52" s="11"/>
      <c r="D52" s="180"/>
      <c r="E52" s="177">
        <v>20</v>
      </c>
      <c r="F52" s="157">
        <f t="shared" si="0"/>
        <v>41808.708333333328</v>
      </c>
      <c r="G52" s="158">
        <f>'Countries and Timezone'!R21</f>
        <v>41808.708333333328</v>
      </c>
      <c r="H52" s="159" t="str">
        <f>H21</f>
        <v>Australia</v>
      </c>
      <c r="I52" s="145"/>
      <c r="J52" s="75"/>
      <c r="K52" s="145"/>
      <c r="L52" s="145"/>
      <c r="M52" s="145"/>
      <c r="N52" s="145"/>
      <c r="O52" s="145"/>
      <c r="P52" s="145"/>
      <c r="Q52" s="145"/>
      <c r="R52" s="145"/>
      <c r="S52" s="145"/>
      <c r="T52" s="15"/>
      <c r="U52" s="15"/>
      <c r="CJ52" s="7"/>
      <c r="CK52" s="7"/>
      <c r="CL52" s="7"/>
      <c r="CN52" s="20"/>
      <c r="CO52" s="20"/>
      <c r="CP52" s="9"/>
    </row>
    <row r="53" spans="2:94" ht="15" customHeight="1">
      <c r="B53" s="11"/>
      <c r="C53" s="11"/>
      <c r="D53" s="181"/>
      <c r="E53" s="187"/>
      <c r="F53" s="194" t="s">
        <v>4386</v>
      </c>
      <c r="G53" s="194"/>
      <c r="H53" s="163" t="str">
        <f>H19</f>
        <v>Netherlands</v>
      </c>
      <c r="I53" s="149"/>
      <c r="J53" s="75"/>
      <c r="K53" s="149"/>
      <c r="L53" s="149"/>
      <c r="M53" s="149"/>
      <c r="N53" s="149"/>
      <c r="O53" s="149"/>
      <c r="P53" s="149"/>
      <c r="Q53" s="149"/>
      <c r="R53" s="149"/>
      <c r="S53" s="149"/>
      <c r="T53" s="15"/>
      <c r="U53" s="15"/>
      <c r="CJ53" s="7"/>
      <c r="CK53" s="7"/>
      <c r="CL53" s="7"/>
      <c r="CN53" s="20"/>
      <c r="CO53" s="20"/>
      <c r="CP53" s="9"/>
    </row>
    <row r="54" spans="2:94" ht="15" customHeight="1">
      <c r="B54" s="11"/>
      <c r="C54" s="11"/>
      <c r="D54" s="179" t="s">
        <v>581</v>
      </c>
      <c r="E54" s="177">
        <v>21</v>
      </c>
      <c r="F54" s="157">
        <f t="shared" si="0"/>
        <v>41809.708333333328</v>
      </c>
      <c r="G54" s="158">
        <f>'Countries and Timezone'!R22</f>
        <v>41809.708333333328</v>
      </c>
      <c r="H54" s="159" t="str">
        <f>H22</f>
        <v>Colombia</v>
      </c>
      <c r="I54" s="145"/>
      <c r="J54" s="75"/>
      <c r="K54" s="145"/>
      <c r="L54" s="145"/>
      <c r="M54" s="145"/>
      <c r="N54" s="145"/>
      <c r="O54" s="145"/>
      <c r="P54" s="145"/>
      <c r="Q54" s="145"/>
      <c r="R54" s="145"/>
      <c r="S54" s="145"/>
      <c r="T54" s="15"/>
      <c r="U54" s="15"/>
      <c r="CJ54" s="7"/>
      <c r="CK54" s="7"/>
      <c r="CL54" s="7"/>
      <c r="CN54" s="20"/>
      <c r="CO54" s="20"/>
      <c r="CP54" s="9"/>
    </row>
    <row r="55" spans="2:94" ht="15" customHeight="1">
      <c r="B55" s="11"/>
      <c r="C55" s="11"/>
      <c r="D55" s="180"/>
      <c r="E55" s="187"/>
      <c r="F55" s="194" t="s">
        <v>329</v>
      </c>
      <c r="G55" s="194"/>
      <c r="H55" s="163" t="str">
        <f>H24</f>
        <v>Ivory Coast</v>
      </c>
      <c r="I55" s="149"/>
      <c r="J55" s="75"/>
      <c r="K55" s="149"/>
      <c r="L55" s="149"/>
      <c r="M55" s="149"/>
      <c r="N55" s="149"/>
      <c r="O55" s="149"/>
      <c r="P55" s="149"/>
      <c r="Q55" s="149"/>
      <c r="R55" s="149"/>
      <c r="S55" s="149"/>
      <c r="T55" s="15"/>
      <c r="U55" s="15"/>
      <c r="CJ55" s="7"/>
      <c r="CK55" s="7"/>
      <c r="CL55" s="7"/>
      <c r="CN55" s="20"/>
      <c r="CO55" s="20"/>
      <c r="CP55" s="9"/>
    </row>
    <row r="56" spans="2:94" ht="15" customHeight="1">
      <c r="B56" s="11"/>
      <c r="C56" s="11"/>
      <c r="D56" s="180"/>
      <c r="E56" s="177">
        <v>22</v>
      </c>
      <c r="F56" s="157">
        <f t="shared" si="0"/>
        <v>41809.958333333328</v>
      </c>
      <c r="G56" s="158">
        <f>'Countries and Timezone'!R23</f>
        <v>41809.958333333328</v>
      </c>
      <c r="H56" s="159" t="str">
        <f>H25</f>
        <v>Japan</v>
      </c>
      <c r="I56" s="145"/>
      <c r="J56" s="75"/>
      <c r="K56" s="145"/>
      <c r="L56" s="145"/>
      <c r="M56" s="145"/>
      <c r="N56" s="145"/>
      <c r="O56" s="145"/>
      <c r="P56" s="145"/>
      <c r="Q56" s="145"/>
      <c r="R56" s="145"/>
      <c r="S56" s="145"/>
      <c r="T56" s="15"/>
      <c r="U56" s="15"/>
      <c r="CJ56" s="7"/>
      <c r="CK56" s="7"/>
      <c r="CL56" s="7"/>
      <c r="CN56" s="20"/>
      <c r="CO56" s="20"/>
      <c r="CP56" s="9"/>
    </row>
    <row r="57" spans="2:94" ht="15" customHeight="1">
      <c r="B57" s="11"/>
      <c r="C57" s="11"/>
      <c r="D57" s="181"/>
      <c r="E57" s="187"/>
      <c r="F57" s="194" t="s">
        <v>4380</v>
      </c>
      <c r="G57" s="194"/>
      <c r="H57" s="163" t="str">
        <f>H23</f>
        <v>Greece</v>
      </c>
      <c r="I57" s="149"/>
      <c r="J57" s="75"/>
      <c r="K57" s="149"/>
      <c r="L57" s="149"/>
      <c r="M57" s="149"/>
      <c r="N57" s="149"/>
      <c r="O57" s="149"/>
      <c r="P57" s="149"/>
      <c r="Q57" s="149"/>
      <c r="R57" s="149"/>
      <c r="S57" s="149"/>
      <c r="T57" s="15"/>
      <c r="U57" s="15"/>
      <c r="CJ57" s="7"/>
      <c r="CK57" s="7"/>
      <c r="CL57" s="7"/>
      <c r="CN57" s="20"/>
      <c r="CO57" s="20"/>
      <c r="CP57" s="9"/>
    </row>
    <row r="58" spans="2:94" ht="15" customHeight="1">
      <c r="B58" s="11"/>
      <c r="C58" s="11"/>
      <c r="D58" s="179" t="s">
        <v>65</v>
      </c>
      <c r="E58" s="177">
        <v>23</v>
      </c>
      <c r="F58" s="157">
        <f t="shared" si="0"/>
        <v>41809.833333333328</v>
      </c>
      <c r="G58" s="158">
        <f>'Countries and Timezone'!R24</f>
        <v>41809.833333333328</v>
      </c>
      <c r="H58" s="159" t="str">
        <f>H26</f>
        <v>Uruguay</v>
      </c>
      <c r="I58" s="145"/>
      <c r="J58" s="75"/>
      <c r="K58" s="145"/>
      <c r="L58" s="145"/>
      <c r="M58" s="145"/>
      <c r="N58" s="145"/>
      <c r="O58" s="145"/>
      <c r="P58" s="145"/>
      <c r="Q58" s="145"/>
      <c r="R58" s="145"/>
      <c r="S58" s="145"/>
      <c r="T58" s="15"/>
      <c r="U58" s="15"/>
      <c r="CJ58" s="7"/>
      <c r="CK58" s="7"/>
      <c r="CL58" s="7"/>
      <c r="CN58" s="20"/>
      <c r="CO58" s="20"/>
      <c r="CP58" s="9"/>
    </row>
    <row r="59" spans="2:94" ht="15" customHeight="1">
      <c r="B59" s="11"/>
      <c r="C59" s="11"/>
      <c r="D59" s="180"/>
      <c r="E59" s="187"/>
      <c r="F59" s="194" t="s">
        <v>3818</v>
      </c>
      <c r="G59" s="194"/>
      <c r="H59" s="163" t="str">
        <f>H28</f>
        <v>England</v>
      </c>
      <c r="I59" s="149"/>
      <c r="J59" s="75"/>
      <c r="K59" s="149"/>
      <c r="L59" s="149"/>
      <c r="M59" s="149"/>
      <c r="N59" s="149"/>
      <c r="O59" s="149"/>
      <c r="P59" s="149"/>
      <c r="Q59" s="149"/>
      <c r="R59" s="149"/>
      <c r="S59" s="149"/>
      <c r="T59" s="15"/>
      <c r="U59" s="15"/>
      <c r="CJ59" s="7"/>
      <c r="CK59" s="7"/>
      <c r="CL59" s="7"/>
      <c r="CN59" s="20"/>
      <c r="CO59" s="20"/>
      <c r="CP59" s="9"/>
    </row>
    <row r="60" spans="2:94" ht="15" customHeight="1">
      <c r="B60" s="11"/>
      <c r="C60" s="11"/>
      <c r="D60" s="180"/>
      <c r="E60" s="177">
        <v>24</v>
      </c>
      <c r="F60" s="157">
        <f t="shared" si="0"/>
        <v>41810.708333333328</v>
      </c>
      <c r="G60" s="158">
        <f>'Countries and Timezone'!R25</f>
        <v>41810.708333333328</v>
      </c>
      <c r="H60" s="159" t="str">
        <f>H29</f>
        <v>Italy</v>
      </c>
      <c r="I60" s="145"/>
      <c r="J60" s="75"/>
      <c r="K60" s="145"/>
      <c r="L60" s="145"/>
      <c r="M60" s="145"/>
      <c r="N60" s="145"/>
      <c r="O60" s="145"/>
      <c r="P60" s="145"/>
      <c r="Q60" s="145"/>
      <c r="R60" s="145"/>
      <c r="S60" s="145"/>
      <c r="T60" s="15"/>
      <c r="U60" s="15"/>
      <c r="CJ60" s="7"/>
      <c r="CK60" s="7"/>
      <c r="CL60" s="7"/>
      <c r="CN60" s="20"/>
      <c r="CO60" s="20"/>
      <c r="CP60" s="9"/>
    </row>
    <row r="61" spans="2:94" ht="15" customHeight="1">
      <c r="B61" s="11"/>
      <c r="C61" s="11"/>
      <c r="D61" s="181"/>
      <c r="E61" s="187"/>
      <c r="F61" s="194" t="s">
        <v>4383</v>
      </c>
      <c r="G61" s="194"/>
      <c r="H61" s="163" t="str">
        <f>H27</f>
        <v>Costa Rica</v>
      </c>
      <c r="I61" s="149"/>
      <c r="J61" s="75"/>
      <c r="K61" s="149"/>
      <c r="L61" s="149"/>
      <c r="M61" s="149"/>
      <c r="N61" s="149"/>
      <c r="O61" s="149"/>
      <c r="P61" s="149"/>
      <c r="Q61" s="149"/>
      <c r="R61" s="149"/>
      <c r="S61" s="149"/>
      <c r="T61" s="15"/>
      <c r="U61" s="15"/>
      <c r="CJ61" s="7"/>
      <c r="CK61" s="7"/>
      <c r="CL61" s="7"/>
      <c r="CN61" s="20"/>
      <c r="CO61" s="20"/>
      <c r="CP61" s="9"/>
    </row>
    <row r="62" spans="2:94" ht="15" customHeight="1">
      <c r="B62" s="11"/>
      <c r="C62" s="11"/>
      <c r="D62" s="179" t="s">
        <v>582</v>
      </c>
      <c r="E62" s="177">
        <v>25</v>
      </c>
      <c r="F62" s="157">
        <f t="shared" si="0"/>
        <v>41810.833333333328</v>
      </c>
      <c r="G62" s="158">
        <f>'Countries and Timezone'!R26</f>
        <v>41810.833333333328</v>
      </c>
      <c r="H62" s="159" t="str">
        <f>H30</f>
        <v>Switzerland</v>
      </c>
      <c r="I62" s="145"/>
      <c r="J62" s="75"/>
      <c r="K62" s="145"/>
      <c r="L62" s="145"/>
      <c r="M62" s="145"/>
      <c r="N62" s="145"/>
      <c r="O62" s="145"/>
      <c r="P62" s="145"/>
      <c r="Q62" s="145"/>
      <c r="R62" s="145"/>
      <c r="S62" s="145"/>
      <c r="T62" s="15"/>
      <c r="U62" s="15"/>
      <c r="CJ62" s="7"/>
      <c r="CK62" s="7"/>
      <c r="CL62" s="7"/>
      <c r="CN62" s="20"/>
      <c r="CO62" s="20"/>
      <c r="CP62" s="9"/>
    </row>
    <row r="63" spans="2:94" ht="15" customHeight="1">
      <c r="B63" s="11"/>
      <c r="C63" s="11"/>
      <c r="D63" s="180"/>
      <c r="E63" s="187"/>
      <c r="F63" s="194" t="s">
        <v>4379</v>
      </c>
      <c r="G63" s="194"/>
      <c r="H63" s="163" t="str">
        <f>H32</f>
        <v>France</v>
      </c>
      <c r="I63" s="149"/>
      <c r="J63" s="75"/>
      <c r="K63" s="149"/>
      <c r="L63" s="149"/>
      <c r="M63" s="149"/>
      <c r="N63" s="149"/>
      <c r="O63" s="149"/>
      <c r="P63" s="149"/>
      <c r="Q63" s="149"/>
      <c r="R63" s="149"/>
      <c r="S63" s="149"/>
      <c r="T63" s="15"/>
      <c r="U63" s="15"/>
      <c r="CJ63" s="7"/>
      <c r="CK63" s="7"/>
      <c r="CL63" s="7"/>
      <c r="CN63" s="20"/>
      <c r="CO63" s="20"/>
      <c r="CP63" s="9"/>
    </row>
    <row r="64" spans="2:94" ht="15" customHeight="1">
      <c r="B64" s="11"/>
      <c r="C64" s="11"/>
      <c r="D64" s="180"/>
      <c r="E64" s="177">
        <v>26</v>
      </c>
      <c r="F64" s="157">
        <f t="shared" si="0"/>
        <v>41810.958333333328</v>
      </c>
      <c r="G64" s="158">
        <f>'Countries and Timezone'!R27</f>
        <v>41810.958333333328</v>
      </c>
      <c r="H64" s="159" t="str">
        <f>H33</f>
        <v>Honduras</v>
      </c>
      <c r="I64" s="145"/>
      <c r="J64" s="75"/>
      <c r="K64" s="145"/>
      <c r="L64" s="145"/>
      <c r="M64" s="145"/>
      <c r="N64" s="145"/>
      <c r="O64" s="145"/>
      <c r="P64" s="145"/>
      <c r="Q64" s="145"/>
      <c r="R64" s="145"/>
      <c r="S64" s="145"/>
      <c r="T64" s="15"/>
      <c r="U64" s="15"/>
      <c r="CJ64" s="7"/>
      <c r="CK64" s="7"/>
      <c r="CL64" s="7"/>
      <c r="CN64" s="22"/>
      <c r="CO64" s="20"/>
      <c r="CP64" s="9"/>
    </row>
    <row r="65" spans="2:94" ht="15" customHeight="1">
      <c r="B65" s="11"/>
      <c r="C65" s="11"/>
      <c r="D65" s="181"/>
      <c r="E65" s="187"/>
      <c r="F65" s="194" t="s">
        <v>4387</v>
      </c>
      <c r="G65" s="194"/>
      <c r="H65" s="163" t="str">
        <f>H31</f>
        <v>Ecuador</v>
      </c>
      <c r="I65" s="149"/>
      <c r="J65" s="75"/>
      <c r="K65" s="149"/>
      <c r="L65" s="149"/>
      <c r="M65" s="149"/>
      <c r="N65" s="149"/>
      <c r="O65" s="149"/>
      <c r="P65" s="149"/>
      <c r="Q65" s="149"/>
      <c r="R65" s="149"/>
      <c r="S65" s="149"/>
      <c r="T65" s="15"/>
      <c r="U65" s="15"/>
      <c r="CJ65" s="7"/>
      <c r="CK65" s="7"/>
      <c r="CL65" s="7"/>
      <c r="CN65" s="22"/>
      <c r="CO65" s="20"/>
      <c r="CP65" s="9"/>
    </row>
    <row r="66" spans="2:94" ht="15" customHeight="1">
      <c r="B66" s="11"/>
      <c r="C66" s="11"/>
      <c r="D66" s="179" t="s">
        <v>71</v>
      </c>
      <c r="E66" s="177">
        <v>27</v>
      </c>
      <c r="F66" s="157">
        <f t="shared" si="0"/>
        <v>41811.708333333328</v>
      </c>
      <c r="G66" s="158">
        <f>'Countries and Timezone'!R28</f>
        <v>41811.708333333328</v>
      </c>
      <c r="H66" s="159" t="str">
        <f>H34</f>
        <v>Argentina</v>
      </c>
      <c r="I66" s="145"/>
      <c r="J66" s="75"/>
      <c r="K66" s="145"/>
      <c r="L66" s="145"/>
      <c r="M66" s="145"/>
      <c r="N66" s="145"/>
      <c r="O66" s="145"/>
      <c r="P66" s="145"/>
      <c r="Q66" s="145"/>
      <c r="R66" s="145"/>
      <c r="S66" s="145"/>
      <c r="T66" s="15"/>
      <c r="U66" s="15"/>
      <c r="CJ66" s="7"/>
      <c r="CK66" s="7"/>
      <c r="CL66" s="7"/>
      <c r="CN66" s="22"/>
      <c r="CO66" s="20"/>
      <c r="CP66" s="9"/>
    </row>
    <row r="67" spans="2:94" ht="15" customHeight="1">
      <c r="B67" s="11"/>
      <c r="C67" s="11"/>
      <c r="D67" s="180"/>
      <c r="E67" s="187"/>
      <c r="F67" s="194" t="s">
        <v>4382</v>
      </c>
      <c r="G67" s="194"/>
      <c r="H67" s="163" t="str">
        <f>H36</f>
        <v>Iran</v>
      </c>
      <c r="I67" s="149"/>
      <c r="J67" s="75"/>
      <c r="K67" s="149"/>
      <c r="L67" s="149"/>
      <c r="M67" s="149"/>
      <c r="N67" s="149"/>
      <c r="O67" s="149"/>
      <c r="P67" s="149"/>
      <c r="Q67" s="149"/>
      <c r="R67" s="149"/>
      <c r="S67" s="149"/>
      <c r="T67" s="15"/>
      <c r="U67" s="15"/>
      <c r="CJ67" s="7"/>
      <c r="CK67" s="7"/>
      <c r="CL67" s="7"/>
      <c r="CN67" s="22"/>
      <c r="CO67" s="20"/>
      <c r="CP67" s="9"/>
    </row>
    <row r="68" spans="2:94" ht="15" customHeight="1">
      <c r="B68" s="11"/>
      <c r="C68" s="11"/>
      <c r="D68" s="180"/>
      <c r="E68" s="177">
        <v>28</v>
      </c>
      <c r="F68" s="157">
        <f t="shared" si="0"/>
        <v>41811.958333333328</v>
      </c>
      <c r="G68" s="158">
        <f>'Countries and Timezone'!R29</f>
        <v>41811.958333333328</v>
      </c>
      <c r="H68" s="159" t="str">
        <f>H37</f>
        <v>Nigeria</v>
      </c>
      <c r="I68" s="145"/>
      <c r="J68" s="75"/>
      <c r="K68" s="145"/>
      <c r="L68" s="145"/>
      <c r="M68" s="145"/>
      <c r="N68" s="145"/>
      <c r="O68" s="145"/>
      <c r="P68" s="145"/>
      <c r="Q68" s="145"/>
      <c r="R68" s="145"/>
      <c r="S68" s="145"/>
      <c r="T68" s="15"/>
      <c r="U68" s="15"/>
      <c r="CJ68" s="7"/>
      <c r="CK68" s="7"/>
      <c r="CL68" s="7"/>
      <c r="CN68" s="9"/>
      <c r="CO68" s="20"/>
      <c r="CP68" s="9"/>
    </row>
    <row r="69" spans="2:94" ht="15" customHeight="1">
      <c r="B69" s="11"/>
      <c r="C69" s="11"/>
      <c r="D69" s="181"/>
      <c r="E69" s="187"/>
      <c r="F69" s="194" t="s">
        <v>4381</v>
      </c>
      <c r="G69" s="194"/>
      <c r="H69" s="163" t="str">
        <f>H35</f>
        <v>Bosnia-Herzegovina</v>
      </c>
      <c r="I69" s="149"/>
      <c r="J69" s="75"/>
      <c r="K69" s="149"/>
      <c r="L69" s="149"/>
      <c r="M69" s="149"/>
      <c r="N69" s="149"/>
      <c r="O69" s="149"/>
      <c r="P69" s="149"/>
      <c r="Q69" s="149"/>
      <c r="R69" s="149"/>
      <c r="S69" s="149"/>
      <c r="T69" s="15"/>
      <c r="U69" s="15"/>
      <c r="CJ69" s="7"/>
      <c r="CK69" s="7"/>
      <c r="CL69" s="7"/>
      <c r="CN69" s="9"/>
      <c r="CO69" s="20"/>
      <c r="CP69" s="9"/>
    </row>
    <row r="70" spans="2:94" ht="15" customHeight="1">
      <c r="B70" s="11"/>
      <c r="C70" s="11"/>
      <c r="D70" s="179" t="s">
        <v>583</v>
      </c>
      <c r="E70" s="177">
        <v>29</v>
      </c>
      <c r="F70" s="157">
        <f t="shared" si="0"/>
        <v>41811.833333333328</v>
      </c>
      <c r="G70" s="158">
        <f>'Countries and Timezone'!R30</f>
        <v>41811.833333333328</v>
      </c>
      <c r="H70" s="159" t="str">
        <f>H38</f>
        <v>Germany</v>
      </c>
      <c r="I70" s="145"/>
      <c r="J70" s="75"/>
      <c r="K70" s="145"/>
      <c r="L70" s="145"/>
      <c r="M70" s="145"/>
      <c r="N70" s="145"/>
      <c r="O70" s="145"/>
      <c r="P70" s="145"/>
      <c r="Q70" s="145"/>
      <c r="R70" s="145"/>
      <c r="S70" s="145"/>
      <c r="T70" s="15"/>
      <c r="U70" s="15"/>
      <c r="CJ70" s="7"/>
      <c r="CK70" s="7"/>
      <c r="CL70" s="7"/>
      <c r="CN70" s="9"/>
      <c r="CO70" s="20"/>
      <c r="CP70" s="9"/>
    </row>
    <row r="71" spans="2:94" ht="15" customHeight="1">
      <c r="B71" s="11"/>
      <c r="C71" s="11"/>
      <c r="D71" s="180"/>
      <c r="E71" s="187"/>
      <c r="F71" s="194" t="s">
        <v>4384</v>
      </c>
      <c r="G71" s="194"/>
      <c r="H71" s="163" t="str">
        <f>H40</f>
        <v>Ghana</v>
      </c>
      <c r="I71" s="149"/>
      <c r="J71" s="75"/>
      <c r="K71" s="149"/>
      <c r="L71" s="149"/>
      <c r="M71" s="149"/>
      <c r="N71" s="149"/>
      <c r="O71" s="149"/>
      <c r="P71" s="149"/>
      <c r="Q71" s="149"/>
      <c r="R71" s="149"/>
      <c r="S71" s="149"/>
      <c r="T71" s="15"/>
      <c r="U71" s="15"/>
      <c r="CJ71" s="7"/>
      <c r="CK71" s="7"/>
      <c r="CL71" s="7"/>
      <c r="CN71" s="9"/>
      <c r="CO71" s="20"/>
      <c r="CP71" s="9"/>
    </row>
    <row r="72" spans="2:94" ht="15" customHeight="1">
      <c r="B72" s="11"/>
      <c r="C72" s="11"/>
      <c r="D72" s="180"/>
      <c r="E72" s="177">
        <v>30</v>
      </c>
      <c r="F72" s="157">
        <f t="shared" si="0"/>
        <v>41812.958333333328</v>
      </c>
      <c r="G72" s="158">
        <f>'Countries and Timezone'!R31</f>
        <v>41812.958333333328</v>
      </c>
      <c r="H72" s="159" t="str">
        <f>H41</f>
        <v>USA</v>
      </c>
      <c r="I72" s="145"/>
      <c r="J72" s="75"/>
      <c r="K72" s="145"/>
      <c r="L72" s="145"/>
      <c r="M72" s="145"/>
      <c r="N72" s="145"/>
      <c r="O72" s="145"/>
      <c r="P72" s="145"/>
      <c r="Q72" s="145"/>
      <c r="R72" s="145"/>
      <c r="S72" s="145"/>
      <c r="T72" s="15"/>
      <c r="U72" s="15"/>
      <c r="CJ72" s="7"/>
      <c r="CK72" s="7"/>
      <c r="CL72" s="7"/>
      <c r="CN72" s="9"/>
      <c r="CO72" s="20"/>
      <c r="CP72" s="9"/>
    </row>
    <row r="73" spans="2:94" ht="15" customHeight="1">
      <c r="B73" s="11"/>
      <c r="C73" s="11"/>
      <c r="D73" s="181"/>
      <c r="E73" s="187"/>
      <c r="F73" s="194" t="s">
        <v>4385</v>
      </c>
      <c r="G73" s="194"/>
      <c r="H73" s="163" t="str">
        <f>H39</f>
        <v>Portugal</v>
      </c>
      <c r="I73" s="149"/>
      <c r="J73" s="75"/>
      <c r="K73" s="149"/>
      <c r="L73" s="149"/>
      <c r="M73" s="149"/>
      <c r="N73" s="149"/>
      <c r="O73" s="149"/>
      <c r="P73" s="149"/>
      <c r="Q73" s="149"/>
      <c r="R73" s="149"/>
      <c r="S73" s="149"/>
      <c r="T73" s="15"/>
      <c r="U73" s="15"/>
      <c r="CJ73" s="7"/>
      <c r="CK73" s="7"/>
      <c r="CL73" s="7"/>
      <c r="CN73" s="9"/>
      <c r="CO73" s="20"/>
      <c r="CP73" s="9"/>
    </row>
    <row r="74" spans="2:94" ht="15" customHeight="1">
      <c r="B74" s="11"/>
      <c r="C74" s="11"/>
      <c r="D74" s="179" t="s">
        <v>584</v>
      </c>
      <c r="E74" s="177">
        <v>31</v>
      </c>
      <c r="F74" s="157">
        <f t="shared" si="0"/>
        <v>41812.708333333328</v>
      </c>
      <c r="G74" s="158">
        <f>'Countries and Timezone'!R32</f>
        <v>41812.708333333328</v>
      </c>
      <c r="H74" s="159" t="str">
        <f>H42</f>
        <v>Belgium</v>
      </c>
      <c r="I74" s="145"/>
      <c r="J74" s="75"/>
      <c r="K74" s="145"/>
      <c r="L74" s="145"/>
      <c r="M74" s="145"/>
      <c r="N74" s="145"/>
      <c r="O74" s="145"/>
      <c r="P74" s="145"/>
      <c r="Q74" s="145"/>
      <c r="R74" s="145"/>
      <c r="S74" s="145"/>
      <c r="T74" s="15"/>
      <c r="U74" s="15"/>
      <c r="CJ74" s="7"/>
      <c r="CK74" s="7"/>
      <c r="CL74" s="7"/>
      <c r="CN74" s="9"/>
      <c r="CO74" s="20"/>
      <c r="CP74" s="9"/>
    </row>
    <row r="75" spans="2:94" ht="15" customHeight="1">
      <c r="B75" s="11"/>
      <c r="C75" s="11"/>
      <c r="D75" s="180"/>
      <c r="E75" s="187"/>
      <c r="F75" s="194" t="s">
        <v>3810</v>
      </c>
      <c r="G75" s="194"/>
      <c r="H75" s="163" t="str">
        <f>H44</f>
        <v>Russia</v>
      </c>
      <c r="I75" s="149"/>
      <c r="J75" s="75"/>
      <c r="K75" s="149"/>
      <c r="L75" s="149"/>
      <c r="M75" s="149"/>
      <c r="N75" s="149"/>
      <c r="O75" s="149"/>
      <c r="P75" s="149"/>
      <c r="Q75" s="149"/>
      <c r="R75" s="149"/>
      <c r="S75" s="149"/>
      <c r="T75" s="15"/>
      <c r="U75" s="15"/>
      <c r="CJ75" s="7"/>
      <c r="CK75" s="7"/>
      <c r="CL75" s="7"/>
      <c r="CN75" s="9"/>
      <c r="CO75" s="20"/>
      <c r="CP75" s="9"/>
    </row>
    <row r="76" spans="2:94" ht="15" customHeight="1">
      <c r="B76" s="11"/>
      <c r="C76" s="11"/>
      <c r="D76" s="180"/>
      <c r="E76" s="177">
        <v>32</v>
      </c>
      <c r="F76" s="157">
        <f t="shared" si="0"/>
        <v>41812.833333333328</v>
      </c>
      <c r="G76" s="158">
        <f>'Countries and Timezone'!R33</f>
        <v>41812.833333333328</v>
      </c>
      <c r="H76" s="159" t="str">
        <f>H45</f>
        <v>South Korea</v>
      </c>
      <c r="I76" s="145"/>
      <c r="J76" s="75"/>
      <c r="K76" s="145"/>
      <c r="L76" s="145"/>
      <c r="M76" s="145"/>
      <c r="N76" s="145"/>
      <c r="O76" s="145"/>
      <c r="P76" s="145"/>
      <c r="Q76" s="145"/>
      <c r="R76" s="145"/>
      <c r="S76" s="145"/>
      <c r="T76" s="15"/>
      <c r="U76" s="15"/>
      <c r="CJ76" s="7"/>
      <c r="CK76" s="7"/>
      <c r="CL76" s="7"/>
      <c r="CN76" s="9"/>
      <c r="CO76" s="20"/>
      <c r="CP76" s="9"/>
    </row>
    <row r="77" spans="2:94" ht="15" customHeight="1">
      <c r="B77" s="11"/>
      <c r="C77" s="11"/>
      <c r="D77" s="181"/>
      <c r="E77" s="187"/>
      <c r="F77" s="194" t="s">
        <v>4386</v>
      </c>
      <c r="G77" s="194"/>
      <c r="H77" s="174" t="str">
        <f>H43</f>
        <v>Algeria</v>
      </c>
      <c r="I77" s="169"/>
      <c r="J77" s="75"/>
      <c r="K77" s="169"/>
      <c r="L77" s="169"/>
      <c r="M77" s="169"/>
      <c r="N77" s="169"/>
      <c r="O77" s="169"/>
      <c r="P77" s="169"/>
      <c r="Q77" s="169"/>
      <c r="R77" s="169"/>
      <c r="S77" s="169"/>
      <c r="T77" s="15"/>
      <c r="U77" s="15"/>
      <c r="CJ77" s="7"/>
      <c r="CK77" s="7"/>
      <c r="CL77" s="7"/>
      <c r="CN77" s="9"/>
      <c r="CO77" s="20"/>
      <c r="CP77" s="9"/>
    </row>
    <row r="78" spans="2:94" ht="15" customHeight="1">
      <c r="B78" s="11"/>
      <c r="C78" s="11"/>
      <c r="D78" s="179" t="s">
        <v>72</v>
      </c>
      <c r="E78" s="177">
        <v>33</v>
      </c>
      <c r="F78" s="170">
        <f t="shared" si="0"/>
        <v>41813.875</v>
      </c>
      <c r="G78" s="171">
        <f>'Countries and Timezone'!R34</f>
        <v>41813.875</v>
      </c>
      <c r="H78" s="172" t="str">
        <f>H17</f>
        <v>Cameroon</v>
      </c>
      <c r="I78" s="167"/>
      <c r="J78" s="75"/>
      <c r="K78" s="167"/>
      <c r="L78" s="167"/>
      <c r="M78" s="167"/>
      <c r="N78" s="167"/>
      <c r="O78" s="167"/>
      <c r="P78" s="167"/>
      <c r="Q78" s="167"/>
      <c r="R78" s="167"/>
      <c r="S78" s="167"/>
      <c r="T78" s="15"/>
      <c r="U78" s="15"/>
      <c r="CJ78" s="7"/>
      <c r="CK78" s="7"/>
      <c r="CL78" s="7"/>
      <c r="CN78" s="9"/>
      <c r="CO78" s="20"/>
      <c r="CP78" s="9"/>
    </row>
    <row r="79" spans="2:94" ht="15" customHeight="1">
      <c r="B79" s="11"/>
      <c r="C79" s="11"/>
      <c r="D79" s="180"/>
      <c r="E79" s="187"/>
      <c r="F79" s="194" t="s">
        <v>329</v>
      </c>
      <c r="G79" s="194"/>
      <c r="H79" s="173" t="str">
        <f>H14</f>
        <v>Brazil</v>
      </c>
      <c r="I79" s="168"/>
      <c r="J79" s="75"/>
      <c r="K79" s="168"/>
      <c r="L79" s="168"/>
      <c r="M79" s="168"/>
      <c r="N79" s="168"/>
      <c r="O79" s="168"/>
      <c r="P79" s="168"/>
      <c r="Q79" s="168"/>
      <c r="R79" s="168"/>
      <c r="S79" s="168"/>
      <c r="T79" s="15"/>
      <c r="U79" s="15"/>
      <c r="CJ79" s="7"/>
      <c r="CK79" s="7"/>
      <c r="CL79" s="7"/>
      <c r="CN79" s="9"/>
      <c r="CO79" s="20"/>
      <c r="CP79" s="9"/>
    </row>
    <row r="80" spans="2:94" ht="15" customHeight="1">
      <c r="B80" s="11"/>
      <c r="C80" s="11"/>
      <c r="D80" s="180"/>
      <c r="E80" s="177">
        <v>34</v>
      </c>
      <c r="F80" s="157">
        <f t="shared" si="0"/>
        <v>41813.875</v>
      </c>
      <c r="G80" s="158">
        <f>'Countries and Timezone'!R35</f>
        <v>41813.875</v>
      </c>
      <c r="H80" s="159" t="str">
        <f>H15</f>
        <v>Croatia</v>
      </c>
      <c r="I80" s="145"/>
      <c r="J80" s="75"/>
      <c r="K80" s="145"/>
      <c r="L80" s="145"/>
      <c r="M80" s="145"/>
      <c r="N80" s="145"/>
      <c r="O80" s="145"/>
      <c r="P80" s="145"/>
      <c r="Q80" s="145"/>
      <c r="R80" s="145"/>
      <c r="S80" s="145"/>
      <c r="T80" s="15"/>
      <c r="U80" s="15"/>
      <c r="CJ80" s="7"/>
      <c r="CK80" s="7"/>
      <c r="CL80" s="7"/>
      <c r="CN80" s="9"/>
      <c r="CO80" s="20"/>
      <c r="CP80" s="9"/>
    </row>
    <row r="81" spans="2:94" ht="15" customHeight="1">
      <c r="B81" s="11"/>
      <c r="C81" s="11"/>
      <c r="D81" s="181"/>
      <c r="E81" s="187"/>
      <c r="F81" s="194" t="s">
        <v>4383</v>
      </c>
      <c r="G81" s="194"/>
      <c r="H81" s="160" t="str">
        <f>H16</f>
        <v>Mexico</v>
      </c>
      <c r="I81" s="147"/>
      <c r="J81" s="75"/>
      <c r="K81" s="147"/>
      <c r="L81" s="147"/>
      <c r="M81" s="147"/>
      <c r="N81" s="147"/>
      <c r="O81" s="147"/>
      <c r="P81" s="147"/>
      <c r="Q81" s="147"/>
      <c r="R81" s="147"/>
      <c r="S81" s="147"/>
      <c r="T81" s="15"/>
      <c r="U81" s="15"/>
      <c r="CJ81" s="7"/>
      <c r="CK81" s="7"/>
      <c r="CL81" s="7"/>
      <c r="CN81" s="9"/>
      <c r="CO81" s="20"/>
      <c r="CP81" s="9"/>
    </row>
    <row r="82" spans="2:94" ht="15" customHeight="1">
      <c r="B82" s="11"/>
      <c r="C82" s="11"/>
      <c r="D82" s="179" t="s">
        <v>580</v>
      </c>
      <c r="E82" s="177">
        <v>35</v>
      </c>
      <c r="F82" s="170">
        <f t="shared" si="0"/>
        <v>41813.708333333328</v>
      </c>
      <c r="G82" s="171">
        <f>'Countries and Timezone'!R36</f>
        <v>41813.708333333328</v>
      </c>
      <c r="H82" s="172" t="str">
        <f>H21</f>
        <v>Australia</v>
      </c>
      <c r="I82" s="167"/>
      <c r="J82" s="75"/>
      <c r="K82" s="167"/>
      <c r="L82" s="167"/>
      <c r="M82" s="167"/>
      <c r="N82" s="167"/>
      <c r="O82" s="167"/>
      <c r="P82" s="167"/>
      <c r="Q82" s="167"/>
      <c r="R82" s="167"/>
      <c r="S82" s="167"/>
      <c r="T82" s="15"/>
      <c r="U82" s="15"/>
      <c r="CJ82" s="7"/>
      <c r="CK82" s="7"/>
      <c r="CL82" s="7"/>
      <c r="CN82" s="9"/>
      <c r="CO82" s="20"/>
      <c r="CP82" s="9"/>
    </row>
    <row r="83" spans="2:94" ht="15" customHeight="1">
      <c r="B83" s="11"/>
      <c r="C83" s="11"/>
      <c r="D83" s="180"/>
      <c r="E83" s="187"/>
      <c r="F83" s="194" t="s">
        <v>4387</v>
      </c>
      <c r="G83" s="194"/>
      <c r="H83" s="173" t="str">
        <f>H18</f>
        <v>Spain</v>
      </c>
      <c r="I83" s="168"/>
      <c r="J83" s="75"/>
      <c r="K83" s="168"/>
      <c r="L83" s="168"/>
      <c r="M83" s="168"/>
      <c r="N83" s="168"/>
      <c r="O83" s="168"/>
      <c r="P83" s="168"/>
      <c r="Q83" s="168"/>
      <c r="R83" s="168"/>
      <c r="S83" s="168"/>
      <c r="T83" s="15"/>
      <c r="U83" s="15"/>
      <c r="CJ83" s="7"/>
      <c r="CK83" s="7"/>
      <c r="CL83" s="7"/>
      <c r="CN83" s="9"/>
      <c r="CO83" s="20"/>
      <c r="CP83" s="9"/>
    </row>
    <row r="84" spans="2:94" ht="15" customHeight="1">
      <c r="B84" s="11"/>
      <c r="C84" s="11"/>
      <c r="D84" s="180"/>
      <c r="E84" s="177">
        <v>36</v>
      </c>
      <c r="F84" s="157">
        <f t="shared" si="0"/>
        <v>41813.708333333328</v>
      </c>
      <c r="G84" s="158">
        <f>'Countries and Timezone'!R37</f>
        <v>41813.708333333328</v>
      </c>
      <c r="H84" s="159" t="str">
        <f>H19</f>
        <v>Netherlands</v>
      </c>
      <c r="I84" s="145"/>
      <c r="J84" s="75"/>
      <c r="K84" s="145"/>
      <c r="L84" s="145"/>
      <c r="M84" s="145"/>
      <c r="N84" s="145"/>
      <c r="O84" s="145"/>
      <c r="P84" s="145"/>
      <c r="Q84" s="145"/>
      <c r="R84" s="145"/>
      <c r="S84" s="145"/>
      <c r="T84" s="15"/>
      <c r="U84" s="15"/>
      <c r="CJ84" s="7"/>
      <c r="CK84" s="7"/>
      <c r="CL84" s="7"/>
      <c r="CN84" s="9"/>
      <c r="CO84" s="20"/>
      <c r="CP84" s="9"/>
    </row>
    <row r="85" spans="2:94" ht="15" customHeight="1">
      <c r="B85" s="11"/>
      <c r="C85" s="11"/>
      <c r="D85" s="181"/>
      <c r="E85" s="187"/>
      <c r="F85" s="194" t="s">
        <v>3818</v>
      </c>
      <c r="G85" s="194"/>
      <c r="H85" s="163" t="str">
        <f>H20</f>
        <v>Chile</v>
      </c>
      <c r="I85" s="149"/>
      <c r="J85" s="75"/>
      <c r="K85" s="149"/>
      <c r="L85" s="149"/>
      <c r="M85" s="149"/>
      <c r="N85" s="149"/>
      <c r="O85" s="149"/>
      <c r="P85" s="149"/>
      <c r="Q85" s="149"/>
      <c r="R85" s="149"/>
      <c r="S85" s="149"/>
      <c r="T85" s="15"/>
      <c r="U85" s="15"/>
      <c r="CJ85" s="7"/>
      <c r="CK85" s="7"/>
      <c r="CL85" s="7"/>
      <c r="CN85" s="9"/>
      <c r="CO85" s="20"/>
      <c r="CP85" s="9"/>
    </row>
    <row r="86" spans="2:94" ht="15" customHeight="1">
      <c r="B86" s="11"/>
      <c r="C86" s="11"/>
      <c r="D86" s="179" t="s">
        <v>581</v>
      </c>
      <c r="E86" s="177">
        <v>37</v>
      </c>
      <c r="F86" s="157">
        <f t="shared" si="0"/>
        <v>41814.875</v>
      </c>
      <c r="G86" s="158">
        <f>'Countries and Timezone'!R38</f>
        <v>41814.875</v>
      </c>
      <c r="H86" s="159" t="str">
        <f>H25</f>
        <v>Japan</v>
      </c>
      <c r="I86" s="145"/>
      <c r="J86" s="75"/>
      <c r="K86" s="145"/>
      <c r="L86" s="145"/>
      <c r="M86" s="145"/>
      <c r="N86" s="145"/>
      <c r="O86" s="145"/>
      <c r="P86" s="145"/>
      <c r="Q86" s="145"/>
      <c r="R86" s="145"/>
      <c r="S86" s="145"/>
      <c r="T86" s="15"/>
      <c r="U86" s="15"/>
      <c r="CJ86" s="7"/>
      <c r="CK86" s="7"/>
      <c r="CL86" s="7"/>
      <c r="CN86" s="9"/>
      <c r="CO86" s="20"/>
      <c r="CP86" s="9"/>
    </row>
    <row r="87" spans="2:94" ht="15" customHeight="1">
      <c r="B87" s="11"/>
      <c r="C87" s="11"/>
      <c r="D87" s="180"/>
      <c r="E87" s="187"/>
      <c r="F87" s="194" t="s">
        <v>4381</v>
      </c>
      <c r="G87" s="194"/>
      <c r="H87" s="163" t="str">
        <f>H22</f>
        <v>Colombia</v>
      </c>
      <c r="I87" s="149"/>
      <c r="J87" s="75"/>
      <c r="K87" s="149"/>
      <c r="L87" s="149"/>
      <c r="M87" s="149"/>
      <c r="N87" s="149"/>
      <c r="O87" s="149"/>
      <c r="P87" s="149"/>
      <c r="Q87" s="149"/>
      <c r="R87" s="149"/>
      <c r="S87" s="149"/>
      <c r="T87" s="15"/>
      <c r="U87" s="15"/>
      <c r="CJ87" s="7"/>
      <c r="CK87" s="7"/>
      <c r="CL87" s="7"/>
      <c r="CN87" s="9"/>
      <c r="CO87" s="20"/>
      <c r="CP87" s="9"/>
    </row>
    <row r="88" spans="2:94" ht="15" customHeight="1">
      <c r="B88" s="11"/>
      <c r="C88" s="11"/>
      <c r="D88" s="180"/>
      <c r="E88" s="177">
        <v>38</v>
      </c>
      <c r="F88" s="157">
        <f t="shared" si="0"/>
        <v>41814.875</v>
      </c>
      <c r="G88" s="158">
        <f>'Countries and Timezone'!R39</f>
        <v>41814.875</v>
      </c>
      <c r="H88" s="159" t="str">
        <f>H23</f>
        <v>Greece</v>
      </c>
      <c r="I88" s="145"/>
      <c r="J88" s="75"/>
      <c r="K88" s="145"/>
      <c r="L88" s="145"/>
      <c r="M88" s="145"/>
      <c r="N88" s="145"/>
      <c r="O88" s="145"/>
      <c r="P88" s="145"/>
      <c r="Q88" s="145"/>
      <c r="R88" s="145"/>
      <c r="S88" s="145"/>
      <c r="T88" s="15"/>
      <c r="U88" s="15"/>
      <c r="CJ88" s="7"/>
      <c r="CK88" s="7"/>
      <c r="CL88" s="7"/>
      <c r="CN88" s="9"/>
      <c r="CO88" s="20"/>
      <c r="CP88" s="9"/>
    </row>
    <row r="89" spans="2:94" ht="15" customHeight="1">
      <c r="B89" s="11"/>
      <c r="C89" s="11"/>
      <c r="D89" s="181"/>
      <c r="E89" s="187"/>
      <c r="F89" s="194" t="s">
        <v>4384</v>
      </c>
      <c r="G89" s="194"/>
      <c r="H89" s="163" t="str">
        <f>H24</f>
        <v>Ivory Coast</v>
      </c>
      <c r="I89" s="149"/>
      <c r="J89" s="75"/>
      <c r="K89" s="149"/>
      <c r="L89" s="149"/>
      <c r="M89" s="149"/>
      <c r="N89" s="149"/>
      <c r="O89" s="149"/>
      <c r="P89" s="149"/>
      <c r="Q89" s="149"/>
      <c r="R89" s="149"/>
      <c r="S89" s="149"/>
      <c r="T89" s="15"/>
      <c r="U89" s="15"/>
      <c r="CJ89" s="7"/>
      <c r="CK89" s="7"/>
      <c r="CL89" s="7"/>
      <c r="CN89" s="9"/>
      <c r="CO89" s="20"/>
      <c r="CP89" s="9"/>
    </row>
    <row r="90" spans="2:94" ht="15" customHeight="1">
      <c r="B90" s="11"/>
      <c r="C90" s="11"/>
      <c r="D90" s="179" t="s">
        <v>65</v>
      </c>
      <c r="E90" s="177">
        <v>39</v>
      </c>
      <c r="F90" s="157">
        <f t="shared" si="0"/>
        <v>41814.708333333328</v>
      </c>
      <c r="G90" s="158">
        <f>'Countries and Timezone'!R40</f>
        <v>41814.708333333328</v>
      </c>
      <c r="H90" s="159" t="str">
        <f>H29</f>
        <v>Italy</v>
      </c>
      <c r="I90" s="145"/>
      <c r="J90" s="75"/>
      <c r="K90" s="145"/>
      <c r="L90" s="145"/>
      <c r="M90" s="145"/>
      <c r="N90" s="145"/>
      <c r="O90" s="145"/>
      <c r="P90" s="145"/>
      <c r="Q90" s="145"/>
      <c r="R90" s="145"/>
      <c r="S90" s="145"/>
      <c r="T90" s="15"/>
      <c r="U90" s="15"/>
      <c r="CJ90" s="7"/>
      <c r="CK90" s="7"/>
      <c r="CL90" s="7"/>
      <c r="CN90" s="9"/>
      <c r="CO90" s="20"/>
      <c r="CP90" s="9"/>
    </row>
    <row r="91" spans="2:94" ht="15" customHeight="1">
      <c r="B91" s="11"/>
      <c r="C91" s="11"/>
      <c r="D91" s="180"/>
      <c r="E91" s="187"/>
      <c r="F91" s="194" t="s">
        <v>4380</v>
      </c>
      <c r="G91" s="194"/>
      <c r="H91" s="163" t="str">
        <f>H26</f>
        <v>Uruguay</v>
      </c>
      <c r="I91" s="149"/>
      <c r="J91" s="75"/>
      <c r="K91" s="149"/>
      <c r="L91" s="149"/>
      <c r="M91" s="149"/>
      <c r="N91" s="149"/>
      <c r="O91" s="149"/>
      <c r="P91" s="149"/>
      <c r="Q91" s="149"/>
      <c r="R91" s="149"/>
      <c r="S91" s="149"/>
      <c r="T91" s="15"/>
      <c r="U91" s="15"/>
      <c r="CJ91" s="7"/>
      <c r="CK91" s="7"/>
      <c r="CL91" s="7"/>
      <c r="CN91" s="9"/>
      <c r="CO91" s="20"/>
      <c r="CP91" s="9"/>
    </row>
    <row r="92" spans="2:94" ht="15" customHeight="1">
      <c r="B92" s="11"/>
      <c r="C92" s="11"/>
      <c r="D92" s="180"/>
      <c r="E92" s="177">
        <v>40</v>
      </c>
      <c r="F92" s="157">
        <f t="shared" si="0"/>
        <v>41814.708333333328</v>
      </c>
      <c r="G92" s="158">
        <f>'Countries and Timezone'!R41</f>
        <v>41814.708333333328</v>
      </c>
      <c r="H92" s="159" t="str">
        <f>H27</f>
        <v>Costa Rica</v>
      </c>
      <c r="I92" s="145"/>
      <c r="J92" s="75"/>
      <c r="K92" s="145"/>
      <c r="L92" s="145"/>
      <c r="M92" s="145"/>
      <c r="N92" s="145"/>
      <c r="O92" s="145"/>
      <c r="P92" s="145"/>
      <c r="Q92" s="145"/>
      <c r="R92" s="145"/>
      <c r="S92" s="145"/>
      <c r="T92" s="15"/>
      <c r="U92" s="15"/>
      <c r="CJ92" s="7"/>
      <c r="CK92" s="7"/>
      <c r="CL92" s="7"/>
      <c r="CN92" s="9"/>
      <c r="CO92" s="20"/>
      <c r="CP92" s="9"/>
    </row>
    <row r="93" spans="2:94" ht="15" customHeight="1">
      <c r="B93" s="11"/>
      <c r="C93" s="11"/>
      <c r="D93" s="181"/>
      <c r="E93" s="187"/>
      <c r="F93" s="194" t="s">
        <v>4382</v>
      </c>
      <c r="G93" s="194"/>
      <c r="H93" s="163" t="str">
        <f>H28</f>
        <v>England</v>
      </c>
      <c r="I93" s="149"/>
      <c r="J93" s="75"/>
      <c r="K93" s="149"/>
      <c r="L93" s="149"/>
      <c r="M93" s="149"/>
      <c r="N93" s="149"/>
      <c r="O93" s="149"/>
      <c r="P93" s="149"/>
      <c r="Q93" s="149"/>
      <c r="R93" s="149"/>
      <c r="S93" s="149"/>
      <c r="T93" s="15"/>
      <c r="U93" s="15"/>
      <c r="CJ93" s="7"/>
      <c r="CK93" s="7"/>
      <c r="CL93" s="7"/>
      <c r="CN93" s="9"/>
      <c r="CO93" s="20"/>
      <c r="CP93" s="9"/>
    </row>
    <row r="94" spans="2:94" ht="15" customHeight="1">
      <c r="B94" s="11"/>
      <c r="C94" s="11"/>
      <c r="D94" s="179" t="s">
        <v>582</v>
      </c>
      <c r="E94" s="177">
        <v>41</v>
      </c>
      <c r="F94" s="157">
        <f t="shared" si="0"/>
        <v>41815.875</v>
      </c>
      <c r="G94" s="158">
        <f>'Countries and Timezone'!R42</f>
        <v>41815.875</v>
      </c>
      <c r="H94" s="159" t="str">
        <f>H33</f>
        <v>Honduras</v>
      </c>
      <c r="I94" s="145"/>
      <c r="J94" s="75"/>
      <c r="K94" s="145"/>
      <c r="L94" s="145"/>
      <c r="M94" s="145"/>
      <c r="N94" s="145"/>
      <c r="O94" s="145"/>
      <c r="P94" s="145"/>
      <c r="Q94" s="145"/>
      <c r="R94" s="145"/>
      <c r="S94" s="145"/>
      <c r="T94" s="15"/>
      <c r="U94" s="15"/>
      <c r="CJ94" s="7"/>
      <c r="CK94" s="7"/>
      <c r="CL94" s="7"/>
      <c r="CN94" s="9"/>
      <c r="CO94" s="20"/>
      <c r="CP94" s="9"/>
    </row>
    <row r="95" spans="2:94" ht="15" customHeight="1">
      <c r="B95" s="11"/>
      <c r="C95" s="11"/>
      <c r="D95" s="180"/>
      <c r="E95" s="187"/>
      <c r="F95" s="194" t="s">
        <v>4385</v>
      </c>
      <c r="G95" s="194"/>
      <c r="H95" s="163" t="str">
        <f>H30</f>
        <v>Switzerland</v>
      </c>
      <c r="I95" s="149"/>
      <c r="J95" s="75"/>
      <c r="K95" s="149"/>
      <c r="L95" s="149"/>
      <c r="M95" s="149"/>
      <c r="N95" s="149"/>
      <c r="O95" s="149"/>
      <c r="P95" s="149"/>
      <c r="Q95" s="149"/>
      <c r="R95" s="149"/>
      <c r="S95" s="149"/>
      <c r="T95" s="15"/>
      <c r="U95" s="15"/>
      <c r="CJ95" s="7"/>
      <c r="CK95" s="7"/>
      <c r="CL95" s="7"/>
      <c r="CN95" s="9"/>
      <c r="CO95" s="20"/>
      <c r="CP95" s="9"/>
    </row>
    <row r="96" spans="2:94" ht="15" customHeight="1">
      <c r="B96" s="11"/>
      <c r="C96" s="11"/>
      <c r="D96" s="180"/>
      <c r="E96" s="177">
        <v>42</v>
      </c>
      <c r="F96" s="157">
        <f t="shared" si="0"/>
        <v>41815.875</v>
      </c>
      <c r="G96" s="158">
        <f>'Countries and Timezone'!R43</f>
        <v>41815.875</v>
      </c>
      <c r="H96" s="159" t="str">
        <f>H31</f>
        <v>Ecuador</v>
      </c>
      <c r="I96" s="145"/>
      <c r="J96" s="75"/>
      <c r="K96" s="145"/>
      <c r="L96" s="145"/>
      <c r="M96" s="145"/>
      <c r="N96" s="145"/>
      <c r="O96" s="145"/>
      <c r="P96" s="145"/>
      <c r="Q96" s="145"/>
      <c r="R96" s="145"/>
      <c r="S96" s="145"/>
      <c r="T96" s="15"/>
      <c r="U96" s="15"/>
      <c r="CJ96" s="7"/>
      <c r="CK96" s="7"/>
      <c r="CL96" s="7"/>
      <c r="CN96" s="9"/>
      <c r="CO96" s="20"/>
      <c r="CP96" s="9"/>
    </row>
    <row r="97" spans="2:94" ht="15" customHeight="1">
      <c r="B97" s="11"/>
      <c r="C97" s="11"/>
      <c r="D97" s="181"/>
      <c r="E97" s="187"/>
      <c r="F97" s="194" t="s">
        <v>3810</v>
      </c>
      <c r="G97" s="194"/>
      <c r="H97" s="163" t="str">
        <f>H32</f>
        <v>France</v>
      </c>
      <c r="I97" s="149"/>
      <c r="J97" s="75"/>
      <c r="K97" s="149"/>
      <c r="L97" s="149"/>
      <c r="M97" s="149"/>
      <c r="N97" s="149"/>
      <c r="O97" s="149"/>
      <c r="P97" s="149"/>
      <c r="Q97" s="149"/>
      <c r="R97" s="149"/>
      <c r="S97" s="149"/>
      <c r="T97" s="15"/>
      <c r="U97" s="15"/>
      <c r="CJ97" s="7"/>
      <c r="CK97" s="7"/>
      <c r="CL97" s="7"/>
      <c r="CN97" s="9"/>
      <c r="CO97" s="20"/>
      <c r="CP97" s="9"/>
    </row>
    <row r="98" spans="2:94" ht="15" customHeight="1">
      <c r="B98" s="11"/>
      <c r="C98" s="11"/>
      <c r="D98" s="179" t="s">
        <v>71</v>
      </c>
      <c r="E98" s="177">
        <v>43</v>
      </c>
      <c r="F98" s="157">
        <f t="shared" si="0"/>
        <v>41815.708333333328</v>
      </c>
      <c r="G98" s="158">
        <f>'Countries and Timezone'!R44</f>
        <v>41815.708333333328</v>
      </c>
      <c r="H98" s="159" t="str">
        <f>H37</f>
        <v>Nigeria</v>
      </c>
      <c r="I98" s="145"/>
      <c r="J98" s="75"/>
      <c r="K98" s="145"/>
      <c r="L98" s="145"/>
      <c r="M98" s="145"/>
      <c r="N98" s="145"/>
      <c r="O98" s="145"/>
      <c r="P98" s="145"/>
      <c r="Q98" s="145"/>
      <c r="R98" s="145"/>
      <c r="S98" s="145"/>
      <c r="T98" s="15"/>
      <c r="U98" s="15"/>
      <c r="CJ98" s="7"/>
      <c r="CK98" s="7"/>
      <c r="CL98" s="7"/>
      <c r="CN98" s="9"/>
      <c r="CO98" s="20"/>
      <c r="CP98" s="9"/>
    </row>
    <row r="99" spans="2:94" ht="15" customHeight="1">
      <c r="B99" s="11"/>
      <c r="C99" s="11"/>
      <c r="D99" s="180"/>
      <c r="E99" s="187"/>
      <c r="F99" s="194" t="s">
        <v>4386</v>
      </c>
      <c r="G99" s="194"/>
      <c r="H99" s="163" t="str">
        <f>H34</f>
        <v>Argentina</v>
      </c>
      <c r="I99" s="149"/>
      <c r="J99" s="75"/>
      <c r="K99" s="149"/>
      <c r="L99" s="149"/>
      <c r="M99" s="149"/>
      <c r="N99" s="149"/>
      <c r="O99" s="149"/>
      <c r="P99" s="149"/>
      <c r="Q99" s="149"/>
      <c r="R99" s="149"/>
      <c r="S99" s="149"/>
      <c r="T99" s="15"/>
      <c r="U99" s="15"/>
      <c r="CJ99" s="7"/>
      <c r="CK99" s="7"/>
      <c r="CL99" s="7"/>
      <c r="CN99" s="9"/>
      <c r="CO99" s="20"/>
      <c r="CP99" s="9"/>
    </row>
    <row r="100" spans="2:94" ht="15" customHeight="1">
      <c r="B100" s="11"/>
      <c r="C100" s="11"/>
      <c r="D100" s="180"/>
      <c r="E100" s="177">
        <v>44</v>
      </c>
      <c r="F100" s="157">
        <f t="shared" si="0"/>
        <v>41815.708333333328</v>
      </c>
      <c r="G100" s="158">
        <f>'Countries and Timezone'!R45</f>
        <v>41815.708333333328</v>
      </c>
      <c r="H100" s="159" t="str">
        <f>H35</f>
        <v>Bosnia-Herzegovina</v>
      </c>
      <c r="I100" s="145"/>
      <c r="J100" s="75"/>
      <c r="K100" s="145"/>
      <c r="L100" s="145"/>
      <c r="M100" s="145"/>
      <c r="N100" s="145"/>
      <c r="O100" s="145"/>
      <c r="P100" s="145"/>
      <c r="Q100" s="145"/>
      <c r="R100" s="145"/>
      <c r="S100" s="145"/>
      <c r="T100" s="15"/>
      <c r="U100" s="15"/>
      <c r="CJ100" s="7"/>
      <c r="CK100" s="7"/>
      <c r="CL100" s="7"/>
      <c r="CN100" s="9"/>
      <c r="CO100" s="20"/>
      <c r="CP100" s="9"/>
    </row>
    <row r="101" spans="2:94" ht="15" customHeight="1">
      <c r="B101" s="11"/>
      <c r="C101" s="11"/>
      <c r="D101" s="181"/>
      <c r="E101" s="187"/>
      <c r="F101" s="194" t="s">
        <v>4379</v>
      </c>
      <c r="G101" s="194"/>
      <c r="H101" s="163" t="str">
        <f>H36</f>
        <v>Iran</v>
      </c>
      <c r="I101" s="149"/>
      <c r="J101" s="75"/>
      <c r="K101" s="149"/>
      <c r="L101" s="149"/>
      <c r="M101" s="149"/>
      <c r="N101" s="149"/>
      <c r="O101" s="149"/>
      <c r="P101" s="149"/>
      <c r="Q101" s="149"/>
      <c r="R101" s="149"/>
      <c r="S101" s="149"/>
      <c r="T101" s="15"/>
      <c r="U101" s="15"/>
      <c r="CJ101" s="7"/>
      <c r="CK101" s="7"/>
      <c r="CL101" s="7"/>
      <c r="CN101" s="9"/>
      <c r="CO101" s="20"/>
      <c r="CP101" s="9"/>
    </row>
    <row r="102" spans="2:94" ht="15" customHeight="1">
      <c r="B102" s="11"/>
      <c r="C102" s="11"/>
      <c r="D102" s="179" t="s">
        <v>583</v>
      </c>
      <c r="E102" s="177">
        <v>45</v>
      </c>
      <c r="F102" s="157">
        <f t="shared" si="0"/>
        <v>41816.708333333328</v>
      </c>
      <c r="G102" s="158">
        <f>'Countries and Timezone'!R46</f>
        <v>41816.708333333328</v>
      </c>
      <c r="H102" s="159" t="str">
        <f>H41</f>
        <v>USA</v>
      </c>
      <c r="I102" s="145"/>
      <c r="J102" s="75"/>
      <c r="K102" s="145"/>
      <c r="L102" s="145"/>
      <c r="M102" s="145"/>
      <c r="N102" s="145"/>
      <c r="O102" s="145"/>
      <c r="P102" s="145"/>
      <c r="Q102" s="145"/>
      <c r="R102" s="145"/>
      <c r="S102" s="145"/>
      <c r="T102" s="15"/>
      <c r="U102" s="15"/>
      <c r="CJ102" s="7"/>
      <c r="CK102" s="7"/>
      <c r="CL102" s="7"/>
      <c r="CN102" s="9"/>
      <c r="CO102" s="20"/>
      <c r="CP102" s="9"/>
    </row>
    <row r="103" spans="2:94" ht="15" customHeight="1">
      <c r="B103" s="11"/>
      <c r="C103" s="11"/>
      <c r="D103" s="180"/>
      <c r="E103" s="187"/>
      <c r="F103" s="194" t="s">
        <v>4383</v>
      </c>
      <c r="G103" s="194"/>
      <c r="H103" s="163" t="str">
        <f>H38</f>
        <v>Germany</v>
      </c>
      <c r="I103" s="149"/>
      <c r="J103" s="75"/>
      <c r="K103" s="149"/>
      <c r="L103" s="149"/>
      <c r="M103" s="149"/>
      <c r="N103" s="149"/>
      <c r="O103" s="149"/>
      <c r="P103" s="149"/>
      <c r="Q103" s="149"/>
      <c r="R103" s="149"/>
      <c r="S103" s="149"/>
      <c r="T103" s="15"/>
      <c r="U103" s="15"/>
      <c r="CJ103" s="7"/>
      <c r="CK103" s="7"/>
      <c r="CL103" s="7"/>
      <c r="CN103" s="9"/>
      <c r="CO103" s="20"/>
      <c r="CP103" s="9"/>
    </row>
    <row r="104" spans="2:94" ht="15" customHeight="1">
      <c r="B104" s="11"/>
      <c r="C104" s="11"/>
      <c r="D104" s="180"/>
      <c r="E104" s="177">
        <v>46</v>
      </c>
      <c r="F104" s="157">
        <f t="shared" si="0"/>
        <v>41816.708333333328</v>
      </c>
      <c r="G104" s="158">
        <f>'Countries and Timezone'!R47</f>
        <v>41816.708333333328</v>
      </c>
      <c r="H104" s="159" t="str">
        <f>H39</f>
        <v>Portugal</v>
      </c>
      <c r="I104" s="145"/>
      <c r="J104" s="75"/>
      <c r="K104" s="145"/>
      <c r="L104" s="145"/>
      <c r="M104" s="145"/>
      <c r="N104" s="145"/>
      <c r="O104" s="145"/>
      <c r="P104" s="145"/>
      <c r="Q104" s="145"/>
      <c r="R104" s="145"/>
      <c r="S104" s="145"/>
      <c r="T104" s="15"/>
      <c r="U104" s="15"/>
      <c r="CJ104" s="7"/>
      <c r="CM104" s="20"/>
      <c r="CN104" s="9"/>
    </row>
    <row r="105" spans="2:94" ht="15" customHeight="1">
      <c r="B105" s="11"/>
      <c r="C105" s="11"/>
      <c r="D105" s="181"/>
      <c r="E105" s="187"/>
      <c r="F105" s="194" t="s">
        <v>329</v>
      </c>
      <c r="G105" s="194"/>
      <c r="H105" s="163" t="str">
        <f>H40</f>
        <v>Ghana</v>
      </c>
      <c r="I105" s="149"/>
      <c r="J105" s="75"/>
      <c r="K105" s="149"/>
      <c r="L105" s="149"/>
      <c r="M105" s="149"/>
      <c r="N105" s="149"/>
      <c r="O105" s="149"/>
      <c r="P105" s="149"/>
      <c r="Q105" s="149"/>
      <c r="R105" s="149"/>
      <c r="S105" s="149"/>
      <c r="T105" s="15"/>
      <c r="U105" s="15"/>
      <c r="CJ105" s="7"/>
      <c r="CM105" s="20"/>
      <c r="CN105" s="9"/>
    </row>
    <row r="106" spans="2:94" ht="15" customHeight="1">
      <c r="B106" s="11"/>
      <c r="C106" s="11"/>
      <c r="D106" s="179" t="s">
        <v>584</v>
      </c>
      <c r="E106" s="177">
        <v>47</v>
      </c>
      <c r="F106" s="157">
        <f t="shared" si="0"/>
        <v>41816.875</v>
      </c>
      <c r="G106" s="158">
        <f>'Countries and Timezone'!R48</f>
        <v>41816.875</v>
      </c>
      <c r="H106" s="159" t="str">
        <f>H45</f>
        <v>South Korea</v>
      </c>
      <c r="I106" s="145"/>
      <c r="J106" s="75"/>
      <c r="K106" s="145"/>
      <c r="L106" s="145"/>
      <c r="M106" s="145"/>
      <c r="N106" s="145"/>
      <c r="O106" s="145"/>
      <c r="P106" s="145"/>
      <c r="Q106" s="145"/>
      <c r="R106" s="145"/>
      <c r="S106" s="145"/>
      <c r="T106" s="15"/>
      <c r="U106" s="15"/>
      <c r="CL106" s="20"/>
    </row>
    <row r="107" spans="2:94" ht="15" customHeight="1">
      <c r="B107" s="11"/>
      <c r="C107" s="11"/>
      <c r="D107" s="180"/>
      <c r="E107" s="187"/>
      <c r="F107" s="194" t="s">
        <v>3818</v>
      </c>
      <c r="G107" s="194"/>
      <c r="H107" s="163" t="str">
        <f>H42</f>
        <v>Belgium</v>
      </c>
      <c r="I107" s="149"/>
      <c r="J107" s="75"/>
      <c r="K107" s="149"/>
      <c r="L107" s="149"/>
      <c r="M107" s="149"/>
      <c r="N107" s="149"/>
      <c r="O107" s="149"/>
      <c r="P107" s="149"/>
      <c r="Q107" s="149"/>
      <c r="R107" s="149"/>
      <c r="S107" s="149"/>
      <c r="T107" s="15"/>
      <c r="U107" s="15"/>
      <c r="CL107" s="20"/>
    </row>
    <row r="108" spans="2:94" ht="15" customHeight="1">
      <c r="B108" s="11"/>
      <c r="C108" s="11"/>
      <c r="D108" s="180"/>
      <c r="E108" s="177">
        <v>48</v>
      </c>
      <c r="F108" s="157">
        <f t="shared" si="0"/>
        <v>41816.875</v>
      </c>
      <c r="G108" s="158">
        <f>'Countries and Timezone'!R49</f>
        <v>41816.875</v>
      </c>
      <c r="H108" s="159" t="str">
        <f>H43</f>
        <v>Algeria</v>
      </c>
      <c r="I108" s="145"/>
      <c r="J108" s="75"/>
      <c r="K108" s="145"/>
      <c r="L108" s="145"/>
      <c r="M108" s="145"/>
      <c r="N108" s="145"/>
      <c r="O108" s="145"/>
      <c r="P108" s="145"/>
      <c r="Q108" s="145"/>
      <c r="R108" s="145"/>
      <c r="S108" s="145"/>
      <c r="T108" s="15"/>
      <c r="U108" s="15"/>
      <c r="CL108" s="20"/>
    </row>
    <row r="109" spans="2:94" ht="15" customHeight="1">
      <c r="B109" s="11"/>
      <c r="C109" s="11"/>
      <c r="D109" s="181"/>
      <c r="E109" s="187"/>
      <c r="F109" s="194" t="s">
        <v>4387</v>
      </c>
      <c r="G109" s="194"/>
      <c r="H109" s="174" t="str">
        <f>H44</f>
        <v>Russia</v>
      </c>
      <c r="I109" s="169"/>
      <c r="J109" s="75"/>
      <c r="K109" s="169"/>
      <c r="L109" s="169"/>
      <c r="M109" s="169"/>
      <c r="N109" s="169"/>
      <c r="O109" s="169"/>
      <c r="P109" s="169"/>
      <c r="Q109" s="169"/>
      <c r="R109" s="169"/>
      <c r="S109" s="169"/>
      <c r="T109" s="15"/>
      <c r="U109" s="15"/>
      <c r="CL109" s="20"/>
    </row>
    <row r="110" spans="2:94" ht="15" customHeight="1">
      <c r="B110" s="11"/>
      <c r="C110" s="23"/>
      <c r="D110" s="24"/>
      <c r="E110" s="24"/>
      <c r="F110" s="26"/>
      <c r="G110" s="26"/>
      <c r="H110" s="25"/>
      <c r="I110" s="24"/>
      <c r="J110" s="24"/>
      <c r="K110" s="26"/>
      <c r="L110" s="24"/>
      <c r="M110" s="24"/>
      <c r="N110" s="24"/>
      <c r="O110" s="24"/>
      <c r="P110" s="24"/>
      <c r="Q110" s="24"/>
      <c r="R110" s="24"/>
      <c r="S110" s="24"/>
      <c r="T110" s="27"/>
      <c r="U110" s="15"/>
      <c r="CL110" s="20"/>
    </row>
    <row r="111" spans="2:94" ht="15" customHeight="1">
      <c r="B111" s="11"/>
      <c r="U111" s="15"/>
    </row>
    <row r="112" spans="2:94" ht="15" customHeight="1">
      <c r="B112" s="11"/>
      <c r="P112" s="28"/>
      <c r="Q112" s="19" t="s">
        <v>3929</v>
      </c>
      <c r="U112" s="15"/>
    </row>
    <row r="113" spans="2:21" ht="15" customHeight="1">
      <c r="B113" s="11"/>
      <c r="P113" s="8"/>
      <c r="Q113" s="19" t="str">
        <f ca="1">IF('Knock Out Stages'!R11&lt;&gt;"",'Knock Out Stages'!R11,"")</f>
        <v/>
      </c>
      <c r="R113" s="7" t="str">
        <f ca="1">IF('Knock Out Stages'!S11&lt;&gt;"",'Knock Out Stages'!S11,"")</f>
        <v/>
      </c>
      <c r="U113" s="15"/>
    </row>
    <row r="114" spans="2:21" ht="15" customHeight="1">
      <c r="B114" s="11"/>
      <c r="Q114" s="19" t="str">
        <f ca="1">IF('Knock Out Stages'!R12&lt;&gt;"",'Knock Out Stages'!R12,"")</f>
        <v/>
      </c>
      <c r="R114" s="7" t="str">
        <f ca="1">IF('Knock Out Stages'!S12&lt;&gt;"",'Knock Out Stages'!S12,"")</f>
        <v/>
      </c>
      <c r="U114" s="15"/>
    </row>
    <row r="115" spans="2:21" ht="15" customHeight="1">
      <c r="B115" s="11"/>
      <c r="Q115" s="19" t="str">
        <f ca="1">IF('Knock Out Stages'!R13&lt;&gt;"",'Knock Out Stages'!R13,"")</f>
        <v/>
      </c>
      <c r="R115" s="7" t="str">
        <f ca="1">IF('Knock Out Stages'!S13&lt;&gt;"",'Knock Out Stages'!S13,"")</f>
        <v/>
      </c>
      <c r="U115" s="15"/>
    </row>
    <row r="116" spans="2:21" ht="15" customHeight="1">
      <c r="B116" s="11"/>
      <c r="Q116" s="19" t="str">
        <f ca="1">IF('Knock Out Stages'!R14&lt;&gt;"",'Knock Out Stages'!R14,"")</f>
        <v/>
      </c>
      <c r="R116" s="7" t="str">
        <f ca="1">IF('Knock Out Stages'!S14&lt;&gt;"",'Knock Out Stages'!S14,"")</f>
        <v/>
      </c>
      <c r="U116" s="15"/>
    </row>
    <row r="117" spans="2:21" ht="15" customHeight="1">
      <c r="B117" s="11"/>
      <c r="Q117" s="19" t="str">
        <f ca="1">IF('Knock Out Stages'!R15&lt;&gt;"",'Knock Out Stages'!R15,"")</f>
        <v/>
      </c>
      <c r="R117" s="7" t="str">
        <f ca="1">IF('Knock Out Stages'!S15&lt;&gt;"",'Knock Out Stages'!S15,"")</f>
        <v/>
      </c>
      <c r="U117" s="15"/>
    </row>
    <row r="118" spans="2:21" ht="15" customHeight="1">
      <c r="B118" s="11"/>
      <c r="Q118" s="19" t="str">
        <f ca="1">IF('Knock Out Stages'!R16&lt;&gt;"",'Knock Out Stages'!R16,"")</f>
        <v/>
      </c>
      <c r="R118" s="7" t="str">
        <f ca="1">IF('Knock Out Stages'!S16&lt;&gt;"",'Knock Out Stages'!S16,"")</f>
        <v/>
      </c>
      <c r="U118" s="15"/>
    </row>
    <row r="119" spans="2:21" ht="15" customHeight="1">
      <c r="B119" s="11"/>
      <c r="Q119" s="19" t="str">
        <f ca="1">IF('Knock Out Stages'!R17&lt;&gt;"",'Knock Out Stages'!R17,"")</f>
        <v/>
      </c>
      <c r="R119" s="7" t="str">
        <f ca="1">IF('Knock Out Stages'!S17&lt;&gt;"",'Knock Out Stages'!S17,"")</f>
        <v/>
      </c>
      <c r="U119" s="15"/>
    </row>
    <row r="120" spans="2:21" ht="15" customHeight="1">
      <c r="B120" s="11"/>
      <c r="Q120" s="19" t="str">
        <f ca="1">IF('Knock Out Stages'!R18&lt;&gt;"",'Knock Out Stages'!R18,"")</f>
        <v/>
      </c>
      <c r="R120" s="7" t="str">
        <f ca="1">IF('Knock Out Stages'!S18&lt;&gt;"",'Knock Out Stages'!S18,"")</f>
        <v/>
      </c>
      <c r="U120" s="15"/>
    </row>
    <row r="121" spans="2:21" ht="15" customHeight="1">
      <c r="B121" s="11"/>
      <c r="Q121" s="19" t="str">
        <f ca="1">IF('Knock Out Stages'!R19&lt;&gt;"",'Knock Out Stages'!R19,"")</f>
        <v/>
      </c>
      <c r="R121" s="7" t="str">
        <f ca="1">IF('Knock Out Stages'!S19&lt;&gt;"",'Knock Out Stages'!S19,"")</f>
        <v/>
      </c>
      <c r="U121" s="15"/>
    </row>
    <row r="122" spans="2:21" ht="15" customHeight="1">
      <c r="B122" s="11"/>
      <c r="C122" s="18"/>
      <c r="D122" s="12"/>
      <c r="E122" s="12"/>
      <c r="F122" s="12"/>
      <c r="G122" s="12"/>
      <c r="H122" s="12"/>
      <c r="I122" s="12"/>
      <c r="J122" s="12"/>
      <c r="K122" s="13"/>
      <c r="L122" s="12"/>
      <c r="M122" s="12"/>
      <c r="N122" s="12"/>
      <c r="O122" s="12"/>
      <c r="P122" s="12"/>
      <c r="Q122" s="19" t="str">
        <f ca="1">IF('Knock Out Stages'!R20&lt;&gt;"",'Knock Out Stages'!R20,"")</f>
        <v/>
      </c>
      <c r="R122" s="7" t="str">
        <f ca="1">IF('Knock Out Stages'!S20&lt;&gt;"",'Knock Out Stages'!S20,"")</f>
        <v/>
      </c>
      <c r="T122" s="12"/>
      <c r="U122" s="15"/>
    </row>
    <row r="123" spans="2:21" ht="15" customHeight="1">
      <c r="B123" s="11"/>
      <c r="C123" s="12"/>
      <c r="D123" s="13"/>
      <c r="E123" s="12"/>
      <c r="F123" s="12"/>
      <c r="G123" s="12"/>
      <c r="H123" s="12"/>
      <c r="I123" s="12"/>
      <c r="J123" s="12"/>
      <c r="K123" s="13"/>
      <c r="L123" s="12"/>
      <c r="M123" s="12"/>
      <c r="N123" s="12"/>
      <c r="O123" s="12"/>
      <c r="P123" s="12"/>
      <c r="Q123" s="19" t="str">
        <f ca="1">IF('Knock Out Stages'!R21&lt;&gt;"",'Knock Out Stages'!R21,"")</f>
        <v/>
      </c>
      <c r="R123" s="7" t="str">
        <f ca="1">IF('Knock Out Stages'!S21&lt;&gt;"",'Knock Out Stages'!S21,"")</f>
        <v/>
      </c>
      <c r="T123" s="12"/>
      <c r="U123" s="15"/>
    </row>
    <row r="124" spans="2:21" ht="15" customHeight="1">
      <c r="B124" s="11"/>
      <c r="C124" s="12"/>
      <c r="D124" s="13"/>
      <c r="E124" s="12"/>
      <c r="F124" s="12"/>
      <c r="G124" s="12"/>
      <c r="H124" s="12"/>
      <c r="I124" s="12"/>
      <c r="J124" s="12"/>
      <c r="K124" s="13"/>
      <c r="L124" s="12"/>
      <c r="M124" s="12"/>
      <c r="N124" s="12"/>
      <c r="O124" s="12"/>
      <c r="P124" s="12"/>
      <c r="Q124" s="19" t="str">
        <f ca="1">IF('Knock Out Stages'!R22&lt;&gt;"",'Knock Out Stages'!R22,"")</f>
        <v/>
      </c>
      <c r="R124" s="7" t="str">
        <f ca="1">IF('Knock Out Stages'!S22&lt;&gt;"",'Knock Out Stages'!S22,"")</f>
        <v/>
      </c>
      <c r="T124" s="12"/>
      <c r="U124" s="15"/>
    </row>
    <row r="125" spans="2:21" ht="15" customHeight="1">
      <c r="B125" s="11"/>
      <c r="C125" s="12"/>
      <c r="D125" s="13"/>
      <c r="E125" s="12"/>
      <c r="F125" s="12"/>
      <c r="G125" s="12"/>
      <c r="H125" s="12"/>
      <c r="I125" s="12"/>
      <c r="J125" s="12"/>
      <c r="K125" s="13"/>
      <c r="L125" s="12"/>
      <c r="M125" s="12"/>
      <c r="N125" s="12"/>
      <c r="O125" s="12"/>
      <c r="P125" s="12"/>
      <c r="Q125" s="19" t="str">
        <f ca="1">IF('Knock Out Stages'!R23&lt;&gt;"",'Knock Out Stages'!R23,"")</f>
        <v/>
      </c>
      <c r="R125" s="7" t="str">
        <f ca="1">IF('Knock Out Stages'!S23&lt;&gt;"",'Knock Out Stages'!S23,"")</f>
        <v/>
      </c>
      <c r="T125" s="12"/>
      <c r="U125" s="15"/>
    </row>
    <row r="126" spans="2:21" ht="15" customHeight="1">
      <c r="B126" s="11"/>
      <c r="C126" s="12"/>
      <c r="D126" s="13"/>
      <c r="E126" s="12"/>
      <c r="F126" s="12"/>
      <c r="G126" s="12"/>
      <c r="H126" s="12"/>
      <c r="I126" s="12"/>
      <c r="J126" s="12"/>
      <c r="K126" s="13"/>
      <c r="L126" s="12"/>
      <c r="M126" s="12"/>
      <c r="N126" s="12"/>
      <c r="O126" s="12"/>
      <c r="P126" s="12"/>
      <c r="Q126" s="19" t="str">
        <f ca="1">IF('Knock Out Stages'!R24&lt;&gt;"",'Knock Out Stages'!R24,"")</f>
        <v/>
      </c>
      <c r="R126" s="7" t="str">
        <f ca="1">IF('Knock Out Stages'!S24&lt;&gt;"",'Knock Out Stages'!S24,"")</f>
        <v/>
      </c>
      <c r="T126" s="12"/>
      <c r="U126" s="15"/>
    </row>
    <row r="127" spans="2:21" ht="15" customHeight="1">
      <c r="B127" s="11"/>
      <c r="C127" s="12"/>
      <c r="D127" s="13"/>
      <c r="E127" s="12"/>
      <c r="F127" s="12"/>
      <c r="G127" s="12"/>
      <c r="H127" s="12"/>
      <c r="I127" s="12"/>
      <c r="J127" s="12"/>
      <c r="K127" s="13"/>
      <c r="L127" s="12"/>
      <c r="M127" s="12"/>
      <c r="N127" s="12"/>
      <c r="O127" s="12"/>
      <c r="P127" s="12"/>
      <c r="Q127" s="19" t="str">
        <f ca="1">IF('Knock Out Stages'!R25&lt;&gt;"",'Knock Out Stages'!R25,"")</f>
        <v/>
      </c>
      <c r="R127" s="7" t="str">
        <f ca="1">IF('Knock Out Stages'!S25&lt;&gt;"",'Knock Out Stages'!S25,"")</f>
        <v/>
      </c>
      <c r="T127" s="12"/>
      <c r="U127" s="15"/>
    </row>
    <row r="128" spans="2:21" ht="15" customHeight="1">
      <c r="B128" s="11"/>
      <c r="C128" s="12"/>
      <c r="D128" s="13"/>
      <c r="E128" s="12"/>
      <c r="F128" s="12"/>
      <c r="G128" s="12"/>
      <c r="H128" s="12"/>
      <c r="I128" s="12"/>
      <c r="J128" s="12"/>
      <c r="K128" s="13"/>
      <c r="L128" s="12"/>
      <c r="M128" s="12"/>
      <c r="N128" s="12"/>
      <c r="O128" s="12"/>
      <c r="P128" s="12"/>
      <c r="Q128" s="19" t="str">
        <f ca="1">IF('Knock Out Stages'!R26&lt;&gt;"",'Knock Out Stages'!R26,"")</f>
        <v/>
      </c>
      <c r="R128" s="7" t="str">
        <f ca="1">IF('Knock Out Stages'!S26&lt;&gt;"",'Knock Out Stages'!S26,"")</f>
        <v/>
      </c>
      <c r="T128" s="12"/>
      <c r="U128" s="15"/>
    </row>
    <row r="129" spans="2:21" ht="15" customHeight="1">
      <c r="B129" s="11"/>
      <c r="C129" s="12"/>
      <c r="D129" s="13"/>
      <c r="E129" s="12"/>
      <c r="F129" s="12"/>
      <c r="G129" s="12"/>
      <c r="H129" s="12"/>
      <c r="I129" s="12"/>
      <c r="J129" s="12"/>
      <c r="K129" s="13"/>
      <c r="L129" s="12"/>
      <c r="M129" s="12"/>
      <c r="N129" s="12"/>
      <c r="O129" s="12"/>
      <c r="P129" s="12"/>
      <c r="Q129" s="19" t="str">
        <f ca="1">IF('Knock Out Stages'!R27&lt;&gt;"",'Knock Out Stages'!R27,"")</f>
        <v/>
      </c>
      <c r="R129" s="7" t="str">
        <f ca="1">IF('Knock Out Stages'!S27&lt;&gt;"",'Knock Out Stages'!S27,"")</f>
        <v/>
      </c>
      <c r="T129" s="12"/>
      <c r="U129" s="15"/>
    </row>
    <row r="130" spans="2:21" ht="15" customHeight="1">
      <c r="B130" s="11"/>
      <c r="C130" s="12"/>
      <c r="D130" s="13"/>
      <c r="E130" s="12"/>
      <c r="F130" s="12"/>
      <c r="G130" s="12"/>
      <c r="H130" s="12"/>
      <c r="I130" s="12"/>
      <c r="J130" s="12"/>
      <c r="K130" s="13"/>
      <c r="L130" s="12"/>
      <c r="M130" s="12"/>
      <c r="N130" s="12"/>
      <c r="O130" s="12"/>
      <c r="P130" s="12"/>
      <c r="Q130" s="19" t="str">
        <f ca="1">IF('Knock Out Stages'!R28&lt;&gt;"",'Knock Out Stages'!R28,"")</f>
        <v/>
      </c>
      <c r="R130" s="7" t="str">
        <f ca="1">IF('Knock Out Stages'!S28&lt;&gt;"",'Knock Out Stages'!S28,"")</f>
        <v/>
      </c>
      <c r="T130" s="12"/>
      <c r="U130" s="15"/>
    </row>
    <row r="131" spans="2:21" ht="15" customHeight="1">
      <c r="B131" s="11"/>
      <c r="C131" s="12"/>
      <c r="D131" s="13"/>
      <c r="E131" s="12"/>
      <c r="F131" s="12"/>
      <c r="G131" s="12"/>
      <c r="H131" s="12"/>
      <c r="I131" s="12"/>
      <c r="J131" s="12"/>
      <c r="K131" s="13"/>
      <c r="L131" s="12"/>
      <c r="M131" s="12"/>
      <c r="N131" s="12"/>
      <c r="O131" s="12"/>
      <c r="P131" s="12"/>
      <c r="Q131" s="19" t="str">
        <f ca="1">IF('Knock Out Stages'!R29&lt;&gt;"",'Knock Out Stages'!R29,"")</f>
        <v/>
      </c>
      <c r="R131" s="7" t="str">
        <f ca="1">IF('Knock Out Stages'!S29&lt;&gt;"",'Knock Out Stages'!S29,"")</f>
        <v/>
      </c>
      <c r="T131" s="12"/>
      <c r="U131" s="15"/>
    </row>
    <row r="132" spans="2:21" ht="15" customHeight="1">
      <c r="B132" s="11"/>
      <c r="C132" s="12"/>
      <c r="D132" s="13"/>
      <c r="E132" s="12"/>
      <c r="F132" s="12"/>
      <c r="G132" s="12"/>
      <c r="H132" s="12"/>
      <c r="I132" s="12"/>
      <c r="J132" s="12"/>
      <c r="K132" s="13"/>
      <c r="L132" s="12"/>
      <c r="M132" s="12"/>
      <c r="N132" s="12"/>
      <c r="O132" s="12"/>
      <c r="P132" s="12"/>
      <c r="Q132" s="19" t="str">
        <f ca="1">IF('Knock Out Stages'!R30&lt;&gt;"",'Knock Out Stages'!R30,"")</f>
        <v/>
      </c>
      <c r="R132" s="7" t="str">
        <f ca="1">IF('Knock Out Stages'!S30&lt;&gt;"",'Knock Out Stages'!S30,"")</f>
        <v/>
      </c>
      <c r="T132" s="12"/>
      <c r="U132" s="15"/>
    </row>
    <row r="133" spans="2:21" ht="15" customHeight="1">
      <c r="B133" s="11"/>
      <c r="C133" s="12"/>
      <c r="D133" s="13"/>
      <c r="E133" s="12"/>
      <c r="F133" s="12"/>
      <c r="G133" s="12"/>
      <c r="H133" s="12"/>
      <c r="I133" s="12"/>
      <c r="J133" s="12"/>
      <c r="K133" s="13"/>
      <c r="L133" s="12"/>
      <c r="M133" s="12"/>
      <c r="N133" s="12"/>
      <c r="O133" s="12"/>
      <c r="P133" s="12"/>
      <c r="Q133" s="19" t="str">
        <f ca="1">IF('Knock Out Stages'!R31&lt;&gt;"",'Knock Out Stages'!R31,"")</f>
        <v/>
      </c>
      <c r="R133" s="7" t="str">
        <f ca="1">IF('Knock Out Stages'!S31&lt;&gt;"",'Knock Out Stages'!S31,"")</f>
        <v/>
      </c>
      <c r="T133" s="12"/>
      <c r="U133" s="15"/>
    </row>
    <row r="134" spans="2:21" ht="15" customHeight="1">
      <c r="B134" s="11"/>
      <c r="C134" s="12"/>
      <c r="D134" s="13"/>
      <c r="E134" s="12"/>
      <c r="F134" s="12"/>
      <c r="G134" s="12"/>
      <c r="H134" s="12"/>
      <c r="I134" s="12"/>
      <c r="J134" s="12"/>
      <c r="K134" s="13"/>
      <c r="L134" s="12"/>
      <c r="M134" s="12"/>
      <c r="N134" s="12"/>
      <c r="O134" s="12"/>
      <c r="P134" s="12"/>
      <c r="Q134" s="19" t="str">
        <f ca="1">IF('Knock Out Stages'!R32&lt;&gt;"",'Knock Out Stages'!R32,"")</f>
        <v/>
      </c>
      <c r="R134" s="7" t="str">
        <f ca="1">IF('Knock Out Stages'!S32&lt;&gt;"",'Knock Out Stages'!S32,"")</f>
        <v/>
      </c>
      <c r="T134" s="12"/>
      <c r="U134" s="15"/>
    </row>
    <row r="135" spans="2:21" ht="15" customHeight="1">
      <c r="B135" s="23"/>
      <c r="C135" s="24" t="s">
        <v>4388</v>
      </c>
      <c r="D135" s="24"/>
      <c r="E135" s="24"/>
      <c r="F135" s="24"/>
      <c r="G135" s="24"/>
      <c r="H135" s="24"/>
      <c r="I135" s="24"/>
      <c r="J135" s="24"/>
      <c r="K135" s="26"/>
      <c r="L135" s="24"/>
      <c r="M135" s="24"/>
      <c r="N135" s="24"/>
      <c r="O135" s="24"/>
      <c r="P135" s="24"/>
      <c r="Q135" s="24"/>
      <c r="R135" s="24"/>
      <c r="S135" s="24"/>
      <c r="T135" s="24"/>
      <c r="U135" s="27"/>
    </row>
    <row r="136" spans="2:21" ht="15" customHeight="1"/>
    <row r="137" spans="2:21"/>
  </sheetData>
  <sheetProtection password="CAB5" sheet="1" objects="1" scenarios="1" formatCells="0" formatColumns="0" formatRows="0" insertColumns="0" insertRows="0" insertHyperlinks="0" sort="0" autoFilter="0" pivotTables="0"/>
  <mergeCells count="126">
    <mergeCell ref="F101:G101"/>
    <mergeCell ref="F103:G103"/>
    <mergeCell ref="F105:G105"/>
    <mergeCell ref="F107:G107"/>
    <mergeCell ref="F109:G109"/>
    <mergeCell ref="F91:G91"/>
    <mergeCell ref="F93:G93"/>
    <mergeCell ref="F95:G95"/>
    <mergeCell ref="F97:G97"/>
    <mergeCell ref="F99:G99"/>
    <mergeCell ref="F81:G81"/>
    <mergeCell ref="F83:G83"/>
    <mergeCell ref="F85:G85"/>
    <mergeCell ref="F87:G87"/>
    <mergeCell ref="F89:G89"/>
    <mergeCell ref="F71:G71"/>
    <mergeCell ref="F73:G73"/>
    <mergeCell ref="F75:G75"/>
    <mergeCell ref="F77:G77"/>
    <mergeCell ref="F79:G79"/>
    <mergeCell ref="F61:G61"/>
    <mergeCell ref="F63:G63"/>
    <mergeCell ref="F65:G65"/>
    <mergeCell ref="F67:G67"/>
    <mergeCell ref="F69:G69"/>
    <mergeCell ref="F51:G51"/>
    <mergeCell ref="F53:G53"/>
    <mergeCell ref="F55:G55"/>
    <mergeCell ref="F57:G57"/>
    <mergeCell ref="F59:G59"/>
    <mergeCell ref="F41:G41"/>
    <mergeCell ref="F43:G43"/>
    <mergeCell ref="F45:G45"/>
    <mergeCell ref="F47:G47"/>
    <mergeCell ref="F49:G49"/>
    <mergeCell ref="E104:E105"/>
    <mergeCell ref="E106:E107"/>
    <mergeCell ref="E108:E109"/>
    <mergeCell ref="F15:G15"/>
    <mergeCell ref="F17:G17"/>
    <mergeCell ref="F19:G19"/>
    <mergeCell ref="F21:G21"/>
    <mergeCell ref="F23:G23"/>
    <mergeCell ref="F25:G25"/>
    <mergeCell ref="F27:G27"/>
    <mergeCell ref="F29:G29"/>
    <mergeCell ref="F31:G31"/>
    <mergeCell ref="F33:G33"/>
    <mergeCell ref="F35:G35"/>
    <mergeCell ref="F37:G37"/>
    <mergeCell ref="F39:G39"/>
    <mergeCell ref="E94:E95"/>
    <mergeCell ref="E96:E97"/>
    <mergeCell ref="E98:E99"/>
    <mergeCell ref="E100:E101"/>
    <mergeCell ref="E102:E103"/>
    <mergeCell ref="E84:E85"/>
    <mergeCell ref="E86:E87"/>
    <mergeCell ref="E88:E89"/>
    <mergeCell ref="E90:E91"/>
    <mergeCell ref="E92:E93"/>
    <mergeCell ref="E74:E75"/>
    <mergeCell ref="E76:E77"/>
    <mergeCell ref="E78:E79"/>
    <mergeCell ref="E80:E81"/>
    <mergeCell ref="E82:E83"/>
    <mergeCell ref="E64:E65"/>
    <mergeCell ref="E66:E67"/>
    <mergeCell ref="E68:E69"/>
    <mergeCell ref="E70:E71"/>
    <mergeCell ref="E72:E73"/>
    <mergeCell ref="E54:E55"/>
    <mergeCell ref="E56:E57"/>
    <mergeCell ref="E58:E59"/>
    <mergeCell ref="E60:E61"/>
    <mergeCell ref="E62:E63"/>
    <mergeCell ref="D106:D109"/>
    <mergeCell ref="E24:E25"/>
    <mergeCell ref="E26:E27"/>
    <mergeCell ref="E28:E29"/>
    <mergeCell ref="E30:E31"/>
    <mergeCell ref="E32:E33"/>
    <mergeCell ref="E34:E35"/>
    <mergeCell ref="E36:E37"/>
    <mergeCell ref="E38:E39"/>
    <mergeCell ref="E40:E41"/>
    <mergeCell ref="E42:E43"/>
    <mergeCell ref="E44:E45"/>
    <mergeCell ref="E46:E47"/>
    <mergeCell ref="E48:E49"/>
    <mergeCell ref="E50:E51"/>
    <mergeCell ref="E52:E53"/>
    <mergeCell ref="D86:D89"/>
    <mergeCell ref="D90:D93"/>
    <mergeCell ref="D94:D97"/>
    <mergeCell ref="D98:D101"/>
    <mergeCell ref="D102:D105"/>
    <mergeCell ref="D66:D69"/>
    <mergeCell ref="D70:D73"/>
    <mergeCell ref="D74:D77"/>
    <mergeCell ref="D78:D81"/>
    <mergeCell ref="D82:D85"/>
    <mergeCell ref="D46:D49"/>
    <mergeCell ref="D50:D53"/>
    <mergeCell ref="D54:D57"/>
    <mergeCell ref="D58:D61"/>
    <mergeCell ref="D62:D65"/>
    <mergeCell ref="D26:D29"/>
    <mergeCell ref="D30:D33"/>
    <mergeCell ref="D34:D37"/>
    <mergeCell ref="D38:D41"/>
    <mergeCell ref="D42:D45"/>
    <mergeCell ref="E20:E21"/>
    <mergeCell ref="E22:E23"/>
    <mergeCell ref="D18:D21"/>
    <mergeCell ref="D22:D25"/>
    <mergeCell ref="C10:T10"/>
    <mergeCell ref="N2:U4"/>
    <mergeCell ref="E14:E15"/>
    <mergeCell ref="E16:E17"/>
    <mergeCell ref="E18:E19"/>
    <mergeCell ref="G2:K2"/>
    <mergeCell ref="G4:K4"/>
    <mergeCell ref="B6:U6"/>
    <mergeCell ref="B8:U8"/>
    <mergeCell ref="D14:D17"/>
  </mergeCells>
  <conditionalFormatting sqref="J14:J109">
    <cfRule type="expression" dxfId="342" priority="72">
      <formula>ISBLANK(J14)</formula>
    </cfRule>
  </conditionalFormatting>
  <conditionalFormatting sqref="H14 H16 H18 H20 H22 H24 H26 H28 H30 H32 H34 H36 H38 H40 H42 H44">
    <cfRule type="expression" dxfId="341" priority="131" stopIfTrue="1">
      <formula>J14&gt;J15</formula>
    </cfRule>
    <cfRule type="expression" dxfId="340" priority="132" stopIfTrue="1">
      <formula>J14&lt;J15</formula>
    </cfRule>
  </conditionalFormatting>
  <conditionalFormatting sqref="H15 H17 H19 H21 H23 H25 H27 H29 H31 H33 H35 H37 H39 H41 H43 H45 H110">
    <cfRule type="expression" dxfId="339" priority="139" stopIfTrue="1">
      <formula>J15&gt;J14</formula>
    </cfRule>
    <cfRule type="expression" dxfId="338" priority="140" stopIfTrue="1">
      <formula>J15&lt;J14</formula>
    </cfRule>
  </conditionalFormatting>
  <conditionalFormatting sqref="L14:L45">
    <cfRule type="expression" dxfId="337" priority="34">
      <formula>$J14&gt;=1</formula>
    </cfRule>
  </conditionalFormatting>
  <conditionalFormatting sqref="M14:M45">
    <cfRule type="expression" dxfId="336" priority="33">
      <formula>$J14&gt;=2</formula>
    </cfRule>
  </conditionalFormatting>
  <conditionalFormatting sqref="N14:N45">
    <cfRule type="expression" dxfId="335" priority="32">
      <formula>$J14&gt;=3</formula>
    </cfRule>
  </conditionalFormatting>
  <conditionalFormatting sqref="O14:O45">
    <cfRule type="expression" dxfId="334" priority="31">
      <formula>$J14&gt;=4</formula>
    </cfRule>
  </conditionalFormatting>
  <conditionalFormatting sqref="P14:P45">
    <cfRule type="expression" dxfId="333" priority="30">
      <formula>$J14&gt;=5</formula>
    </cfRule>
  </conditionalFormatting>
  <conditionalFormatting sqref="Q14:Q45">
    <cfRule type="expression" dxfId="332" priority="29">
      <formula>$J14&gt;=6</formula>
    </cfRule>
  </conditionalFormatting>
  <conditionalFormatting sqref="R14:R45">
    <cfRule type="expression" dxfId="331" priority="28">
      <formula>$J14&gt;=7</formula>
    </cfRule>
  </conditionalFormatting>
  <conditionalFormatting sqref="S14:S45">
    <cfRule type="expression" dxfId="330" priority="27">
      <formula>$J14&gt;=8</formula>
    </cfRule>
  </conditionalFormatting>
  <conditionalFormatting sqref="H46 H48 H50 H52 H54 H56 H58 H60 H62 H64 H66 H68 H70 H72 H74 H76">
    <cfRule type="expression" dxfId="329" priority="23" stopIfTrue="1">
      <formula>J46&gt;J47</formula>
    </cfRule>
    <cfRule type="expression" dxfId="328" priority="24" stopIfTrue="1">
      <formula>J46&lt;J47</formula>
    </cfRule>
  </conditionalFormatting>
  <conditionalFormatting sqref="H47 H49 H51 H53 H55 H57 H59 H61 H63 H65 H67 H69 H71 H73 H75 H77">
    <cfRule type="expression" dxfId="327" priority="25" stopIfTrue="1">
      <formula>J47&gt;J46</formula>
    </cfRule>
    <cfRule type="expression" dxfId="326" priority="26" stopIfTrue="1">
      <formula>J47&lt;J46</formula>
    </cfRule>
  </conditionalFormatting>
  <conditionalFormatting sqref="L46:L77">
    <cfRule type="expression" dxfId="325" priority="21">
      <formula>$J46&gt;=1</formula>
    </cfRule>
  </conditionalFormatting>
  <conditionalFormatting sqref="M46:M77">
    <cfRule type="expression" dxfId="324" priority="20">
      <formula>$J46&gt;=2</formula>
    </cfRule>
  </conditionalFormatting>
  <conditionalFormatting sqref="N46:N77">
    <cfRule type="expression" dxfId="323" priority="19">
      <formula>$J46&gt;=3</formula>
    </cfRule>
  </conditionalFormatting>
  <conditionalFormatting sqref="O46:O77">
    <cfRule type="expression" dxfId="322" priority="18">
      <formula>$J46&gt;=4</formula>
    </cfRule>
  </conditionalFormatting>
  <conditionalFormatting sqref="P46:P77">
    <cfRule type="expression" dxfId="321" priority="17">
      <formula>$J46&gt;=5</formula>
    </cfRule>
  </conditionalFormatting>
  <conditionalFormatting sqref="Q46:Q77">
    <cfRule type="expression" dxfId="320" priority="16">
      <formula>$J46&gt;=6</formula>
    </cfRule>
  </conditionalFormatting>
  <conditionalFormatting sqref="R46:R77">
    <cfRule type="expression" dxfId="319" priority="15">
      <formula>$J46&gt;=7</formula>
    </cfRule>
  </conditionalFormatting>
  <conditionalFormatting sqref="S46:S77">
    <cfRule type="expression" dxfId="318" priority="14">
      <formula>$J46&gt;=8</formula>
    </cfRule>
  </conditionalFormatting>
  <conditionalFormatting sqref="H78 H80 H82 H84 H86 H88 H90 H92 H94 H96 H98 H100 H102 H104 H106 H108">
    <cfRule type="expression" dxfId="317" priority="10" stopIfTrue="1">
      <formula>J78&gt;J79</formula>
    </cfRule>
    <cfRule type="expression" dxfId="316" priority="11" stopIfTrue="1">
      <formula>J78&lt;J79</formula>
    </cfRule>
  </conditionalFormatting>
  <conditionalFormatting sqref="H79 H81 H83 H85 H87 H89 H91 H93 H95 H97 H99 H101 H103 H105 H107 H109">
    <cfRule type="expression" dxfId="315" priority="12" stopIfTrue="1">
      <formula>J79&gt;J78</formula>
    </cfRule>
    <cfRule type="expression" dxfId="314" priority="13" stopIfTrue="1">
      <formula>J79&lt;J78</formula>
    </cfRule>
  </conditionalFormatting>
  <conditionalFormatting sqref="L78:L109">
    <cfRule type="expression" dxfId="313" priority="8">
      <formula>$J78&gt;=1</formula>
    </cfRule>
  </conditionalFormatting>
  <conditionalFormatting sqref="M78:M109">
    <cfRule type="expression" dxfId="312" priority="7">
      <formula>$J78&gt;=2</formula>
    </cfRule>
  </conditionalFormatting>
  <conditionalFormatting sqref="N78:N109">
    <cfRule type="expression" dxfId="311" priority="6">
      <formula>$J78&gt;=3</formula>
    </cfRule>
  </conditionalFormatting>
  <conditionalFormatting sqref="O78:O109">
    <cfRule type="expression" dxfId="310" priority="5">
      <formula>$J78&gt;=4</formula>
    </cfRule>
  </conditionalFormatting>
  <conditionalFormatting sqref="P78:P109">
    <cfRule type="expression" dxfId="309" priority="4">
      <formula>$J78&gt;=5</formula>
    </cfRule>
  </conditionalFormatting>
  <conditionalFormatting sqref="Q78:Q109">
    <cfRule type="expression" dxfId="308" priority="3">
      <formula>$J78&gt;=6</formula>
    </cfRule>
  </conditionalFormatting>
  <conditionalFormatting sqref="R78:R109">
    <cfRule type="expression" dxfId="307" priority="2">
      <formula>$J78&gt;=7</formula>
    </cfRule>
  </conditionalFormatting>
  <conditionalFormatting sqref="S78:S109">
    <cfRule type="expression" dxfId="306" priority="1">
      <formula>$J78&gt;=8</formula>
    </cfRule>
  </conditionalFormatting>
  <dataValidations count="98">
    <dataValidation type="list" allowBlank="1" showInputMessage="1" showErrorMessage="1" sqref="G2">
      <formula1>Countries</formula1>
    </dataValidation>
    <dataValidation type="list" allowBlank="1" showInputMessage="1" showErrorMessage="1" sqref="G4">
      <formula1>Cities</formula1>
    </dataValidation>
    <dataValidation type="list" allowBlank="1" showInputMessage="1" showErrorMessage="1" sqref="L14:S14">
      <formula1>A1A2</formula1>
    </dataValidation>
    <dataValidation type="list" allowBlank="1" showInputMessage="1" showErrorMessage="1" sqref="L15:S15">
      <formula1>A2A1</formula1>
    </dataValidation>
    <dataValidation type="list" allowBlank="1" showInputMessage="1" showErrorMessage="1" sqref="L16:S16">
      <formula1>A3A4</formula1>
    </dataValidation>
    <dataValidation type="list" allowBlank="1" showInputMessage="1" showErrorMessage="1" sqref="L17:S17">
      <formula1>A4A3</formula1>
    </dataValidation>
    <dataValidation type="list" allowBlank="1" showInputMessage="1" showErrorMessage="1" sqref="L18:S18">
      <formula1>B1B2</formula1>
    </dataValidation>
    <dataValidation type="list" allowBlank="1" showInputMessage="1" showErrorMessage="1" sqref="L19:S19">
      <formula1>B2B1</formula1>
    </dataValidation>
    <dataValidation type="list" allowBlank="1" showInputMessage="1" showErrorMessage="1" sqref="L20:S20">
      <formula1>B3B4</formula1>
    </dataValidation>
    <dataValidation type="list" allowBlank="1" showInputMessage="1" showErrorMessage="1" sqref="L21:S21">
      <formula1>B4B3</formula1>
    </dataValidation>
    <dataValidation type="list" allowBlank="1" showInputMessage="1" showErrorMessage="1" sqref="L22:S22">
      <formula1>AC1C2</formula1>
    </dataValidation>
    <dataValidation type="list" allowBlank="1" showInputMessage="1" showErrorMessage="1" sqref="L23:S23">
      <formula1>AC2C1</formula1>
    </dataValidation>
    <dataValidation type="list" allowBlank="1" showInputMessage="1" showErrorMessage="1" sqref="L24:S24">
      <formula1>AC3C4</formula1>
    </dataValidation>
    <dataValidation type="list" allowBlank="1" showInputMessage="1" showErrorMessage="1" sqref="L25:S25">
      <formula1>AC4C3</formula1>
    </dataValidation>
    <dataValidation type="list" allowBlank="1" showInputMessage="1" showErrorMessage="1" sqref="L26:S26">
      <formula1>D1D2</formula1>
    </dataValidation>
    <dataValidation type="list" allowBlank="1" showInputMessage="1" showErrorMessage="1" sqref="L27:S27">
      <formula1>D2D1</formula1>
    </dataValidation>
    <dataValidation type="list" allowBlank="1" showInputMessage="1" showErrorMessage="1" sqref="L28:S28">
      <formula1>D3D4</formula1>
    </dataValidation>
    <dataValidation type="list" allowBlank="1" showInputMessage="1" showErrorMessage="1" sqref="L29:S29">
      <formula1>D4D3</formula1>
    </dataValidation>
    <dataValidation type="list" allowBlank="1" showInputMessage="1" showErrorMessage="1" sqref="L30:S30">
      <formula1>E1E2</formula1>
    </dataValidation>
    <dataValidation type="list" allowBlank="1" showInputMessage="1" showErrorMessage="1" sqref="L31:S31">
      <formula1>E2E1</formula1>
    </dataValidation>
    <dataValidation type="list" allowBlank="1" showInputMessage="1" showErrorMessage="1" sqref="L32:S32">
      <formula1>E3E4</formula1>
    </dataValidation>
    <dataValidation type="list" allowBlank="1" showInputMessage="1" showErrorMessage="1" sqref="L33:S33">
      <formula1>E4E3</formula1>
    </dataValidation>
    <dataValidation type="list" allowBlank="1" showInputMessage="1" showErrorMessage="1" sqref="L34:S34">
      <formula1>F1F2</formula1>
    </dataValidation>
    <dataValidation type="list" allowBlank="1" showInputMessage="1" showErrorMessage="1" sqref="L35:S35">
      <formula1>F2F1</formula1>
    </dataValidation>
    <dataValidation type="list" allowBlank="1" showInputMessage="1" showErrorMessage="1" sqref="L36:S36">
      <formula1>F3F4</formula1>
    </dataValidation>
    <dataValidation type="list" allowBlank="1" showInputMessage="1" showErrorMessage="1" sqref="L37:S37">
      <formula1>F4F3</formula1>
    </dataValidation>
    <dataValidation type="list" allowBlank="1" showInputMessage="1" showErrorMessage="1" sqref="L38:S38">
      <formula1>G1G2</formula1>
    </dataValidation>
    <dataValidation type="list" allowBlank="1" showInputMessage="1" showErrorMessage="1" sqref="L39:S39">
      <formula1>G2G1</formula1>
    </dataValidation>
    <dataValidation type="list" allowBlank="1" showInputMessage="1" showErrorMessage="1" sqref="L40:S40">
      <formula1>G3G4</formula1>
    </dataValidation>
    <dataValidation type="list" allowBlank="1" showInputMessage="1" showErrorMessage="1" sqref="L41:S41">
      <formula1>G4G3</formula1>
    </dataValidation>
    <dataValidation type="list" allowBlank="1" showInputMessage="1" showErrorMessage="1" sqref="L42:S42">
      <formula1>H1H2</formula1>
    </dataValidation>
    <dataValidation type="list" allowBlank="1" showInputMessage="1" showErrorMessage="1" sqref="L43:S43">
      <formula1>H2H1</formula1>
    </dataValidation>
    <dataValidation type="list" allowBlank="1" showInputMessage="1" showErrorMessage="1" sqref="L44:S44">
      <formula1>H3H4</formula1>
    </dataValidation>
    <dataValidation type="list" allowBlank="1" showInputMessage="1" showErrorMessage="1" sqref="L45:S45">
      <formula1>H4H3</formula1>
    </dataValidation>
    <dataValidation type="list" allowBlank="1" showInputMessage="1" showErrorMessage="1" sqref="L46:S46">
      <formula1>A1A3</formula1>
    </dataValidation>
    <dataValidation type="list" allowBlank="1" showInputMessage="1" showErrorMessage="1" sqref="L47:S47">
      <formula1>A3A1</formula1>
    </dataValidation>
    <dataValidation type="list" allowBlank="1" showInputMessage="1" showErrorMessage="1" sqref="L48:S48">
      <formula1>A4A2</formula1>
    </dataValidation>
    <dataValidation type="list" allowBlank="1" showInputMessage="1" showErrorMessage="1" sqref="L49:S49">
      <formula1>A2A4</formula1>
    </dataValidation>
    <dataValidation type="list" allowBlank="1" showInputMessage="1" showErrorMessage="1" sqref="L50:S50">
      <formula1>B1B3</formula1>
    </dataValidation>
    <dataValidation type="list" allowBlank="1" showInputMessage="1" showErrorMessage="1" sqref="L51:S51">
      <formula1>B3B1</formula1>
    </dataValidation>
    <dataValidation type="list" allowBlank="1" showInputMessage="1" showErrorMessage="1" sqref="L52:S52">
      <formula1>B4B2</formula1>
    </dataValidation>
    <dataValidation type="list" allowBlank="1" showInputMessage="1" showErrorMessage="1" sqref="L53:S53">
      <formula1>B2B4</formula1>
    </dataValidation>
    <dataValidation type="list" allowBlank="1" showInputMessage="1" showErrorMessage="1" sqref="L54:S54">
      <formula1>AC1C3</formula1>
    </dataValidation>
    <dataValidation type="list" allowBlank="1" showInputMessage="1" showErrorMessage="1" sqref="L55:S55">
      <formula1>AC3C1</formula1>
    </dataValidation>
    <dataValidation type="list" allowBlank="1" showInputMessage="1" showErrorMessage="1" sqref="L56:S56">
      <formula1>AC4C2</formula1>
    </dataValidation>
    <dataValidation type="list" allowBlank="1" showInputMessage="1" showErrorMessage="1" sqref="L57:S57">
      <formula1>AC2C4</formula1>
    </dataValidation>
    <dataValidation type="list" allowBlank="1" showInputMessage="1" showErrorMessage="1" sqref="L58:S58">
      <formula1>D1D3</formula1>
    </dataValidation>
    <dataValidation type="list" allowBlank="1" showInputMessage="1" showErrorMessage="1" sqref="L59:S59">
      <formula1>D3D1</formula1>
    </dataValidation>
    <dataValidation type="list" allowBlank="1" showInputMessage="1" showErrorMessage="1" sqref="L60:S60">
      <formula1>D4D2</formula1>
    </dataValidation>
    <dataValidation type="list" allowBlank="1" showInputMessage="1" showErrorMessage="1" sqref="L61:S61">
      <formula1>D2D4</formula1>
    </dataValidation>
    <dataValidation type="list" allowBlank="1" showInputMessage="1" showErrorMessage="1" sqref="L62:S62">
      <formula1>E1E3</formula1>
    </dataValidation>
    <dataValidation type="list" allowBlank="1" showInputMessage="1" showErrorMessage="1" sqref="L63:S63">
      <formula1>E3E1</formula1>
    </dataValidation>
    <dataValidation type="list" allowBlank="1" showInputMessage="1" showErrorMessage="1" sqref="L64:S64">
      <formula1>E4E2</formula1>
    </dataValidation>
    <dataValidation type="list" allowBlank="1" showInputMessage="1" showErrorMessage="1" sqref="L65:S65">
      <formula1>E2E4</formula1>
    </dataValidation>
    <dataValidation type="list" allowBlank="1" showInputMessage="1" showErrorMessage="1" sqref="L66:S66">
      <formula1>F1F3</formula1>
    </dataValidation>
    <dataValidation type="list" allowBlank="1" showInputMessage="1" showErrorMessage="1" sqref="L67:S67">
      <formula1>F3F1</formula1>
    </dataValidation>
    <dataValidation type="list" allowBlank="1" showInputMessage="1" showErrorMessage="1" sqref="L68:S68">
      <formula1>F4F2</formula1>
    </dataValidation>
    <dataValidation type="list" allowBlank="1" showInputMessage="1" showErrorMessage="1" sqref="L69:S69">
      <formula1>F2F4</formula1>
    </dataValidation>
    <dataValidation type="list" allowBlank="1" showInputMessage="1" showErrorMessage="1" sqref="L70:S70">
      <formula1>G1G3</formula1>
    </dataValidation>
    <dataValidation type="list" allowBlank="1" showInputMessage="1" showErrorMessage="1" sqref="L71:S71">
      <formula1>G3G1</formula1>
    </dataValidation>
    <dataValidation type="list" allowBlank="1" showInputMessage="1" showErrorMessage="1" sqref="L72:S72">
      <formula1>G4G2</formula1>
    </dataValidation>
    <dataValidation type="list" allowBlank="1" showInputMessage="1" showErrorMessage="1" sqref="L73:S73">
      <formula1>G2G4</formula1>
    </dataValidation>
    <dataValidation type="list" allowBlank="1" showInputMessage="1" showErrorMessage="1" sqref="L74:S74">
      <formula1>H1H3</formula1>
    </dataValidation>
    <dataValidation type="list" allowBlank="1" showInputMessage="1" showErrorMessage="1" sqref="L75:S75">
      <formula1>H3H1</formula1>
    </dataValidation>
    <dataValidation type="list" allowBlank="1" showInputMessage="1" showErrorMessage="1" sqref="L76:S76">
      <formula1>H4H2</formula1>
    </dataValidation>
    <dataValidation type="list" allowBlank="1" showInputMessage="1" showErrorMessage="1" sqref="L77:S77">
      <formula1>H2H4</formula1>
    </dataValidation>
    <dataValidation type="list" allowBlank="1" showInputMessage="1" showErrorMessage="1" sqref="L78:S78">
      <formula1>A4A1</formula1>
    </dataValidation>
    <dataValidation type="list" allowBlank="1" showInputMessage="1" showErrorMessage="1" sqref="L79:S79">
      <formula1>A1A4</formula1>
    </dataValidation>
    <dataValidation type="list" allowBlank="1" showInputMessage="1" showErrorMessage="1" sqref="L80:S80">
      <formula1>A2A3</formula1>
    </dataValidation>
    <dataValidation type="list" allowBlank="1" showInputMessage="1" showErrorMessage="1" sqref="L81:S81">
      <formula1>A3A2</formula1>
    </dataValidation>
    <dataValidation type="list" allowBlank="1" showInputMessage="1" showErrorMessage="1" sqref="L82:S82">
      <formula1>B4B1</formula1>
    </dataValidation>
    <dataValidation type="list" allowBlank="1" showInputMessage="1" showErrorMessage="1" sqref="L83:S83">
      <formula1>B1B4</formula1>
    </dataValidation>
    <dataValidation type="list" allowBlank="1" showInputMessage="1" showErrorMessage="1" sqref="L84:S84">
      <formula1>B2B3</formula1>
    </dataValidation>
    <dataValidation type="list" allowBlank="1" showInputMessage="1" showErrorMessage="1" sqref="L85:S85">
      <formula1>B3B2</formula1>
    </dataValidation>
    <dataValidation type="list" allowBlank="1" showInputMessage="1" showErrorMessage="1" sqref="L86:S86">
      <formula1>AC4C1</formula1>
    </dataValidation>
    <dataValidation type="list" allowBlank="1" showInputMessage="1" showErrorMessage="1" sqref="L87:S87">
      <formula1>AC1C4</formula1>
    </dataValidation>
    <dataValidation type="list" allowBlank="1" showInputMessage="1" showErrorMessage="1" sqref="L88:S88">
      <formula1>AC2C3</formula1>
    </dataValidation>
    <dataValidation type="list" allowBlank="1" showInputMessage="1" showErrorMessage="1" sqref="L89:S89">
      <formula1>AC3C2</formula1>
    </dataValidation>
    <dataValidation type="list" allowBlank="1" showInputMessage="1" showErrorMessage="1" sqref="L90:S90">
      <formula1>D4D1</formula1>
    </dataValidation>
    <dataValidation type="list" allowBlank="1" showInputMessage="1" showErrorMessage="1" sqref="L91:S91">
      <formula1>D1D4</formula1>
    </dataValidation>
    <dataValidation type="list" allowBlank="1" showInputMessage="1" showErrorMessage="1" sqref="L92:S92">
      <formula1>D2D3</formula1>
    </dataValidation>
    <dataValidation type="list" allowBlank="1" showInputMessage="1" showErrorMessage="1" sqref="L93:S93">
      <formula1>D3D2</formula1>
    </dataValidation>
    <dataValidation type="list" allowBlank="1" showInputMessage="1" showErrorMessage="1" sqref="L94:S94">
      <formula1>E4E1</formula1>
    </dataValidation>
    <dataValidation type="list" allowBlank="1" showInputMessage="1" showErrorMessage="1" sqref="L95:S95">
      <formula1>E1E4</formula1>
    </dataValidation>
    <dataValidation type="list" allowBlank="1" showInputMessage="1" showErrorMessage="1" sqref="L96:S96">
      <formula1>E2E3</formula1>
    </dataValidation>
    <dataValidation type="list" allowBlank="1" showInputMessage="1" showErrorMessage="1" sqref="L97:S97">
      <formula1>E3E2</formula1>
    </dataValidation>
    <dataValidation type="list" allowBlank="1" showInputMessage="1" showErrorMessage="1" sqref="L98:S98">
      <formula1>F4F1</formula1>
    </dataValidation>
    <dataValidation type="list" allowBlank="1" showInputMessage="1" showErrorMessage="1" sqref="L99:S99">
      <formula1>F1F4</formula1>
    </dataValidation>
    <dataValidation type="list" allowBlank="1" showInputMessage="1" showErrorMessage="1" sqref="L100:S100">
      <formula1>F2F3</formula1>
    </dataValidation>
    <dataValidation type="list" allowBlank="1" showInputMessage="1" showErrorMessage="1" sqref="L101:S101">
      <formula1>F3F2</formula1>
    </dataValidation>
    <dataValidation type="list" allowBlank="1" showInputMessage="1" showErrorMessage="1" sqref="L102:S102">
      <formula1>G4G1</formula1>
    </dataValidation>
    <dataValidation type="list" allowBlank="1" showInputMessage="1" showErrorMessage="1" sqref="L103:S103">
      <formula1>G1G4</formula1>
    </dataValidation>
    <dataValidation type="list" allowBlank="1" showInputMessage="1" showErrorMessage="1" sqref="L104:S104">
      <formula1>G2G3</formula1>
    </dataValidation>
    <dataValidation type="list" allowBlank="1" showInputMessage="1" showErrorMessage="1" sqref="L105:S105">
      <formula1>G3G2</formula1>
    </dataValidation>
    <dataValidation type="list" allowBlank="1" showInputMessage="1" showErrorMessage="1" sqref="L106:S106">
      <formula1>H4H1</formula1>
    </dataValidation>
    <dataValidation type="list" allowBlank="1" showInputMessage="1" showErrorMessage="1" sqref="L107:S107">
      <formula1>H1H4</formula1>
    </dataValidation>
    <dataValidation type="list" allowBlank="1" showInputMessage="1" showErrorMessage="1" sqref="L108:S108">
      <formula1>H2H3</formula1>
    </dataValidation>
    <dataValidation type="list" allowBlank="1" showInputMessage="1" showErrorMessage="1" sqref="L109:S109">
      <formula1>H3H2</formula1>
    </dataValidation>
  </dataValidations>
  <hyperlinks>
    <hyperlink ref="S2:S4" r:id="rId1" display="VISIT WWW.EXCELTEMPLATE.NET FOR MORE TEMPLATES"/>
    <hyperlink ref="N2" r:id="rId2" display="VISIT WWW.EXCELTEMPLATE.NET FOR MORE TEMPLATES AND UPDATES"/>
    <hyperlink ref="N2:S4" r:id="rId3" display="http://exceltemplate.net/"/>
  </hyperlinks>
  <printOptions horizontalCentered="1" verticalCentered="1"/>
  <pageMargins left="0.39" right="0.32" top="0.28999999999999998" bottom="0.39" header="0.21" footer="0.26"/>
  <pageSetup scale="40" orientation="portrait" horizontalDpi="300" verticalDpi="300" r:id="rId4"/>
  <headerFooter alignWithMargins="0">
    <oddFooter>&amp;C
copyright (c) exceltemplate.net 2013</oddFooter>
  </headerFooter>
  <drawing r:id="rId5"/>
  <legacyDrawing r:id="rId6"/>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P90"/>
  <sheetViews>
    <sheetView showGridLines="0" zoomScale="90" zoomScaleNormal="90" workbookViewId="0">
      <selection activeCell="R11" sqref="R11"/>
    </sheetView>
  </sheetViews>
  <sheetFormatPr defaultColWidth="0" defaultRowHeight="14.4" zeroHeight="1"/>
  <cols>
    <col min="1" max="3" width="2.44140625" style="7" customWidth="1"/>
    <col min="4" max="5" width="7.5546875" style="7" customWidth="1"/>
    <col min="6" max="6" width="10" style="7" customWidth="1"/>
    <col min="7" max="7" width="10.33203125" style="7" customWidth="1"/>
    <col min="8" max="8" width="20.6640625" style="7" customWidth="1"/>
    <col min="9" max="9" width="1.6640625" style="7" customWidth="1"/>
    <col min="10" max="10" width="4.6640625" style="7" customWidth="1"/>
    <col min="11" max="11" width="4.6640625" style="8" customWidth="1"/>
    <col min="12" max="12" width="4.6640625" style="7" customWidth="1"/>
    <col min="13" max="13" width="2.6640625" style="7" customWidth="1"/>
    <col min="14" max="21" width="15.77734375" style="7" customWidth="1"/>
    <col min="22" max="22" width="1.5546875" style="7" customWidth="1"/>
    <col min="23" max="23" width="12.5546875" style="7" bestFit="1" customWidth="1"/>
    <col min="24" max="24" width="27.44140625" style="7" bestFit="1" customWidth="1"/>
    <col min="25" max="25" width="9.109375" style="7" customWidth="1"/>
    <col min="26" max="87" width="0" style="7" hidden="1" customWidth="1"/>
    <col min="88" max="91" width="0" style="9" hidden="1" customWidth="1"/>
    <col min="92" max="94" width="0" style="7" hidden="1" customWidth="1"/>
    <col min="95" max="16384" width="9.109375" style="7" hidden="1"/>
  </cols>
  <sheetData>
    <row r="1" spans="2:89" ht="15" customHeight="1"/>
    <row r="2" spans="2:89" ht="15" customHeight="1">
      <c r="B2" s="184" t="str">
        <f>INDEX(Language!$A$1:$AX$115,MATCH("Visit exceltemplate.net for more templates and updates",Language!$B$1:$B$115,0),MATCH($B$5,Language!$A$1:$AW$1,0))</f>
        <v>Visit exceltemplate.net for more templates and updates</v>
      </c>
      <c r="C2" s="184"/>
      <c r="D2" s="184"/>
      <c r="E2" s="184"/>
      <c r="F2" s="184"/>
      <c r="G2" s="184"/>
      <c r="H2" s="184"/>
      <c r="I2" s="184"/>
      <c r="J2" s="184"/>
      <c r="K2" s="184"/>
      <c r="L2" s="184"/>
      <c r="M2" s="184"/>
      <c r="N2" s="184"/>
      <c r="O2" s="184"/>
      <c r="P2" s="184"/>
      <c r="Q2" s="184"/>
      <c r="R2" s="184"/>
      <c r="S2" s="184"/>
      <c r="T2" s="184"/>
      <c r="U2" s="184"/>
    </row>
    <row r="3" spans="2:89" ht="15" customHeight="1">
      <c r="B3" s="184"/>
      <c r="C3" s="184"/>
      <c r="D3" s="184"/>
      <c r="E3" s="184"/>
      <c r="F3" s="184"/>
      <c r="G3" s="184"/>
      <c r="H3" s="184"/>
      <c r="I3" s="184"/>
      <c r="J3" s="184"/>
      <c r="K3" s="184"/>
      <c r="L3" s="184"/>
      <c r="M3" s="184"/>
      <c r="N3" s="184"/>
      <c r="O3" s="184"/>
      <c r="P3" s="184"/>
      <c r="Q3" s="184"/>
      <c r="R3" s="184"/>
      <c r="S3" s="184"/>
      <c r="T3" s="184"/>
      <c r="U3" s="184"/>
      <c r="CK3" s="10" t="s">
        <v>3845</v>
      </c>
    </row>
    <row r="4" spans="2:89" ht="15" customHeight="1">
      <c r="B4" s="184"/>
      <c r="C4" s="184"/>
      <c r="D4" s="184"/>
      <c r="E4" s="184"/>
      <c r="F4" s="184"/>
      <c r="G4" s="184"/>
      <c r="H4" s="184"/>
      <c r="I4" s="184"/>
      <c r="J4" s="184"/>
      <c r="K4" s="184"/>
      <c r="L4" s="184"/>
      <c r="M4" s="184"/>
      <c r="N4" s="184"/>
      <c r="O4" s="184"/>
      <c r="P4" s="184"/>
      <c r="Q4" s="184"/>
      <c r="R4" s="184"/>
      <c r="S4" s="184"/>
      <c r="T4" s="184"/>
      <c r="U4" s="184"/>
    </row>
    <row r="5" spans="2:89" ht="15" customHeight="1">
      <c r="B5" s="68" t="str">
        <f>'Group Stages'!G2</f>
        <v>English</v>
      </c>
      <c r="C5" s="175" t="str">
        <f>'Group Stages'!G4</f>
        <v xml:space="preserve">London </v>
      </c>
    </row>
    <row r="6" spans="2:89" ht="15" customHeight="1">
      <c r="B6" s="190" t="str">
        <f>IFERROR(INDEX(Language!$A$1:$AX$115,MATCH("Knock Out Stages",Language!$B$1:$B$115,0),MATCH($B$5,Language!$A$1:$AW$1,0)),"Knock Out Stages")</f>
        <v>Knock Out Stages</v>
      </c>
      <c r="C6" s="190"/>
      <c r="D6" s="190"/>
      <c r="E6" s="190"/>
      <c r="F6" s="190"/>
      <c r="G6" s="190"/>
      <c r="H6" s="190"/>
      <c r="I6" s="190"/>
      <c r="J6" s="190"/>
      <c r="K6" s="190"/>
      <c r="L6" s="190"/>
      <c r="M6" s="190"/>
      <c r="N6" s="190"/>
      <c r="O6" s="190"/>
      <c r="P6" s="190"/>
      <c r="Q6" s="190"/>
      <c r="R6" s="190"/>
      <c r="S6" s="190"/>
      <c r="T6" s="190"/>
      <c r="U6" s="190"/>
    </row>
    <row r="7" spans="2:89" ht="15" customHeight="1"/>
    <row r="8" spans="2:89" ht="15" customHeight="1">
      <c r="C8" s="31" t="str">
        <f>INDEX(Language!$A$1:$AX$115,MATCH("Standings",Language!$B$1:$B$115,0),MATCH($B$5,Language!$A$1:$AW$1,0))</f>
        <v>Standings</v>
      </c>
      <c r="D8" s="32"/>
      <c r="E8" s="32"/>
      <c r="F8" s="32"/>
      <c r="G8" s="32"/>
      <c r="H8" s="32"/>
      <c r="I8" s="32"/>
      <c r="J8" s="32"/>
      <c r="K8" s="32"/>
      <c r="L8" s="32"/>
      <c r="M8" s="32"/>
      <c r="N8" s="32"/>
      <c r="O8" s="32"/>
      <c r="P8" s="32"/>
      <c r="Q8" s="32"/>
      <c r="R8" s="32"/>
      <c r="S8" s="32"/>
      <c r="T8" s="32"/>
      <c r="U8" s="32"/>
    </row>
    <row r="9" spans="2:89" ht="15" customHeight="1"/>
    <row r="10" spans="2:89" ht="15" customHeight="1">
      <c r="P10" s="28"/>
      <c r="R10" s="28" t="s">
        <v>3929</v>
      </c>
      <c r="W10" s="6" t="str">
        <f ca="1">IF(AND(R12="",J83&lt;&gt;"",J84&lt;&gt;""),"Reorder Rank","")</f>
        <v/>
      </c>
      <c r="Y10" s="68" t="s">
        <v>4005</v>
      </c>
    </row>
    <row r="11" spans="2:89" ht="15" customHeight="1">
      <c r="P11" s="8"/>
      <c r="R11" s="8" t="str">
        <f ca="1">'Dummy Top Scorer'!DB4</f>
        <v/>
      </c>
      <c r="S11" s="7" t="str">
        <f ca="1">IF(W11="",IF('Dummy Top Scorer'!DC4&lt;&gt;"",'Dummy Top Scorer'!DC4&amp;" ("&amp;'Dummy Top Scorer'!DD4&amp;")",""),VLOOKUP(Y11,$W$11:$X$20,2,FALSE))</f>
        <v/>
      </c>
      <c r="X11" s="7" t="str">
        <f ca="1">IF(W10&lt;&gt;"",IF('Dummy Top Scorer'!DC4&lt;&gt;"",'Dummy Top Scorer'!DC4&amp;" ("&amp;'Dummy Top Scorer'!DD4&amp;")",""),"")</f>
        <v/>
      </c>
      <c r="Y11" s="68">
        <v>1</v>
      </c>
    </row>
    <row r="12" spans="2:89" ht="15" customHeight="1">
      <c r="P12" s="8"/>
      <c r="R12" s="8" t="str">
        <f ca="1">IF('Dummy Top Scorer'!DB5='Dummy Top Scorer'!DB4,"",'Dummy Top Scorer'!DB5)</f>
        <v/>
      </c>
      <c r="S12" s="7" t="str">
        <f ca="1">IF(W12="",IF('Dummy Top Scorer'!DC5&lt;&gt;"",'Dummy Top Scorer'!DC5&amp;" ("&amp;'Dummy Top Scorer'!DD5&amp;")",""),VLOOKUP(Y12,$W$11:$X$20,2,FALSE))</f>
        <v/>
      </c>
      <c r="X12" s="7" t="str">
        <f ca="1">IF(W10&lt;&gt;"",IF('Dummy Top Scorer'!DC5&lt;&gt;"",'Dummy Top Scorer'!DC5&amp;" ("&amp;'Dummy Top Scorer'!DD5&amp;")",""),"")</f>
        <v/>
      </c>
      <c r="Y12" s="68">
        <v>2</v>
      </c>
    </row>
    <row r="13" spans="2:89" ht="15" customHeight="1">
      <c r="P13" s="8"/>
      <c r="R13" s="8" t="str">
        <f ca="1">IF('Dummy Top Scorer'!DB6='Dummy Top Scorer'!DB5,"",'Dummy Top Scorer'!DB6)</f>
        <v/>
      </c>
      <c r="S13" s="7" t="str">
        <f ca="1">IF(W13="",IF('Dummy Top Scorer'!DC6&lt;&gt;"",'Dummy Top Scorer'!DC6&amp;" ("&amp;'Dummy Top Scorer'!DD6&amp;")",""),VLOOKUP(Y13,$W$11:$X$20,2,FALSE))</f>
        <v/>
      </c>
      <c r="X13" s="7" t="str">
        <f ca="1">IF(AND($W$10&lt;&gt;"",'Dummy Top Scorer'!DB6='Dummy Top Scorer'!$DB$4),IF('Dummy Top Scorer'!DC6&lt;&gt;"",'Dummy Top Scorer'!DC6&amp;" ("&amp;'Dummy Top Scorer'!DD6&amp;")",""),"")</f>
        <v/>
      </c>
      <c r="Y13" s="68">
        <v>3</v>
      </c>
    </row>
    <row r="14" spans="2:89" ht="15" customHeight="1">
      <c r="P14" s="8"/>
      <c r="R14" s="8" t="str">
        <f ca="1">IF('Dummy Top Scorer'!DB7='Dummy Top Scorer'!DB6,"",'Dummy Top Scorer'!DB7)</f>
        <v/>
      </c>
      <c r="S14" s="7" t="str">
        <f ca="1">IF(W14="",IF('Dummy Top Scorer'!DC7&lt;&gt;"",'Dummy Top Scorer'!DC7&amp;" ("&amp;'Dummy Top Scorer'!DD7&amp;")",""),VLOOKUP(Y14,$W$11:$X$20,2,FALSE))</f>
        <v/>
      </c>
      <c r="X14" s="7" t="str">
        <f ca="1">IF(AND($W$10&lt;&gt;"",'Dummy Top Scorer'!DB7='Dummy Top Scorer'!$DB$4),IF('Dummy Top Scorer'!DC7&lt;&gt;"",'Dummy Top Scorer'!DC7&amp;" ("&amp;'Dummy Top Scorer'!DD7&amp;")",""),"")</f>
        <v/>
      </c>
      <c r="Y14" s="68">
        <v>4</v>
      </c>
    </row>
    <row r="15" spans="2:89" ht="15" customHeight="1">
      <c r="P15" s="8"/>
      <c r="R15" s="8" t="str">
        <f ca="1">IF('Dummy Top Scorer'!DB8='Dummy Top Scorer'!DB7,"",'Dummy Top Scorer'!DB8)</f>
        <v/>
      </c>
      <c r="S15" s="7" t="str">
        <f ca="1">IF(W15="",IF('Dummy Top Scorer'!DC8&lt;&gt;"",'Dummy Top Scorer'!DC8&amp;" ("&amp;'Dummy Top Scorer'!DD8&amp;")",""),VLOOKUP(Y15,$W$11:$X$20,2,FALSE))</f>
        <v/>
      </c>
      <c r="X15" s="7" t="str">
        <f ca="1">IF(AND($W$10&lt;&gt;"",'Dummy Top Scorer'!DB8='Dummy Top Scorer'!$DB$4),IF('Dummy Top Scorer'!DC8&lt;&gt;"",'Dummy Top Scorer'!DC8&amp;" ("&amp;'Dummy Top Scorer'!DD8&amp;")",""),"")</f>
        <v/>
      </c>
      <c r="Y15" s="68">
        <v>5</v>
      </c>
    </row>
    <row r="16" spans="2:89" ht="15" customHeight="1">
      <c r="P16" s="8"/>
      <c r="R16" s="8" t="str">
        <f ca="1">IF('Dummy Top Scorer'!DB9='Dummy Top Scorer'!DB8,"",'Dummy Top Scorer'!DB9)</f>
        <v/>
      </c>
      <c r="S16" s="7" t="str">
        <f ca="1">IF(W16="",IF('Dummy Top Scorer'!DC9&lt;&gt;"",'Dummy Top Scorer'!DC9&amp;" ("&amp;'Dummy Top Scorer'!DD9&amp;")",""),VLOOKUP(Y16,$W$11:$X$20,2,FALSE))</f>
        <v/>
      </c>
      <c r="X16" s="7" t="str">
        <f ca="1">IF(AND($W$10&lt;&gt;"",'Dummy Top Scorer'!DB9='Dummy Top Scorer'!$DB$4),IF('Dummy Top Scorer'!DC9&lt;&gt;"",'Dummy Top Scorer'!DC9&amp;" ("&amp;'Dummy Top Scorer'!DD9&amp;")",""),"")</f>
        <v/>
      </c>
      <c r="Y16" s="68">
        <v>6</v>
      </c>
    </row>
    <row r="17" spans="11:25" ht="15" customHeight="1">
      <c r="P17" s="8"/>
      <c r="R17" s="8" t="str">
        <f ca="1">IF('Dummy Top Scorer'!DB10='Dummy Top Scorer'!DB9,"",'Dummy Top Scorer'!DB10)</f>
        <v/>
      </c>
      <c r="S17" s="7" t="str">
        <f ca="1">IF(W17="",IF('Dummy Top Scorer'!DC10&lt;&gt;"",'Dummy Top Scorer'!DC10&amp;" ("&amp;'Dummy Top Scorer'!DD10&amp;")",""),VLOOKUP(Y17,$W$11:$X$20,2,FALSE))</f>
        <v/>
      </c>
      <c r="X17" s="7" t="str">
        <f ca="1">IF(AND($W$10&lt;&gt;"",'Dummy Top Scorer'!DB10='Dummy Top Scorer'!$DB$4),IF('Dummy Top Scorer'!DC10&lt;&gt;"",'Dummy Top Scorer'!DC10&amp;" ("&amp;'Dummy Top Scorer'!DD10&amp;")",""),"")</f>
        <v/>
      </c>
      <c r="Y17" s="68">
        <v>7</v>
      </c>
    </row>
    <row r="18" spans="11:25" ht="15" customHeight="1">
      <c r="P18" s="8"/>
      <c r="R18" s="8" t="str">
        <f ca="1">IF('Dummy Top Scorer'!DB11='Dummy Top Scorer'!DB10,"",'Dummy Top Scorer'!DB11)</f>
        <v/>
      </c>
      <c r="S18" s="7" t="str">
        <f ca="1">IF(W18="",IF('Dummy Top Scorer'!DC11&lt;&gt;"",'Dummy Top Scorer'!DC11&amp;" ("&amp;'Dummy Top Scorer'!DD11&amp;")",""),VLOOKUP(Y18,$W$11:$X$20,2,FALSE))</f>
        <v/>
      </c>
      <c r="X18" s="7" t="str">
        <f ca="1">IF(AND($W$10&lt;&gt;"",'Dummy Top Scorer'!DB11='Dummy Top Scorer'!$DB$4),IF('Dummy Top Scorer'!DC11&lt;&gt;"",'Dummy Top Scorer'!DC11&amp;" ("&amp;'Dummy Top Scorer'!DD11&amp;")",""),"")</f>
        <v/>
      </c>
      <c r="Y18" s="68">
        <v>8</v>
      </c>
    </row>
    <row r="19" spans="11:25" ht="15" customHeight="1">
      <c r="P19" s="8"/>
      <c r="R19" s="8" t="str">
        <f ca="1">IF('Dummy Top Scorer'!DB12='Dummy Top Scorer'!DB11,"",'Dummy Top Scorer'!DB12)</f>
        <v/>
      </c>
      <c r="S19" s="7" t="str">
        <f ca="1">IF(W19="",IF('Dummy Top Scorer'!DC12&lt;&gt;"",'Dummy Top Scorer'!DC12&amp;" ("&amp;'Dummy Top Scorer'!DD12&amp;")",""),VLOOKUP(Y19,$W$11:$X$20,2,FALSE))</f>
        <v/>
      </c>
      <c r="X19" s="7" t="str">
        <f ca="1">IF(AND($W$10&lt;&gt;"",'Dummy Top Scorer'!DB12='Dummy Top Scorer'!$DB$4),IF('Dummy Top Scorer'!DC12&lt;&gt;"",'Dummy Top Scorer'!DC12&amp;" ("&amp;'Dummy Top Scorer'!DD12&amp;")",""),"")</f>
        <v/>
      </c>
      <c r="Y19" s="68">
        <v>9</v>
      </c>
    </row>
    <row r="20" spans="11:25" ht="15" customHeight="1">
      <c r="P20" s="8"/>
      <c r="R20" s="8" t="str">
        <f ca="1">IF('Dummy Top Scorer'!DB13='Dummy Top Scorer'!DB12,"",'Dummy Top Scorer'!DB13)</f>
        <v/>
      </c>
      <c r="S20" s="7" t="str">
        <f ca="1">IF(W20="",IF('Dummy Top Scorer'!DC13&lt;&gt;"",'Dummy Top Scorer'!DC13&amp;" ("&amp;'Dummy Top Scorer'!DD13&amp;")",""),VLOOKUP(Y20,$W$11:$X$20,2,FALSE))</f>
        <v/>
      </c>
      <c r="X20" s="7" t="str">
        <f ca="1">IF(AND($W$10&lt;&gt;"",'Dummy Top Scorer'!DB13='Dummy Top Scorer'!$DB$4),IF('Dummy Top Scorer'!DC13&lt;&gt;"",'Dummy Top Scorer'!DC13&amp;" ("&amp;'Dummy Top Scorer'!DD13&amp;")",""),"")</f>
        <v/>
      </c>
      <c r="Y20" s="68">
        <v>10</v>
      </c>
    </row>
    <row r="21" spans="11:25" ht="15" customHeight="1">
      <c r="P21" s="8"/>
      <c r="R21" s="8" t="str">
        <f ca="1">IF('Dummy Top Scorer'!DB14='Dummy Top Scorer'!DB13,"",'Dummy Top Scorer'!DB14)</f>
        <v/>
      </c>
      <c r="S21" s="7" t="str">
        <f ca="1">IF('Dummy Top Scorer'!DC14&lt;&gt;"",'Dummy Top Scorer'!DC14&amp;" ("&amp;'Dummy Top Scorer'!DD14&amp;")","")</f>
        <v/>
      </c>
    </row>
    <row r="22" spans="11:25" ht="15" customHeight="1">
      <c r="P22" s="8"/>
      <c r="R22" s="8" t="str">
        <f ca="1">IF('Dummy Top Scorer'!DB15='Dummy Top Scorer'!DB14,"",'Dummy Top Scorer'!DB15)</f>
        <v/>
      </c>
      <c r="S22" s="7" t="str">
        <f ca="1">IF('Dummy Top Scorer'!DC15&lt;&gt;"",'Dummy Top Scorer'!DC15&amp;" ("&amp;'Dummy Top Scorer'!DD15&amp;")","")</f>
        <v/>
      </c>
    </row>
    <row r="23" spans="11:25" ht="15" customHeight="1">
      <c r="P23" s="8"/>
      <c r="R23" s="8" t="str">
        <f ca="1">IF('Dummy Top Scorer'!DB16='Dummy Top Scorer'!DB15,"",'Dummy Top Scorer'!DB16)</f>
        <v/>
      </c>
      <c r="S23" s="7" t="str">
        <f ca="1">IF('Dummy Top Scorer'!DC16&lt;&gt;"",'Dummy Top Scorer'!DC16&amp;" ("&amp;'Dummy Top Scorer'!DD16&amp;")","")</f>
        <v/>
      </c>
    </row>
    <row r="24" spans="11:25" ht="15" customHeight="1">
      <c r="P24" s="8"/>
      <c r="R24" s="8" t="str">
        <f ca="1">IF('Dummy Top Scorer'!DB17='Dummy Top Scorer'!DB16,"",'Dummy Top Scorer'!DB17)</f>
        <v/>
      </c>
      <c r="S24" s="7" t="str">
        <f ca="1">IF('Dummy Top Scorer'!DC17&lt;&gt;"",'Dummy Top Scorer'!DC17&amp;" ("&amp;'Dummy Top Scorer'!DD17&amp;")","")</f>
        <v/>
      </c>
    </row>
    <row r="25" spans="11:25" ht="15" customHeight="1">
      <c r="P25" s="8"/>
      <c r="R25" s="8" t="str">
        <f ca="1">IF('Dummy Top Scorer'!DB18='Dummy Top Scorer'!DB17,"",'Dummy Top Scorer'!DB18)</f>
        <v/>
      </c>
      <c r="S25" s="7" t="str">
        <f ca="1">IF('Dummy Top Scorer'!DC18&lt;&gt;"",'Dummy Top Scorer'!DC18&amp;" ("&amp;'Dummy Top Scorer'!DD18&amp;")","")</f>
        <v/>
      </c>
    </row>
    <row r="26" spans="11:25" ht="15" customHeight="1">
      <c r="P26" s="8"/>
      <c r="R26" s="8" t="str">
        <f ca="1">IF('Dummy Top Scorer'!DB19='Dummy Top Scorer'!DB18,"",'Dummy Top Scorer'!DB19)</f>
        <v/>
      </c>
      <c r="S26" s="7" t="str">
        <f ca="1">IF('Dummy Top Scorer'!DC19&lt;&gt;"",'Dummy Top Scorer'!DC19&amp;" ("&amp;'Dummy Top Scorer'!DD19&amp;")","")</f>
        <v/>
      </c>
    </row>
    <row r="27" spans="11:25" ht="15" customHeight="1">
      <c r="P27" s="8"/>
      <c r="R27" s="8" t="str">
        <f ca="1">IF('Dummy Top Scorer'!DB20='Dummy Top Scorer'!DB19,"",'Dummy Top Scorer'!DB20)</f>
        <v/>
      </c>
      <c r="S27" s="7" t="str">
        <f ca="1">IF('Dummy Top Scorer'!DC20&lt;&gt;"",'Dummy Top Scorer'!DC20&amp;" ("&amp;'Dummy Top Scorer'!DD20&amp;")","")</f>
        <v/>
      </c>
    </row>
    <row r="28" spans="11:25" ht="15" customHeight="1">
      <c r="P28" s="8"/>
      <c r="R28" s="8" t="str">
        <f ca="1">IF('Dummy Top Scorer'!DB21='Dummy Top Scorer'!DB20,"",'Dummy Top Scorer'!DB21)</f>
        <v/>
      </c>
      <c r="S28" s="7" t="str">
        <f ca="1">IF('Dummy Top Scorer'!DC21&lt;&gt;"",'Dummy Top Scorer'!DC21&amp;" ("&amp;'Dummy Top Scorer'!DD21&amp;")","")</f>
        <v/>
      </c>
    </row>
    <row r="29" spans="11:25" ht="15" customHeight="1">
      <c r="P29" s="8"/>
      <c r="R29" s="8" t="str">
        <f ca="1">IF('Dummy Top Scorer'!DB22='Dummy Top Scorer'!DB21,"",'Dummy Top Scorer'!DB22)</f>
        <v/>
      </c>
      <c r="S29" s="7" t="str">
        <f ca="1">IF('Dummy Top Scorer'!DC22&lt;&gt;"",'Dummy Top Scorer'!DC22&amp;" ("&amp;'Dummy Top Scorer'!DD22&amp;")","")</f>
        <v/>
      </c>
    </row>
    <row r="30" spans="11:25" ht="15" customHeight="1">
      <c r="P30" s="8"/>
      <c r="R30" s="8" t="str">
        <f ca="1">IF('Dummy Top Scorer'!DB23='Dummy Top Scorer'!DB22,"",'Dummy Top Scorer'!DB23)</f>
        <v/>
      </c>
      <c r="S30" s="7" t="str">
        <f ca="1">IF('Dummy Top Scorer'!DC23&lt;&gt;"",'Dummy Top Scorer'!DC23&amp;" ("&amp;'Dummy Top Scorer'!DD23&amp;")","")</f>
        <v/>
      </c>
    </row>
    <row r="31" spans="11:25" ht="15" customHeight="1">
      <c r="P31" s="8"/>
      <c r="R31" s="8" t="str">
        <f ca="1">IF('Dummy Top Scorer'!DB24='Dummy Top Scorer'!DB23,"",'Dummy Top Scorer'!DB24)</f>
        <v/>
      </c>
      <c r="S31" s="7" t="str">
        <f ca="1">IF('Dummy Top Scorer'!DC24&lt;&gt;"",'Dummy Top Scorer'!DC24&amp;" ("&amp;'Dummy Top Scorer'!DD24&amp;")","")</f>
        <v/>
      </c>
    </row>
    <row r="32" spans="11:25" ht="15" customHeight="1">
      <c r="K32" s="7"/>
      <c r="P32" s="8"/>
      <c r="R32" s="8" t="str">
        <f ca="1">IF('Dummy Top Scorer'!DB25='Dummy Top Scorer'!DB24,"",'Dummy Top Scorer'!DB25)</f>
        <v/>
      </c>
      <c r="S32" s="7" t="str">
        <f ca="1">IF('Dummy Top Scorer'!DC25&lt;&gt;"",'Dummy Top Scorer'!DC25&amp;" ("&amp;'Dummy Top Scorer'!DD25&amp;")","")</f>
        <v/>
      </c>
    </row>
    <row r="33" spans="2:94" ht="15" customHeight="1">
      <c r="K33" s="7"/>
      <c r="P33" s="8"/>
      <c r="R33" s="8" t="str">
        <f ca="1">IF('Dummy Top Scorer'!DB26='Dummy Top Scorer'!DB25,"",'Dummy Top Scorer'!DB26)</f>
        <v/>
      </c>
      <c r="S33" s="7" t="str">
        <f ca="1">IF('Dummy Top Scorer'!DC26&lt;&gt;"",'Dummy Top Scorer'!DC26&amp;" ("&amp;'Dummy Top Scorer'!DD26&amp;")","")</f>
        <v/>
      </c>
    </row>
    <row r="34" spans="2:94" ht="15" customHeight="1">
      <c r="K34" s="7"/>
      <c r="P34" s="8"/>
      <c r="R34" s="8" t="str">
        <f ca="1">IF('Dummy Top Scorer'!DB27='Dummy Top Scorer'!DB26,"",'Dummy Top Scorer'!DB27)</f>
        <v/>
      </c>
      <c r="S34" s="7" t="str">
        <f ca="1">IF('Dummy Top Scorer'!DC27&lt;&gt;"",'Dummy Top Scorer'!DC27&amp;" ("&amp;'Dummy Top Scorer'!DD27&amp;")","")</f>
        <v/>
      </c>
    </row>
    <row r="35" spans="2:94" ht="15" customHeight="1">
      <c r="K35" s="7"/>
      <c r="P35" s="8"/>
      <c r="R35" s="8" t="str">
        <f ca="1">IF('Dummy Top Scorer'!DB28='Dummy Top Scorer'!DB27,"",'Dummy Top Scorer'!DB28)</f>
        <v/>
      </c>
      <c r="S35" s="7" t="str">
        <f ca="1">IF('Dummy Top Scorer'!DC28&lt;&gt;"",'Dummy Top Scorer'!DC28&amp;" ("&amp;'Dummy Top Scorer'!DD28&amp;")","")</f>
        <v/>
      </c>
    </row>
    <row r="36" spans="2:94" ht="15" customHeight="1">
      <c r="K36" s="7"/>
      <c r="P36" s="8"/>
      <c r="R36" s="8" t="str">
        <f ca="1">IF('Dummy Top Scorer'!DB29='Dummy Top Scorer'!DB28,"",'Dummy Top Scorer'!DB29)</f>
        <v/>
      </c>
      <c r="S36" s="7" t="str">
        <f ca="1">IF('Dummy Top Scorer'!DC29&lt;&gt;"",'Dummy Top Scorer'!DC29&amp;" ("&amp;'Dummy Top Scorer'!DD29&amp;")","")</f>
        <v/>
      </c>
    </row>
    <row r="37" spans="2:94" ht="15" customHeight="1">
      <c r="K37" s="7"/>
      <c r="P37" s="8"/>
      <c r="R37" s="8" t="str">
        <f ca="1">IF('Dummy Top Scorer'!DB30='Dummy Top Scorer'!DB29,"",'Dummy Top Scorer'!DB30)</f>
        <v/>
      </c>
      <c r="S37" s="7" t="str">
        <f ca="1">IF('Dummy Top Scorer'!DC30&lt;&gt;"",'Dummy Top Scorer'!DC30&amp;" ("&amp;'Dummy Top Scorer'!DD30&amp;")","")</f>
        <v/>
      </c>
    </row>
    <row r="38" spans="2:94" ht="15" customHeight="1">
      <c r="K38" s="7"/>
      <c r="CL38" s="20"/>
    </row>
    <row r="39" spans="2:94" ht="15" customHeight="1">
      <c r="B39" s="12"/>
      <c r="C39" s="33" t="str">
        <f>INDEX(Language!$A$1:$AX$115,MATCH("Round of 16",Language!$B$1:$B$115,0),MATCH($B$5,Language!$A$1:$AW$1,0))</f>
        <v>Round of 16</v>
      </c>
      <c r="D39" s="33"/>
      <c r="E39" s="33"/>
      <c r="F39" s="33"/>
      <c r="G39" s="33"/>
      <c r="H39" s="33"/>
      <c r="I39" s="33"/>
      <c r="J39" s="33"/>
      <c r="K39" s="33"/>
      <c r="L39" s="33"/>
      <c r="M39" s="33"/>
      <c r="N39" s="33"/>
      <c r="O39" s="33"/>
      <c r="P39" s="33"/>
      <c r="Q39" s="33"/>
      <c r="R39" s="33"/>
      <c r="S39" s="33"/>
      <c r="T39" s="33"/>
      <c r="U39" s="33"/>
      <c r="CL39" s="20"/>
    </row>
    <row r="40" spans="2:94" ht="15" customHeight="1">
      <c r="B40" s="12"/>
      <c r="C40" s="12"/>
      <c r="D40" s="143" t="s">
        <v>4346</v>
      </c>
      <c r="E40" s="12"/>
      <c r="F40" s="12"/>
      <c r="G40" s="12"/>
      <c r="H40" s="12"/>
      <c r="I40" s="12"/>
      <c r="J40" s="13" t="s">
        <v>3930</v>
      </c>
      <c r="K40" s="13" t="s">
        <v>3931</v>
      </c>
      <c r="L40" s="13" t="s">
        <v>3932</v>
      </c>
      <c r="M40" s="12"/>
      <c r="N40" s="12"/>
      <c r="O40" s="12"/>
      <c r="P40" s="12"/>
      <c r="Q40" s="12"/>
      <c r="CJ40" s="7"/>
      <c r="CK40" s="7"/>
      <c r="CL40" s="7"/>
      <c r="CN40" s="9"/>
      <c r="CO40" s="20"/>
      <c r="CP40" s="9"/>
    </row>
    <row r="41" spans="2:94" ht="15" customHeight="1">
      <c r="B41" s="12"/>
      <c r="C41" s="12"/>
      <c r="D41" s="177">
        <v>49</v>
      </c>
      <c r="E41" s="144"/>
      <c r="F41" s="157">
        <f>G41</f>
        <v>41818.708333333328</v>
      </c>
      <c r="G41" s="158">
        <f>'Countries and Timezone'!R50</f>
        <v>41818.708333333328</v>
      </c>
      <c r="H41" s="159" t="str">
        <f ca="1">Tournament!H67</f>
        <v>Group A Winner</v>
      </c>
      <c r="I41" s="145"/>
      <c r="J41" s="75"/>
      <c r="K41" s="144"/>
      <c r="L41" s="144"/>
      <c r="M41" s="145"/>
      <c r="N41" s="145"/>
      <c r="O41" s="145"/>
      <c r="P41" s="145"/>
      <c r="Q41" s="145"/>
      <c r="R41" s="145"/>
      <c r="S41" s="145"/>
      <c r="T41" s="145"/>
      <c r="U41" s="145"/>
      <c r="CJ41" s="7"/>
      <c r="CK41" s="7"/>
      <c r="CL41" s="7"/>
      <c r="CN41" s="9"/>
      <c r="CO41" s="20"/>
      <c r="CP41" s="9"/>
    </row>
    <row r="42" spans="2:94" ht="15" customHeight="1">
      <c r="B42" s="12"/>
      <c r="C42" s="12"/>
      <c r="D42" s="187"/>
      <c r="E42" s="146"/>
      <c r="F42" s="195" t="s">
        <v>4382</v>
      </c>
      <c r="G42" s="195"/>
      <c r="H42" s="160" t="str">
        <f ca="1">Tournament!N67</f>
        <v>Group B Runner Up</v>
      </c>
      <c r="I42" s="147"/>
      <c r="J42" s="75"/>
      <c r="K42" s="146"/>
      <c r="L42" s="146"/>
      <c r="M42" s="147"/>
      <c r="N42" s="147"/>
      <c r="O42" s="147"/>
      <c r="P42" s="147"/>
      <c r="Q42" s="147"/>
      <c r="R42" s="147"/>
      <c r="S42" s="147"/>
      <c r="T42" s="147"/>
      <c r="U42" s="147"/>
      <c r="CJ42" s="7"/>
      <c r="CK42" s="7"/>
      <c r="CL42" s="7"/>
      <c r="CN42" s="9"/>
      <c r="CO42" s="20"/>
      <c r="CP42" s="9"/>
    </row>
    <row r="43" spans="2:94" ht="15" customHeight="1">
      <c r="B43" s="12"/>
      <c r="C43" s="12"/>
      <c r="D43" s="177">
        <v>50</v>
      </c>
      <c r="E43" s="144"/>
      <c r="F43" s="157">
        <f>G43</f>
        <v>41818.875</v>
      </c>
      <c r="G43" s="158">
        <f>'Countries and Timezone'!R51</f>
        <v>41818.875</v>
      </c>
      <c r="H43" s="159" t="str">
        <f ca="1">Tournament!H73</f>
        <v>Group C Winner</v>
      </c>
      <c r="I43" s="145"/>
      <c r="J43" s="75"/>
      <c r="K43" s="144"/>
      <c r="L43" s="144"/>
      <c r="M43" s="145"/>
      <c r="N43" s="145"/>
      <c r="O43" s="145"/>
      <c r="P43" s="145"/>
      <c r="Q43" s="145"/>
      <c r="R43" s="145"/>
      <c r="S43" s="145"/>
      <c r="T43" s="145"/>
      <c r="U43" s="145"/>
      <c r="CJ43" s="7"/>
      <c r="CK43" s="7"/>
      <c r="CL43" s="7"/>
      <c r="CN43" s="9"/>
      <c r="CO43" s="20"/>
      <c r="CP43" s="9"/>
    </row>
    <row r="44" spans="2:94" ht="15" customHeight="1">
      <c r="B44" s="12"/>
      <c r="C44" s="12"/>
      <c r="D44" s="187"/>
      <c r="E44" s="146"/>
      <c r="F44" s="195" t="s">
        <v>3810</v>
      </c>
      <c r="G44" s="195"/>
      <c r="H44" s="160" t="str">
        <f ca="1">Tournament!N73</f>
        <v>Group D Runner Up</v>
      </c>
      <c r="I44" s="147"/>
      <c r="J44" s="75"/>
      <c r="K44" s="146"/>
      <c r="L44" s="146"/>
      <c r="M44" s="147"/>
      <c r="N44" s="147"/>
      <c r="O44" s="147"/>
      <c r="P44" s="147"/>
      <c r="Q44" s="147"/>
      <c r="R44" s="147"/>
      <c r="S44" s="147"/>
      <c r="T44" s="147"/>
      <c r="U44" s="147"/>
      <c r="CJ44" s="7"/>
      <c r="CK44" s="7"/>
      <c r="CL44" s="7"/>
      <c r="CN44" s="9"/>
      <c r="CO44" s="20"/>
      <c r="CP44" s="9"/>
    </row>
    <row r="45" spans="2:94" ht="15" customHeight="1">
      <c r="B45" s="12"/>
      <c r="C45" s="12"/>
      <c r="D45" s="177">
        <v>51</v>
      </c>
      <c r="E45" s="144"/>
      <c r="F45" s="157">
        <f>G45</f>
        <v>41819.708333333328</v>
      </c>
      <c r="G45" s="158">
        <f>'Countries and Timezone'!R52</f>
        <v>41819.708333333328</v>
      </c>
      <c r="H45" s="159" t="str">
        <f ca="1">Tournament!H79</f>
        <v>Group B Winner</v>
      </c>
      <c r="I45" s="145"/>
      <c r="J45" s="75"/>
      <c r="K45" s="144"/>
      <c r="L45" s="144"/>
      <c r="M45" s="145"/>
      <c r="N45" s="145"/>
      <c r="O45" s="145"/>
      <c r="P45" s="145"/>
      <c r="Q45" s="145"/>
      <c r="R45" s="145"/>
      <c r="S45" s="145"/>
      <c r="T45" s="145"/>
      <c r="U45" s="145"/>
      <c r="CJ45" s="7"/>
      <c r="CK45" s="7"/>
      <c r="CL45" s="7"/>
      <c r="CN45" s="9"/>
      <c r="CO45" s="20"/>
      <c r="CP45" s="9"/>
    </row>
    <row r="46" spans="2:94" ht="15" customHeight="1">
      <c r="B46" s="12"/>
      <c r="C46" s="12"/>
      <c r="D46" s="187"/>
      <c r="E46" s="146"/>
      <c r="F46" s="195" t="s">
        <v>4384</v>
      </c>
      <c r="G46" s="195"/>
      <c r="H46" s="160" t="str">
        <f ca="1">Tournament!N79</f>
        <v>Group A Runner Up</v>
      </c>
      <c r="I46" s="147"/>
      <c r="J46" s="75"/>
      <c r="K46" s="146"/>
      <c r="L46" s="146"/>
      <c r="M46" s="147"/>
      <c r="N46" s="147"/>
      <c r="O46" s="147"/>
      <c r="P46" s="147"/>
      <c r="Q46" s="147"/>
      <c r="R46" s="147"/>
      <c r="S46" s="147"/>
      <c r="T46" s="147"/>
      <c r="U46" s="147"/>
      <c r="CJ46" s="7"/>
      <c r="CK46" s="7"/>
      <c r="CL46" s="7"/>
      <c r="CN46" s="9"/>
      <c r="CO46" s="20"/>
      <c r="CP46" s="9"/>
    </row>
    <row r="47" spans="2:94" ht="15" customHeight="1">
      <c r="B47" s="12"/>
      <c r="C47" s="12"/>
      <c r="D47" s="177">
        <v>52</v>
      </c>
      <c r="E47" s="144"/>
      <c r="F47" s="157">
        <f>G47</f>
        <v>41819.875</v>
      </c>
      <c r="G47" s="158">
        <f>'Countries and Timezone'!R53</f>
        <v>41819.875</v>
      </c>
      <c r="H47" s="159" t="str">
        <f ca="1">Tournament!H85</f>
        <v>Group D Winner</v>
      </c>
      <c r="I47" s="145"/>
      <c r="J47" s="75"/>
      <c r="K47" s="144"/>
      <c r="L47" s="144"/>
      <c r="M47" s="145"/>
      <c r="N47" s="145"/>
      <c r="O47" s="145"/>
      <c r="P47" s="145"/>
      <c r="Q47" s="145"/>
      <c r="R47" s="145"/>
      <c r="S47" s="145"/>
      <c r="T47" s="145"/>
      <c r="U47" s="145"/>
      <c r="CJ47" s="7"/>
      <c r="CK47" s="7"/>
      <c r="CL47" s="7"/>
      <c r="CN47" s="9"/>
      <c r="CO47" s="20"/>
      <c r="CP47" s="9"/>
    </row>
    <row r="48" spans="2:94" ht="15" customHeight="1">
      <c r="B48" s="12"/>
      <c r="C48" s="12"/>
      <c r="D48" s="187"/>
      <c r="E48" s="146"/>
      <c r="F48" s="195" t="s">
        <v>4383</v>
      </c>
      <c r="G48" s="195"/>
      <c r="H48" s="160" t="str">
        <f ca="1">Tournament!N85</f>
        <v>Group C Runner Up</v>
      </c>
      <c r="I48" s="147"/>
      <c r="J48" s="75"/>
      <c r="K48" s="146"/>
      <c r="L48" s="146"/>
      <c r="M48" s="147"/>
      <c r="N48" s="147"/>
      <c r="O48" s="147"/>
      <c r="P48" s="147"/>
      <c r="Q48" s="147"/>
      <c r="R48" s="147"/>
      <c r="S48" s="147"/>
      <c r="T48" s="147"/>
      <c r="U48" s="147"/>
      <c r="CJ48" s="7"/>
      <c r="CK48" s="7"/>
      <c r="CL48" s="7"/>
      <c r="CN48" s="9"/>
      <c r="CO48" s="20"/>
      <c r="CP48" s="9"/>
    </row>
    <row r="49" spans="2:94" ht="15" customHeight="1">
      <c r="B49" s="12"/>
      <c r="C49" s="12"/>
      <c r="D49" s="177">
        <v>53</v>
      </c>
      <c r="E49" s="144"/>
      <c r="F49" s="157">
        <f>G49</f>
        <v>41820.708333333328</v>
      </c>
      <c r="G49" s="158">
        <f>'Countries and Timezone'!R54</f>
        <v>41820.708333333328</v>
      </c>
      <c r="H49" s="159" t="str">
        <f ca="1">Tournament!H91</f>
        <v>Group E Winner</v>
      </c>
      <c r="I49" s="145"/>
      <c r="J49" s="75"/>
      <c r="K49" s="144"/>
      <c r="L49" s="144"/>
      <c r="M49" s="145"/>
      <c r="N49" s="145"/>
      <c r="O49" s="145"/>
      <c r="P49" s="145"/>
      <c r="Q49" s="145"/>
      <c r="R49" s="145"/>
      <c r="S49" s="145"/>
      <c r="T49" s="145"/>
      <c r="U49" s="145"/>
      <c r="CJ49" s="7"/>
      <c r="CK49" s="7"/>
      <c r="CL49" s="7"/>
      <c r="CN49" s="9"/>
      <c r="CO49" s="20"/>
      <c r="CP49" s="9"/>
    </row>
    <row r="50" spans="2:94" ht="15" customHeight="1">
      <c r="B50" s="12"/>
      <c r="C50" s="12"/>
      <c r="D50" s="187"/>
      <c r="E50" s="146"/>
      <c r="F50" s="195" t="s">
        <v>329</v>
      </c>
      <c r="G50" s="195"/>
      <c r="H50" s="160" t="str">
        <f ca="1">Tournament!N91</f>
        <v>Group F Runner Up</v>
      </c>
      <c r="I50" s="147"/>
      <c r="J50" s="75"/>
      <c r="K50" s="146"/>
      <c r="L50" s="146"/>
      <c r="M50" s="147"/>
      <c r="N50" s="147"/>
      <c r="O50" s="147"/>
      <c r="P50" s="147"/>
      <c r="Q50" s="147"/>
      <c r="R50" s="147"/>
      <c r="S50" s="147"/>
      <c r="T50" s="147"/>
      <c r="U50" s="147"/>
      <c r="CJ50" s="7"/>
      <c r="CK50" s="7"/>
      <c r="CL50" s="7"/>
      <c r="CN50" s="9"/>
      <c r="CO50" s="20"/>
      <c r="CP50" s="9"/>
    </row>
    <row r="51" spans="2:94" ht="15" customHeight="1">
      <c r="B51" s="12"/>
      <c r="C51" s="12"/>
      <c r="D51" s="177">
        <v>54</v>
      </c>
      <c r="E51" s="144"/>
      <c r="F51" s="157">
        <f>G51</f>
        <v>41820.875</v>
      </c>
      <c r="G51" s="158">
        <f>'Countries and Timezone'!R55</f>
        <v>41820.875</v>
      </c>
      <c r="H51" s="159" t="str">
        <f ca="1">Tournament!H97</f>
        <v>Group G Winner</v>
      </c>
      <c r="I51" s="145"/>
      <c r="J51" s="75"/>
      <c r="K51" s="144"/>
      <c r="L51" s="144"/>
      <c r="M51" s="145"/>
      <c r="N51" s="145"/>
      <c r="O51" s="145"/>
      <c r="P51" s="145"/>
      <c r="Q51" s="145"/>
      <c r="R51" s="145"/>
      <c r="S51" s="145"/>
      <c r="T51" s="145"/>
      <c r="U51" s="145"/>
      <c r="CJ51" s="7"/>
      <c r="CK51" s="7"/>
      <c r="CL51" s="7"/>
      <c r="CN51" s="9"/>
      <c r="CO51" s="20"/>
      <c r="CP51" s="9"/>
    </row>
    <row r="52" spans="2:94" ht="15" customHeight="1">
      <c r="B52" s="12"/>
      <c r="C52" s="12"/>
      <c r="D52" s="187"/>
      <c r="E52" s="146"/>
      <c r="F52" s="195" t="s">
        <v>4386</v>
      </c>
      <c r="G52" s="195"/>
      <c r="H52" s="160" t="str">
        <f ca="1">Tournament!N97</f>
        <v>Group H Runner Up</v>
      </c>
      <c r="I52" s="147"/>
      <c r="J52" s="75"/>
      <c r="K52" s="146"/>
      <c r="L52" s="146"/>
      <c r="M52" s="147"/>
      <c r="N52" s="147"/>
      <c r="O52" s="147"/>
      <c r="P52" s="147"/>
      <c r="Q52" s="147"/>
      <c r="R52" s="147"/>
      <c r="S52" s="147"/>
      <c r="T52" s="147"/>
      <c r="U52" s="147"/>
      <c r="CJ52" s="7"/>
      <c r="CK52" s="7"/>
      <c r="CL52" s="7"/>
      <c r="CN52" s="9"/>
      <c r="CO52" s="20"/>
      <c r="CP52" s="9"/>
    </row>
    <row r="53" spans="2:94" ht="15" customHeight="1">
      <c r="B53" s="12"/>
      <c r="C53" s="12"/>
      <c r="D53" s="177">
        <v>55</v>
      </c>
      <c r="E53" s="144"/>
      <c r="F53" s="157">
        <f>G53</f>
        <v>41821.708333333328</v>
      </c>
      <c r="G53" s="158">
        <f>'Countries and Timezone'!R56</f>
        <v>41821.708333333328</v>
      </c>
      <c r="H53" s="159" t="str">
        <f ca="1">Tournament!H103</f>
        <v>Group F Winner</v>
      </c>
      <c r="I53" s="145"/>
      <c r="J53" s="75"/>
      <c r="K53" s="144"/>
      <c r="L53" s="144"/>
      <c r="M53" s="145"/>
      <c r="N53" s="145"/>
      <c r="O53" s="145"/>
      <c r="P53" s="145"/>
      <c r="Q53" s="145"/>
      <c r="R53" s="145"/>
      <c r="S53" s="145"/>
      <c r="T53" s="145"/>
      <c r="U53" s="145"/>
      <c r="CJ53" s="7"/>
      <c r="CK53" s="7"/>
      <c r="CL53" s="7"/>
      <c r="CN53" s="9"/>
      <c r="CO53" s="20"/>
      <c r="CP53" s="9"/>
    </row>
    <row r="54" spans="2:94" ht="15" customHeight="1">
      <c r="B54" s="12"/>
      <c r="C54" s="12"/>
      <c r="D54" s="187"/>
      <c r="E54" s="146"/>
      <c r="F54" s="195" t="s">
        <v>3818</v>
      </c>
      <c r="G54" s="195"/>
      <c r="H54" s="160" t="str">
        <f ca="1">Tournament!N103</f>
        <v>Group E Runner Up</v>
      </c>
      <c r="I54" s="147"/>
      <c r="J54" s="75"/>
      <c r="K54" s="146"/>
      <c r="L54" s="146"/>
      <c r="M54" s="147"/>
      <c r="N54" s="147"/>
      <c r="O54" s="147"/>
      <c r="P54" s="147"/>
      <c r="Q54" s="147"/>
      <c r="R54" s="147"/>
      <c r="S54" s="147"/>
      <c r="T54" s="147"/>
      <c r="U54" s="147"/>
      <c r="CJ54" s="7"/>
      <c r="CK54" s="7"/>
      <c r="CL54" s="7"/>
      <c r="CN54" s="9"/>
      <c r="CO54" s="20"/>
      <c r="CP54" s="9"/>
    </row>
    <row r="55" spans="2:94" ht="15" customHeight="1">
      <c r="B55" s="12"/>
      <c r="C55" s="12"/>
      <c r="D55" s="177">
        <v>56</v>
      </c>
      <c r="E55" s="144"/>
      <c r="F55" s="157">
        <f>G55</f>
        <v>41821.875</v>
      </c>
      <c r="G55" s="158">
        <f>'Countries and Timezone'!R57</f>
        <v>41821.875</v>
      </c>
      <c r="H55" s="159" t="str">
        <f ca="1">Tournament!H109</f>
        <v>Group H Winner</v>
      </c>
      <c r="I55" s="145"/>
      <c r="J55" s="75"/>
      <c r="K55" s="144"/>
      <c r="L55" s="144"/>
      <c r="M55" s="145"/>
      <c r="N55" s="145"/>
      <c r="O55" s="145"/>
      <c r="P55" s="145"/>
      <c r="Q55" s="145"/>
      <c r="R55" s="145"/>
      <c r="S55" s="145"/>
      <c r="T55" s="145"/>
      <c r="U55" s="145"/>
      <c r="CL55" s="20"/>
    </row>
    <row r="56" spans="2:94" ht="15" customHeight="1">
      <c r="B56" s="12"/>
      <c r="C56" s="12"/>
      <c r="D56" s="187"/>
      <c r="E56" s="146"/>
      <c r="F56" s="195" t="s">
        <v>4379</v>
      </c>
      <c r="G56" s="195"/>
      <c r="H56" s="160" t="str">
        <f ca="1">Tournament!N109</f>
        <v>Group G Runner Up</v>
      </c>
      <c r="I56" s="147"/>
      <c r="J56" s="75"/>
      <c r="K56" s="146"/>
      <c r="L56" s="146"/>
      <c r="M56" s="147"/>
      <c r="N56" s="147"/>
      <c r="O56" s="147"/>
      <c r="P56" s="147"/>
      <c r="Q56" s="147"/>
      <c r="R56" s="147"/>
      <c r="S56" s="147"/>
      <c r="T56" s="147"/>
      <c r="U56" s="147"/>
      <c r="CL56" s="20"/>
    </row>
    <row r="57" spans="2:94" ht="15" customHeight="1">
      <c r="B57" s="12"/>
      <c r="C57" s="12"/>
      <c r="D57" s="148"/>
      <c r="E57" s="148"/>
      <c r="F57" s="161"/>
      <c r="G57" s="162"/>
      <c r="H57" s="163"/>
      <c r="I57" s="149"/>
      <c r="J57" s="149"/>
      <c r="K57" s="148"/>
      <c r="L57" s="150"/>
      <c r="M57" s="151"/>
      <c r="N57" s="149"/>
      <c r="O57" s="149"/>
      <c r="P57" s="149"/>
      <c r="Q57" s="149"/>
      <c r="R57" s="149"/>
      <c r="S57" s="149"/>
      <c r="T57" s="149"/>
      <c r="U57" s="149"/>
      <c r="CL57" s="20"/>
    </row>
    <row r="58" spans="2:94" ht="15" customHeight="1">
      <c r="B58" s="12"/>
      <c r="C58" s="33" t="str">
        <f>INDEX(Language!$A$1:$AX$115,MATCH("Quarter Finals",Language!$B$1:$B$115,0),MATCH($B$5,Language!$A$1:$AW$1,0))</f>
        <v>Quarter Finals</v>
      </c>
      <c r="D58" s="152"/>
      <c r="E58" s="152"/>
      <c r="F58" s="164"/>
      <c r="G58" s="164"/>
      <c r="H58" s="164"/>
      <c r="I58" s="152"/>
      <c r="J58" s="152"/>
      <c r="K58" s="153"/>
      <c r="L58" s="153"/>
      <c r="M58" s="152"/>
      <c r="N58" s="154"/>
      <c r="O58" s="154"/>
      <c r="P58" s="154"/>
      <c r="Q58" s="154"/>
      <c r="R58" s="154"/>
      <c r="S58" s="154"/>
      <c r="T58" s="154"/>
      <c r="U58" s="154"/>
    </row>
    <row r="59" spans="2:94" ht="15" customHeight="1">
      <c r="B59" s="12"/>
      <c r="C59" s="12"/>
      <c r="D59" s="149"/>
      <c r="E59" s="149"/>
      <c r="F59" s="165"/>
      <c r="G59" s="165"/>
      <c r="H59" s="165"/>
      <c r="I59" s="149"/>
      <c r="J59" s="149"/>
      <c r="K59" s="148"/>
      <c r="L59" s="150"/>
      <c r="M59" s="151"/>
      <c r="N59" s="148"/>
      <c r="O59" s="148"/>
      <c r="P59" s="148"/>
      <c r="Q59" s="148"/>
      <c r="R59" s="148"/>
      <c r="S59" s="148"/>
      <c r="T59" s="148"/>
      <c r="U59" s="148"/>
    </row>
    <row r="60" spans="2:94" ht="15" customHeight="1">
      <c r="B60" s="12"/>
      <c r="C60" s="12"/>
      <c r="D60" s="177">
        <v>57</v>
      </c>
      <c r="E60" s="144"/>
      <c r="F60" s="157">
        <f>G60</f>
        <v>41824.875</v>
      </c>
      <c r="G60" s="158">
        <f>'Countries and Timezone'!R58</f>
        <v>41824.875</v>
      </c>
      <c r="H60" s="159" t="str">
        <f>Tournament!Y67</f>
        <v>Match 49 Winner</v>
      </c>
      <c r="I60" s="145"/>
      <c r="J60" s="75"/>
      <c r="K60" s="144"/>
      <c r="L60" s="144"/>
      <c r="M60" s="145"/>
      <c r="N60" s="145"/>
      <c r="O60" s="145"/>
      <c r="P60" s="145"/>
      <c r="Q60" s="145"/>
      <c r="R60" s="145"/>
      <c r="S60" s="145"/>
      <c r="T60" s="145"/>
      <c r="U60" s="145"/>
      <c r="CH60" s="9"/>
      <c r="CI60" s="9"/>
      <c r="CL60" s="7"/>
      <c r="CM60" s="7"/>
    </row>
    <row r="61" spans="2:94" ht="15" customHeight="1">
      <c r="B61" s="12"/>
      <c r="C61" s="12"/>
      <c r="D61" s="187"/>
      <c r="E61" s="146"/>
      <c r="F61" s="195" t="s">
        <v>4384</v>
      </c>
      <c r="G61" s="195"/>
      <c r="H61" s="160" t="str">
        <f>Tournament!AE67</f>
        <v>Match 50 Winner</v>
      </c>
      <c r="I61" s="147"/>
      <c r="J61" s="75"/>
      <c r="K61" s="146"/>
      <c r="L61" s="146"/>
      <c r="M61" s="147"/>
      <c r="N61" s="147"/>
      <c r="O61" s="147"/>
      <c r="P61" s="147"/>
      <c r="Q61" s="147"/>
      <c r="R61" s="147"/>
      <c r="S61" s="147"/>
      <c r="T61" s="147"/>
      <c r="U61" s="147"/>
      <c r="CH61" s="9"/>
      <c r="CI61" s="9"/>
      <c r="CL61" s="7"/>
      <c r="CM61" s="7"/>
    </row>
    <row r="62" spans="2:94" ht="15" customHeight="1">
      <c r="B62" s="12"/>
      <c r="C62" s="12"/>
      <c r="D62" s="177">
        <v>58</v>
      </c>
      <c r="E62" s="144"/>
      <c r="F62" s="157">
        <f>G62</f>
        <v>41824.708333333328</v>
      </c>
      <c r="G62" s="158">
        <f>'Countries and Timezone'!R59</f>
        <v>41824.708333333328</v>
      </c>
      <c r="H62" s="159" t="str">
        <f>Tournament!Y72</f>
        <v>Match 53 Winner</v>
      </c>
      <c r="I62" s="145"/>
      <c r="J62" s="75"/>
      <c r="K62" s="144"/>
      <c r="L62" s="144"/>
      <c r="M62" s="145"/>
      <c r="N62" s="145"/>
      <c r="O62" s="145"/>
      <c r="P62" s="145"/>
      <c r="Q62" s="145"/>
      <c r="R62" s="145"/>
      <c r="S62" s="145"/>
      <c r="T62" s="145"/>
      <c r="U62" s="145"/>
      <c r="CH62" s="9"/>
      <c r="CI62" s="9"/>
      <c r="CL62" s="7"/>
      <c r="CM62" s="7"/>
    </row>
    <row r="63" spans="2:94" ht="15" customHeight="1">
      <c r="B63" s="12"/>
      <c r="C63" s="12"/>
      <c r="D63" s="187"/>
      <c r="E63" s="146"/>
      <c r="F63" s="195" t="s">
        <v>3810</v>
      </c>
      <c r="G63" s="195"/>
      <c r="H63" s="160" t="str">
        <f>Tournament!AE72</f>
        <v>Match 54 Winner</v>
      </c>
      <c r="I63" s="147"/>
      <c r="J63" s="75"/>
      <c r="K63" s="146"/>
      <c r="L63" s="146"/>
      <c r="M63" s="147"/>
      <c r="N63" s="147"/>
      <c r="O63" s="147"/>
      <c r="P63" s="147"/>
      <c r="Q63" s="147"/>
      <c r="R63" s="147"/>
      <c r="S63" s="147"/>
      <c r="T63" s="147"/>
      <c r="U63" s="147"/>
      <c r="CH63" s="9"/>
      <c r="CI63" s="9"/>
      <c r="CL63" s="7"/>
      <c r="CM63" s="7"/>
    </row>
    <row r="64" spans="2:94" ht="15" customHeight="1">
      <c r="B64" s="12"/>
      <c r="C64" s="12"/>
      <c r="D64" s="177">
        <v>59</v>
      </c>
      <c r="E64" s="144"/>
      <c r="F64" s="157">
        <f>G64</f>
        <v>41825.875</v>
      </c>
      <c r="G64" s="158">
        <f>'Countries and Timezone'!R60</f>
        <v>41825.875</v>
      </c>
      <c r="H64" s="159" t="str">
        <f>Tournament!Y77</f>
        <v>Match 51 Winner</v>
      </c>
      <c r="I64" s="145"/>
      <c r="J64" s="75"/>
      <c r="K64" s="144"/>
      <c r="L64" s="144"/>
      <c r="M64" s="145"/>
      <c r="N64" s="145"/>
      <c r="O64" s="145"/>
      <c r="P64" s="145"/>
      <c r="Q64" s="145"/>
      <c r="R64" s="145"/>
      <c r="S64" s="145"/>
      <c r="T64" s="145"/>
      <c r="U64" s="145"/>
      <c r="CH64" s="9"/>
      <c r="CI64" s="9"/>
      <c r="CL64" s="7"/>
      <c r="CM64" s="7"/>
    </row>
    <row r="65" spans="2:91" ht="15" customHeight="1">
      <c r="B65" s="12"/>
      <c r="C65" s="12"/>
      <c r="D65" s="187"/>
      <c r="E65" s="146"/>
      <c r="F65" s="195" t="s">
        <v>4379</v>
      </c>
      <c r="G65" s="195"/>
      <c r="H65" s="160" t="str">
        <f>Tournament!AE77</f>
        <v>Match 52 Winner</v>
      </c>
      <c r="I65" s="147"/>
      <c r="J65" s="75"/>
      <c r="K65" s="146"/>
      <c r="L65" s="146"/>
      <c r="M65" s="147"/>
      <c r="N65" s="147"/>
      <c r="O65" s="147"/>
      <c r="P65" s="147"/>
      <c r="Q65" s="147"/>
      <c r="R65" s="147"/>
      <c r="S65" s="147"/>
      <c r="T65" s="147"/>
      <c r="U65" s="147"/>
      <c r="CH65" s="9"/>
      <c r="CI65" s="9"/>
      <c r="CL65" s="7"/>
      <c r="CM65" s="7"/>
    </row>
    <row r="66" spans="2:91" ht="15" customHeight="1">
      <c r="B66" s="12"/>
      <c r="C66" s="12"/>
      <c r="D66" s="177">
        <v>60</v>
      </c>
      <c r="E66" s="144"/>
      <c r="F66" s="157">
        <f>G66</f>
        <v>41825.708333333328</v>
      </c>
      <c r="G66" s="158">
        <f>'Countries and Timezone'!R61</f>
        <v>41825.708333333328</v>
      </c>
      <c r="H66" s="159" t="str">
        <f>Tournament!Y82</f>
        <v>Match 55 Winner</v>
      </c>
      <c r="I66" s="145"/>
      <c r="J66" s="75"/>
      <c r="K66" s="144"/>
      <c r="L66" s="144"/>
      <c r="M66" s="145"/>
      <c r="N66" s="145"/>
      <c r="O66" s="145"/>
      <c r="P66" s="145"/>
      <c r="Q66" s="145"/>
      <c r="R66" s="145"/>
      <c r="S66" s="145"/>
      <c r="T66" s="145"/>
      <c r="U66" s="145"/>
      <c r="CH66" s="9"/>
      <c r="CI66" s="9"/>
      <c r="CL66" s="7"/>
      <c r="CM66" s="7"/>
    </row>
    <row r="67" spans="2:91" ht="15" customHeight="1">
      <c r="B67" s="12"/>
      <c r="C67" s="12"/>
      <c r="D67" s="187"/>
      <c r="E67" s="146"/>
      <c r="F67" s="195" t="s">
        <v>329</v>
      </c>
      <c r="G67" s="195"/>
      <c r="H67" s="160" t="str">
        <f>Tournament!AE82</f>
        <v>Match 56 Winner</v>
      </c>
      <c r="I67" s="147"/>
      <c r="J67" s="75"/>
      <c r="K67" s="146"/>
      <c r="L67" s="146"/>
      <c r="M67" s="147"/>
      <c r="N67" s="147"/>
      <c r="O67" s="147"/>
      <c r="P67" s="147"/>
      <c r="Q67" s="147"/>
      <c r="R67" s="147"/>
      <c r="S67" s="147"/>
      <c r="T67" s="147"/>
      <c r="U67" s="147"/>
      <c r="CH67" s="9"/>
      <c r="CI67" s="9"/>
      <c r="CL67" s="7"/>
      <c r="CM67" s="7"/>
    </row>
    <row r="68" spans="2:91" ht="15" customHeight="1">
      <c r="B68" s="12"/>
      <c r="C68" s="12"/>
      <c r="D68" s="149"/>
      <c r="E68" s="151"/>
      <c r="F68" s="165"/>
      <c r="G68" s="165"/>
      <c r="H68" s="165"/>
      <c r="I68" s="149"/>
      <c r="J68" s="149"/>
      <c r="K68" s="148"/>
      <c r="L68" s="148"/>
      <c r="M68" s="151"/>
      <c r="N68" s="149"/>
      <c r="O68" s="149"/>
      <c r="P68" s="149"/>
      <c r="Q68" s="149"/>
      <c r="R68" s="149"/>
      <c r="S68" s="149"/>
      <c r="T68" s="149"/>
      <c r="U68" s="149"/>
      <c r="CH68" s="9"/>
      <c r="CI68" s="9"/>
      <c r="CL68" s="7"/>
      <c r="CM68" s="7"/>
    </row>
    <row r="69" spans="2:91" ht="15" customHeight="1">
      <c r="B69" s="12"/>
      <c r="C69" s="33" t="str">
        <f>INDEX(Language!$A$1:$AX$115,MATCH("Semi Finals",Language!$B$1:$B$115,0),MATCH($B$5,Language!$A$1:$AW$1,0))</f>
        <v>Semi Finals</v>
      </c>
      <c r="D69" s="152"/>
      <c r="E69" s="152"/>
      <c r="F69" s="164"/>
      <c r="G69" s="164"/>
      <c r="H69" s="164"/>
      <c r="I69" s="152"/>
      <c r="J69" s="152"/>
      <c r="K69" s="155"/>
      <c r="L69" s="155"/>
      <c r="M69" s="152"/>
      <c r="N69" s="154"/>
      <c r="O69" s="154"/>
      <c r="P69" s="154"/>
      <c r="Q69" s="154"/>
      <c r="R69" s="154"/>
      <c r="S69" s="154"/>
      <c r="T69" s="154"/>
      <c r="U69" s="154"/>
      <c r="CH69" s="9"/>
      <c r="CI69" s="9"/>
      <c r="CL69" s="7"/>
      <c r="CM69" s="7"/>
    </row>
    <row r="70" spans="2:91" ht="15" customHeight="1">
      <c r="B70" s="12"/>
      <c r="C70" s="12"/>
      <c r="D70" s="149"/>
      <c r="E70" s="151"/>
      <c r="F70" s="165"/>
      <c r="G70" s="165"/>
      <c r="H70" s="165"/>
      <c r="I70" s="149"/>
      <c r="J70" s="148"/>
      <c r="K70" s="148"/>
      <c r="L70" s="148"/>
      <c r="M70" s="151"/>
      <c r="N70" s="149"/>
      <c r="O70" s="149"/>
      <c r="P70" s="149"/>
      <c r="Q70" s="149"/>
      <c r="R70" s="149"/>
      <c r="S70" s="149"/>
      <c r="T70" s="149"/>
      <c r="U70" s="149"/>
      <c r="CH70" s="9"/>
      <c r="CI70" s="9"/>
      <c r="CL70" s="7"/>
      <c r="CM70" s="7"/>
    </row>
    <row r="71" spans="2:91" ht="15" customHeight="1">
      <c r="B71" s="12"/>
      <c r="C71" s="12"/>
      <c r="D71" s="177">
        <v>61</v>
      </c>
      <c r="E71" s="144"/>
      <c r="F71" s="157">
        <f>G71</f>
        <v>41828.875</v>
      </c>
      <c r="G71" s="158">
        <f>'Countries and Timezone'!R62</f>
        <v>41828.875</v>
      </c>
      <c r="H71" s="159" t="str">
        <f>Tournament!Y90</f>
        <v>Match 57 Winner</v>
      </c>
      <c r="I71" s="145"/>
      <c r="J71" s="75"/>
      <c r="K71" s="144"/>
      <c r="L71" s="144"/>
      <c r="M71" s="145"/>
      <c r="N71" s="145"/>
      <c r="O71" s="145"/>
      <c r="P71" s="145"/>
      <c r="Q71" s="145"/>
      <c r="R71" s="145"/>
      <c r="S71" s="145"/>
      <c r="T71" s="145"/>
      <c r="U71" s="145"/>
      <c r="CH71" s="9"/>
      <c r="CI71" s="9"/>
      <c r="CL71" s="7"/>
      <c r="CM71" s="7"/>
    </row>
    <row r="72" spans="2:91" ht="15" customHeight="1">
      <c r="B72" s="12"/>
      <c r="C72" s="12"/>
      <c r="D72" s="187"/>
      <c r="E72" s="146"/>
      <c r="F72" s="195" t="s">
        <v>4382</v>
      </c>
      <c r="G72" s="195"/>
      <c r="H72" s="160" t="str">
        <f>Tournament!AE90</f>
        <v>Match 58 Winner</v>
      </c>
      <c r="I72" s="147"/>
      <c r="J72" s="75"/>
      <c r="K72" s="146"/>
      <c r="L72" s="146"/>
      <c r="M72" s="147"/>
      <c r="N72" s="147"/>
      <c r="O72" s="147"/>
      <c r="P72" s="147"/>
      <c r="Q72" s="147"/>
      <c r="R72" s="147"/>
      <c r="S72" s="147"/>
      <c r="T72" s="147"/>
      <c r="U72" s="147"/>
      <c r="CH72" s="9"/>
      <c r="CI72" s="9"/>
      <c r="CL72" s="7"/>
      <c r="CM72" s="7"/>
    </row>
    <row r="73" spans="2:91" ht="15" customHeight="1">
      <c r="B73" s="12"/>
      <c r="C73" s="12"/>
      <c r="D73" s="177">
        <v>62</v>
      </c>
      <c r="E73" s="144"/>
      <c r="F73" s="157">
        <f>G73</f>
        <v>41829.875</v>
      </c>
      <c r="G73" s="158">
        <f>'Countries and Timezone'!R63</f>
        <v>41829.875</v>
      </c>
      <c r="H73" s="159" t="str">
        <f>Tournament!Y95</f>
        <v>Match 59 Winner</v>
      </c>
      <c r="I73" s="145"/>
      <c r="J73" s="75"/>
      <c r="K73" s="144"/>
      <c r="L73" s="144"/>
      <c r="M73" s="145"/>
      <c r="N73" s="145"/>
      <c r="O73" s="145"/>
      <c r="P73" s="145"/>
      <c r="Q73" s="145"/>
      <c r="R73" s="145"/>
      <c r="S73" s="145"/>
      <c r="T73" s="145"/>
      <c r="U73" s="145"/>
      <c r="CH73" s="9"/>
      <c r="CI73" s="9"/>
      <c r="CL73" s="7"/>
      <c r="CM73" s="7"/>
    </row>
    <row r="74" spans="2:91" ht="15" customHeight="1">
      <c r="B74" s="12"/>
      <c r="C74" s="12"/>
      <c r="D74" s="187"/>
      <c r="E74" s="146"/>
      <c r="F74" s="195" t="s">
        <v>3818</v>
      </c>
      <c r="G74" s="195"/>
      <c r="H74" s="160" t="str">
        <f>Tournament!AE95</f>
        <v>Match 60 Winner</v>
      </c>
      <c r="I74" s="147"/>
      <c r="J74" s="75"/>
      <c r="K74" s="146"/>
      <c r="L74" s="146"/>
      <c r="M74" s="147"/>
      <c r="N74" s="147"/>
      <c r="O74" s="147"/>
      <c r="P74" s="147"/>
      <c r="Q74" s="147"/>
      <c r="R74" s="147"/>
      <c r="S74" s="147"/>
      <c r="T74" s="147"/>
      <c r="U74" s="147"/>
      <c r="CH74" s="9"/>
      <c r="CI74" s="9"/>
      <c r="CL74" s="7"/>
      <c r="CM74" s="7"/>
    </row>
    <row r="75" spans="2:91" ht="15" customHeight="1">
      <c r="B75" s="12"/>
      <c r="C75" s="12"/>
      <c r="D75" s="149"/>
      <c r="E75" s="151"/>
      <c r="F75" s="165"/>
      <c r="G75" s="165"/>
      <c r="H75" s="163"/>
      <c r="I75" s="149"/>
      <c r="J75" s="149"/>
      <c r="K75" s="148"/>
      <c r="L75" s="148"/>
      <c r="M75" s="151"/>
      <c r="N75" s="149"/>
      <c r="O75" s="149"/>
      <c r="P75" s="149"/>
      <c r="Q75" s="149"/>
      <c r="R75" s="149"/>
      <c r="S75" s="149"/>
      <c r="T75" s="149"/>
      <c r="U75" s="149"/>
      <c r="CH75" s="9"/>
      <c r="CI75" s="9"/>
      <c r="CL75" s="7"/>
      <c r="CM75" s="7"/>
    </row>
    <row r="76" spans="2:91" ht="15" customHeight="1">
      <c r="B76" s="12"/>
      <c r="C76" s="33" t="str">
        <f>INDEX(Language!$A$1:$AX$115,MATCH("Match for Third Place",Language!$B$1:$B$115,0),MATCH($B$5,Language!$A$1:$AW$1,0))</f>
        <v>Match for Third Place</v>
      </c>
      <c r="D76" s="152"/>
      <c r="E76" s="152"/>
      <c r="F76" s="164"/>
      <c r="G76" s="164"/>
      <c r="H76" s="166"/>
      <c r="I76" s="152"/>
      <c r="J76" s="152"/>
      <c r="K76" s="155"/>
      <c r="L76" s="155"/>
      <c r="M76" s="152"/>
      <c r="N76" s="154"/>
      <c r="O76" s="154"/>
      <c r="P76" s="154"/>
      <c r="Q76" s="154"/>
      <c r="R76" s="154"/>
      <c r="S76" s="154"/>
      <c r="T76" s="154"/>
      <c r="U76" s="154"/>
      <c r="CH76" s="9"/>
      <c r="CI76" s="9"/>
      <c r="CL76" s="7"/>
      <c r="CM76" s="7"/>
    </row>
    <row r="77" spans="2:91" ht="15" customHeight="1">
      <c r="B77" s="12"/>
      <c r="C77" s="12"/>
      <c r="D77" s="149"/>
      <c r="E77" s="151"/>
      <c r="F77" s="165"/>
      <c r="G77" s="165"/>
      <c r="H77" s="163"/>
      <c r="I77" s="149"/>
      <c r="J77" s="148"/>
      <c r="K77" s="148"/>
      <c r="L77" s="148"/>
      <c r="M77" s="151"/>
      <c r="N77" s="149"/>
      <c r="O77" s="149"/>
      <c r="P77" s="149"/>
      <c r="Q77" s="149"/>
      <c r="R77" s="149"/>
      <c r="S77" s="149"/>
      <c r="T77" s="149"/>
      <c r="U77" s="149"/>
      <c r="CH77" s="9"/>
      <c r="CI77" s="9"/>
      <c r="CL77" s="7"/>
      <c r="CM77" s="7"/>
    </row>
    <row r="78" spans="2:91" ht="15" customHeight="1">
      <c r="B78" s="12"/>
      <c r="C78" s="12"/>
      <c r="D78" s="177">
        <v>63</v>
      </c>
      <c r="E78" s="144"/>
      <c r="F78" s="157">
        <f>G78</f>
        <v>41832.875</v>
      </c>
      <c r="G78" s="158">
        <f>'Countries and Timezone'!R64</f>
        <v>41832.875</v>
      </c>
      <c r="H78" s="159" t="str">
        <f>Tournament!Y103</f>
        <v>Match 61 Loser</v>
      </c>
      <c r="I78" s="145"/>
      <c r="J78" s="75"/>
      <c r="K78" s="144"/>
      <c r="L78" s="144"/>
      <c r="M78" s="145"/>
      <c r="N78" s="145"/>
      <c r="O78" s="145"/>
      <c r="P78" s="145"/>
      <c r="Q78" s="145"/>
      <c r="R78" s="145"/>
      <c r="S78" s="145"/>
      <c r="T78" s="145"/>
      <c r="U78" s="145"/>
      <c r="CH78" s="9"/>
      <c r="CI78" s="9"/>
      <c r="CL78" s="7"/>
      <c r="CM78" s="7"/>
    </row>
    <row r="79" spans="2:91" ht="15" customHeight="1">
      <c r="B79" s="12"/>
      <c r="C79" s="12"/>
      <c r="D79" s="187"/>
      <c r="E79" s="146"/>
      <c r="F79" s="195" t="s">
        <v>329</v>
      </c>
      <c r="G79" s="195"/>
      <c r="H79" s="160" t="str">
        <f>Tournament!AE103</f>
        <v>Match 62 Loser</v>
      </c>
      <c r="I79" s="147"/>
      <c r="J79" s="75"/>
      <c r="K79" s="146"/>
      <c r="L79" s="146"/>
      <c r="M79" s="147"/>
      <c r="N79" s="147"/>
      <c r="O79" s="147"/>
      <c r="P79" s="147"/>
      <c r="Q79" s="147"/>
      <c r="R79" s="147"/>
      <c r="S79" s="147"/>
      <c r="T79" s="147"/>
      <c r="U79" s="147"/>
      <c r="CH79" s="9"/>
      <c r="CI79" s="9"/>
      <c r="CL79" s="7"/>
      <c r="CM79" s="7"/>
    </row>
    <row r="80" spans="2:91" ht="15" customHeight="1">
      <c r="B80" s="12"/>
      <c r="C80" s="12"/>
      <c r="D80" s="149"/>
      <c r="E80" s="151"/>
      <c r="F80" s="165"/>
      <c r="G80" s="165"/>
      <c r="H80" s="163"/>
      <c r="I80" s="149"/>
      <c r="J80" s="149"/>
      <c r="K80" s="148"/>
      <c r="L80" s="148"/>
      <c r="M80" s="151"/>
      <c r="N80" s="156"/>
      <c r="O80" s="156"/>
      <c r="P80" s="156"/>
      <c r="Q80" s="156"/>
      <c r="R80" s="156"/>
      <c r="S80" s="156"/>
      <c r="T80" s="156"/>
      <c r="U80" s="156"/>
      <c r="CH80" s="9"/>
      <c r="CI80" s="9"/>
      <c r="CL80" s="7"/>
      <c r="CM80" s="7"/>
    </row>
    <row r="81" spans="2:91" ht="15" customHeight="1">
      <c r="B81" s="12"/>
      <c r="C81" s="33" t="str">
        <f>INDEX(Language!$A$1:$AX$115,MATCH("Final",Language!$B$1:$B$115,0),MATCH($B$5,Language!$A$1:$AW$1,0))</f>
        <v>Final</v>
      </c>
      <c r="D81" s="152"/>
      <c r="E81" s="152"/>
      <c r="F81" s="164"/>
      <c r="G81" s="164"/>
      <c r="H81" s="166"/>
      <c r="I81" s="152"/>
      <c r="J81" s="152"/>
      <c r="K81" s="155"/>
      <c r="L81" s="155"/>
      <c r="M81" s="152"/>
      <c r="N81" s="154"/>
      <c r="O81" s="154"/>
      <c r="P81" s="154"/>
      <c r="Q81" s="154"/>
      <c r="R81" s="154"/>
      <c r="S81" s="154"/>
      <c r="T81" s="154"/>
      <c r="U81" s="154"/>
      <c r="CH81" s="9"/>
      <c r="CI81" s="9"/>
      <c r="CL81" s="7"/>
      <c r="CM81" s="7"/>
    </row>
    <row r="82" spans="2:91" ht="15" customHeight="1">
      <c r="B82" s="12"/>
      <c r="C82" s="12"/>
      <c r="D82" s="149"/>
      <c r="E82" s="151"/>
      <c r="F82" s="165"/>
      <c r="G82" s="165"/>
      <c r="H82" s="163"/>
      <c r="I82" s="149"/>
      <c r="J82" s="148"/>
      <c r="K82" s="148"/>
      <c r="L82" s="148"/>
      <c r="M82" s="151"/>
      <c r="N82" s="149"/>
      <c r="O82" s="149"/>
      <c r="P82" s="149"/>
      <c r="Q82" s="149"/>
      <c r="R82" s="149"/>
      <c r="S82" s="149"/>
      <c r="T82" s="149"/>
      <c r="U82" s="149"/>
      <c r="CH82" s="9"/>
      <c r="CI82" s="9"/>
      <c r="CL82" s="7"/>
      <c r="CM82" s="7"/>
    </row>
    <row r="83" spans="2:91" ht="15" customHeight="1">
      <c r="B83" s="12"/>
      <c r="C83" s="12"/>
      <c r="D83" s="177">
        <v>64</v>
      </c>
      <c r="E83" s="144"/>
      <c r="F83" s="157">
        <f>G83</f>
        <v>41833.833333333328</v>
      </c>
      <c r="G83" s="158">
        <f>'Countries and Timezone'!R65</f>
        <v>41833.833333333328</v>
      </c>
      <c r="H83" s="159" t="str">
        <f>Tournament!Y111</f>
        <v>Match 61 Winner</v>
      </c>
      <c r="I83" s="145"/>
      <c r="J83" s="75"/>
      <c r="K83" s="144"/>
      <c r="L83" s="144"/>
      <c r="M83" s="145"/>
      <c r="N83" s="145"/>
      <c r="O83" s="145"/>
      <c r="P83" s="145"/>
      <c r="Q83" s="145"/>
      <c r="R83" s="145"/>
      <c r="S83" s="145"/>
      <c r="T83" s="145"/>
      <c r="U83" s="145"/>
      <c r="CH83" s="9"/>
      <c r="CI83" s="9"/>
      <c r="CL83" s="7"/>
      <c r="CM83" s="7"/>
    </row>
    <row r="84" spans="2:91" ht="15" customHeight="1">
      <c r="B84" s="12"/>
      <c r="C84" s="12"/>
      <c r="D84" s="187"/>
      <c r="E84" s="146"/>
      <c r="F84" s="195" t="s">
        <v>3810</v>
      </c>
      <c r="G84" s="195"/>
      <c r="H84" s="160" t="str">
        <f>Tournament!AE111</f>
        <v>Match 62 Winner</v>
      </c>
      <c r="I84" s="147"/>
      <c r="J84" s="75"/>
      <c r="K84" s="146"/>
      <c r="L84" s="146"/>
      <c r="M84" s="147"/>
      <c r="N84" s="147"/>
      <c r="O84" s="147"/>
      <c r="P84" s="147"/>
      <c r="Q84" s="147"/>
      <c r="R84" s="147"/>
      <c r="S84" s="147"/>
      <c r="T84" s="147"/>
      <c r="U84" s="147"/>
      <c r="CH84" s="9"/>
      <c r="CI84" s="9"/>
      <c r="CL84" s="7"/>
      <c r="CM84" s="7"/>
    </row>
    <row r="85" spans="2:91" ht="15" customHeight="1">
      <c r="J85" s="8"/>
      <c r="K85" s="7"/>
      <c r="CI85" s="9"/>
      <c r="CM85" s="7"/>
    </row>
    <row r="86" spans="2:91" ht="15" customHeight="1">
      <c r="C86" s="34"/>
      <c r="D86" s="35"/>
      <c r="E86" s="35"/>
      <c r="F86" s="35"/>
      <c r="G86" s="35"/>
      <c r="H86" s="35"/>
      <c r="I86" s="35"/>
      <c r="J86" s="35"/>
      <c r="K86" s="35"/>
      <c r="L86" s="36"/>
      <c r="M86" s="35"/>
      <c r="N86" s="35"/>
      <c r="O86" s="35"/>
      <c r="P86" s="35"/>
      <c r="Q86" s="35"/>
      <c r="R86" s="35"/>
      <c r="S86" s="35"/>
      <c r="T86" s="35"/>
      <c r="U86" s="35"/>
      <c r="CI86" s="9"/>
      <c r="CM86" s="7"/>
    </row>
    <row r="87" spans="2:91" ht="15" customHeight="1">
      <c r="C87" s="37"/>
      <c r="D87" s="32" t="str">
        <f>INDEX(Language!$A$1:$AX$115,MATCH("World Cup 2014 Champion",Language!$B$1:$B$115,0),MATCH($B$5,Language!$A$1:$AW$1,0))</f>
        <v>World Cup 2014 Champion</v>
      </c>
      <c r="E87" s="32"/>
      <c r="F87" s="32"/>
      <c r="G87" s="38"/>
      <c r="H87" s="128" t="str">
        <f>Tournament!N118</f>
        <v>MATCH 64 WINNER</v>
      </c>
      <c r="I87" s="38"/>
      <c r="J87" s="38"/>
      <c r="K87" s="38"/>
      <c r="L87" s="39"/>
      <c r="M87" s="32" t="s">
        <v>3883</v>
      </c>
      <c r="N87" s="38"/>
      <c r="O87" s="38"/>
      <c r="P87" s="38"/>
      <c r="Q87" s="38"/>
      <c r="R87" s="38"/>
      <c r="S87" s="38"/>
      <c r="T87" s="38"/>
      <c r="U87" s="38"/>
      <c r="CI87" s="9"/>
      <c r="CM87" s="7"/>
    </row>
    <row r="88" spans="2:91" ht="15" customHeight="1">
      <c r="C88" s="40"/>
      <c r="D88" s="41"/>
      <c r="E88" s="41"/>
      <c r="F88" s="41"/>
      <c r="G88" s="41"/>
      <c r="H88" s="41"/>
      <c r="I88" s="41"/>
      <c r="J88" s="41"/>
      <c r="K88" s="41"/>
      <c r="L88" s="42"/>
      <c r="M88" s="41"/>
      <c r="N88" s="41"/>
      <c r="O88" s="41"/>
      <c r="P88" s="41"/>
      <c r="Q88" s="41"/>
      <c r="R88" s="41"/>
      <c r="S88" s="41"/>
      <c r="T88" s="41"/>
      <c r="U88" s="41"/>
      <c r="CI88" s="9"/>
      <c r="CM88" s="7"/>
    </row>
    <row r="89" spans="2:91" ht="15" customHeight="1">
      <c r="C89" s="7" t="s">
        <v>4388</v>
      </c>
      <c r="K89" s="7"/>
      <c r="P89" s="12"/>
      <c r="Q89" s="12"/>
      <c r="R89" s="12"/>
      <c r="S89" s="12"/>
      <c r="CI89" s="9"/>
      <c r="CM89" s="7"/>
    </row>
    <row r="90" spans="2:91"/>
  </sheetData>
  <sheetProtection password="CAB5" sheet="1" objects="1" scenarios="1" formatCells="0" formatColumns="0" formatRows="0" insertColumns="0" insertRows="0" insertHyperlinks="0" sort="0" autoFilter="0" pivotTables="0"/>
  <mergeCells count="34">
    <mergeCell ref="D78:D79"/>
    <mergeCell ref="D83:D84"/>
    <mergeCell ref="F72:G72"/>
    <mergeCell ref="F74:G74"/>
    <mergeCell ref="F79:G79"/>
    <mergeCell ref="F84:G84"/>
    <mergeCell ref="D45:D46"/>
    <mergeCell ref="D47:D48"/>
    <mergeCell ref="D49:D50"/>
    <mergeCell ref="D71:D72"/>
    <mergeCell ref="D73:D74"/>
    <mergeCell ref="D51:D52"/>
    <mergeCell ref="D53:D54"/>
    <mergeCell ref="D55:D56"/>
    <mergeCell ref="D60:D61"/>
    <mergeCell ref="D62:D63"/>
    <mergeCell ref="D64:D65"/>
    <mergeCell ref="D66:D67"/>
    <mergeCell ref="F56:G56"/>
    <mergeCell ref="F61:G61"/>
    <mergeCell ref="F63:G63"/>
    <mergeCell ref="F65:G65"/>
    <mergeCell ref="F67:G67"/>
    <mergeCell ref="F46:G46"/>
    <mergeCell ref="F48:G48"/>
    <mergeCell ref="F50:G50"/>
    <mergeCell ref="F52:G52"/>
    <mergeCell ref="F54:G54"/>
    <mergeCell ref="B2:U4"/>
    <mergeCell ref="F42:G42"/>
    <mergeCell ref="F44:G44"/>
    <mergeCell ref="B6:U6"/>
    <mergeCell ref="D41:D42"/>
    <mergeCell ref="D43:D44"/>
  </mergeCells>
  <conditionalFormatting sqref="H41">
    <cfRule type="expression" dxfId="305" priority="321" stopIfTrue="1">
      <formula>J41&gt;J42</formula>
    </cfRule>
    <cfRule type="expression" dxfId="304" priority="322" stopIfTrue="1">
      <formula>J41&lt;J42</formula>
    </cfRule>
  </conditionalFormatting>
  <conditionalFormatting sqref="H42 H57">
    <cfRule type="expression" dxfId="303" priority="325" stopIfTrue="1">
      <formula>J42&gt;J41</formula>
    </cfRule>
    <cfRule type="expression" dxfId="302" priority="326" stopIfTrue="1">
      <formula>J42&lt;J41</formula>
    </cfRule>
  </conditionalFormatting>
  <conditionalFormatting sqref="J41:J42">
    <cfRule type="expression" dxfId="301" priority="319" stopIfTrue="1">
      <formula>ISBLANK(J41)</formula>
    </cfRule>
  </conditionalFormatting>
  <conditionalFormatting sqref="N41:N42 N57:N59 N68:N70 N75:N77 N80:N82">
    <cfRule type="expression" dxfId="300" priority="309">
      <formula>($J41+$K41)&gt;=1</formula>
    </cfRule>
  </conditionalFormatting>
  <conditionalFormatting sqref="O41:O42 O57:O59 O68:O70 O75:O77 O80:O82">
    <cfRule type="expression" dxfId="299" priority="308">
      <formula>($J41+$K41)&gt;=2</formula>
    </cfRule>
  </conditionalFormatting>
  <conditionalFormatting sqref="P41:P42 P57:P59 P68:P70 P75:P77 P80:P82">
    <cfRule type="expression" dxfId="298" priority="307">
      <formula>($J41+$K41)&gt;=3</formula>
    </cfRule>
  </conditionalFormatting>
  <conditionalFormatting sqref="Q41:Q42 Q57:Q59 Q68:Q70 Q75:Q77 Q80:Q82">
    <cfRule type="expression" dxfId="297" priority="306">
      <formula>($J41+$K41)&gt;=4</formula>
    </cfRule>
  </conditionalFormatting>
  <conditionalFormatting sqref="R41:R42 R57:R59 R68:R70 R75:R77 R80:R82">
    <cfRule type="expression" dxfId="296" priority="305">
      <formula>($J41+$K41)&gt;=5</formula>
    </cfRule>
  </conditionalFormatting>
  <conditionalFormatting sqref="S41:S42 S57:S59 S68:S70 S75:S77 S80:S82">
    <cfRule type="expression" dxfId="295" priority="304">
      <formula>($J41+$K41)&gt;=6</formula>
    </cfRule>
  </conditionalFormatting>
  <conditionalFormatting sqref="T41:T42 T57:T59 T68:T70 T75:T77 T80:T82">
    <cfRule type="expression" dxfId="294" priority="303">
      <formula>($J41+$K41)&gt;=7</formula>
    </cfRule>
  </conditionalFormatting>
  <conditionalFormatting sqref="U41:U42 U57:U59 U68:U70 U75:U77 U80:U82">
    <cfRule type="expression" dxfId="293" priority="302">
      <formula>($J41+$K41)&gt;=8</formula>
    </cfRule>
  </conditionalFormatting>
  <conditionalFormatting sqref="H43">
    <cfRule type="expression" dxfId="292" priority="266" stopIfTrue="1">
      <formula>J43&gt;J44</formula>
    </cfRule>
    <cfRule type="expression" dxfId="291" priority="267" stopIfTrue="1">
      <formula>J43&lt;J44</formula>
    </cfRule>
  </conditionalFormatting>
  <conditionalFormatting sqref="H44">
    <cfRule type="expression" dxfId="290" priority="268" stopIfTrue="1">
      <formula>J44&gt;J43</formula>
    </cfRule>
    <cfRule type="expression" dxfId="289" priority="269" stopIfTrue="1">
      <formula>J44&lt;J43</formula>
    </cfRule>
  </conditionalFormatting>
  <conditionalFormatting sqref="J43:J44">
    <cfRule type="expression" dxfId="288" priority="265" stopIfTrue="1">
      <formula>ISBLANK(J43)</formula>
    </cfRule>
  </conditionalFormatting>
  <conditionalFormatting sqref="N43:N44">
    <cfRule type="expression" dxfId="287" priority="264">
      <formula>($J43+$K43)&gt;=1</formula>
    </cfRule>
  </conditionalFormatting>
  <conditionalFormatting sqref="O43:O44">
    <cfRule type="expression" dxfId="286" priority="263">
      <formula>($J43+$K43)&gt;=2</formula>
    </cfRule>
  </conditionalFormatting>
  <conditionalFormatting sqref="P43:P44">
    <cfRule type="expression" dxfId="285" priority="262">
      <formula>($J43+$K43)&gt;=3</formula>
    </cfRule>
  </conditionalFormatting>
  <conditionalFormatting sqref="Q43:Q44">
    <cfRule type="expression" dxfId="284" priority="261">
      <formula>($J43+$K43)&gt;=4</formula>
    </cfRule>
  </conditionalFormatting>
  <conditionalFormatting sqref="R43:R44">
    <cfRule type="expression" dxfId="283" priority="260">
      <formula>($J43+$K43)&gt;=5</formula>
    </cfRule>
  </conditionalFormatting>
  <conditionalFormatting sqref="S43:S44">
    <cfRule type="expression" dxfId="282" priority="259">
      <formula>($J43+$K43)&gt;=6</formula>
    </cfRule>
  </conditionalFormatting>
  <conditionalFormatting sqref="T43:T44">
    <cfRule type="expression" dxfId="281" priority="258">
      <formula>($J43+$K43)&gt;=7</formula>
    </cfRule>
  </conditionalFormatting>
  <conditionalFormatting sqref="U43:U44">
    <cfRule type="expression" dxfId="280" priority="257">
      <formula>($J43+$K43)&gt;=8</formula>
    </cfRule>
  </conditionalFormatting>
  <conditionalFormatting sqref="H45">
    <cfRule type="expression" dxfId="279" priority="253" stopIfTrue="1">
      <formula>J45&gt;J46</formula>
    </cfRule>
    <cfRule type="expression" dxfId="278" priority="254" stopIfTrue="1">
      <formula>J45&lt;J46</formula>
    </cfRule>
  </conditionalFormatting>
  <conditionalFormatting sqref="H46">
    <cfRule type="expression" dxfId="277" priority="255" stopIfTrue="1">
      <formula>J46&gt;J45</formula>
    </cfRule>
    <cfRule type="expression" dxfId="276" priority="256" stopIfTrue="1">
      <formula>J46&lt;J45</formula>
    </cfRule>
  </conditionalFormatting>
  <conditionalFormatting sqref="J45:J46">
    <cfRule type="expression" dxfId="275" priority="252" stopIfTrue="1">
      <formula>ISBLANK(J45)</formula>
    </cfRule>
  </conditionalFormatting>
  <conditionalFormatting sqref="N45:N46">
    <cfRule type="expression" dxfId="274" priority="251">
      <formula>($J45+$K45)&gt;=1</formula>
    </cfRule>
  </conditionalFormatting>
  <conditionalFormatting sqref="O45:O46">
    <cfRule type="expression" dxfId="273" priority="250">
      <formula>($J45+$K45)&gt;=2</formula>
    </cfRule>
  </conditionalFormatting>
  <conditionalFormatting sqref="P45:P46">
    <cfRule type="expression" dxfId="272" priority="249">
      <formula>($J45+$K45)&gt;=3</formula>
    </cfRule>
  </conditionalFormatting>
  <conditionalFormatting sqref="Q45:Q46">
    <cfRule type="expression" dxfId="271" priority="248">
      <formula>($J45+$K45)&gt;=4</formula>
    </cfRule>
  </conditionalFormatting>
  <conditionalFormatting sqref="R45:R46">
    <cfRule type="expression" dxfId="270" priority="247">
      <formula>($J45+$K45)&gt;=5</formula>
    </cfRule>
  </conditionalFormatting>
  <conditionalFormatting sqref="S45:S46">
    <cfRule type="expression" dxfId="269" priority="246">
      <formula>($J45+$K45)&gt;=6</formula>
    </cfRule>
  </conditionalFormatting>
  <conditionalFormatting sqref="T45:T46">
    <cfRule type="expression" dxfId="268" priority="245">
      <formula>($J45+$K45)&gt;=7</formula>
    </cfRule>
  </conditionalFormatting>
  <conditionalFormatting sqref="U45:U46">
    <cfRule type="expression" dxfId="267" priority="244">
      <formula>($J45+$K45)&gt;=8</formula>
    </cfRule>
  </conditionalFormatting>
  <conditionalFormatting sqref="H47">
    <cfRule type="expression" dxfId="266" priority="240" stopIfTrue="1">
      <formula>J47&gt;J48</formula>
    </cfRule>
    <cfRule type="expression" dxfId="265" priority="241" stopIfTrue="1">
      <formula>J47&lt;J48</formula>
    </cfRule>
  </conditionalFormatting>
  <conditionalFormatting sqref="H48">
    <cfRule type="expression" dxfId="264" priority="242" stopIfTrue="1">
      <formula>J48&gt;J47</formula>
    </cfRule>
    <cfRule type="expression" dxfId="263" priority="243" stopIfTrue="1">
      <formula>J48&lt;J47</formula>
    </cfRule>
  </conditionalFormatting>
  <conditionalFormatting sqref="J47:J48">
    <cfRule type="expression" dxfId="262" priority="239" stopIfTrue="1">
      <formula>ISBLANK(J47)</formula>
    </cfRule>
  </conditionalFormatting>
  <conditionalFormatting sqref="N47:N48">
    <cfRule type="expression" dxfId="261" priority="238">
      <formula>($J47+$K47)&gt;=1</formula>
    </cfRule>
  </conditionalFormatting>
  <conditionalFormatting sqref="O47:O48">
    <cfRule type="expression" dxfId="260" priority="237">
      <formula>($J47+$K47)&gt;=2</formula>
    </cfRule>
  </conditionalFormatting>
  <conditionalFormatting sqref="P47:P48">
    <cfRule type="expression" dxfId="259" priority="236">
      <formula>($J47+$K47)&gt;=3</formula>
    </cfRule>
  </conditionalFormatting>
  <conditionalFormatting sqref="Q47:Q48">
    <cfRule type="expression" dxfId="258" priority="235">
      <formula>($J47+$K47)&gt;=4</formula>
    </cfRule>
  </conditionalFormatting>
  <conditionalFormatting sqref="R47:R48">
    <cfRule type="expression" dxfId="257" priority="234">
      <formula>($J47+$K47)&gt;=5</formula>
    </cfRule>
  </conditionalFormatting>
  <conditionalFormatting sqref="S47:S48">
    <cfRule type="expression" dxfId="256" priority="233">
      <formula>($J47+$K47)&gt;=6</formula>
    </cfRule>
  </conditionalFormatting>
  <conditionalFormatting sqref="T47:T48">
    <cfRule type="expression" dxfId="255" priority="232">
      <formula>($J47+$K47)&gt;=7</formula>
    </cfRule>
  </conditionalFormatting>
  <conditionalFormatting sqref="U47:U48">
    <cfRule type="expression" dxfId="254" priority="231">
      <formula>($J47+$K47)&gt;=8</formula>
    </cfRule>
  </conditionalFormatting>
  <conditionalFormatting sqref="H49">
    <cfRule type="expression" dxfId="253" priority="227" stopIfTrue="1">
      <formula>J49&gt;J50</formula>
    </cfRule>
    <cfRule type="expression" dxfId="252" priority="228" stopIfTrue="1">
      <formula>J49&lt;J50</formula>
    </cfRule>
  </conditionalFormatting>
  <conditionalFormatting sqref="H50">
    <cfRule type="expression" dxfId="251" priority="229" stopIfTrue="1">
      <formula>J50&gt;J49</formula>
    </cfRule>
    <cfRule type="expression" dxfId="250" priority="230" stopIfTrue="1">
      <formula>J50&lt;J49</formula>
    </cfRule>
  </conditionalFormatting>
  <conditionalFormatting sqref="J49:J50">
    <cfRule type="expression" dxfId="249" priority="226" stopIfTrue="1">
      <formula>ISBLANK(J49)</formula>
    </cfRule>
  </conditionalFormatting>
  <conditionalFormatting sqref="N49:N50">
    <cfRule type="expression" dxfId="248" priority="225">
      <formula>($J49+$K49)&gt;=1</formula>
    </cfRule>
  </conditionalFormatting>
  <conditionalFormatting sqref="O49:O50">
    <cfRule type="expression" dxfId="247" priority="224">
      <formula>($J49+$K49)&gt;=2</formula>
    </cfRule>
  </conditionalFormatting>
  <conditionalFormatting sqref="P49:P50">
    <cfRule type="expression" dxfId="246" priority="223">
      <formula>($J49+$K49)&gt;=3</formula>
    </cfRule>
  </conditionalFormatting>
  <conditionalFormatting sqref="Q49:Q50">
    <cfRule type="expression" dxfId="245" priority="222">
      <formula>($J49+$K49)&gt;=4</formula>
    </cfRule>
  </conditionalFormatting>
  <conditionalFormatting sqref="R49:R50">
    <cfRule type="expression" dxfId="244" priority="221">
      <formula>($J49+$K49)&gt;=5</formula>
    </cfRule>
  </conditionalFormatting>
  <conditionalFormatting sqref="S49:S50">
    <cfRule type="expression" dxfId="243" priority="220">
      <formula>($J49+$K49)&gt;=6</formula>
    </cfRule>
  </conditionalFormatting>
  <conditionalFormatting sqref="T49:T50">
    <cfRule type="expression" dxfId="242" priority="219">
      <formula>($J49+$K49)&gt;=7</formula>
    </cfRule>
  </conditionalFormatting>
  <conditionalFormatting sqref="U49:U50">
    <cfRule type="expression" dxfId="241" priority="218">
      <formula>($J49+$K49)&gt;=8</formula>
    </cfRule>
  </conditionalFormatting>
  <conditionalFormatting sqref="H51">
    <cfRule type="expression" dxfId="240" priority="214" stopIfTrue="1">
      <formula>J51&gt;J52</formula>
    </cfRule>
    <cfRule type="expression" dxfId="239" priority="215" stopIfTrue="1">
      <formula>J51&lt;J52</formula>
    </cfRule>
  </conditionalFormatting>
  <conditionalFormatting sqref="H52">
    <cfRule type="expression" dxfId="238" priority="216" stopIfTrue="1">
      <formula>J52&gt;J51</formula>
    </cfRule>
    <cfRule type="expression" dxfId="237" priority="217" stopIfTrue="1">
      <formula>J52&lt;J51</formula>
    </cfRule>
  </conditionalFormatting>
  <conditionalFormatting sqref="J51:J52">
    <cfRule type="expression" dxfId="236" priority="213" stopIfTrue="1">
      <formula>ISBLANK(J51)</formula>
    </cfRule>
  </conditionalFormatting>
  <conditionalFormatting sqref="N51:N52">
    <cfRule type="expression" dxfId="235" priority="212">
      <formula>($J51+$K51)&gt;=1</formula>
    </cfRule>
  </conditionalFormatting>
  <conditionalFormatting sqref="O51:O52">
    <cfRule type="expression" dxfId="234" priority="211">
      <formula>($J51+$K51)&gt;=2</formula>
    </cfRule>
  </conditionalFormatting>
  <conditionalFormatting sqref="P51:P52">
    <cfRule type="expression" dxfId="233" priority="210">
      <formula>($J51+$K51)&gt;=3</formula>
    </cfRule>
  </conditionalFormatting>
  <conditionalFormatting sqref="Q51:Q52">
    <cfRule type="expression" dxfId="232" priority="209">
      <formula>($J51+$K51)&gt;=4</formula>
    </cfRule>
  </conditionalFormatting>
  <conditionalFormatting sqref="R51:R52">
    <cfRule type="expression" dxfId="231" priority="208">
      <formula>($J51+$K51)&gt;=5</formula>
    </cfRule>
  </conditionalFormatting>
  <conditionalFormatting sqref="S51:S52">
    <cfRule type="expression" dxfId="230" priority="207">
      <formula>($J51+$K51)&gt;=6</formula>
    </cfRule>
  </conditionalFormatting>
  <conditionalFormatting sqref="T51:T52">
    <cfRule type="expression" dxfId="229" priority="206">
      <formula>($J51+$K51)&gt;=7</formula>
    </cfRule>
  </conditionalFormatting>
  <conditionalFormatting sqref="U51:U52">
    <cfRule type="expression" dxfId="228" priority="205">
      <formula>($J51+$K51)&gt;=8</formula>
    </cfRule>
  </conditionalFormatting>
  <conditionalFormatting sqref="H53">
    <cfRule type="expression" dxfId="227" priority="201" stopIfTrue="1">
      <formula>J53&gt;J54</formula>
    </cfRule>
    <cfRule type="expression" dxfId="226" priority="202" stopIfTrue="1">
      <formula>J53&lt;J54</formula>
    </cfRule>
  </conditionalFormatting>
  <conditionalFormatting sqref="H54">
    <cfRule type="expression" dxfId="225" priority="203" stopIfTrue="1">
      <formula>J54&gt;J53</formula>
    </cfRule>
    <cfRule type="expression" dxfId="224" priority="204" stopIfTrue="1">
      <formula>J54&lt;J53</formula>
    </cfRule>
  </conditionalFormatting>
  <conditionalFormatting sqref="J53:J54">
    <cfRule type="expression" dxfId="223" priority="200" stopIfTrue="1">
      <formula>ISBLANK(J53)</formula>
    </cfRule>
  </conditionalFormatting>
  <conditionalFormatting sqref="N53:N54">
    <cfRule type="expression" dxfId="222" priority="199">
      <formula>($J53+$K53)&gt;=1</formula>
    </cfRule>
  </conditionalFormatting>
  <conditionalFormatting sqref="O53:O54">
    <cfRule type="expression" dxfId="221" priority="198">
      <formula>($J53+$K53)&gt;=2</formula>
    </cfRule>
  </conditionalFormatting>
  <conditionalFormatting sqref="P53:P54">
    <cfRule type="expression" dxfId="220" priority="197">
      <formula>($J53+$K53)&gt;=3</formula>
    </cfRule>
  </conditionalFormatting>
  <conditionalFormatting sqref="Q53:Q54">
    <cfRule type="expression" dxfId="219" priority="196">
      <formula>($J53+$K53)&gt;=4</formula>
    </cfRule>
  </conditionalFormatting>
  <conditionalFormatting sqref="R53:R54">
    <cfRule type="expression" dxfId="218" priority="195">
      <formula>($J53+$K53)&gt;=5</formula>
    </cfRule>
  </conditionalFormatting>
  <conditionalFormatting sqref="S53:S54">
    <cfRule type="expression" dxfId="217" priority="194">
      <formula>($J53+$K53)&gt;=6</formula>
    </cfRule>
  </conditionalFormatting>
  <conditionalFormatting sqref="T53:T54">
    <cfRule type="expression" dxfId="216" priority="193">
      <formula>($J53+$K53)&gt;=7</formula>
    </cfRule>
  </conditionalFormatting>
  <conditionalFormatting sqref="U53:U54">
    <cfRule type="expression" dxfId="215" priority="192">
      <formula>($J53+$K53)&gt;=8</formula>
    </cfRule>
  </conditionalFormatting>
  <conditionalFormatting sqref="H55">
    <cfRule type="expression" dxfId="214" priority="188" stopIfTrue="1">
      <formula>J55&gt;J56</formula>
    </cfRule>
    <cfRule type="expression" dxfId="213" priority="189" stopIfTrue="1">
      <formula>J55&lt;J56</formula>
    </cfRule>
  </conditionalFormatting>
  <conditionalFormatting sqref="H56">
    <cfRule type="expression" dxfId="212" priority="190" stopIfTrue="1">
      <formula>J56&gt;J55</formula>
    </cfRule>
    <cfRule type="expression" dxfId="211" priority="191" stopIfTrue="1">
      <formula>J56&lt;J55</formula>
    </cfRule>
  </conditionalFormatting>
  <conditionalFormatting sqref="J55:J56">
    <cfRule type="expression" dxfId="210" priority="187" stopIfTrue="1">
      <formula>ISBLANK(J55)</formula>
    </cfRule>
  </conditionalFormatting>
  <conditionalFormatting sqref="N55:N56">
    <cfRule type="expression" dxfId="209" priority="186">
      <formula>($J55+$K55)&gt;=1</formula>
    </cfRule>
  </conditionalFormatting>
  <conditionalFormatting sqref="O55:O56">
    <cfRule type="expression" dxfId="208" priority="185">
      <formula>($J55+$K55)&gt;=2</formula>
    </cfRule>
  </conditionalFormatting>
  <conditionalFormatting sqref="P55:P56">
    <cfRule type="expression" dxfId="207" priority="184">
      <formula>($J55+$K55)&gt;=3</formula>
    </cfRule>
  </conditionalFormatting>
  <conditionalFormatting sqref="Q55:Q56">
    <cfRule type="expression" dxfId="206" priority="183">
      <formula>($J55+$K55)&gt;=4</formula>
    </cfRule>
  </conditionalFormatting>
  <conditionalFormatting sqref="R55:R56">
    <cfRule type="expression" dxfId="205" priority="182">
      <formula>($J55+$K55)&gt;=5</formula>
    </cfRule>
  </conditionalFormatting>
  <conditionalFormatting sqref="S55:S56">
    <cfRule type="expression" dxfId="204" priority="181">
      <formula>($J55+$K55)&gt;=6</formula>
    </cfRule>
  </conditionalFormatting>
  <conditionalFormatting sqref="T55:T56">
    <cfRule type="expression" dxfId="203" priority="180">
      <formula>($J55+$K55)&gt;=7</formula>
    </cfRule>
  </conditionalFormatting>
  <conditionalFormatting sqref="U55:U56">
    <cfRule type="expression" dxfId="202" priority="179">
      <formula>($J55+$K55)&gt;=8</formula>
    </cfRule>
  </conditionalFormatting>
  <conditionalFormatting sqref="H60">
    <cfRule type="expression" dxfId="201" priority="175" stopIfTrue="1">
      <formula>J60&gt;J61</formula>
    </cfRule>
    <cfRule type="expression" dxfId="200" priority="176" stopIfTrue="1">
      <formula>J60&lt;J61</formula>
    </cfRule>
  </conditionalFormatting>
  <conditionalFormatting sqref="H61">
    <cfRule type="expression" dxfId="199" priority="177" stopIfTrue="1">
      <formula>J61&gt;J60</formula>
    </cfRule>
    <cfRule type="expression" dxfId="198" priority="178" stopIfTrue="1">
      <formula>J61&lt;J60</formula>
    </cfRule>
  </conditionalFormatting>
  <conditionalFormatting sqref="J60:J61">
    <cfRule type="expression" dxfId="197" priority="174" stopIfTrue="1">
      <formula>ISBLANK(J60)</formula>
    </cfRule>
  </conditionalFormatting>
  <conditionalFormatting sqref="N60:N61">
    <cfRule type="expression" dxfId="196" priority="173">
      <formula>($J60+$K60)&gt;=1</formula>
    </cfRule>
  </conditionalFormatting>
  <conditionalFormatting sqref="O60:O61">
    <cfRule type="expression" dxfId="195" priority="172">
      <formula>($J60+$K60)&gt;=2</formula>
    </cfRule>
  </conditionalFormatting>
  <conditionalFormatting sqref="P60:P61">
    <cfRule type="expression" dxfId="194" priority="171">
      <formula>($J60+$K60)&gt;=3</formula>
    </cfRule>
  </conditionalFormatting>
  <conditionalFormatting sqref="Q60:Q61">
    <cfRule type="expression" dxfId="193" priority="170">
      <formula>($J60+$K60)&gt;=4</formula>
    </cfRule>
  </conditionalFormatting>
  <conditionalFormatting sqref="R60:R61">
    <cfRule type="expression" dxfId="192" priority="169">
      <formula>($J60+$K60)&gt;=5</formula>
    </cfRule>
  </conditionalFormatting>
  <conditionalFormatting sqref="S60:S61">
    <cfRule type="expression" dxfId="191" priority="168">
      <formula>($J60+$K60)&gt;=6</formula>
    </cfRule>
  </conditionalFormatting>
  <conditionalFormatting sqref="T60:T61">
    <cfRule type="expression" dxfId="190" priority="167">
      <formula>($J60+$K60)&gt;=7</formula>
    </cfRule>
  </conditionalFormatting>
  <conditionalFormatting sqref="U60:U61">
    <cfRule type="expression" dxfId="189" priority="166">
      <formula>($J60+$K60)&gt;=8</formula>
    </cfRule>
  </conditionalFormatting>
  <conditionalFormatting sqref="H62">
    <cfRule type="expression" dxfId="188" priority="162" stopIfTrue="1">
      <formula>J62&gt;J63</formula>
    </cfRule>
    <cfRule type="expression" dxfId="187" priority="163" stopIfTrue="1">
      <formula>J62&lt;J63</formula>
    </cfRule>
  </conditionalFormatting>
  <conditionalFormatting sqref="H63">
    <cfRule type="expression" dxfId="186" priority="164" stopIfTrue="1">
      <formula>J63&gt;J62</formula>
    </cfRule>
    <cfRule type="expression" dxfId="185" priority="165" stopIfTrue="1">
      <formula>J63&lt;J62</formula>
    </cfRule>
  </conditionalFormatting>
  <conditionalFormatting sqref="J62:J63">
    <cfRule type="expression" dxfId="184" priority="161" stopIfTrue="1">
      <formula>ISBLANK(J62)</formula>
    </cfRule>
  </conditionalFormatting>
  <conditionalFormatting sqref="N62:N63">
    <cfRule type="expression" dxfId="183" priority="160">
      <formula>($J62+$K62)&gt;=1</formula>
    </cfRule>
  </conditionalFormatting>
  <conditionalFormatting sqref="O62:O63">
    <cfRule type="expression" dxfId="182" priority="159">
      <formula>($J62+$K62)&gt;=2</formula>
    </cfRule>
  </conditionalFormatting>
  <conditionalFormatting sqref="P62:P63">
    <cfRule type="expression" dxfId="181" priority="158">
      <formula>($J62+$K62)&gt;=3</formula>
    </cfRule>
  </conditionalFormatting>
  <conditionalFormatting sqref="Q62:Q63">
    <cfRule type="expression" dxfId="180" priority="157">
      <formula>($J62+$K62)&gt;=4</formula>
    </cfRule>
  </conditionalFormatting>
  <conditionalFormatting sqref="R62:R63">
    <cfRule type="expression" dxfId="179" priority="156">
      <formula>($J62+$K62)&gt;=5</formula>
    </cfRule>
  </conditionalFormatting>
  <conditionalFormatting sqref="S62:S63">
    <cfRule type="expression" dxfId="178" priority="155">
      <formula>($J62+$K62)&gt;=6</formula>
    </cfRule>
  </conditionalFormatting>
  <conditionalFormatting sqref="T62:T63">
    <cfRule type="expression" dxfId="177" priority="154">
      <formula>($J62+$K62)&gt;=7</formula>
    </cfRule>
  </conditionalFormatting>
  <conditionalFormatting sqref="U62:U63">
    <cfRule type="expression" dxfId="176" priority="153">
      <formula>($J62+$K62)&gt;=8</formula>
    </cfRule>
  </conditionalFormatting>
  <conditionalFormatting sqref="H64">
    <cfRule type="expression" dxfId="175" priority="149" stopIfTrue="1">
      <formula>J64&gt;J65</formula>
    </cfRule>
    <cfRule type="expression" dxfId="174" priority="150" stopIfTrue="1">
      <formula>J64&lt;J65</formula>
    </cfRule>
  </conditionalFormatting>
  <conditionalFormatting sqref="H65">
    <cfRule type="expression" dxfId="173" priority="151" stopIfTrue="1">
      <formula>J65&gt;J64</formula>
    </cfRule>
    <cfRule type="expression" dxfId="172" priority="152" stopIfTrue="1">
      <formula>J65&lt;J64</formula>
    </cfRule>
  </conditionalFormatting>
  <conditionalFormatting sqref="J64:J65">
    <cfRule type="expression" dxfId="171" priority="148" stopIfTrue="1">
      <formula>ISBLANK(J64)</formula>
    </cfRule>
  </conditionalFormatting>
  <conditionalFormatting sqref="N64:N65">
    <cfRule type="expression" dxfId="170" priority="147">
      <formula>($J64+$K64)&gt;=1</formula>
    </cfRule>
  </conditionalFormatting>
  <conditionalFormatting sqref="O64:O65">
    <cfRule type="expression" dxfId="169" priority="146">
      <formula>($J64+$K64)&gt;=2</formula>
    </cfRule>
  </conditionalFormatting>
  <conditionalFormatting sqref="P64:P65">
    <cfRule type="expression" dxfId="168" priority="145">
      <formula>($J64+$K64)&gt;=3</formula>
    </cfRule>
  </conditionalFormatting>
  <conditionalFormatting sqref="Q64:Q65">
    <cfRule type="expression" dxfId="167" priority="144">
      <formula>($J64+$K64)&gt;=4</formula>
    </cfRule>
  </conditionalFormatting>
  <conditionalFormatting sqref="R64:R65">
    <cfRule type="expression" dxfId="166" priority="143">
      <formula>($J64+$K64)&gt;=5</formula>
    </cfRule>
  </conditionalFormatting>
  <conditionalFormatting sqref="S64:S65">
    <cfRule type="expression" dxfId="165" priority="142">
      <formula>($J64+$K64)&gt;=6</formula>
    </cfRule>
  </conditionalFormatting>
  <conditionalFormatting sqref="T64:T65">
    <cfRule type="expression" dxfId="164" priority="141">
      <formula>($J64+$K64)&gt;=7</formula>
    </cfRule>
  </conditionalFormatting>
  <conditionalFormatting sqref="U64:U65">
    <cfRule type="expression" dxfId="163" priority="140">
      <formula>($J64+$K64)&gt;=8</formula>
    </cfRule>
  </conditionalFormatting>
  <conditionalFormatting sqref="H66">
    <cfRule type="expression" dxfId="162" priority="136" stopIfTrue="1">
      <formula>J66&gt;J67</formula>
    </cfRule>
    <cfRule type="expression" dxfId="161" priority="137" stopIfTrue="1">
      <formula>J66&lt;J67</formula>
    </cfRule>
  </conditionalFormatting>
  <conditionalFormatting sqref="H67">
    <cfRule type="expression" dxfId="160" priority="138" stopIfTrue="1">
      <formula>J67&gt;J66</formula>
    </cfRule>
    <cfRule type="expression" dxfId="159" priority="139" stopIfTrue="1">
      <formula>J67&lt;J66</formula>
    </cfRule>
  </conditionalFormatting>
  <conditionalFormatting sqref="J66:J67">
    <cfRule type="expression" dxfId="158" priority="135" stopIfTrue="1">
      <formula>ISBLANK(J66)</formula>
    </cfRule>
  </conditionalFormatting>
  <conditionalFormatting sqref="N66:N67">
    <cfRule type="expression" dxfId="157" priority="134">
      <formula>($J66+$K66)&gt;=1</formula>
    </cfRule>
  </conditionalFormatting>
  <conditionalFormatting sqref="O66:O67">
    <cfRule type="expression" dxfId="156" priority="133">
      <formula>($J66+$K66)&gt;=2</formula>
    </cfRule>
  </conditionalFormatting>
  <conditionalFormatting sqref="P66:P67">
    <cfRule type="expression" dxfId="155" priority="132">
      <formula>($J66+$K66)&gt;=3</formula>
    </cfRule>
  </conditionalFormatting>
  <conditionalFormatting sqref="Q66:Q67">
    <cfRule type="expression" dxfId="154" priority="131">
      <formula>($J66+$K66)&gt;=4</formula>
    </cfRule>
  </conditionalFormatting>
  <conditionalFormatting sqref="R66:R67">
    <cfRule type="expression" dxfId="153" priority="130">
      <formula>($J66+$K66)&gt;=5</formula>
    </cfRule>
  </conditionalFormatting>
  <conditionalFormatting sqref="S66:S67">
    <cfRule type="expression" dxfId="152" priority="129">
      <formula>($J66+$K66)&gt;=6</formula>
    </cfRule>
  </conditionalFormatting>
  <conditionalFormatting sqref="T66:T67">
    <cfRule type="expression" dxfId="151" priority="128">
      <formula>($J66+$K66)&gt;=7</formula>
    </cfRule>
  </conditionalFormatting>
  <conditionalFormatting sqref="U66:U67">
    <cfRule type="expression" dxfId="150" priority="127">
      <formula>($J66+$K66)&gt;=8</formula>
    </cfRule>
  </conditionalFormatting>
  <conditionalFormatting sqref="H71">
    <cfRule type="expression" dxfId="149" priority="123" stopIfTrue="1">
      <formula>J71&gt;J72</formula>
    </cfRule>
    <cfRule type="expression" dxfId="148" priority="124" stopIfTrue="1">
      <formula>J71&lt;J72</formula>
    </cfRule>
  </conditionalFormatting>
  <conditionalFormatting sqref="H72">
    <cfRule type="expression" dxfId="147" priority="125" stopIfTrue="1">
      <formula>J72&gt;J71</formula>
    </cfRule>
    <cfRule type="expression" dxfId="146" priority="126" stopIfTrue="1">
      <formula>J72&lt;J71</formula>
    </cfRule>
  </conditionalFormatting>
  <conditionalFormatting sqref="J71:J72">
    <cfRule type="expression" dxfId="145" priority="122" stopIfTrue="1">
      <formula>ISBLANK(J71)</formula>
    </cfRule>
  </conditionalFormatting>
  <conditionalFormatting sqref="N71:N72">
    <cfRule type="expression" dxfId="144" priority="121">
      <formula>($J71+$K71)&gt;=1</formula>
    </cfRule>
  </conditionalFormatting>
  <conditionalFormatting sqref="O71:O72">
    <cfRule type="expression" dxfId="143" priority="120">
      <formula>($J71+$K71)&gt;=2</formula>
    </cfRule>
  </conditionalFormatting>
  <conditionalFormatting sqref="P71:P72">
    <cfRule type="expression" dxfId="142" priority="119">
      <formula>($J71+$K71)&gt;=3</formula>
    </cfRule>
  </conditionalFormatting>
  <conditionalFormatting sqref="Q71:Q72">
    <cfRule type="expression" dxfId="141" priority="118">
      <formula>($J71+$K71)&gt;=4</formula>
    </cfRule>
  </conditionalFormatting>
  <conditionalFormatting sqref="R71:R72">
    <cfRule type="expression" dxfId="140" priority="117">
      <formula>($J71+$K71)&gt;=5</formula>
    </cfRule>
  </conditionalFormatting>
  <conditionalFormatting sqref="S71:S72">
    <cfRule type="expression" dxfId="139" priority="116">
      <formula>($J71+$K71)&gt;=6</formula>
    </cfRule>
  </conditionalFormatting>
  <conditionalFormatting sqref="T71:T72">
    <cfRule type="expression" dxfId="138" priority="115">
      <formula>($J71+$K71)&gt;=7</formula>
    </cfRule>
  </conditionalFormatting>
  <conditionalFormatting sqref="U71:U72">
    <cfRule type="expression" dxfId="137" priority="114">
      <formula>($J71+$K71)&gt;=8</formula>
    </cfRule>
  </conditionalFormatting>
  <conditionalFormatting sqref="H73">
    <cfRule type="expression" dxfId="136" priority="110" stopIfTrue="1">
      <formula>J73&gt;J74</formula>
    </cfRule>
    <cfRule type="expression" dxfId="135" priority="111" stopIfTrue="1">
      <formula>J73&lt;J74</formula>
    </cfRule>
  </conditionalFormatting>
  <conditionalFormatting sqref="H74">
    <cfRule type="expression" dxfId="134" priority="112" stopIfTrue="1">
      <formula>J74&gt;J73</formula>
    </cfRule>
    <cfRule type="expression" dxfId="133" priority="113" stopIfTrue="1">
      <formula>J74&lt;J73</formula>
    </cfRule>
  </conditionalFormatting>
  <conditionalFormatting sqref="J73:J74">
    <cfRule type="expression" dxfId="132" priority="109" stopIfTrue="1">
      <formula>ISBLANK(J73)</formula>
    </cfRule>
  </conditionalFormatting>
  <conditionalFormatting sqref="N73:N74">
    <cfRule type="expression" dxfId="131" priority="108">
      <formula>($J73+$K73)&gt;=1</formula>
    </cfRule>
  </conditionalFormatting>
  <conditionalFormatting sqref="O73:O74">
    <cfRule type="expression" dxfId="130" priority="107">
      <formula>($J73+$K73)&gt;=2</formula>
    </cfRule>
  </conditionalFormatting>
  <conditionalFormatting sqref="P73:P74">
    <cfRule type="expression" dxfId="129" priority="106">
      <formula>($J73+$K73)&gt;=3</formula>
    </cfRule>
  </conditionalFormatting>
  <conditionalFormatting sqref="Q73:Q74">
    <cfRule type="expression" dxfId="128" priority="105">
      <formula>($J73+$K73)&gt;=4</formula>
    </cfRule>
  </conditionalFormatting>
  <conditionalFormatting sqref="R73:R74">
    <cfRule type="expression" dxfId="127" priority="104">
      <formula>($J73+$K73)&gt;=5</formula>
    </cfRule>
  </conditionalFormatting>
  <conditionalFormatting sqref="S73:S74">
    <cfRule type="expression" dxfId="126" priority="103">
      <formula>($J73+$K73)&gt;=6</formula>
    </cfRule>
  </conditionalFormatting>
  <conditionalFormatting sqref="T73:T74">
    <cfRule type="expression" dxfId="125" priority="102">
      <formula>($J73+$K73)&gt;=7</formula>
    </cfRule>
  </conditionalFormatting>
  <conditionalFormatting sqref="U73:U74">
    <cfRule type="expression" dxfId="124" priority="101">
      <formula>($J73+$K73)&gt;=8</formula>
    </cfRule>
  </conditionalFormatting>
  <conditionalFormatting sqref="H78">
    <cfRule type="expression" dxfId="123" priority="97" stopIfTrue="1">
      <formula>J78&gt;J79</formula>
    </cfRule>
    <cfRule type="expression" dxfId="122" priority="98" stopIfTrue="1">
      <formula>J78&lt;J79</formula>
    </cfRule>
  </conditionalFormatting>
  <conditionalFormatting sqref="H79">
    <cfRule type="expression" dxfId="121" priority="99" stopIfTrue="1">
      <formula>J79&gt;J78</formula>
    </cfRule>
    <cfRule type="expression" dxfId="120" priority="100" stopIfTrue="1">
      <formula>J79&lt;J78</formula>
    </cfRule>
  </conditionalFormatting>
  <conditionalFormatting sqref="J78:J79">
    <cfRule type="expression" dxfId="119" priority="96" stopIfTrue="1">
      <formula>ISBLANK(J78)</formula>
    </cfRule>
  </conditionalFormatting>
  <conditionalFormatting sqref="N78:N79">
    <cfRule type="expression" dxfId="118" priority="95">
      <formula>($J78+$K78)&gt;=1</formula>
    </cfRule>
  </conditionalFormatting>
  <conditionalFormatting sqref="O78:O79">
    <cfRule type="expression" dxfId="117" priority="94">
      <formula>($J78+$K78)&gt;=2</formula>
    </cfRule>
  </conditionalFormatting>
  <conditionalFormatting sqref="P78:P79">
    <cfRule type="expression" dxfId="116" priority="93">
      <formula>($J78+$K78)&gt;=3</formula>
    </cfRule>
  </conditionalFormatting>
  <conditionalFormatting sqref="Q78:Q79">
    <cfRule type="expression" dxfId="115" priority="92">
      <formula>($J78+$K78)&gt;=4</formula>
    </cfRule>
  </conditionalFormatting>
  <conditionalFormatting sqref="R78:R79">
    <cfRule type="expression" dxfId="114" priority="91">
      <formula>($J78+$K78)&gt;=5</formula>
    </cfRule>
  </conditionalFormatting>
  <conditionalFormatting sqref="S78:S79">
    <cfRule type="expression" dxfId="113" priority="90">
      <formula>($J78+$K78)&gt;=6</formula>
    </cfRule>
  </conditionalFormatting>
  <conditionalFormatting sqref="T78:T79">
    <cfRule type="expression" dxfId="112" priority="89">
      <formula>($J78+$K78)&gt;=7</formula>
    </cfRule>
  </conditionalFormatting>
  <conditionalFormatting sqref="U78:U79">
    <cfRule type="expression" dxfId="111" priority="88">
      <formula>($J78+$K78)&gt;=8</formula>
    </cfRule>
  </conditionalFormatting>
  <conditionalFormatting sqref="H83">
    <cfRule type="expression" dxfId="110" priority="84" stopIfTrue="1">
      <formula>J83&gt;J84</formula>
    </cfRule>
    <cfRule type="expression" dxfId="109" priority="85" stopIfTrue="1">
      <formula>J83&lt;J84</formula>
    </cfRule>
  </conditionalFormatting>
  <conditionalFormatting sqref="H84">
    <cfRule type="expression" dxfId="108" priority="86" stopIfTrue="1">
      <formula>J84&gt;J83</formula>
    </cfRule>
    <cfRule type="expression" dxfId="107" priority="87" stopIfTrue="1">
      <formula>J84&lt;J83</formula>
    </cfRule>
  </conditionalFormatting>
  <conditionalFormatting sqref="J83:J84">
    <cfRule type="expression" dxfId="106" priority="83" stopIfTrue="1">
      <formula>ISBLANK(J83)</formula>
    </cfRule>
  </conditionalFormatting>
  <conditionalFormatting sqref="N83:N84">
    <cfRule type="expression" dxfId="105" priority="82">
      <formula>($J83+$K83)&gt;=1</formula>
    </cfRule>
  </conditionalFormatting>
  <conditionalFormatting sqref="O83:O84">
    <cfRule type="expression" dxfId="104" priority="81">
      <formula>($J83+$K83)&gt;=2</formula>
    </cfRule>
  </conditionalFormatting>
  <conditionalFormatting sqref="P83:P84">
    <cfRule type="expression" dxfId="103" priority="80">
      <formula>($J83+$K83)&gt;=3</formula>
    </cfRule>
  </conditionalFormatting>
  <conditionalFormatting sqref="Q83:Q84">
    <cfRule type="expression" dxfId="102" priority="79">
      <formula>($J83+$K83)&gt;=4</formula>
    </cfRule>
  </conditionalFormatting>
  <conditionalFormatting sqref="R83:R84">
    <cfRule type="expression" dxfId="101" priority="78">
      <formula>($J83+$K83)&gt;=5</formula>
    </cfRule>
  </conditionalFormatting>
  <conditionalFormatting sqref="S83:S84">
    <cfRule type="expression" dxfId="100" priority="77">
      <formula>($J83+$K83)&gt;=6</formula>
    </cfRule>
  </conditionalFormatting>
  <conditionalFormatting sqref="T83:T84">
    <cfRule type="expression" dxfId="99" priority="76">
      <formula>($J83+$K83)&gt;=7</formula>
    </cfRule>
  </conditionalFormatting>
  <conditionalFormatting sqref="U83:U84">
    <cfRule type="expression" dxfId="98" priority="75">
      <formula>($J83+$K83)&gt;=8</formula>
    </cfRule>
  </conditionalFormatting>
  <conditionalFormatting sqref="K43">
    <cfRule type="expression" dxfId="97" priority="74">
      <formula>AND(ISBLANK($K43),$J43=$J44,$J43&lt;&gt;"")</formula>
    </cfRule>
  </conditionalFormatting>
  <conditionalFormatting sqref="K44">
    <cfRule type="expression" dxfId="96" priority="73">
      <formula>AND(ISBLANK($K44),$J43=$J44,$J44&lt;&gt;"")</formula>
    </cfRule>
  </conditionalFormatting>
  <conditionalFormatting sqref="K41">
    <cfRule type="expression" dxfId="95" priority="72">
      <formula>AND(ISBLANK($K41),$J41=$J42,$J41&lt;&gt;"")</formula>
    </cfRule>
  </conditionalFormatting>
  <conditionalFormatting sqref="K42">
    <cfRule type="expression" dxfId="94" priority="71">
      <formula>AND(ISBLANK($K42),$J41=$J42,$J42&lt;&gt;"")</formula>
    </cfRule>
  </conditionalFormatting>
  <conditionalFormatting sqref="K45">
    <cfRule type="expression" dxfId="93" priority="70">
      <formula>AND(ISBLANK($K45),$J45=$J46,$J45&lt;&gt;"")</formula>
    </cfRule>
  </conditionalFormatting>
  <conditionalFormatting sqref="K46">
    <cfRule type="expression" dxfId="92" priority="69">
      <formula>AND(ISBLANK($K46),$J45=$J46,$J46&lt;&gt;"")</formula>
    </cfRule>
  </conditionalFormatting>
  <conditionalFormatting sqref="K47">
    <cfRule type="expression" dxfId="91" priority="68">
      <formula>AND(ISBLANK($K47),$J47=$J48,$J47&lt;&gt;"")</formula>
    </cfRule>
  </conditionalFormatting>
  <conditionalFormatting sqref="K48">
    <cfRule type="expression" dxfId="90" priority="67">
      <formula>AND(ISBLANK($K48),$J47=$J48,$J48&lt;&gt;"")</formula>
    </cfRule>
  </conditionalFormatting>
  <conditionalFormatting sqref="K49">
    <cfRule type="expression" dxfId="89" priority="66">
      <formula>AND(ISBLANK($K49),$J49=$J50,$J49&lt;&gt;"")</formula>
    </cfRule>
  </conditionalFormatting>
  <conditionalFormatting sqref="K50">
    <cfRule type="expression" dxfId="88" priority="65">
      <formula>AND(ISBLANK($K50),$J49=$J50,$J50&lt;&gt;"")</formula>
    </cfRule>
  </conditionalFormatting>
  <conditionalFormatting sqref="K51">
    <cfRule type="expression" dxfId="87" priority="64">
      <formula>AND(ISBLANK($K51),$J51=$J52,$J51&lt;&gt;"")</formula>
    </cfRule>
  </conditionalFormatting>
  <conditionalFormatting sqref="K52">
    <cfRule type="expression" dxfId="86" priority="63">
      <formula>AND(ISBLANK($K52),$J51=$J52,$J52&lt;&gt;"")</formula>
    </cfRule>
  </conditionalFormatting>
  <conditionalFormatting sqref="K53">
    <cfRule type="expression" dxfId="85" priority="62">
      <formula>AND(ISBLANK($K53),$J53=$J54,$J53&lt;&gt;"")</formula>
    </cfRule>
  </conditionalFormatting>
  <conditionalFormatting sqref="K54">
    <cfRule type="expression" dxfId="84" priority="61">
      <formula>AND(ISBLANK($K54),$J53=$J54,$J54&lt;&gt;"")</formula>
    </cfRule>
  </conditionalFormatting>
  <conditionalFormatting sqref="K55">
    <cfRule type="expression" dxfId="83" priority="60">
      <formula>AND(ISBLANK($K55),$J55=$J56,$J55&lt;&gt;"")</formula>
    </cfRule>
  </conditionalFormatting>
  <conditionalFormatting sqref="K56">
    <cfRule type="expression" dxfId="82" priority="59">
      <formula>AND(ISBLANK($K56),$J55=$J56,$J56&lt;&gt;"")</formula>
    </cfRule>
  </conditionalFormatting>
  <conditionalFormatting sqref="K41:K56">
    <cfRule type="cellIs" dxfId="81" priority="58" operator="notEqual">
      <formula>""</formula>
    </cfRule>
  </conditionalFormatting>
  <conditionalFormatting sqref="K62">
    <cfRule type="expression" dxfId="80" priority="57">
      <formula>AND(ISBLANK($K62),$J62=$J63,$J62&lt;&gt;"")</formula>
    </cfRule>
  </conditionalFormatting>
  <conditionalFormatting sqref="K63">
    <cfRule type="expression" dxfId="79" priority="56">
      <formula>AND(ISBLANK($K63),$J62=$J63,$J63&lt;&gt;"")</formula>
    </cfRule>
  </conditionalFormatting>
  <conditionalFormatting sqref="K60">
    <cfRule type="expression" dxfId="78" priority="55">
      <formula>AND(ISBLANK($K60),$J60=$J61,$J60&lt;&gt;"")</formula>
    </cfRule>
  </conditionalFormatting>
  <conditionalFormatting sqref="K61">
    <cfRule type="expression" dxfId="77" priority="54">
      <formula>AND(ISBLANK($K61),$J60=$J61,$J61&lt;&gt;"")</formula>
    </cfRule>
  </conditionalFormatting>
  <conditionalFormatting sqref="K64">
    <cfRule type="expression" dxfId="76" priority="53">
      <formula>AND(ISBLANK($K64),$J64=$J65,$J64&lt;&gt;"")</formula>
    </cfRule>
  </conditionalFormatting>
  <conditionalFormatting sqref="K65">
    <cfRule type="expression" dxfId="75" priority="52">
      <formula>AND(ISBLANK($K65),$J64=$J65,$J65&lt;&gt;"")</formula>
    </cfRule>
  </conditionalFormatting>
  <conditionalFormatting sqref="K66">
    <cfRule type="expression" dxfId="74" priority="51">
      <formula>AND(ISBLANK($K66),$J66=$J67,$J66&lt;&gt;"")</formula>
    </cfRule>
  </conditionalFormatting>
  <conditionalFormatting sqref="K67">
    <cfRule type="expression" dxfId="73" priority="50">
      <formula>AND(ISBLANK($K67),$J66=$J67,$J67&lt;&gt;"")</formula>
    </cfRule>
  </conditionalFormatting>
  <conditionalFormatting sqref="K60:K67">
    <cfRule type="cellIs" dxfId="72" priority="49" operator="notEqual">
      <formula>""</formula>
    </cfRule>
  </conditionalFormatting>
  <conditionalFormatting sqref="K73">
    <cfRule type="expression" dxfId="71" priority="48">
      <formula>AND(ISBLANK($K73),$J73=$J74,$J73&lt;&gt;"")</formula>
    </cfRule>
  </conditionalFormatting>
  <conditionalFormatting sqref="K74">
    <cfRule type="expression" dxfId="70" priority="47">
      <formula>AND(ISBLANK($K74),$J73=$J74,$J74&lt;&gt;"")</formula>
    </cfRule>
  </conditionalFormatting>
  <conditionalFormatting sqref="K71">
    <cfRule type="expression" dxfId="69" priority="46">
      <formula>AND(ISBLANK($K71),$J71=$J72,$J71&lt;&gt;"")</formula>
    </cfRule>
  </conditionalFormatting>
  <conditionalFormatting sqref="K72">
    <cfRule type="expression" dxfId="68" priority="45">
      <formula>AND(ISBLANK($K72),$J71=$J72,$J72&lt;&gt;"")</formula>
    </cfRule>
  </conditionalFormatting>
  <conditionalFormatting sqref="K71:K74">
    <cfRule type="cellIs" dxfId="67" priority="44" operator="notEqual">
      <formula>""</formula>
    </cfRule>
  </conditionalFormatting>
  <conditionalFormatting sqref="K78">
    <cfRule type="expression" dxfId="66" priority="43">
      <formula>AND(ISBLANK($K78),$J78=$J79,$J78&lt;&gt;"")</formula>
    </cfRule>
  </conditionalFormatting>
  <conditionalFormatting sqref="K79">
    <cfRule type="expression" dxfId="65" priority="42">
      <formula>AND(ISBLANK($K79),$J78=$J79,$J79&lt;&gt;"")</formula>
    </cfRule>
  </conditionalFormatting>
  <conditionalFormatting sqref="K78:K79">
    <cfRule type="cellIs" dxfId="64" priority="41" operator="notEqual">
      <formula>""</formula>
    </cfRule>
  </conditionalFormatting>
  <conditionalFormatting sqref="K83">
    <cfRule type="expression" dxfId="63" priority="40">
      <formula>AND(ISBLANK($K83),$J83=$J84,$J83&lt;&gt;"")</formula>
    </cfRule>
  </conditionalFormatting>
  <conditionalFormatting sqref="K84">
    <cfRule type="expression" dxfId="62" priority="39">
      <formula>AND(ISBLANK($K84),$J83=$J84,$J84&lt;&gt;"")</formula>
    </cfRule>
  </conditionalFormatting>
  <conditionalFormatting sqref="K83:K84">
    <cfRule type="cellIs" dxfId="61" priority="38" operator="notEqual">
      <formula>""</formula>
    </cfRule>
  </conditionalFormatting>
  <conditionalFormatting sqref="L41">
    <cfRule type="expression" dxfId="60" priority="37">
      <formula>AND(ISBLANK($L41),$K41=$K42,$K41&lt;&gt;"")</formula>
    </cfRule>
  </conditionalFormatting>
  <conditionalFormatting sqref="L42">
    <cfRule type="expression" dxfId="59" priority="36">
      <formula>AND(ISBLANK($L42),$K41=$K42,$K42&lt;&gt;"")</formula>
    </cfRule>
  </conditionalFormatting>
  <conditionalFormatting sqref="L43">
    <cfRule type="expression" dxfId="58" priority="35">
      <formula>AND(ISBLANK($L43),$K43=$K44,$K43&lt;&gt;"")</formula>
    </cfRule>
  </conditionalFormatting>
  <conditionalFormatting sqref="L44">
    <cfRule type="expression" dxfId="57" priority="34">
      <formula>AND(ISBLANK($L44),$K43=$K44,$K44&lt;&gt;"")</formula>
    </cfRule>
  </conditionalFormatting>
  <conditionalFormatting sqref="L45">
    <cfRule type="expression" dxfId="56" priority="33">
      <formula>AND(ISBLANK($L45),$K45=$K46,$K45&lt;&gt;"")</formula>
    </cfRule>
  </conditionalFormatting>
  <conditionalFormatting sqref="L46">
    <cfRule type="expression" dxfId="55" priority="32">
      <formula>AND(ISBLANK($L46),$K45=$K46,$K46&lt;&gt;"")</formula>
    </cfRule>
  </conditionalFormatting>
  <conditionalFormatting sqref="L47">
    <cfRule type="expression" dxfId="54" priority="31">
      <formula>AND(ISBLANK($L47),$K47=$K48,$K47&lt;&gt;"")</formula>
    </cfRule>
  </conditionalFormatting>
  <conditionalFormatting sqref="L48">
    <cfRule type="expression" dxfId="53" priority="30">
      <formula>AND(ISBLANK($L48),$K47=$K48,$K48&lt;&gt;"")</formula>
    </cfRule>
  </conditionalFormatting>
  <conditionalFormatting sqref="L49">
    <cfRule type="expression" dxfId="52" priority="29">
      <formula>AND(ISBLANK($L49),$K49=$K50,$K49&lt;&gt;"")</formula>
    </cfRule>
  </conditionalFormatting>
  <conditionalFormatting sqref="L50">
    <cfRule type="expression" dxfId="51" priority="28">
      <formula>AND(ISBLANK($L50),$K49=$K50,$K50&lt;&gt;"")</formula>
    </cfRule>
  </conditionalFormatting>
  <conditionalFormatting sqref="L51">
    <cfRule type="expression" dxfId="50" priority="27">
      <formula>AND(ISBLANK($L51),$K51=$K52,$K51&lt;&gt;"")</formula>
    </cfRule>
  </conditionalFormatting>
  <conditionalFormatting sqref="L52">
    <cfRule type="expression" dxfId="49" priority="26">
      <formula>AND(ISBLANK($L52),$K51=$K52,$K52&lt;&gt;"")</formula>
    </cfRule>
  </conditionalFormatting>
  <conditionalFormatting sqref="L53">
    <cfRule type="expression" dxfId="48" priority="25">
      <formula>AND(ISBLANK($L53),$K53=$K54,$K53&lt;&gt;"")</formula>
    </cfRule>
  </conditionalFormatting>
  <conditionalFormatting sqref="L54">
    <cfRule type="expression" dxfId="47" priority="24">
      <formula>AND(ISBLANK($L54),$K53=$K54,$K54&lt;&gt;"")</formula>
    </cfRule>
  </conditionalFormatting>
  <conditionalFormatting sqref="L55">
    <cfRule type="expression" dxfId="46" priority="23">
      <formula>AND(ISBLANK($L55),$K55=$K56,$K55&lt;&gt;"")</formula>
    </cfRule>
  </conditionalFormatting>
  <conditionalFormatting sqref="L56">
    <cfRule type="expression" dxfId="45" priority="22">
      <formula>AND(ISBLANK($L56),$K55=$K56,$K56&lt;&gt;"")</formula>
    </cfRule>
  </conditionalFormatting>
  <conditionalFormatting sqref="L41:L56">
    <cfRule type="cellIs" dxfId="44" priority="21" operator="notEqual">
      <formula>""</formula>
    </cfRule>
  </conditionalFormatting>
  <conditionalFormatting sqref="L60">
    <cfRule type="expression" dxfId="43" priority="20">
      <formula>AND(ISBLANK($L60),$K60=$K61,$K60&lt;&gt;"")</formula>
    </cfRule>
  </conditionalFormatting>
  <conditionalFormatting sqref="L61">
    <cfRule type="expression" dxfId="42" priority="19">
      <formula>AND(ISBLANK($L61),$K60=$K61,$K61&lt;&gt;"")</formula>
    </cfRule>
  </conditionalFormatting>
  <conditionalFormatting sqref="L62">
    <cfRule type="expression" dxfId="41" priority="18">
      <formula>AND(ISBLANK($L62),$K62=$K63,$K62&lt;&gt;"")</formula>
    </cfRule>
  </conditionalFormatting>
  <conditionalFormatting sqref="L63">
    <cfRule type="expression" dxfId="40" priority="17">
      <formula>AND(ISBLANK($L63),$K62=$K63,$K63&lt;&gt;"")</formula>
    </cfRule>
  </conditionalFormatting>
  <conditionalFormatting sqref="L64">
    <cfRule type="expression" dxfId="39" priority="16">
      <formula>AND(ISBLANK($L64),$K64=$K65,$K64&lt;&gt;"")</formula>
    </cfRule>
  </conditionalFormatting>
  <conditionalFormatting sqref="L65">
    <cfRule type="expression" dxfId="38" priority="15">
      <formula>AND(ISBLANK($L65),$K64=$K65,$K65&lt;&gt;"")</formula>
    </cfRule>
  </conditionalFormatting>
  <conditionalFormatting sqref="L66">
    <cfRule type="expression" dxfId="37" priority="14">
      <formula>AND(ISBLANK($L66),$K66=$K67,$K66&lt;&gt;"")</formula>
    </cfRule>
  </conditionalFormatting>
  <conditionalFormatting sqref="L67">
    <cfRule type="expression" dxfId="36" priority="13">
      <formula>AND(ISBLANK($L67),$K66=$K67,$K67&lt;&gt;"")</formula>
    </cfRule>
  </conditionalFormatting>
  <conditionalFormatting sqref="L60:L67">
    <cfRule type="cellIs" dxfId="35" priority="12" operator="notEqual">
      <formula>""</formula>
    </cfRule>
  </conditionalFormatting>
  <conditionalFormatting sqref="L71">
    <cfRule type="expression" dxfId="34" priority="11">
      <formula>AND(ISBLANK($L71),$K71=$K72,$K71&lt;&gt;"")</formula>
    </cfRule>
  </conditionalFormatting>
  <conditionalFormatting sqref="L72">
    <cfRule type="expression" dxfId="33" priority="10">
      <formula>AND(ISBLANK($L72),$K71=$K72,$K72&lt;&gt;"")</formula>
    </cfRule>
  </conditionalFormatting>
  <conditionalFormatting sqref="L73">
    <cfRule type="expression" dxfId="32" priority="9">
      <formula>AND(ISBLANK($L73),$K73=$K74,$K73&lt;&gt;"")</formula>
    </cfRule>
  </conditionalFormatting>
  <conditionalFormatting sqref="L74">
    <cfRule type="expression" dxfId="31" priority="8">
      <formula>AND(ISBLANK($L74),$K73=$K74,$K74&lt;&gt;"")</formula>
    </cfRule>
  </conditionalFormatting>
  <conditionalFormatting sqref="L71:L74">
    <cfRule type="cellIs" dxfId="30" priority="7" operator="notEqual">
      <formula>""</formula>
    </cfRule>
  </conditionalFormatting>
  <conditionalFormatting sqref="L78">
    <cfRule type="expression" dxfId="29" priority="6">
      <formula>AND(ISBLANK($L78),$K78=$K79,$K78&lt;&gt;"")</formula>
    </cfRule>
  </conditionalFormatting>
  <conditionalFormatting sqref="L79">
    <cfRule type="expression" dxfId="28" priority="5">
      <formula>AND(ISBLANK($L79),$K78=$K79,$K79&lt;&gt;"")</formula>
    </cfRule>
  </conditionalFormatting>
  <conditionalFormatting sqref="L78:L79">
    <cfRule type="cellIs" dxfId="27" priority="4" operator="notEqual">
      <formula>""</formula>
    </cfRule>
  </conditionalFormatting>
  <conditionalFormatting sqref="L83">
    <cfRule type="expression" dxfId="26" priority="3">
      <formula>AND(ISBLANK($L83),$K83=$K84,$K83&lt;&gt;"")</formula>
    </cfRule>
  </conditionalFormatting>
  <conditionalFormatting sqref="L84">
    <cfRule type="expression" dxfId="25" priority="2">
      <formula>AND(ISBLANK($L84),$K83=$K84,$K84&lt;&gt;"")</formula>
    </cfRule>
  </conditionalFormatting>
  <conditionalFormatting sqref="L83:L84">
    <cfRule type="cellIs" dxfId="24" priority="1" operator="notEqual">
      <formula>""</formula>
    </cfRule>
  </conditionalFormatting>
  <dataValidations count="32">
    <dataValidation type="list" allowBlank="1" showInputMessage="1" showErrorMessage="1" sqref="N41:U41">
      <formula1>QUFI11</formula1>
    </dataValidation>
    <dataValidation type="list" allowBlank="1" showInputMessage="1" showErrorMessage="1" sqref="N42:U42">
      <formula1>QUFI12</formula1>
    </dataValidation>
    <dataValidation type="list" allowBlank="1" showInputMessage="1" showErrorMessage="1" sqref="N43:U43">
      <formula1>QUFI21</formula1>
    </dataValidation>
    <dataValidation type="list" allowBlank="1" showInputMessage="1" showErrorMessage="1" sqref="N44:U44">
      <formula1>QUFI22</formula1>
    </dataValidation>
    <dataValidation type="list" allowBlank="1" showInputMessage="1" showErrorMessage="1" sqref="N45:U45">
      <formula1>QUFI31</formula1>
    </dataValidation>
    <dataValidation type="list" allowBlank="1" showInputMessage="1" showErrorMessage="1" sqref="N46:U46">
      <formula1>QUFI32</formula1>
    </dataValidation>
    <dataValidation type="list" allowBlank="1" showInputMessage="1" showErrorMessage="1" sqref="N47:U47">
      <formula1>QUFI41</formula1>
    </dataValidation>
    <dataValidation type="list" allowBlank="1" showInputMessage="1" showErrorMessage="1" sqref="N48:U48">
      <formula1>QUFI42</formula1>
    </dataValidation>
    <dataValidation type="list" allowBlank="1" showInputMessage="1" showErrorMessage="1" sqref="N49:U49">
      <formula1>QUFI51</formula1>
    </dataValidation>
    <dataValidation type="list" allowBlank="1" showInputMessage="1" showErrorMessage="1" sqref="N50:U50">
      <formula1>QUFI52</formula1>
    </dataValidation>
    <dataValidation type="list" allowBlank="1" showInputMessage="1" showErrorMessage="1" sqref="N51:U51">
      <formula1>QUFI61</formula1>
    </dataValidation>
    <dataValidation type="list" allowBlank="1" showInputMessage="1" showErrorMessage="1" sqref="N52:U52">
      <formula1>QUFI62</formula1>
    </dataValidation>
    <dataValidation type="list" allowBlank="1" showInputMessage="1" showErrorMessage="1" sqref="N53:U53">
      <formula1>QUFI71</formula1>
    </dataValidation>
    <dataValidation type="list" allowBlank="1" showInputMessage="1" showErrorMessage="1" sqref="N54:U54">
      <formula1>QUFI72</formula1>
    </dataValidation>
    <dataValidation type="list" allowBlank="1" showInputMessage="1" showErrorMessage="1" sqref="N55:U55">
      <formula1>QUFI81</formula1>
    </dataValidation>
    <dataValidation type="list" allowBlank="1" showInputMessage="1" showErrorMessage="1" sqref="N56:U56">
      <formula1>QUFI82</formula1>
    </dataValidation>
    <dataValidation type="list" allowBlank="1" showInputMessage="1" showErrorMessage="1" sqref="N60:U60">
      <formula1>BIGQ11</formula1>
    </dataValidation>
    <dataValidation type="list" allowBlank="1" showInputMessage="1" showErrorMessage="1" sqref="N61:U61">
      <formula1>BIGQ12</formula1>
    </dataValidation>
    <dataValidation type="list" allowBlank="1" showInputMessage="1" showErrorMessage="1" sqref="N62:U62">
      <formula1>BIGQ21</formula1>
    </dataValidation>
    <dataValidation type="list" allowBlank="1" showInputMessage="1" showErrorMessage="1" sqref="N63:U63">
      <formula1>BIGQ22</formula1>
    </dataValidation>
    <dataValidation type="list" allowBlank="1" showInputMessage="1" showErrorMessage="1" sqref="N64:U64">
      <formula1>BIGQ31</formula1>
    </dataValidation>
    <dataValidation type="list" allowBlank="1" showInputMessage="1" showErrorMessage="1" sqref="N65:U65">
      <formula1>BIGQ32</formula1>
    </dataValidation>
    <dataValidation type="list" allowBlank="1" showInputMessage="1" showErrorMessage="1" sqref="N66:U66">
      <formula1>BIGQ41</formula1>
    </dataValidation>
    <dataValidation type="list" allowBlank="1" showInputMessage="1" showErrorMessage="1" sqref="N67:U67">
      <formula1>BIGQ42</formula1>
    </dataValidation>
    <dataValidation type="list" allowBlank="1" showInputMessage="1" showErrorMessage="1" sqref="N71:U71">
      <formula1>SEFI11</formula1>
    </dataValidation>
    <dataValidation type="list" allowBlank="1" showInputMessage="1" showErrorMessage="1" sqref="N72:U72">
      <formula1>SEFI12</formula1>
    </dataValidation>
    <dataValidation type="list" allowBlank="1" showInputMessage="1" showErrorMessage="1" sqref="N73:U73">
      <formula1>SEFI21</formula1>
    </dataValidation>
    <dataValidation type="list" allowBlank="1" showInputMessage="1" showErrorMessage="1" sqref="N74:U74">
      <formula1>SEFI22</formula1>
    </dataValidation>
    <dataValidation type="list" allowBlank="1" showInputMessage="1" showErrorMessage="1" sqref="N78:U78">
      <formula1>THIR11</formula1>
    </dataValidation>
    <dataValidation type="list" allowBlank="1" showInputMessage="1" showErrorMessage="1" sqref="N79:U79">
      <formula1>THIR12</formula1>
    </dataValidation>
    <dataValidation type="list" allowBlank="1" showInputMessage="1" showErrorMessage="1" sqref="N83:U83">
      <formula1>FINAL11</formula1>
    </dataValidation>
    <dataValidation type="list" allowBlank="1" showInputMessage="1" showErrorMessage="1" sqref="N84:U84">
      <formula1>FINAL12</formula1>
    </dataValidation>
  </dataValidations>
  <hyperlinks>
    <hyperlink ref="G2:G4" r:id="rId1" display="VISIT WWW.EXCELTEMPLATE.NET FOR MORE TEMPLATES"/>
    <hyperlink ref="B2" r:id="rId2" display="VISIT WWW.EXCELTEMPLATE.NET FOR MORE TEMPLATES AND UPDATES"/>
    <hyperlink ref="B2:G4" r:id="rId3" display="http://exceltemplate.net/"/>
  </hyperlinks>
  <printOptions horizontalCentered="1" verticalCentered="1"/>
  <pageMargins left="0.39" right="0.32" top="0.28999999999999998" bottom="0.39" header="0.21" footer="0.26"/>
  <pageSetup scale="49" orientation="portrait" horizontalDpi="300" verticalDpi="300" r:id="rId4"/>
  <headerFooter alignWithMargins="0">
    <oddFooter>&amp;C
copyright (c) exceltemplate.net 2013</oddFooter>
  </headerFooter>
  <drawing r:id="rId5"/>
  <legacy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DH163"/>
  <sheetViews>
    <sheetView showGridLines="0" topLeftCell="A103" zoomScale="90" workbookViewId="0">
      <selection activeCell="N12" sqref="N12"/>
    </sheetView>
  </sheetViews>
  <sheetFormatPr defaultColWidth="9.109375" defaultRowHeight="14.4"/>
  <cols>
    <col min="1" max="1" width="2.44140625" style="43" customWidth="1"/>
    <col min="2" max="3" width="2.44140625" style="116" customWidth="1"/>
    <col min="4" max="5" width="7.5546875" style="116" customWidth="1"/>
    <col min="6" max="6" width="10" style="116" customWidth="1"/>
    <col min="7" max="7" width="10.33203125" style="119" customWidth="1"/>
    <col min="8" max="8" width="20.6640625" style="116" customWidth="1"/>
    <col min="9" max="9" width="1.6640625" style="116" customWidth="1"/>
    <col min="10" max="10" width="4.6640625" style="116" customWidth="1"/>
    <col min="11" max="11" width="2.6640625" style="120" customWidth="1"/>
    <col min="12" max="12" width="4.6640625" style="116" customWidth="1"/>
    <col min="13" max="13" width="1.6640625" style="116" customWidth="1"/>
    <col min="14" max="14" width="20.6640625" style="116" customWidth="1"/>
    <col min="15" max="16" width="2.44140625" style="116" customWidth="1"/>
    <col min="17" max="18" width="2.44140625" style="43" customWidth="1"/>
    <col min="19" max="19" width="4.33203125" style="43" customWidth="1"/>
    <col min="20" max="20" width="10" style="43" customWidth="1"/>
    <col min="21" max="21" width="10.33203125" style="43" customWidth="1"/>
    <col min="22" max="25" width="5.6640625" style="43" customWidth="1"/>
    <col min="26" max="26" width="2.6640625" style="43" customWidth="1"/>
    <col min="27" max="27" width="4.6640625" style="43" customWidth="1"/>
    <col min="28" max="28" width="2.6640625" style="43" customWidth="1"/>
    <col min="29" max="29" width="4.88671875" style="44" customWidth="1"/>
    <col min="30" max="31" width="2.6640625" style="44" customWidth="1"/>
    <col min="32" max="32" width="20.6640625" style="46" customWidth="1"/>
    <col min="33" max="33" width="2.6640625" style="29" customWidth="1"/>
    <col min="34" max="34" width="2.6640625" style="43" customWidth="1"/>
    <col min="35" max="35" width="2.5546875" style="43" customWidth="1"/>
    <col min="36" max="36" width="20.6640625" style="43" customWidth="1"/>
    <col min="37" max="37" width="12.88671875" style="43" customWidth="1"/>
    <col min="38" max="105" width="9.109375" style="43"/>
    <col min="106" max="109" width="9.109375" style="44"/>
    <col min="110" max="16384" width="9.109375" style="43"/>
  </cols>
  <sheetData>
    <row r="1" spans="2:112">
      <c r="AD1" s="45"/>
      <c r="AE1" s="45"/>
      <c r="AG1" s="47"/>
    </row>
    <row r="2" spans="2:112" ht="15" customHeight="1">
      <c r="B2" s="124"/>
      <c r="C2" s="124" t="str">
        <f>INDEX(Language!$A$1:$AX$115,MATCH("Language",Language!$B$1:$B$115,0),MATCH($G$2,Language!$A$1:$AW$1,0))</f>
        <v>Language</v>
      </c>
      <c r="E2" s="120"/>
      <c r="F2" s="120" t="s">
        <v>82</v>
      </c>
      <c r="G2" s="116" t="str">
        <f>'Group Stages'!G2:K2</f>
        <v>English</v>
      </c>
      <c r="K2" s="116"/>
      <c r="AC2" s="43"/>
      <c r="AD2" s="43"/>
      <c r="AE2" s="43"/>
      <c r="AF2" s="43"/>
      <c r="AG2" s="43"/>
    </row>
    <row r="3" spans="2:112" ht="8.25" customHeight="1">
      <c r="E3" s="120"/>
      <c r="F3" s="120"/>
      <c r="G3" s="116"/>
      <c r="K3" s="116"/>
      <c r="AC3" s="43"/>
      <c r="AD3" s="43"/>
      <c r="AE3" s="43"/>
      <c r="AF3" s="43"/>
      <c r="AG3" s="43"/>
      <c r="DC3" s="45" t="s">
        <v>3845</v>
      </c>
    </row>
    <row r="4" spans="2:112" ht="15" customHeight="1">
      <c r="B4" s="124"/>
      <c r="C4" s="124" t="str">
        <f>INDEX(Language!$A$1:$AX$115,MATCH("Timezone",Language!$B$1:$B$115,0),MATCH($G$2,Language!$A$1:$AW$1,0))</f>
        <v>Timezone</v>
      </c>
      <c r="E4" s="120"/>
      <c r="F4" s="120" t="s">
        <v>82</v>
      </c>
      <c r="G4" s="125" t="str">
        <f>'Group Stages'!G4:K4</f>
        <v xml:space="preserve">London </v>
      </c>
      <c r="K4" s="116"/>
      <c r="AC4" s="43"/>
      <c r="AD4" s="43"/>
      <c r="AE4" s="43"/>
      <c r="AF4" s="43"/>
      <c r="AG4" s="43"/>
    </row>
    <row r="6" spans="2:112" s="7" customFormat="1" ht="25.5" customHeight="1">
      <c r="B6" s="116"/>
      <c r="C6" s="116"/>
      <c r="D6" s="116"/>
      <c r="E6" s="116"/>
      <c r="F6" s="116"/>
      <c r="G6" s="116"/>
      <c r="H6" s="116"/>
      <c r="I6" s="116"/>
      <c r="J6" s="116"/>
      <c r="K6" s="116"/>
      <c r="L6" s="116"/>
      <c r="M6" s="116"/>
      <c r="N6" s="116"/>
      <c r="O6" s="116"/>
      <c r="P6" s="116"/>
      <c r="Q6" s="43"/>
      <c r="R6" s="43"/>
      <c r="S6" s="43"/>
      <c r="T6" s="43"/>
      <c r="U6" s="43"/>
      <c r="V6" s="43"/>
      <c r="W6" s="43"/>
      <c r="X6" s="43"/>
      <c r="Y6" s="43"/>
      <c r="Z6" s="43"/>
      <c r="AA6" s="43"/>
      <c r="AB6" s="43"/>
      <c r="AC6" s="43"/>
      <c r="AD6" s="43"/>
      <c r="AE6" s="43"/>
      <c r="AF6" s="43"/>
      <c r="AG6" s="43"/>
      <c r="AH6" s="43"/>
      <c r="DB6" s="9"/>
      <c r="DC6" s="9"/>
      <c r="DD6" s="9"/>
      <c r="DE6" s="9"/>
    </row>
    <row r="7" spans="2:112">
      <c r="G7" s="116"/>
      <c r="K7" s="116"/>
      <c r="Q7" s="66"/>
      <c r="R7" s="66"/>
      <c r="S7" s="66"/>
      <c r="T7" s="66"/>
      <c r="U7" s="66"/>
      <c r="V7" s="66"/>
      <c r="W7" s="66"/>
      <c r="X7" s="66"/>
      <c r="Y7" s="66"/>
      <c r="Z7" s="66"/>
      <c r="AA7" s="66"/>
      <c r="AB7" s="66"/>
      <c r="AC7" s="66"/>
      <c r="AD7" s="66"/>
      <c r="AE7" s="66"/>
      <c r="AF7" s="66"/>
      <c r="AG7" s="66"/>
      <c r="AH7" s="66"/>
    </row>
    <row r="8" spans="2:112" s="7" customFormat="1" ht="15" customHeight="1">
      <c r="B8" s="116"/>
      <c r="C8" s="116"/>
      <c r="D8" s="116"/>
      <c r="E8" s="116"/>
      <c r="F8" s="116"/>
      <c r="G8" s="116"/>
      <c r="H8" s="116"/>
      <c r="I8" s="116"/>
      <c r="J8" s="116"/>
      <c r="K8" s="116"/>
      <c r="L8" s="116"/>
      <c r="M8" s="116"/>
      <c r="N8" s="116"/>
      <c r="O8" s="116"/>
      <c r="P8" s="116"/>
      <c r="Q8" s="66"/>
      <c r="R8" s="66"/>
      <c r="S8" s="66"/>
      <c r="T8" s="66"/>
      <c r="U8" s="66"/>
      <c r="V8" s="66"/>
      <c r="W8" s="66"/>
      <c r="X8" s="66"/>
      <c r="Y8" s="66"/>
      <c r="Z8" s="66"/>
      <c r="AA8" s="66"/>
      <c r="AB8" s="66"/>
      <c r="AC8" s="66"/>
      <c r="AD8" s="66"/>
      <c r="AE8" s="66"/>
      <c r="AF8" s="66"/>
      <c r="AG8" s="66"/>
      <c r="AH8" s="66"/>
      <c r="DB8" s="9"/>
      <c r="DC8" s="9"/>
      <c r="DD8" s="9"/>
      <c r="DE8" s="9"/>
    </row>
    <row r="9" spans="2:112" s="7" customFormat="1" ht="15" customHeight="1">
      <c r="B9" s="111"/>
      <c r="C9" s="111"/>
      <c r="D9" s="111"/>
      <c r="E9" s="111"/>
      <c r="F9" s="111"/>
      <c r="G9" s="111"/>
      <c r="H9" s="111"/>
      <c r="I9" s="111"/>
      <c r="J9" s="111"/>
      <c r="K9" s="110"/>
      <c r="L9" s="111"/>
      <c r="M9" s="111"/>
      <c r="N9" s="111"/>
      <c r="O9" s="111"/>
      <c r="P9" s="111"/>
      <c r="Q9" s="12"/>
      <c r="R9" s="12"/>
      <c r="S9" s="12"/>
      <c r="T9" s="12"/>
      <c r="U9" s="12"/>
      <c r="V9" s="12"/>
      <c r="W9" s="12"/>
      <c r="X9" s="12"/>
      <c r="Y9" s="12"/>
      <c r="Z9" s="12"/>
      <c r="AA9" s="12"/>
      <c r="AB9" s="12"/>
      <c r="AC9" s="20"/>
      <c r="AD9" s="12"/>
      <c r="AF9" s="48"/>
      <c r="AG9" s="8"/>
      <c r="AH9" s="59"/>
      <c r="AI9" s="12"/>
      <c r="AJ9" s="12"/>
      <c r="DB9" s="9"/>
      <c r="DC9" s="9"/>
      <c r="DD9" s="9"/>
      <c r="DE9" s="9"/>
    </row>
    <row r="10" spans="2:112" s="7" customFormat="1" ht="15" customHeight="1">
      <c r="B10" s="111"/>
      <c r="C10" s="111"/>
      <c r="D10" s="111"/>
      <c r="E10" s="111"/>
      <c r="F10" s="111"/>
      <c r="G10" s="111"/>
      <c r="H10" s="111"/>
      <c r="I10" s="111"/>
      <c r="J10" s="111"/>
      <c r="K10" s="111"/>
      <c r="L10" s="111"/>
      <c r="M10" s="111"/>
      <c r="N10" s="111"/>
      <c r="O10" s="111"/>
      <c r="P10" s="115"/>
      <c r="Q10" s="12"/>
      <c r="R10" s="198" t="str">
        <f>INDEX(Language!$A$1:$AX$115,MATCH("Standings",Language!$B$1:$B$115,0),MATCH(Tournament!$G$2,Language!$A$1:$AW$1,0))</f>
        <v>Standings</v>
      </c>
      <c r="S10" s="199"/>
      <c r="T10" s="199"/>
      <c r="U10" s="199"/>
      <c r="V10" s="199"/>
      <c r="W10" s="199"/>
      <c r="X10" s="199"/>
      <c r="Y10" s="199"/>
      <c r="Z10" s="199"/>
      <c r="AA10" s="199"/>
      <c r="AB10" s="199"/>
      <c r="AC10" s="199"/>
      <c r="AD10" s="199"/>
      <c r="AE10" s="199"/>
      <c r="AF10" s="199"/>
      <c r="AG10" s="200"/>
      <c r="AH10" s="67"/>
      <c r="AI10" s="12"/>
      <c r="AJ10" s="12"/>
      <c r="DB10" s="9"/>
      <c r="DC10" s="9"/>
      <c r="DD10" s="9"/>
      <c r="DE10" s="9"/>
    </row>
    <row r="11" spans="2:112" s="7" customFormat="1" ht="15" customHeight="1">
      <c r="B11" s="111"/>
      <c r="C11" s="111"/>
      <c r="D11" s="111"/>
      <c r="E11" s="111"/>
      <c r="F11" s="111"/>
      <c r="G11" s="111"/>
      <c r="H11" s="111"/>
      <c r="I11" s="111"/>
      <c r="J11" s="111"/>
      <c r="K11" s="111"/>
      <c r="L11" s="111"/>
      <c r="M11" s="111"/>
      <c r="N11" s="111"/>
      <c r="O11" s="111"/>
      <c r="P11" s="111"/>
      <c r="Q11" s="12"/>
      <c r="R11" s="11"/>
      <c r="S11" s="12"/>
      <c r="T11" s="12"/>
      <c r="U11" s="12"/>
      <c r="V11" s="12"/>
      <c r="W11" s="12"/>
      <c r="X11" s="12"/>
      <c r="Y11" s="12"/>
      <c r="Z11" s="12"/>
      <c r="AA11" s="12"/>
      <c r="AB11" s="12"/>
      <c r="AC11" s="20"/>
      <c r="AD11" s="12"/>
      <c r="AE11" s="12"/>
      <c r="AF11" s="21"/>
      <c r="AG11" s="49"/>
      <c r="AH11" s="12"/>
      <c r="AI11" s="12"/>
      <c r="AJ11" s="12"/>
      <c r="DB11" s="9"/>
      <c r="DC11" s="9"/>
      <c r="DD11" s="9"/>
      <c r="DE11" s="9"/>
    </row>
    <row r="12" spans="2:112" s="7" customFormat="1" ht="15" customHeight="1">
      <c r="B12" s="111"/>
      <c r="C12" s="111"/>
      <c r="D12" s="111"/>
      <c r="E12" s="111"/>
      <c r="F12" s="111"/>
      <c r="G12" s="111"/>
      <c r="H12" s="111"/>
      <c r="I12" s="111"/>
      <c r="J12" s="111"/>
      <c r="K12" s="111"/>
      <c r="L12" s="111"/>
      <c r="M12" s="111"/>
      <c r="N12" s="111"/>
      <c r="O12" s="111"/>
      <c r="P12" s="111"/>
      <c r="Q12" s="12"/>
      <c r="R12" s="11"/>
      <c r="S12" s="69" t="str">
        <f>INDEX(Language!$A$1:$AX$115,MATCH("Group A",Language!$B$1:$B$115,0),MATCH(Tournament!$G$2,Language!$A$1:$AW$1,0))</f>
        <v>Group A</v>
      </c>
      <c r="T12" s="70"/>
      <c r="U12" s="70"/>
      <c r="V12" s="70" t="s">
        <v>303</v>
      </c>
      <c r="W12" s="70" t="s">
        <v>64</v>
      </c>
      <c r="X12" s="70" t="s">
        <v>65</v>
      </c>
      <c r="Y12" s="70" t="s">
        <v>66</v>
      </c>
      <c r="Z12" s="70"/>
      <c r="AA12" s="70" t="s">
        <v>67</v>
      </c>
      <c r="AB12" s="70"/>
      <c r="AC12" s="70" t="s">
        <v>304</v>
      </c>
      <c r="AD12" s="71"/>
      <c r="AE12" s="12"/>
      <c r="AF12" s="201" t="s">
        <v>72</v>
      </c>
      <c r="AG12" s="50"/>
      <c r="AH12" s="12"/>
      <c r="AI12" s="12"/>
      <c r="AJ12" s="51" t="s">
        <v>73</v>
      </c>
      <c r="AK12" s="52" t="s">
        <v>1155</v>
      </c>
      <c r="DE12" s="9"/>
      <c r="DF12" s="20"/>
      <c r="DG12" s="53"/>
      <c r="DH12" s="9"/>
    </row>
    <row r="13" spans="2:112" s="7" customFormat="1" ht="15" customHeight="1">
      <c r="B13" s="111"/>
      <c r="C13" s="111"/>
      <c r="D13" s="111"/>
      <c r="E13" s="111"/>
      <c r="F13" s="111"/>
      <c r="G13" s="111"/>
      <c r="H13" s="111"/>
      <c r="I13" s="111"/>
      <c r="J13" s="111"/>
      <c r="K13" s="111"/>
      <c r="L13" s="111"/>
      <c r="M13" s="111"/>
      <c r="N13" s="111"/>
      <c r="O13" s="111"/>
      <c r="P13" s="111"/>
      <c r="Q13" s="12"/>
      <c r="R13" s="11"/>
      <c r="S13" s="72">
        <v>1</v>
      </c>
      <c r="T13" s="73" t="str">
        <f ca="1">VLOOKUP(1,'Dummy Table'!O4:P7,2,FALSE)</f>
        <v>Brazil</v>
      </c>
      <c r="U13" s="73"/>
      <c r="V13" s="74">
        <f ca="1">SUM(W13:Y13)</f>
        <v>0</v>
      </c>
      <c r="W13" s="74">
        <f ca="1">SUMIF('Dummy Table'!B$4:B$7,Tournament!T13,'Dummy Table'!C$4:C$7)</f>
        <v>0</v>
      </c>
      <c r="X13" s="74">
        <f ca="1">SUMIF('Dummy Table'!B$4:B$7,Tournament!T13,'Dummy Table'!D$4:D$7)</f>
        <v>0</v>
      </c>
      <c r="Y13" s="74">
        <f ca="1">SUMIF('Dummy Table'!B$4:B$7,Tournament!T13,'Dummy Table'!E$4:E$7)</f>
        <v>0</v>
      </c>
      <c r="Z13" s="74"/>
      <c r="AA13" s="74" t="str">
        <f ca="1">CONCATENATE(SUMIF('Dummy Table'!B$4:B$7,Tournament!T13,'Dummy Table'!F$4:F$7)," - ",SUMIF('Dummy Table'!B$4:B$7,Tournament!T13,'Dummy Table'!G$4:G$7))</f>
        <v>0 - 0</v>
      </c>
      <c r="AB13" s="74"/>
      <c r="AC13" s="74">
        <f ca="1">SUMIF('Dummy Table'!B$4:B$7,Tournament!T13,'Dummy Table'!I$4:I$7)</f>
        <v>0</v>
      </c>
      <c r="AD13" s="72"/>
      <c r="AE13" s="12"/>
      <c r="AF13" s="201"/>
      <c r="AG13" s="50"/>
      <c r="AH13" s="12"/>
      <c r="AI13" s="12"/>
      <c r="AJ13" s="51" t="str">
        <f ca="1">IF(SUM('Dummy Table'!AM$4:AM$7)&gt;0,IF(ISNA(VLOOKUP(1,'Dummy Table'!AM$4:AN$7,2,FALSE)),"",VLOOKUP(1,'Dummy Table'!AM$4:AN$7,2,FALSE)),"")</f>
        <v>Brazil</v>
      </c>
      <c r="AK13" s="52"/>
      <c r="DE13" s="9"/>
      <c r="DF13" s="20"/>
      <c r="DG13" s="53"/>
      <c r="DH13" s="9"/>
    </row>
    <row r="14" spans="2:112" s="7" customFormat="1" ht="15" customHeight="1">
      <c r="B14" s="111"/>
      <c r="C14" s="111"/>
      <c r="D14" s="110">
        <v>1</v>
      </c>
      <c r="E14" s="110" t="s">
        <v>72</v>
      </c>
      <c r="F14" s="117">
        <f>G14</f>
        <v>41802.875</v>
      </c>
      <c r="G14" s="118">
        <f>'Countries and Timezone'!R2</f>
        <v>41802.875</v>
      </c>
      <c r="H14" s="112" t="str">
        <f>INDEX(Language!$A$1:$AX$115,MATCH('Countries and Timezone'!$AG$7,Language!$B$1:$B$115,0),MATCH($G$2,Language!$A$1:$AW$1,0))</f>
        <v>Brazil</v>
      </c>
      <c r="I14" s="111"/>
      <c r="J14" s="109" t="str">
        <f ca="1">IF(OFFSET('Group Stages'!$J$13,2*$D14-1,0)&lt;&gt;"",OFFSET('Group Stages'!$J$13,2*$D14-1,0),"")</f>
        <v/>
      </c>
      <c r="K14" s="110" t="s">
        <v>58</v>
      </c>
      <c r="L14" s="109" t="str">
        <f ca="1">IF(OFFSET('Group Stages'!$J$13,2*$D14,0)&lt;&gt;"",OFFSET('Group Stages'!$J$13,2*$D14,0),"")</f>
        <v/>
      </c>
      <c r="M14" s="111"/>
      <c r="N14" s="111" t="str">
        <f>INDEX(Language!$A$1:$AX$115,MATCH('Countries and Timezone'!$AG$8,Language!$B$1:$B$115,0),MATCH($G$2,Language!$A$1:$AW$1,0))</f>
        <v>Croatia</v>
      </c>
      <c r="O14" s="111"/>
      <c r="P14" s="111"/>
      <c r="Q14" s="12"/>
      <c r="R14" s="11"/>
      <c r="S14" s="72">
        <v>2</v>
      </c>
      <c r="T14" s="73" t="str">
        <f ca="1">VLOOKUP(2,'Dummy Table'!O4:P7,2,FALSE)</f>
        <v>Croatia</v>
      </c>
      <c r="U14" s="73"/>
      <c r="V14" s="74">
        <f ca="1">SUM(W14:Y14)</f>
        <v>0</v>
      </c>
      <c r="W14" s="74">
        <f ca="1">SUMIF('Dummy Table'!B$4:B$7,Tournament!T14,'Dummy Table'!C$4:C$7)</f>
        <v>0</v>
      </c>
      <c r="X14" s="74">
        <f ca="1">SUMIF('Dummy Table'!B$4:B$7,Tournament!T14,'Dummy Table'!D$4:D$7)</f>
        <v>0</v>
      </c>
      <c r="Y14" s="74">
        <f ca="1">SUMIF('Dummy Table'!B$4:B$7,Tournament!T14,'Dummy Table'!E$4:E$7)</f>
        <v>0</v>
      </c>
      <c r="Z14" s="74"/>
      <c r="AA14" s="74" t="str">
        <f ca="1">CONCATENATE(SUMIF('Dummy Table'!B$4:B$7,Tournament!T14,'Dummy Table'!F$4:F$7)," - ",SUMIF('Dummy Table'!B$4:B$7,Tournament!T14,'Dummy Table'!G$4:G$7))</f>
        <v>0 - 0</v>
      </c>
      <c r="AB14" s="74"/>
      <c r="AC14" s="74">
        <f ca="1">SUMIF('Dummy Table'!B$4:B$7,Tournament!T14,'Dummy Table'!I$4:I$7)</f>
        <v>0</v>
      </c>
      <c r="AD14" s="72"/>
      <c r="AE14" s="12"/>
      <c r="AF14" s="201"/>
      <c r="AG14" s="50"/>
      <c r="AH14" s="12"/>
      <c r="AI14" s="12"/>
      <c r="AJ14" s="51" t="str">
        <f ca="1">IF(SUM('Dummy Table'!AM$4:AM$7)&gt;0,IF(ISNA(VLOOKUP(2,'Dummy Table'!AM$4:AN$7,2,FALSE)),"",VLOOKUP(2,'Dummy Table'!AM$4:AN$7,2,FALSE)),"")</f>
        <v>Croatia</v>
      </c>
      <c r="AK14" s="52"/>
      <c r="DE14" s="9"/>
      <c r="DF14" s="20"/>
      <c r="DG14" s="53"/>
      <c r="DH14" s="9"/>
    </row>
    <row r="15" spans="2:112" s="7" customFormat="1" ht="15" customHeight="1">
      <c r="B15" s="111"/>
      <c r="C15" s="111"/>
      <c r="D15" s="110">
        <v>2</v>
      </c>
      <c r="E15" s="110" t="s">
        <v>72</v>
      </c>
      <c r="F15" s="117">
        <f t="shared" ref="F15:F61" si="0">G15</f>
        <v>41803.708333333328</v>
      </c>
      <c r="G15" s="118">
        <f>'Countries and Timezone'!R3</f>
        <v>41803.708333333328</v>
      </c>
      <c r="H15" s="112" t="str">
        <f>INDEX(Language!$A$1:$AX$115,MATCH('Countries and Timezone'!$AG$9,Language!$B$1:$B$115,0),MATCH($G$2,Language!$A$1:$AW$1,0))</f>
        <v>Mexico</v>
      </c>
      <c r="I15" s="111"/>
      <c r="J15" s="109" t="str">
        <f ca="1">IF(OFFSET('Group Stages'!$J$13,2*$D15-1,0)&lt;&gt;"",OFFSET('Group Stages'!$J$13,2*$D15-1,0),"")</f>
        <v/>
      </c>
      <c r="K15" s="110" t="s">
        <v>58</v>
      </c>
      <c r="L15" s="109" t="str">
        <f ca="1">IF(OFFSET('Group Stages'!$J$13,2*$D15,0)&lt;&gt;"",OFFSET('Group Stages'!$J$13,2*$D15,0),"")</f>
        <v/>
      </c>
      <c r="M15" s="111"/>
      <c r="N15" s="111" t="str">
        <f>INDEX(Language!$A$1:$AX$115,MATCH('Countries and Timezone'!$AG$10,Language!$B$1:$B$115,0),MATCH($G$2,Language!$A$1:$AW$1,0))</f>
        <v>Cameroon</v>
      </c>
      <c r="O15" s="111"/>
      <c r="P15" s="111"/>
      <c r="Q15" s="12"/>
      <c r="R15" s="11"/>
      <c r="S15" s="72">
        <v>3</v>
      </c>
      <c r="T15" s="73" t="str">
        <f ca="1">VLOOKUP(3,'Dummy Table'!O4:P7,2,FALSE)</f>
        <v>Mexico</v>
      </c>
      <c r="U15" s="73"/>
      <c r="V15" s="74">
        <f ca="1">SUM(W15:Y15)</f>
        <v>0</v>
      </c>
      <c r="W15" s="74">
        <f ca="1">SUMIF('Dummy Table'!B$4:B$7,Tournament!T15,'Dummy Table'!C$4:C$7)</f>
        <v>0</v>
      </c>
      <c r="X15" s="74">
        <f ca="1">SUMIF('Dummy Table'!B$4:B$7,Tournament!T15,'Dummy Table'!D$4:D$7)</f>
        <v>0</v>
      </c>
      <c r="Y15" s="74">
        <f ca="1">SUMIF('Dummy Table'!B$4:B$7,Tournament!T15,'Dummy Table'!E$4:E$7)</f>
        <v>0</v>
      </c>
      <c r="Z15" s="74"/>
      <c r="AA15" s="74" t="str">
        <f ca="1">CONCATENATE(SUMIF('Dummy Table'!B$4:B$7,Tournament!T15,'Dummy Table'!F$4:F$7)," - ",SUMIF('Dummy Table'!B$4:B$7,Tournament!T15,'Dummy Table'!G$4:G$7))</f>
        <v>0 - 0</v>
      </c>
      <c r="AB15" s="74"/>
      <c r="AC15" s="74">
        <f ca="1">SUMIF('Dummy Table'!B$4:B$7,Tournament!T15,'Dummy Table'!I$4:I$7)</f>
        <v>0</v>
      </c>
      <c r="AD15" s="72"/>
      <c r="AE15" s="12"/>
      <c r="AF15" s="201"/>
      <c r="AG15" s="50"/>
      <c r="AH15" s="12"/>
      <c r="AI15" s="12"/>
      <c r="AJ15" s="51" t="str">
        <f ca="1">IF(SUM('Dummy Table'!AM$4:AM$7)&gt;0,IF(ISNA(VLOOKUP(3,'Dummy Table'!AM$4:AN$7,2,FALSE)),"",VLOOKUP(3,'Dummy Table'!AM$4:AN$7,2,FALSE)),"")</f>
        <v>Mexico</v>
      </c>
      <c r="AK15" s="52"/>
      <c r="DE15" s="9"/>
      <c r="DF15" s="20"/>
      <c r="DG15" s="53"/>
      <c r="DH15" s="9"/>
    </row>
    <row r="16" spans="2:112" s="7" customFormat="1" ht="15" customHeight="1">
      <c r="B16" s="111"/>
      <c r="C16" s="111"/>
      <c r="D16" s="110">
        <v>3</v>
      </c>
      <c r="E16" s="110" t="s">
        <v>580</v>
      </c>
      <c r="F16" s="117">
        <f t="shared" si="0"/>
        <v>41803.833333333328</v>
      </c>
      <c r="G16" s="118">
        <f>'Countries and Timezone'!R4</f>
        <v>41803.833333333328</v>
      </c>
      <c r="H16" s="112" t="str">
        <f>INDEX(Language!$A$1:$AX$115,MATCH('Countries and Timezone'!$AG$11,Language!$B$1:$B$115,0),MATCH($G$2,Language!$A$1:$AW$1,0))</f>
        <v>Spain</v>
      </c>
      <c r="I16" s="111"/>
      <c r="J16" s="109" t="str">
        <f ca="1">IF(OFFSET('Group Stages'!$J$13,2*$D16-1,0)&lt;&gt;"",OFFSET('Group Stages'!$J$13,2*$D16-1,0),"")</f>
        <v/>
      </c>
      <c r="K16" s="110" t="s">
        <v>58</v>
      </c>
      <c r="L16" s="109" t="str">
        <f ca="1">IF(OFFSET('Group Stages'!$J$13,2*$D16,0)&lt;&gt;"",OFFSET('Group Stages'!$J$13,2*$D16,0),"")</f>
        <v/>
      </c>
      <c r="M16" s="111"/>
      <c r="N16" s="111" t="str">
        <f>INDEX(Language!$A$1:$AX$115,MATCH('Countries and Timezone'!$AG$12,Language!$B$1:$B$115,0),MATCH($G$2,Language!$A$1:$AW$1,0))</f>
        <v>Netherlands</v>
      </c>
      <c r="O16" s="111"/>
      <c r="P16" s="111"/>
      <c r="Q16" s="12"/>
      <c r="R16" s="11"/>
      <c r="S16" s="72">
        <v>4</v>
      </c>
      <c r="T16" s="73" t="str">
        <f ca="1">VLOOKUP(4,'Dummy Table'!O4:P7,2,FALSE)</f>
        <v>Cameroon</v>
      </c>
      <c r="U16" s="73"/>
      <c r="V16" s="74">
        <f ca="1">SUM(W16:Y16)</f>
        <v>0</v>
      </c>
      <c r="W16" s="74">
        <f ca="1">SUMIF('Dummy Table'!B$4:B$7,Tournament!T16,'Dummy Table'!C$4:C$7)</f>
        <v>0</v>
      </c>
      <c r="X16" s="74">
        <f ca="1">SUMIF('Dummy Table'!B$4:B$7,Tournament!T16,'Dummy Table'!D$4:D$7)</f>
        <v>0</v>
      </c>
      <c r="Y16" s="74">
        <f ca="1">SUMIF('Dummy Table'!B$4:B$7,Tournament!T16,'Dummy Table'!E$4:E$7)</f>
        <v>0</v>
      </c>
      <c r="Z16" s="74"/>
      <c r="AA16" s="74" t="str">
        <f ca="1">CONCATENATE(SUMIF('Dummy Table'!B$4:B$7,Tournament!T16,'Dummy Table'!F$4:F$7)," - ",SUMIF('Dummy Table'!B$4:B$7,Tournament!T16,'Dummy Table'!G$4:G$7))</f>
        <v>0 - 0</v>
      </c>
      <c r="AB16" s="74"/>
      <c r="AC16" s="74">
        <f ca="1">SUMIF('Dummy Table'!B$4:B$7,Tournament!T16,'Dummy Table'!I$4:I$7)</f>
        <v>0</v>
      </c>
      <c r="AD16" s="72"/>
      <c r="AE16" s="12"/>
      <c r="AF16" s="201"/>
      <c r="AG16" s="50"/>
      <c r="AH16" s="12"/>
      <c r="AI16" s="12"/>
      <c r="AJ16" s="51" t="str">
        <f ca="1">IF(SUM('Dummy Table'!AM$4:AM$7)&gt;0,IF(ISNA(VLOOKUP(4,'Dummy Table'!AM$4:AN$7,2,FALSE)),"",VLOOKUP(4,'Dummy Table'!AM$4:AN$7,2,FALSE)),"")</f>
        <v>Cameroon</v>
      </c>
      <c r="AK16" s="52"/>
      <c r="DE16" s="9"/>
      <c r="DF16" s="20"/>
      <c r="DG16" s="53"/>
      <c r="DH16" s="9"/>
    </row>
    <row r="17" spans="2:112" s="7" customFormat="1" ht="15" customHeight="1">
      <c r="B17" s="111"/>
      <c r="C17" s="111"/>
      <c r="D17" s="110">
        <v>4</v>
      </c>
      <c r="E17" s="110" t="s">
        <v>580</v>
      </c>
      <c r="F17" s="117">
        <f t="shared" si="0"/>
        <v>41803.958333333328</v>
      </c>
      <c r="G17" s="118">
        <f>'Countries and Timezone'!R5</f>
        <v>41803.958333333328</v>
      </c>
      <c r="H17" s="112" t="str">
        <f>INDEX(Language!$A$1:$AX$115,MATCH('Countries and Timezone'!$AG$13,Language!$B$1:$B$115,0),MATCH($G$2,Language!$A$1:$AW$1,0))</f>
        <v>Chile</v>
      </c>
      <c r="I17" s="111"/>
      <c r="J17" s="109" t="str">
        <f ca="1">IF(OFFSET('Group Stages'!$J$13,2*$D17-1,0)&lt;&gt;"",OFFSET('Group Stages'!$J$13,2*$D17-1,0),"")</f>
        <v/>
      </c>
      <c r="K17" s="110" t="s">
        <v>58</v>
      </c>
      <c r="L17" s="109" t="str">
        <f ca="1">IF(OFFSET('Group Stages'!$J$13,2*$D17,0)&lt;&gt;"",OFFSET('Group Stages'!$J$13,2*$D17,0),"")</f>
        <v/>
      </c>
      <c r="M17" s="111"/>
      <c r="N17" s="111" t="str">
        <f>INDEX(Language!$A$1:$AX$115,MATCH('Countries and Timezone'!$AG$14,Language!$B$1:$B$115,0),MATCH($G$2,Language!$A$1:$AW$1,0))</f>
        <v>Australia</v>
      </c>
      <c r="O17" s="111"/>
      <c r="P17" s="111"/>
      <c r="Q17" s="12"/>
      <c r="R17" s="11"/>
      <c r="S17" s="12"/>
      <c r="T17" s="12"/>
      <c r="U17" s="12"/>
      <c r="V17" s="12"/>
      <c r="W17" s="12"/>
      <c r="X17" s="12"/>
      <c r="Y17" s="12"/>
      <c r="Z17" s="12"/>
      <c r="AA17" s="12"/>
      <c r="AB17" s="12"/>
      <c r="AC17" s="12"/>
      <c r="AD17" s="12"/>
      <c r="AE17" s="12"/>
      <c r="AF17" s="12"/>
      <c r="AG17" s="50"/>
      <c r="AH17" s="12"/>
      <c r="AI17" s="12"/>
      <c r="AJ17" s="54"/>
      <c r="AK17" s="55"/>
      <c r="DE17" s="9"/>
      <c r="DF17" s="20"/>
      <c r="DG17" s="53"/>
      <c r="DH17" s="9"/>
    </row>
    <row r="18" spans="2:112" s="7" customFormat="1" ht="15" customHeight="1">
      <c r="B18" s="111"/>
      <c r="C18" s="111"/>
      <c r="D18" s="110">
        <v>5</v>
      </c>
      <c r="E18" s="110" t="s">
        <v>581</v>
      </c>
      <c r="F18" s="117">
        <f t="shared" si="0"/>
        <v>41804.708333333328</v>
      </c>
      <c r="G18" s="118">
        <f>'Countries and Timezone'!R6</f>
        <v>41804.708333333328</v>
      </c>
      <c r="H18" s="112" t="str">
        <f>INDEX(Language!$A$1:$AX$115,MATCH('Countries and Timezone'!$AG$15,Language!$B$1:$B$115,0),MATCH($G$2,Language!$A$1:$AW$1,0))</f>
        <v>Colombia</v>
      </c>
      <c r="I18" s="111"/>
      <c r="J18" s="109" t="str">
        <f ca="1">IF(OFFSET('Group Stages'!$J$13,2*$D18-1,0)&lt;&gt;"",OFFSET('Group Stages'!$J$13,2*$D18-1,0),"")</f>
        <v/>
      </c>
      <c r="K18" s="110" t="s">
        <v>58</v>
      </c>
      <c r="L18" s="109" t="str">
        <f ca="1">IF(OFFSET('Group Stages'!$J$13,2*$D18,0)&lt;&gt;"",OFFSET('Group Stages'!$J$13,2*$D18,0),"")</f>
        <v/>
      </c>
      <c r="M18" s="111"/>
      <c r="N18" s="111" t="str">
        <f>INDEX(Language!$A$1:$AX$115,MATCH('Countries and Timezone'!$AG$16,Language!$B$1:$B$115,0),MATCH($G$2,Language!$A$1:$AW$1,0))</f>
        <v>Greece</v>
      </c>
      <c r="O18" s="111"/>
      <c r="P18" s="111"/>
      <c r="Q18" s="12"/>
      <c r="R18" s="11"/>
      <c r="S18" s="69" t="str">
        <f>INDEX(Language!$A$1:$AX$115,MATCH("Group B",Language!$B$1:$B$115,0),MATCH(Tournament!$G$2,Language!$A$1:$AW$1,0))</f>
        <v>Group B</v>
      </c>
      <c r="T18" s="70"/>
      <c r="U18" s="70"/>
      <c r="V18" s="70" t="s">
        <v>303</v>
      </c>
      <c r="W18" s="70" t="s">
        <v>64</v>
      </c>
      <c r="X18" s="70" t="s">
        <v>65</v>
      </c>
      <c r="Y18" s="70" t="s">
        <v>66</v>
      </c>
      <c r="Z18" s="70"/>
      <c r="AA18" s="70" t="s">
        <v>67</v>
      </c>
      <c r="AB18" s="70"/>
      <c r="AC18" s="70" t="s">
        <v>304</v>
      </c>
      <c r="AD18" s="71"/>
      <c r="AE18" s="12"/>
      <c r="AF18" s="197" t="s">
        <v>580</v>
      </c>
      <c r="AG18" s="50"/>
      <c r="AH18" s="12"/>
      <c r="AI18" s="12"/>
      <c r="AJ18" s="51" t="s">
        <v>73</v>
      </c>
      <c r="AK18" s="52" t="s">
        <v>1155</v>
      </c>
      <c r="DE18" s="9"/>
      <c r="DF18" s="20"/>
      <c r="DG18" s="53"/>
      <c r="DH18" s="9"/>
    </row>
    <row r="19" spans="2:112" s="7" customFormat="1" ht="15" customHeight="1">
      <c r="B19" s="111"/>
      <c r="C19" s="111"/>
      <c r="D19" s="110">
        <v>6</v>
      </c>
      <c r="E19" s="110" t="s">
        <v>581</v>
      </c>
      <c r="F19" s="117">
        <f t="shared" si="0"/>
        <v>41805.083333333328</v>
      </c>
      <c r="G19" s="118">
        <f>'Countries and Timezone'!R7</f>
        <v>41805.083333333328</v>
      </c>
      <c r="H19" s="112" t="str">
        <f>INDEX(Language!$A$1:$AX$115,MATCH('Countries and Timezone'!$AG$17,Language!$B$1:$B$115,0),MATCH($G$2,Language!$A$1:$AW$1,0))</f>
        <v>Ivory Coast</v>
      </c>
      <c r="I19" s="111"/>
      <c r="J19" s="109" t="str">
        <f ca="1">IF(OFFSET('Group Stages'!$J$13,2*$D19-1,0)&lt;&gt;"",OFFSET('Group Stages'!$J$13,2*$D19-1,0),"")</f>
        <v/>
      </c>
      <c r="K19" s="110" t="s">
        <v>58</v>
      </c>
      <c r="L19" s="109" t="str">
        <f ca="1">IF(OFFSET('Group Stages'!$J$13,2*$D19,0)&lt;&gt;"",OFFSET('Group Stages'!$J$13,2*$D19,0),"")</f>
        <v/>
      </c>
      <c r="M19" s="111"/>
      <c r="N19" s="111" t="str">
        <f>INDEX(Language!$A$1:$AX$115,MATCH('Countries and Timezone'!$AG$18,Language!$B$1:$B$115,0),MATCH($G$2,Language!$A$1:$AW$1,0))</f>
        <v>Japan</v>
      </c>
      <c r="O19" s="111"/>
      <c r="P19" s="111"/>
      <c r="Q19" s="12"/>
      <c r="R19" s="11"/>
      <c r="S19" s="72">
        <v>1</v>
      </c>
      <c r="T19" s="73" t="str">
        <f ca="1">VLOOKUP(1,'Dummy Table'!O11:P14,2,FALSE)</f>
        <v>Spain</v>
      </c>
      <c r="U19" s="73"/>
      <c r="V19" s="74">
        <f ca="1">SUM(W19:Y19)</f>
        <v>0</v>
      </c>
      <c r="W19" s="74">
        <f ca="1">SUMIF('Dummy Table'!B$11:B$14,Tournament!T19,'Dummy Table'!C$11:C$14)</f>
        <v>0</v>
      </c>
      <c r="X19" s="74">
        <f ca="1">SUMIF('Dummy Table'!B$11:B$14,Tournament!T19,'Dummy Table'!D$11:D$14)</f>
        <v>0</v>
      </c>
      <c r="Y19" s="74">
        <f ca="1">SUMIF('Dummy Table'!B$11:B$14,Tournament!T19,'Dummy Table'!E$11:E$14)</f>
        <v>0</v>
      </c>
      <c r="Z19" s="74"/>
      <c r="AA19" s="74" t="str">
        <f ca="1">CONCATENATE(SUMIF('Dummy Table'!B$11:B$14,Tournament!T19,'Dummy Table'!F$11:F$14)," - ",SUMIF('Dummy Table'!B$11:B$14,Tournament!T19,'Dummy Table'!G$11:G$14))</f>
        <v>0 - 0</v>
      </c>
      <c r="AB19" s="74"/>
      <c r="AC19" s="74">
        <f ca="1">SUMIF('Dummy Table'!B$11:B$14,Tournament!T19,'Dummy Table'!I$11:I$14)</f>
        <v>0</v>
      </c>
      <c r="AD19" s="72"/>
      <c r="AE19" s="12"/>
      <c r="AF19" s="197"/>
      <c r="AG19" s="50"/>
      <c r="AH19" s="12"/>
      <c r="AI19" s="12"/>
      <c r="AJ19" s="51" t="str">
        <f ca="1">IF(SUM('Dummy Table'!AM$11:AM$14)&gt;0,IF(ISNA(VLOOKUP(1,'Dummy Table'!AM$11:AN$14,2,FALSE)),"",VLOOKUP(1,'Dummy Table'!AM$11:AN$14,2,FALSE)),"")</f>
        <v>Spain</v>
      </c>
      <c r="AK19" s="52"/>
      <c r="DE19" s="9"/>
      <c r="DF19" s="20"/>
      <c r="DG19" s="53"/>
      <c r="DH19" s="9"/>
    </row>
    <row r="20" spans="2:112" s="7" customFormat="1" ht="15" customHeight="1">
      <c r="B20" s="111"/>
      <c r="C20" s="111"/>
      <c r="D20" s="110">
        <v>7</v>
      </c>
      <c r="E20" s="110" t="s">
        <v>65</v>
      </c>
      <c r="F20" s="117">
        <f t="shared" si="0"/>
        <v>41804.833333333328</v>
      </c>
      <c r="G20" s="118">
        <f>'Countries and Timezone'!R8</f>
        <v>41804.833333333328</v>
      </c>
      <c r="H20" s="112" t="str">
        <f>INDEX(Language!$A$1:$AX$115,MATCH('Countries and Timezone'!$AG$19,Language!$B$1:$B$115,0),MATCH($G$2,Language!$A$1:$AW$1,0))</f>
        <v>Uruguay</v>
      </c>
      <c r="I20" s="111"/>
      <c r="J20" s="109" t="str">
        <f ca="1">IF(OFFSET('Group Stages'!$J$13,2*$D20-1,0)&lt;&gt;"",OFFSET('Group Stages'!$J$13,2*$D20-1,0),"")</f>
        <v/>
      </c>
      <c r="K20" s="110" t="s">
        <v>58</v>
      </c>
      <c r="L20" s="109" t="str">
        <f ca="1">IF(OFFSET('Group Stages'!$J$13,2*$D20,0)&lt;&gt;"",OFFSET('Group Stages'!$J$13,2*$D20,0),"")</f>
        <v/>
      </c>
      <c r="M20" s="111"/>
      <c r="N20" s="111" t="str">
        <f>INDEX(Language!$A$1:$AX$115,MATCH('Countries and Timezone'!$AG$20,Language!$B$1:$B$115,0),MATCH($G$2,Language!$A$1:$AW$1,0))</f>
        <v>Costa Rica</v>
      </c>
      <c r="O20" s="111"/>
      <c r="P20" s="111"/>
      <c r="Q20" s="12"/>
      <c r="R20" s="11"/>
      <c r="S20" s="72">
        <v>2</v>
      </c>
      <c r="T20" s="73" t="str">
        <f ca="1">VLOOKUP(2,'Dummy Table'!O11:P14,2,FALSE)</f>
        <v>Netherlands</v>
      </c>
      <c r="U20" s="73"/>
      <c r="V20" s="74">
        <f ca="1">SUM(W20:Y20)</f>
        <v>0</v>
      </c>
      <c r="W20" s="74">
        <f ca="1">SUMIF('Dummy Table'!B$11:B$14,Tournament!T20,'Dummy Table'!C$11:C$14)</f>
        <v>0</v>
      </c>
      <c r="X20" s="74">
        <f ca="1">SUMIF('Dummy Table'!B$11:B$14,Tournament!T20,'Dummy Table'!D$11:D$14)</f>
        <v>0</v>
      </c>
      <c r="Y20" s="74">
        <f ca="1">SUMIF('Dummy Table'!B$11:B$14,Tournament!T20,'Dummy Table'!E$11:E$14)</f>
        <v>0</v>
      </c>
      <c r="Z20" s="74"/>
      <c r="AA20" s="74" t="str">
        <f ca="1">CONCATENATE(SUMIF('Dummy Table'!B$11:B$14,Tournament!T20,'Dummy Table'!F$11:F$14)," - ",SUMIF('Dummy Table'!B$11:B$14,Tournament!T20,'Dummy Table'!G$11:G$14))</f>
        <v>0 - 0</v>
      </c>
      <c r="AB20" s="74"/>
      <c r="AC20" s="74">
        <f ca="1">SUMIF('Dummy Table'!B$11:B$14,Tournament!T20,'Dummy Table'!I$11:I$14)</f>
        <v>0</v>
      </c>
      <c r="AD20" s="72"/>
      <c r="AE20" s="12"/>
      <c r="AF20" s="197"/>
      <c r="AG20" s="50"/>
      <c r="AH20" s="12"/>
      <c r="AI20" s="12"/>
      <c r="AJ20" s="51" t="str">
        <f ca="1">IF(SUM('Dummy Table'!AM$11:AM$14)&gt;0,IF(ISNA(VLOOKUP(2,'Dummy Table'!AM$11:AN$14,2,FALSE)),"",VLOOKUP(2,'Dummy Table'!AM$11:AN$14,2,FALSE)),"")</f>
        <v>Netherlands</v>
      </c>
      <c r="AK20" s="52"/>
      <c r="DE20" s="9"/>
      <c r="DF20" s="22"/>
      <c r="DG20" s="53"/>
      <c r="DH20" s="9"/>
    </row>
    <row r="21" spans="2:112" s="7" customFormat="1" ht="15" customHeight="1">
      <c r="B21" s="111"/>
      <c r="C21" s="111"/>
      <c r="D21" s="110">
        <v>8</v>
      </c>
      <c r="E21" s="110" t="s">
        <v>65</v>
      </c>
      <c r="F21" s="117">
        <f t="shared" si="0"/>
        <v>41804.958333333328</v>
      </c>
      <c r="G21" s="118">
        <f>'Countries and Timezone'!R9</f>
        <v>41804.958333333328</v>
      </c>
      <c r="H21" s="112" t="str">
        <f>INDEX(Language!$A$1:$AX$115,MATCH('Countries and Timezone'!$AG$21,Language!$B$1:$B$115,0),MATCH($G$2,Language!$A$1:$AW$1,0))</f>
        <v>England</v>
      </c>
      <c r="I21" s="111"/>
      <c r="J21" s="109" t="str">
        <f ca="1">IF(OFFSET('Group Stages'!$J$13,2*$D21-1,0)&lt;&gt;"",OFFSET('Group Stages'!$J$13,2*$D21-1,0),"")</f>
        <v/>
      </c>
      <c r="K21" s="110" t="s">
        <v>58</v>
      </c>
      <c r="L21" s="109" t="str">
        <f ca="1">IF(OFFSET('Group Stages'!$J$13,2*$D21,0)&lt;&gt;"",OFFSET('Group Stages'!$J$13,2*$D21,0),"")</f>
        <v/>
      </c>
      <c r="M21" s="111"/>
      <c r="N21" s="111" t="str">
        <f>INDEX(Language!$A$1:$AX$115,MATCH('Countries and Timezone'!$AG$22,Language!$B$1:$B$115,0),MATCH($G$2,Language!$A$1:$AW$1,0))</f>
        <v>Italy</v>
      </c>
      <c r="O21" s="111"/>
      <c r="P21" s="111"/>
      <c r="Q21" s="12"/>
      <c r="R21" s="11"/>
      <c r="S21" s="72">
        <v>3</v>
      </c>
      <c r="T21" s="73" t="str">
        <f ca="1">VLOOKUP(3,'Dummy Table'!O11:P14,2,FALSE)</f>
        <v>Chile</v>
      </c>
      <c r="U21" s="73"/>
      <c r="V21" s="74">
        <f ca="1">SUM(W21:Y21)</f>
        <v>0</v>
      </c>
      <c r="W21" s="74">
        <f ca="1">SUMIF('Dummy Table'!B$11:B$14,Tournament!T21,'Dummy Table'!C$11:C$14)</f>
        <v>0</v>
      </c>
      <c r="X21" s="74">
        <f ca="1">SUMIF('Dummy Table'!B$11:B$14,Tournament!T21,'Dummy Table'!D$11:D$14)</f>
        <v>0</v>
      </c>
      <c r="Y21" s="74">
        <f ca="1">SUMIF('Dummy Table'!B$11:B$14,Tournament!T21,'Dummy Table'!E$11:E$14)</f>
        <v>0</v>
      </c>
      <c r="Z21" s="74"/>
      <c r="AA21" s="74" t="str">
        <f ca="1">CONCATENATE(SUMIF('Dummy Table'!B$11:B$14,Tournament!T21,'Dummy Table'!F$11:F$14)," - ",SUMIF('Dummy Table'!B$11:B$14,Tournament!T21,'Dummy Table'!G$11:G$14))</f>
        <v>0 - 0</v>
      </c>
      <c r="AB21" s="74"/>
      <c r="AC21" s="74">
        <f ca="1">SUMIF('Dummy Table'!B$11:B$14,Tournament!T21,'Dummy Table'!I$11:I$14)</f>
        <v>0</v>
      </c>
      <c r="AD21" s="72"/>
      <c r="AE21" s="12"/>
      <c r="AF21" s="197"/>
      <c r="AG21" s="50"/>
      <c r="AH21" s="12"/>
      <c r="AI21" s="12"/>
      <c r="AJ21" s="51" t="str">
        <f ca="1">IF(SUM('Dummy Table'!AM$11:AM$14)&gt;0,IF(ISNA(VLOOKUP(3,'Dummy Table'!AM$11:AN$14,2,FALSE)),"",VLOOKUP(3,'Dummy Table'!AM$11:AN$14,2,FALSE)),"")</f>
        <v>Chile</v>
      </c>
      <c r="AK21" s="52"/>
      <c r="DE21" s="9"/>
      <c r="DF21" s="20"/>
      <c r="DG21" s="53"/>
      <c r="DH21" s="9"/>
    </row>
    <row r="22" spans="2:112" s="7" customFormat="1" ht="15" customHeight="1">
      <c r="B22" s="111"/>
      <c r="C22" s="111"/>
      <c r="D22" s="110">
        <v>9</v>
      </c>
      <c r="E22" s="110" t="s">
        <v>582</v>
      </c>
      <c r="F22" s="117">
        <f t="shared" si="0"/>
        <v>41805.708333333328</v>
      </c>
      <c r="G22" s="118">
        <f>'Countries and Timezone'!R10</f>
        <v>41805.708333333328</v>
      </c>
      <c r="H22" s="112" t="str">
        <f>INDEX(Language!$A$1:$AX$115,MATCH('Countries and Timezone'!$AG$23,Language!$B$1:$B$115,0),MATCH($G$2,Language!$A$1:$AW$1,0))</f>
        <v>Switzerland</v>
      </c>
      <c r="I22" s="111"/>
      <c r="J22" s="109" t="str">
        <f ca="1">IF(OFFSET('Group Stages'!$J$13,2*$D22-1,0)&lt;&gt;"",OFFSET('Group Stages'!$J$13,2*$D22-1,0),"")</f>
        <v/>
      </c>
      <c r="K22" s="110" t="s">
        <v>58</v>
      </c>
      <c r="L22" s="109" t="str">
        <f ca="1">IF(OFFSET('Group Stages'!$J$13,2*$D22,0)&lt;&gt;"",OFFSET('Group Stages'!$J$13,2*$D22,0),"")</f>
        <v/>
      </c>
      <c r="M22" s="111"/>
      <c r="N22" s="111" t="str">
        <f>INDEX(Language!$A$1:$AX$115,MATCH('Countries and Timezone'!$AG$24,Language!$B$1:$B$115,0),MATCH($G$2,Language!$A$1:$AW$1,0))</f>
        <v>Ecuador</v>
      </c>
      <c r="O22" s="111"/>
      <c r="P22" s="111"/>
      <c r="Q22" s="12"/>
      <c r="R22" s="11"/>
      <c r="S22" s="72">
        <v>4</v>
      </c>
      <c r="T22" s="73" t="str">
        <f ca="1">VLOOKUP(4,'Dummy Table'!O11:P14,2,FALSE)</f>
        <v>Australia</v>
      </c>
      <c r="U22" s="73"/>
      <c r="V22" s="74">
        <f ca="1">SUM(W22:Y22)</f>
        <v>0</v>
      </c>
      <c r="W22" s="74">
        <f ca="1">SUMIF('Dummy Table'!B$11:B$14,Tournament!T22,'Dummy Table'!C$11:C$14)</f>
        <v>0</v>
      </c>
      <c r="X22" s="74">
        <f ca="1">SUMIF('Dummy Table'!B$11:B$14,Tournament!T22,'Dummy Table'!D$11:D$14)</f>
        <v>0</v>
      </c>
      <c r="Y22" s="74">
        <f ca="1">SUMIF('Dummy Table'!B$11:B$14,Tournament!T22,'Dummy Table'!E$11:E$14)</f>
        <v>0</v>
      </c>
      <c r="Z22" s="74"/>
      <c r="AA22" s="74" t="str">
        <f ca="1">CONCATENATE(SUMIF('Dummy Table'!B$11:B$14,Tournament!T22,'Dummy Table'!F$11:F$14)," - ",SUMIF('Dummy Table'!B$11:B$14,Tournament!T22,'Dummy Table'!G$11:G$14))</f>
        <v>0 - 0</v>
      </c>
      <c r="AB22" s="74"/>
      <c r="AC22" s="74">
        <f ca="1">SUMIF('Dummy Table'!B$11:B$14,Tournament!T22,'Dummy Table'!I$11:I$14)</f>
        <v>0</v>
      </c>
      <c r="AD22" s="72"/>
      <c r="AE22" s="12"/>
      <c r="AF22" s="197"/>
      <c r="AG22" s="50"/>
      <c r="AH22" s="12"/>
      <c r="AI22" s="12"/>
      <c r="AJ22" s="51" t="str">
        <f ca="1">IF(SUM('Dummy Table'!AM$11:AM$14)&gt;0,IF(ISNA(VLOOKUP(4,'Dummy Table'!AM$11:AN$14,2,FALSE)),"",VLOOKUP(4,'Dummy Table'!AM$11:AN$14,2,FALSE)),"")</f>
        <v>Australia</v>
      </c>
      <c r="AK22" s="52"/>
      <c r="DE22" s="9"/>
      <c r="DF22" s="20"/>
      <c r="DG22" s="53"/>
      <c r="DH22" s="9"/>
    </row>
    <row r="23" spans="2:112" s="7" customFormat="1" ht="15" customHeight="1">
      <c r="B23" s="111"/>
      <c r="C23" s="111"/>
      <c r="D23" s="110">
        <v>10</v>
      </c>
      <c r="E23" s="110" t="s">
        <v>582</v>
      </c>
      <c r="F23" s="117">
        <f t="shared" si="0"/>
        <v>41805.833333333328</v>
      </c>
      <c r="G23" s="118">
        <f>'Countries and Timezone'!R11</f>
        <v>41805.833333333328</v>
      </c>
      <c r="H23" s="112" t="str">
        <f>INDEX(Language!$A$1:$AX$115,MATCH('Countries and Timezone'!$AG$25,Language!$B$1:$B$115,0),MATCH($G$2,Language!$A$1:$AW$1,0))</f>
        <v>France</v>
      </c>
      <c r="I23" s="111"/>
      <c r="J23" s="109" t="str">
        <f ca="1">IF(OFFSET('Group Stages'!$J$13,2*$D23-1,0)&lt;&gt;"",OFFSET('Group Stages'!$J$13,2*$D23-1,0),"")</f>
        <v/>
      </c>
      <c r="K23" s="110" t="s">
        <v>58</v>
      </c>
      <c r="L23" s="109" t="str">
        <f ca="1">IF(OFFSET('Group Stages'!$J$13,2*$D23,0)&lt;&gt;"",OFFSET('Group Stages'!$J$13,2*$D23,0),"")</f>
        <v/>
      </c>
      <c r="M23" s="111"/>
      <c r="N23" s="111" t="str">
        <f>INDEX(Language!$A$1:$AX$115,MATCH('Countries and Timezone'!$AG$26,Language!$B$1:$B$115,0),MATCH($G$2,Language!$A$1:$AW$1,0))</f>
        <v>Honduras</v>
      </c>
      <c r="O23" s="111"/>
      <c r="P23" s="111"/>
      <c r="Q23" s="12"/>
      <c r="R23" s="11"/>
      <c r="S23" s="12"/>
      <c r="T23" s="30"/>
      <c r="U23" s="30"/>
      <c r="V23" s="12"/>
      <c r="W23" s="12"/>
      <c r="X23" s="12"/>
      <c r="Y23" s="12"/>
      <c r="Z23" s="12"/>
      <c r="AA23" s="12"/>
      <c r="AB23" s="12"/>
      <c r="AC23" s="12"/>
      <c r="AD23" s="12"/>
      <c r="AE23" s="12"/>
      <c r="AF23" s="12"/>
      <c r="AG23" s="50"/>
      <c r="AH23" s="12"/>
      <c r="AI23" s="12"/>
      <c r="AJ23" s="54"/>
      <c r="AK23" s="55"/>
      <c r="DE23" s="9"/>
      <c r="DF23" s="20"/>
      <c r="DG23" s="53"/>
      <c r="DH23" s="9"/>
    </row>
    <row r="24" spans="2:112" s="7" customFormat="1" ht="15" customHeight="1">
      <c r="B24" s="111"/>
      <c r="C24" s="111"/>
      <c r="D24" s="110">
        <v>11</v>
      </c>
      <c r="E24" s="110" t="s">
        <v>71</v>
      </c>
      <c r="F24" s="117">
        <f t="shared" si="0"/>
        <v>41805.958333333328</v>
      </c>
      <c r="G24" s="118">
        <f>'Countries and Timezone'!R12</f>
        <v>41805.958333333328</v>
      </c>
      <c r="H24" s="112" t="str">
        <f>INDEX(Language!$A$1:$AX$115,MATCH('Countries and Timezone'!$AG$27,Language!$B$1:$B$115,0),MATCH($G$2,Language!$A$1:$AW$1,0))</f>
        <v>Argentina</v>
      </c>
      <c r="I24" s="111"/>
      <c r="J24" s="109" t="str">
        <f ca="1">IF(OFFSET('Group Stages'!$J$13,2*$D24-1,0)&lt;&gt;"",OFFSET('Group Stages'!$J$13,2*$D24-1,0),"")</f>
        <v/>
      </c>
      <c r="K24" s="110" t="s">
        <v>58</v>
      </c>
      <c r="L24" s="109" t="str">
        <f ca="1">IF(OFFSET('Group Stages'!$J$13,2*$D24,0)&lt;&gt;"",OFFSET('Group Stages'!$J$13,2*$D24,0),"")</f>
        <v/>
      </c>
      <c r="M24" s="111"/>
      <c r="N24" s="111" t="str">
        <f>INDEX(Language!$A$1:$AX$115,MATCH('Countries and Timezone'!$AG$28,Language!$B$1:$B$115,0),MATCH($G$2,Language!$A$1:$AW$1,0))</f>
        <v>Bosnia-Herzegovina</v>
      </c>
      <c r="O24" s="111"/>
      <c r="P24" s="111"/>
      <c r="Q24" s="12"/>
      <c r="R24" s="11"/>
      <c r="S24" s="69" t="str">
        <f>INDEX(Language!$A$1:$AX$115,MATCH("Group C",Language!$B$1:$B$115,0),MATCH(Tournament!$G$2,Language!$A$1:$AW$1,0))</f>
        <v>Group C</v>
      </c>
      <c r="T24" s="70"/>
      <c r="U24" s="70"/>
      <c r="V24" s="70" t="s">
        <v>303</v>
      </c>
      <c r="W24" s="70" t="s">
        <v>64</v>
      </c>
      <c r="X24" s="70" t="s">
        <v>65</v>
      </c>
      <c r="Y24" s="70" t="s">
        <v>66</v>
      </c>
      <c r="Z24" s="70"/>
      <c r="AA24" s="70" t="s">
        <v>67</v>
      </c>
      <c r="AB24" s="70"/>
      <c r="AC24" s="70" t="s">
        <v>304</v>
      </c>
      <c r="AD24" s="71"/>
      <c r="AE24" s="12"/>
      <c r="AF24" s="197" t="s">
        <v>581</v>
      </c>
      <c r="AG24" s="50"/>
      <c r="AH24" s="12"/>
      <c r="AI24" s="12"/>
      <c r="AJ24" s="51" t="s">
        <v>73</v>
      </c>
      <c r="AK24" s="52" t="s">
        <v>1155</v>
      </c>
      <c r="DE24" s="9"/>
      <c r="DF24" s="20"/>
      <c r="DG24" s="53"/>
      <c r="DH24" s="9"/>
    </row>
    <row r="25" spans="2:112" s="7" customFormat="1" ht="15" customHeight="1">
      <c r="B25" s="111"/>
      <c r="C25" s="111"/>
      <c r="D25" s="110">
        <v>12</v>
      </c>
      <c r="E25" s="110" t="s">
        <v>71</v>
      </c>
      <c r="F25" s="117">
        <f t="shared" si="0"/>
        <v>41806.833333333328</v>
      </c>
      <c r="G25" s="118">
        <f>'Countries and Timezone'!R13</f>
        <v>41806.833333333328</v>
      </c>
      <c r="H25" s="112" t="str">
        <f>INDEX(Language!$A$1:$AX$115,MATCH('Countries and Timezone'!$AG$29,Language!$B$1:$B$115,0),MATCH($G$2,Language!$A$1:$AW$1,0))</f>
        <v>Iran</v>
      </c>
      <c r="I25" s="111"/>
      <c r="J25" s="109" t="str">
        <f ca="1">IF(OFFSET('Group Stages'!$J$13,2*$D25-1,0)&lt;&gt;"",OFFSET('Group Stages'!$J$13,2*$D25-1,0),"")</f>
        <v/>
      </c>
      <c r="K25" s="110" t="s">
        <v>58</v>
      </c>
      <c r="L25" s="109" t="str">
        <f ca="1">IF(OFFSET('Group Stages'!$J$13,2*$D25,0)&lt;&gt;"",OFFSET('Group Stages'!$J$13,2*$D25,0),"")</f>
        <v/>
      </c>
      <c r="M25" s="111"/>
      <c r="N25" s="111" t="str">
        <f>INDEX(Language!$A$1:$AX$115,MATCH('Countries and Timezone'!$AG$30,Language!$B$1:$B$115,0),MATCH($G$2,Language!$A$1:$AW$1,0))</f>
        <v>Nigeria</v>
      </c>
      <c r="O25" s="111"/>
      <c r="P25" s="111"/>
      <c r="Q25" s="12"/>
      <c r="R25" s="11"/>
      <c r="S25" s="72">
        <v>1</v>
      </c>
      <c r="T25" s="73" t="str">
        <f ca="1">VLOOKUP(1,'Dummy Table'!O18:P21,2,FALSE)</f>
        <v>Colombia</v>
      </c>
      <c r="U25" s="73"/>
      <c r="V25" s="74">
        <f ca="1">SUM(W25:Y25)</f>
        <v>0</v>
      </c>
      <c r="W25" s="74">
        <f ca="1">SUMIF('Dummy Table'!B$18:B$21,Tournament!T25,'Dummy Table'!C$18:C$21)</f>
        <v>0</v>
      </c>
      <c r="X25" s="74">
        <f ca="1">SUMIF('Dummy Table'!B$18:B$21,Tournament!T25,'Dummy Table'!D$18:D$21)</f>
        <v>0</v>
      </c>
      <c r="Y25" s="74">
        <f ca="1">SUMIF('Dummy Table'!B$18:B$21,Tournament!T25,'Dummy Table'!E$18:E$21)</f>
        <v>0</v>
      </c>
      <c r="Z25" s="74"/>
      <c r="AA25" s="74" t="str">
        <f ca="1">CONCATENATE(SUMIF('Dummy Table'!B$18:B$21,Tournament!T25,'Dummy Table'!F$18:F$21)," - ",SUMIF('Dummy Table'!B$18:B$21,Tournament!T25,'Dummy Table'!G$18:G$21))</f>
        <v>0 - 0</v>
      </c>
      <c r="AB25" s="74"/>
      <c r="AC25" s="74">
        <f ca="1">SUMIF('Dummy Table'!B$18:B$21,Tournament!T25,'Dummy Table'!I$18:I$21)</f>
        <v>0</v>
      </c>
      <c r="AD25" s="72"/>
      <c r="AE25" s="12"/>
      <c r="AF25" s="197"/>
      <c r="AG25" s="50"/>
      <c r="AH25" s="12"/>
      <c r="AI25" s="12"/>
      <c r="AJ25" s="51" t="str">
        <f ca="1">IF(SUM('Dummy Table'!AM$18:AM$21)&gt;0,IF(ISNA(VLOOKUP(1,'Dummy Table'!AM$18:AN$21,2,FALSE)),"",VLOOKUP(1,'Dummy Table'!AM$18:AN$21,2,FALSE)),"")</f>
        <v>Colombia</v>
      </c>
      <c r="AK25" s="52"/>
      <c r="DE25" s="9"/>
      <c r="DF25" s="20"/>
      <c r="DG25" s="53"/>
      <c r="DH25" s="9"/>
    </row>
    <row r="26" spans="2:112" s="7" customFormat="1" ht="15" customHeight="1">
      <c r="B26" s="111"/>
      <c r="C26" s="111"/>
      <c r="D26" s="110">
        <v>13</v>
      </c>
      <c r="E26" s="110" t="s">
        <v>583</v>
      </c>
      <c r="F26" s="117">
        <f t="shared" si="0"/>
        <v>41806.708333333328</v>
      </c>
      <c r="G26" s="118">
        <f>'Countries and Timezone'!R14</f>
        <v>41806.708333333328</v>
      </c>
      <c r="H26" s="112" t="str">
        <f>INDEX(Language!$A$1:$AX$115,MATCH('Countries and Timezone'!$AG$31,Language!$B$1:$B$115,0),MATCH($G$2,Language!$A$1:$AW$1,0))</f>
        <v>Germany</v>
      </c>
      <c r="I26" s="111"/>
      <c r="J26" s="109" t="str">
        <f ca="1">IF(OFFSET('Group Stages'!$J$13,2*$D26-1,0)&lt;&gt;"",OFFSET('Group Stages'!$J$13,2*$D26-1,0),"")</f>
        <v/>
      </c>
      <c r="K26" s="110" t="s">
        <v>58</v>
      </c>
      <c r="L26" s="109" t="str">
        <f ca="1">IF(OFFSET('Group Stages'!$J$13,2*$D26,0)&lt;&gt;"",OFFSET('Group Stages'!$J$13,2*$D26,0),"")</f>
        <v/>
      </c>
      <c r="M26" s="111"/>
      <c r="N26" s="111" t="str">
        <f>INDEX(Language!$A$1:$AX$115,MATCH('Countries and Timezone'!$AG$32,Language!$B$1:$B$115,0),MATCH($G$2,Language!$A$1:$AW$1,0))</f>
        <v>Portugal</v>
      </c>
      <c r="O26" s="111"/>
      <c r="P26" s="111"/>
      <c r="Q26" s="12"/>
      <c r="R26" s="11"/>
      <c r="S26" s="72">
        <v>2</v>
      </c>
      <c r="T26" s="73" t="str">
        <f ca="1">VLOOKUP(2,'Dummy Table'!O18:P21,2,FALSE)</f>
        <v>Greece</v>
      </c>
      <c r="U26" s="73"/>
      <c r="V26" s="74">
        <f ca="1">SUM(W26:Y26)</f>
        <v>0</v>
      </c>
      <c r="W26" s="74">
        <f ca="1">SUMIF('Dummy Table'!B$18:B$21,Tournament!T26,'Dummy Table'!C$18:C$21)</f>
        <v>0</v>
      </c>
      <c r="X26" s="74">
        <f ca="1">SUMIF('Dummy Table'!B$18:B$21,Tournament!T26,'Dummy Table'!D$18:D$21)</f>
        <v>0</v>
      </c>
      <c r="Y26" s="74">
        <f ca="1">SUMIF('Dummy Table'!B$18:B$21,Tournament!T26,'Dummy Table'!E$18:E$21)</f>
        <v>0</v>
      </c>
      <c r="Z26" s="74"/>
      <c r="AA26" s="74" t="str">
        <f ca="1">CONCATENATE(SUMIF('Dummy Table'!B$18:B$21,Tournament!T26,'Dummy Table'!F$18:F$21)," - ",SUMIF('Dummy Table'!B$18:B$21,Tournament!T26,'Dummy Table'!G$18:G$21))</f>
        <v>0 - 0</v>
      </c>
      <c r="AB26" s="74"/>
      <c r="AC26" s="74">
        <f ca="1">SUMIF('Dummy Table'!B$18:B$21,Tournament!T26,'Dummy Table'!I$18:I$21)</f>
        <v>0</v>
      </c>
      <c r="AD26" s="72"/>
      <c r="AE26" s="12"/>
      <c r="AF26" s="197"/>
      <c r="AG26" s="50"/>
      <c r="AH26" s="12"/>
      <c r="AI26" s="12"/>
      <c r="AJ26" s="51" t="str">
        <f ca="1">IF(SUM('Dummy Table'!AM$18:AM$21)&gt;0,IF(ISNA(VLOOKUP(2,'Dummy Table'!AM$18:AN$21,2,FALSE)),"",VLOOKUP(2,'Dummy Table'!AM$18:AN$21,2,FALSE)),"")</f>
        <v>Greece</v>
      </c>
      <c r="AK26" s="52"/>
      <c r="DE26" s="9"/>
      <c r="DF26" s="20"/>
      <c r="DG26" s="53"/>
      <c r="DH26" s="9"/>
    </row>
    <row r="27" spans="2:112" s="7" customFormat="1" ht="15" customHeight="1">
      <c r="B27" s="111"/>
      <c r="C27" s="111"/>
      <c r="D27" s="110">
        <v>14</v>
      </c>
      <c r="E27" s="110" t="s">
        <v>583</v>
      </c>
      <c r="F27" s="117">
        <f t="shared" si="0"/>
        <v>41806.958333333328</v>
      </c>
      <c r="G27" s="118">
        <f>'Countries and Timezone'!R15</f>
        <v>41806.958333333328</v>
      </c>
      <c r="H27" s="112" t="str">
        <f>INDEX(Language!$A$1:$AX$115,MATCH('Countries and Timezone'!$AG$33,Language!$B$1:$B$115,0),MATCH($G$2,Language!$A$1:$AW$1,0))</f>
        <v>Ghana</v>
      </c>
      <c r="I27" s="111"/>
      <c r="J27" s="109" t="str">
        <f ca="1">IF(OFFSET('Group Stages'!$J$13,2*$D27-1,0)&lt;&gt;"",OFFSET('Group Stages'!$J$13,2*$D27-1,0),"")</f>
        <v/>
      </c>
      <c r="K27" s="110" t="s">
        <v>58</v>
      </c>
      <c r="L27" s="109" t="str">
        <f ca="1">IF(OFFSET('Group Stages'!$J$13,2*$D27,0)&lt;&gt;"",OFFSET('Group Stages'!$J$13,2*$D27,0),"")</f>
        <v/>
      </c>
      <c r="M27" s="111"/>
      <c r="N27" s="111" t="str">
        <f>INDEX(Language!$A$1:$AX$115,MATCH('Countries and Timezone'!$AG$34,Language!$B$1:$B$115,0),MATCH($G$2,Language!$A$1:$AW$1,0))</f>
        <v>USA</v>
      </c>
      <c r="O27" s="111"/>
      <c r="P27" s="111"/>
      <c r="Q27" s="12"/>
      <c r="R27" s="11"/>
      <c r="S27" s="72">
        <v>3</v>
      </c>
      <c r="T27" s="73" t="str">
        <f ca="1">VLOOKUP(3,'Dummy Table'!O18:P21,2,FALSE)</f>
        <v>Ivory Coast</v>
      </c>
      <c r="U27" s="73"/>
      <c r="V27" s="74">
        <f ca="1">SUM(W27:Y27)</f>
        <v>0</v>
      </c>
      <c r="W27" s="74">
        <f ca="1">SUMIF('Dummy Table'!B$18:B$21,Tournament!T27,'Dummy Table'!C$18:C$21)</f>
        <v>0</v>
      </c>
      <c r="X27" s="74">
        <f ca="1">SUMIF('Dummy Table'!B$18:B$21,Tournament!T27,'Dummy Table'!D$18:D$21)</f>
        <v>0</v>
      </c>
      <c r="Y27" s="74">
        <f ca="1">SUMIF('Dummy Table'!B$18:B$21,Tournament!T27,'Dummy Table'!E$18:E$21)</f>
        <v>0</v>
      </c>
      <c r="Z27" s="74"/>
      <c r="AA27" s="74" t="str">
        <f ca="1">CONCATENATE(SUMIF('Dummy Table'!B$18:B$21,Tournament!T27,'Dummy Table'!F$18:F$21)," - ",SUMIF('Dummy Table'!B$18:B$21,Tournament!T27,'Dummy Table'!G$18:G$21))</f>
        <v>0 - 0</v>
      </c>
      <c r="AB27" s="74"/>
      <c r="AC27" s="74">
        <f ca="1">SUMIF('Dummy Table'!B$18:B$21,Tournament!T27,'Dummy Table'!I$18:I$21)</f>
        <v>0</v>
      </c>
      <c r="AD27" s="72"/>
      <c r="AE27" s="12"/>
      <c r="AF27" s="197"/>
      <c r="AG27" s="50"/>
      <c r="AH27" s="12"/>
      <c r="AI27" s="12"/>
      <c r="AJ27" s="51" t="str">
        <f ca="1">IF(SUM('Dummy Table'!AM$18:AM$21)&gt;0,IF(ISNA(VLOOKUP(3,'Dummy Table'!AM$18:AN$21,2,FALSE)),"",VLOOKUP(3,'Dummy Table'!AM$18:AN$21,2,FALSE)),"")</f>
        <v>Ivory Coast</v>
      </c>
      <c r="AK27" s="52"/>
      <c r="DE27" s="9"/>
      <c r="DF27" s="20"/>
      <c r="DG27" s="53"/>
      <c r="DH27" s="9"/>
    </row>
    <row r="28" spans="2:112" s="7" customFormat="1" ht="15" customHeight="1">
      <c r="B28" s="111"/>
      <c r="C28" s="111"/>
      <c r="D28" s="110">
        <v>15</v>
      </c>
      <c r="E28" s="110" t="s">
        <v>584</v>
      </c>
      <c r="F28" s="117">
        <f t="shared" si="0"/>
        <v>41807.708333333328</v>
      </c>
      <c r="G28" s="118">
        <f>'Countries and Timezone'!R16</f>
        <v>41807.708333333328</v>
      </c>
      <c r="H28" s="112" t="str">
        <f>INDEX(Language!$A$1:$AX$115,MATCH('Countries and Timezone'!$AG$35,Language!$B$1:$B$115,0),MATCH($G$2,Language!$A$1:$AW$1,0))</f>
        <v>Belgium</v>
      </c>
      <c r="I28" s="111"/>
      <c r="J28" s="109" t="str">
        <f ca="1">IF(OFFSET('Group Stages'!$J$13,2*$D28-1,0)&lt;&gt;"",OFFSET('Group Stages'!$J$13,2*$D28-1,0),"")</f>
        <v/>
      </c>
      <c r="K28" s="110" t="s">
        <v>58</v>
      </c>
      <c r="L28" s="109" t="str">
        <f ca="1">IF(OFFSET('Group Stages'!$J$13,2*$D28,0)&lt;&gt;"",OFFSET('Group Stages'!$J$13,2*$D28,0),"")</f>
        <v/>
      </c>
      <c r="M28" s="111"/>
      <c r="N28" s="111" t="str">
        <f>INDEX(Language!$A$1:$AX$115,MATCH('Countries and Timezone'!$AG$36,Language!$B$1:$B$115,0),MATCH($G$2,Language!$A$1:$AW$1,0))</f>
        <v>Algeria</v>
      </c>
      <c r="O28" s="111"/>
      <c r="P28" s="111"/>
      <c r="Q28" s="12"/>
      <c r="R28" s="11"/>
      <c r="S28" s="72">
        <v>4</v>
      </c>
      <c r="T28" s="73" t="str">
        <f ca="1">VLOOKUP(4,'Dummy Table'!O18:P21,2,FALSE)</f>
        <v>Japan</v>
      </c>
      <c r="U28" s="73"/>
      <c r="V28" s="74">
        <f ca="1">SUM(W28:Y28)</f>
        <v>0</v>
      </c>
      <c r="W28" s="74">
        <f ca="1">SUMIF('Dummy Table'!B$18:B$21,Tournament!T28,'Dummy Table'!C$18:C$21)</f>
        <v>0</v>
      </c>
      <c r="X28" s="74">
        <f ca="1">SUMIF('Dummy Table'!B$18:B$21,Tournament!T28,'Dummy Table'!D$18:D$21)</f>
        <v>0</v>
      </c>
      <c r="Y28" s="74">
        <f ca="1">SUMIF('Dummy Table'!B$18:B$21,Tournament!T28,'Dummy Table'!E$18:E$21)</f>
        <v>0</v>
      </c>
      <c r="Z28" s="74"/>
      <c r="AA28" s="74" t="str">
        <f ca="1">CONCATENATE(SUMIF('Dummy Table'!B$18:B$21,Tournament!T28,'Dummy Table'!F$18:F$21)," - ",SUMIF('Dummy Table'!B$18:B$21,Tournament!T28,'Dummy Table'!G$18:G$21))</f>
        <v>0 - 0</v>
      </c>
      <c r="AB28" s="74"/>
      <c r="AC28" s="74">
        <f ca="1">SUMIF('Dummy Table'!B$18:B$21,Tournament!T28,'Dummy Table'!I$18:I$21)</f>
        <v>0</v>
      </c>
      <c r="AD28" s="72"/>
      <c r="AE28" s="12"/>
      <c r="AF28" s="197"/>
      <c r="AG28" s="50"/>
      <c r="AH28" s="12"/>
      <c r="AI28" s="12"/>
      <c r="AJ28" s="51" t="str">
        <f ca="1">IF(SUM('Dummy Table'!AM$18:AM$21)&gt;0,IF(ISNA(VLOOKUP(4,'Dummy Table'!AM$18:AN$21,2,FALSE)),"",VLOOKUP(4,'Dummy Table'!AM$18:AN$21,2,FALSE)),"")</f>
        <v>Japan</v>
      </c>
      <c r="AK28" s="52"/>
      <c r="DE28" s="9"/>
      <c r="DF28" s="20"/>
      <c r="DG28" s="53"/>
      <c r="DH28" s="9"/>
    </row>
    <row r="29" spans="2:112" s="7" customFormat="1" ht="15" customHeight="1">
      <c r="B29" s="111"/>
      <c r="C29" s="111"/>
      <c r="D29" s="110">
        <v>16</v>
      </c>
      <c r="E29" s="110" t="s">
        <v>584</v>
      </c>
      <c r="F29" s="117">
        <f t="shared" si="0"/>
        <v>41807.958333333328</v>
      </c>
      <c r="G29" s="118">
        <f>'Countries and Timezone'!R17</f>
        <v>41807.958333333328</v>
      </c>
      <c r="H29" s="112" t="str">
        <f>INDEX(Language!$A$1:$AX$115,MATCH('Countries and Timezone'!$AG$37,Language!$B$1:$B$115,0),MATCH($G$2,Language!$A$1:$AW$1,0))</f>
        <v>Russia</v>
      </c>
      <c r="I29" s="111"/>
      <c r="J29" s="109" t="str">
        <f ca="1">IF(OFFSET('Group Stages'!$J$13,2*$D29-1,0)&lt;&gt;"",OFFSET('Group Stages'!$J$13,2*$D29-1,0),"")</f>
        <v/>
      </c>
      <c r="K29" s="110" t="s">
        <v>58</v>
      </c>
      <c r="L29" s="109" t="str">
        <f ca="1">IF(OFFSET('Group Stages'!$J$13,2*$D29,0)&lt;&gt;"",OFFSET('Group Stages'!$J$13,2*$D29,0),"")</f>
        <v/>
      </c>
      <c r="M29" s="111"/>
      <c r="N29" s="111" t="str">
        <f>INDEX(Language!$A$1:$AX$115,MATCH('Countries and Timezone'!$AG$38,Language!$B$1:$B$115,0),MATCH($G$2,Language!$A$1:$AW$1,0))</f>
        <v>South Korea</v>
      </c>
      <c r="O29" s="111"/>
      <c r="P29" s="111"/>
      <c r="Q29" s="12"/>
      <c r="R29" s="11"/>
      <c r="S29" s="12"/>
      <c r="T29" s="30"/>
      <c r="U29" s="30"/>
      <c r="V29" s="12"/>
      <c r="W29" s="12"/>
      <c r="X29" s="12"/>
      <c r="Y29" s="12"/>
      <c r="Z29" s="12"/>
      <c r="AA29" s="12"/>
      <c r="AB29" s="12"/>
      <c r="AC29" s="12"/>
      <c r="AD29" s="12"/>
      <c r="AE29" s="12"/>
      <c r="AF29" s="12"/>
      <c r="AG29" s="50"/>
      <c r="AH29" s="12"/>
      <c r="AI29" s="12"/>
      <c r="AJ29" s="54"/>
      <c r="AK29" s="55"/>
      <c r="DE29" s="9"/>
      <c r="DF29" s="20"/>
      <c r="DG29" s="53"/>
      <c r="DH29" s="9"/>
    </row>
    <row r="30" spans="2:112" s="7" customFormat="1" ht="15" customHeight="1">
      <c r="B30" s="111"/>
      <c r="C30" s="111"/>
      <c r="D30" s="110">
        <v>17</v>
      </c>
      <c r="E30" s="110" t="s">
        <v>72</v>
      </c>
      <c r="F30" s="117">
        <f t="shared" si="0"/>
        <v>41807.833333333328</v>
      </c>
      <c r="G30" s="118">
        <f>'Countries and Timezone'!R18</f>
        <v>41807.833333333328</v>
      </c>
      <c r="H30" s="112" t="str">
        <f>H14</f>
        <v>Brazil</v>
      </c>
      <c r="I30" s="111"/>
      <c r="J30" s="109" t="str">
        <f ca="1">IF(OFFSET('Group Stages'!$J$13,2*$D30-1,0)&lt;&gt;"",OFFSET('Group Stages'!$J$13,2*$D30-1,0),"")</f>
        <v/>
      </c>
      <c r="K30" s="110" t="s">
        <v>58</v>
      </c>
      <c r="L30" s="109" t="str">
        <f ca="1">IF(OFFSET('Group Stages'!$J$13,2*$D30,0)&lt;&gt;"",OFFSET('Group Stages'!$J$13,2*$D30,0),"")</f>
        <v/>
      </c>
      <c r="M30" s="111"/>
      <c r="N30" s="111" t="str">
        <f>H15</f>
        <v>Mexico</v>
      </c>
      <c r="O30" s="111"/>
      <c r="P30" s="111"/>
      <c r="Q30" s="12"/>
      <c r="R30" s="11"/>
      <c r="S30" s="69" t="str">
        <f>INDEX(Language!$A$1:$AX$115,MATCH("Group D",Language!$B$1:$B$115,0),MATCH(Tournament!$G$2,Language!$A$1:$AW$1,0))</f>
        <v>Group D</v>
      </c>
      <c r="T30" s="70"/>
      <c r="U30" s="70"/>
      <c r="V30" s="70" t="s">
        <v>303</v>
      </c>
      <c r="W30" s="70" t="s">
        <v>64</v>
      </c>
      <c r="X30" s="70" t="s">
        <v>65</v>
      </c>
      <c r="Y30" s="70" t="s">
        <v>66</v>
      </c>
      <c r="Z30" s="70"/>
      <c r="AA30" s="70" t="s">
        <v>67</v>
      </c>
      <c r="AB30" s="70"/>
      <c r="AC30" s="70" t="s">
        <v>304</v>
      </c>
      <c r="AD30" s="71"/>
      <c r="AE30" s="12"/>
      <c r="AF30" s="197" t="s">
        <v>65</v>
      </c>
      <c r="AG30" s="50"/>
      <c r="AH30" s="12"/>
      <c r="AI30" s="12"/>
      <c r="AJ30" s="51" t="s">
        <v>73</v>
      </c>
      <c r="AK30" s="52" t="s">
        <v>1155</v>
      </c>
      <c r="DE30" s="9"/>
      <c r="DF30" s="20"/>
      <c r="DG30" s="53"/>
      <c r="DH30" s="9"/>
    </row>
    <row r="31" spans="2:112" s="7" customFormat="1" ht="15" customHeight="1">
      <c r="B31" s="111"/>
      <c r="C31" s="111"/>
      <c r="D31" s="110">
        <v>18</v>
      </c>
      <c r="E31" s="110" t="s">
        <v>72</v>
      </c>
      <c r="F31" s="117">
        <f t="shared" si="0"/>
        <v>41808.958333333328</v>
      </c>
      <c r="G31" s="118">
        <f>'Countries and Timezone'!R19</f>
        <v>41808.958333333328</v>
      </c>
      <c r="H31" s="112" t="str">
        <f>N15</f>
        <v>Cameroon</v>
      </c>
      <c r="I31" s="111"/>
      <c r="J31" s="109" t="str">
        <f ca="1">IF(OFFSET('Group Stages'!$J$13,2*$D31-1,0)&lt;&gt;"",OFFSET('Group Stages'!$J$13,2*$D31-1,0),"")</f>
        <v/>
      </c>
      <c r="K31" s="110" t="s">
        <v>58</v>
      </c>
      <c r="L31" s="109" t="str">
        <f ca="1">IF(OFFSET('Group Stages'!$J$13,2*$D31,0)&lt;&gt;"",OFFSET('Group Stages'!$J$13,2*$D31,0),"")</f>
        <v/>
      </c>
      <c r="M31" s="111"/>
      <c r="N31" s="111" t="str">
        <f>N14</f>
        <v>Croatia</v>
      </c>
      <c r="O31" s="111"/>
      <c r="P31" s="111"/>
      <c r="Q31" s="12"/>
      <c r="R31" s="11"/>
      <c r="S31" s="72">
        <v>1</v>
      </c>
      <c r="T31" s="73" t="str">
        <f ca="1">VLOOKUP(1,'Dummy Table'!O25:P28,2,FALSE)</f>
        <v>Uruguay</v>
      </c>
      <c r="U31" s="73"/>
      <c r="V31" s="74">
        <f ca="1">SUM(W31:Y31)</f>
        <v>0</v>
      </c>
      <c r="W31" s="74">
        <f ca="1">SUMIF('Dummy Table'!B$25:B$28,Tournament!T31,'Dummy Table'!C$25:C$28)</f>
        <v>0</v>
      </c>
      <c r="X31" s="74">
        <f ca="1">SUMIF('Dummy Table'!B$25:B$28,Tournament!T31,'Dummy Table'!D$25:D$28)</f>
        <v>0</v>
      </c>
      <c r="Y31" s="74">
        <f ca="1">SUMIF('Dummy Table'!B$25:B$28,Tournament!T31,'Dummy Table'!E$25:E$28)</f>
        <v>0</v>
      </c>
      <c r="Z31" s="74"/>
      <c r="AA31" s="74" t="str">
        <f ca="1">CONCATENATE(SUMIF('Dummy Table'!B$25:B$28,Tournament!T31,'Dummy Table'!F$25:F$28)," - ",SUMIF('Dummy Table'!B$25:B$28,Tournament!T31,'Dummy Table'!G$25:G$28))</f>
        <v>0 - 0</v>
      </c>
      <c r="AB31" s="74"/>
      <c r="AC31" s="74">
        <f ca="1">SUMIF('Dummy Table'!B$25:B$28,Tournament!T31,'Dummy Table'!I$25:I$28)</f>
        <v>0</v>
      </c>
      <c r="AD31" s="72"/>
      <c r="AE31" s="12"/>
      <c r="AF31" s="197"/>
      <c r="AG31" s="50"/>
      <c r="AH31" s="12"/>
      <c r="AI31" s="12"/>
      <c r="AJ31" s="51" t="str">
        <f ca="1">IF(SUM('Dummy Table'!AM$25:AM$28)&gt;0,IF(ISNA(VLOOKUP(1,'Dummy Table'!AM$25:AN$28,2,FALSE)),"",VLOOKUP(1,'Dummy Table'!AM$25:AN$28,2,FALSE)),"")</f>
        <v>Uruguay</v>
      </c>
      <c r="AK31" s="52"/>
      <c r="DE31" s="9"/>
      <c r="DF31" s="20"/>
      <c r="DG31" s="53"/>
      <c r="DH31" s="9"/>
    </row>
    <row r="32" spans="2:112" s="7" customFormat="1" ht="15" customHeight="1">
      <c r="B32" s="111"/>
      <c r="C32" s="111"/>
      <c r="D32" s="110">
        <v>19</v>
      </c>
      <c r="E32" s="110" t="s">
        <v>580</v>
      </c>
      <c r="F32" s="117">
        <f t="shared" si="0"/>
        <v>41808.833333333328</v>
      </c>
      <c r="G32" s="118">
        <f>'Countries and Timezone'!R20</f>
        <v>41808.833333333328</v>
      </c>
      <c r="H32" s="112" t="str">
        <f>H16</f>
        <v>Spain</v>
      </c>
      <c r="I32" s="111"/>
      <c r="J32" s="109" t="str">
        <f ca="1">IF(OFFSET('Group Stages'!$J$13,2*$D32-1,0)&lt;&gt;"",OFFSET('Group Stages'!$J$13,2*$D32-1,0),"")</f>
        <v/>
      </c>
      <c r="K32" s="110" t="s">
        <v>58</v>
      </c>
      <c r="L32" s="109" t="str">
        <f ca="1">IF(OFFSET('Group Stages'!$J$13,2*$D32,0)&lt;&gt;"",OFFSET('Group Stages'!$J$13,2*$D32,0),"")</f>
        <v/>
      </c>
      <c r="M32" s="111"/>
      <c r="N32" s="111" t="str">
        <f>H17</f>
        <v>Chile</v>
      </c>
      <c r="O32" s="111"/>
      <c r="P32" s="111"/>
      <c r="Q32" s="12"/>
      <c r="R32" s="11"/>
      <c r="S32" s="72">
        <v>2</v>
      </c>
      <c r="T32" s="73" t="str">
        <f ca="1">VLOOKUP(2,'Dummy Table'!O25:P28,2,FALSE)</f>
        <v>Italy</v>
      </c>
      <c r="U32" s="73"/>
      <c r="V32" s="74">
        <f ca="1">SUM(W32:Y32)</f>
        <v>0</v>
      </c>
      <c r="W32" s="74">
        <f ca="1">SUMIF('Dummy Table'!B$25:B$28,Tournament!T32,'Dummy Table'!C$25:C$28)</f>
        <v>0</v>
      </c>
      <c r="X32" s="74">
        <f ca="1">SUMIF('Dummy Table'!B$25:B$28,Tournament!T32,'Dummy Table'!D$25:D$28)</f>
        <v>0</v>
      </c>
      <c r="Y32" s="74">
        <f ca="1">SUMIF('Dummy Table'!B$25:B$28,Tournament!T32,'Dummy Table'!E$25:E$28)</f>
        <v>0</v>
      </c>
      <c r="Z32" s="74"/>
      <c r="AA32" s="74" t="str">
        <f ca="1">CONCATENATE(SUMIF('Dummy Table'!B$25:B$28,Tournament!T32,'Dummy Table'!F$25:F$28)," - ",SUMIF('Dummy Table'!B$25:B$28,Tournament!T32,'Dummy Table'!G$25:G$28))</f>
        <v>0 - 0</v>
      </c>
      <c r="AB32" s="74"/>
      <c r="AC32" s="74">
        <f ca="1">SUMIF('Dummy Table'!B$25:B$28,Tournament!T32,'Dummy Table'!I$25:I$28)</f>
        <v>0</v>
      </c>
      <c r="AD32" s="72"/>
      <c r="AE32" s="12"/>
      <c r="AF32" s="197"/>
      <c r="AG32" s="50"/>
      <c r="AH32" s="12"/>
      <c r="AI32" s="12"/>
      <c r="AJ32" s="51" t="str">
        <f ca="1">IF(SUM('Dummy Table'!AM$25:AM$28)&gt;0,IF(ISNA(VLOOKUP(2,'Dummy Table'!AM$25:AN$28,2,FALSE)),"",VLOOKUP(2,'Dummy Table'!AM$25:AN$28,2,FALSE)),"")</f>
        <v>Italy</v>
      </c>
      <c r="AK32" s="52"/>
      <c r="DE32" s="9"/>
      <c r="DF32" s="20"/>
      <c r="DG32" s="53"/>
      <c r="DH32" s="9"/>
    </row>
    <row r="33" spans="2:112" s="7" customFormat="1" ht="15" customHeight="1">
      <c r="B33" s="111"/>
      <c r="C33" s="111"/>
      <c r="D33" s="110">
        <v>20</v>
      </c>
      <c r="E33" s="110" t="s">
        <v>580</v>
      </c>
      <c r="F33" s="117">
        <f t="shared" si="0"/>
        <v>41808.708333333328</v>
      </c>
      <c r="G33" s="118">
        <f>'Countries and Timezone'!R21</f>
        <v>41808.708333333328</v>
      </c>
      <c r="H33" s="112" t="str">
        <f>N17</f>
        <v>Australia</v>
      </c>
      <c r="I33" s="111"/>
      <c r="J33" s="109" t="str">
        <f ca="1">IF(OFFSET('Group Stages'!$J$13,2*$D33-1,0)&lt;&gt;"",OFFSET('Group Stages'!$J$13,2*$D33-1,0),"")</f>
        <v/>
      </c>
      <c r="K33" s="110" t="s">
        <v>58</v>
      </c>
      <c r="L33" s="109" t="str">
        <f ca="1">IF(OFFSET('Group Stages'!$J$13,2*$D33,0)&lt;&gt;"",OFFSET('Group Stages'!$J$13,2*$D33,0),"")</f>
        <v/>
      </c>
      <c r="M33" s="111"/>
      <c r="N33" s="111" t="str">
        <f>N16</f>
        <v>Netherlands</v>
      </c>
      <c r="O33" s="111"/>
      <c r="P33" s="111"/>
      <c r="Q33" s="12"/>
      <c r="R33" s="11"/>
      <c r="S33" s="72">
        <v>3</v>
      </c>
      <c r="T33" s="73" t="str">
        <f ca="1">VLOOKUP(3,'Dummy Table'!O25:P28,2,FALSE)</f>
        <v>England</v>
      </c>
      <c r="U33" s="73"/>
      <c r="V33" s="74">
        <f ca="1">SUM(W33:Y33)</f>
        <v>0</v>
      </c>
      <c r="W33" s="74">
        <f ca="1">SUMIF('Dummy Table'!B$25:B$28,Tournament!T33,'Dummy Table'!C$25:C$28)</f>
        <v>0</v>
      </c>
      <c r="X33" s="74">
        <f ca="1">SUMIF('Dummy Table'!B$25:B$28,Tournament!T33,'Dummy Table'!D$25:D$28)</f>
        <v>0</v>
      </c>
      <c r="Y33" s="74">
        <f ca="1">SUMIF('Dummy Table'!B$25:B$28,Tournament!T33,'Dummy Table'!E$25:E$28)</f>
        <v>0</v>
      </c>
      <c r="Z33" s="74"/>
      <c r="AA33" s="74" t="str">
        <f ca="1">CONCATENATE(SUMIF('Dummy Table'!B$25:B$28,Tournament!T33,'Dummy Table'!F$25:F$28)," - ",SUMIF('Dummy Table'!B$25:B$28,Tournament!T33,'Dummy Table'!G$25:G$28))</f>
        <v>0 - 0</v>
      </c>
      <c r="AB33" s="74"/>
      <c r="AC33" s="74">
        <f ca="1">SUMIF('Dummy Table'!B$25:B$28,Tournament!T33,'Dummy Table'!I$25:I$28)</f>
        <v>0</v>
      </c>
      <c r="AD33" s="72"/>
      <c r="AE33" s="12"/>
      <c r="AF33" s="197"/>
      <c r="AG33" s="50"/>
      <c r="AH33" s="12"/>
      <c r="AI33" s="12"/>
      <c r="AJ33" s="51" t="str">
        <f ca="1">IF(SUM('Dummy Table'!AM$25:AM$28)&gt;0,IF(ISNA(VLOOKUP(3,'Dummy Table'!AM$25:AN$28,2,FALSE)),"",VLOOKUP(3,'Dummy Table'!AM$25:AN$28,2,FALSE)),"")</f>
        <v>England</v>
      </c>
      <c r="AK33" s="52"/>
      <c r="DE33" s="9"/>
      <c r="DF33" s="20"/>
      <c r="DG33" s="53"/>
      <c r="DH33" s="9"/>
    </row>
    <row r="34" spans="2:112" s="7" customFormat="1" ht="15" customHeight="1">
      <c r="B34" s="111"/>
      <c r="C34" s="111"/>
      <c r="D34" s="110">
        <v>21</v>
      </c>
      <c r="E34" s="110" t="s">
        <v>581</v>
      </c>
      <c r="F34" s="117">
        <f t="shared" si="0"/>
        <v>41809.708333333328</v>
      </c>
      <c r="G34" s="118">
        <f>'Countries and Timezone'!R22</f>
        <v>41809.708333333328</v>
      </c>
      <c r="H34" s="112" t="str">
        <f>H18</f>
        <v>Colombia</v>
      </c>
      <c r="I34" s="111"/>
      <c r="J34" s="109" t="str">
        <f ca="1">IF(OFFSET('Group Stages'!$J$13,2*$D34-1,0)&lt;&gt;"",OFFSET('Group Stages'!$J$13,2*$D34-1,0),"")</f>
        <v/>
      </c>
      <c r="K34" s="110" t="s">
        <v>58</v>
      </c>
      <c r="L34" s="109" t="str">
        <f ca="1">IF(OFFSET('Group Stages'!$J$13,2*$D34,0)&lt;&gt;"",OFFSET('Group Stages'!$J$13,2*$D34,0),"")</f>
        <v/>
      </c>
      <c r="M34" s="111"/>
      <c r="N34" s="111" t="str">
        <f>H19</f>
        <v>Ivory Coast</v>
      </c>
      <c r="O34" s="111"/>
      <c r="P34" s="111"/>
      <c r="Q34" s="12"/>
      <c r="R34" s="11"/>
      <c r="S34" s="72">
        <v>4</v>
      </c>
      <c r="T34" s="73" t="str">
        <f ca="1">VLOOKUP(4,'Dummy Table'!O25:P28,2,FALSE)</f>
        <v>Costa Rica</v>
      </c>
      <c r="U34" s="73"/>
      <c r="V34" s="74">
        <f ca="1">SUM(W34:Y34)</f>
        <v>0</v>
      </c>
      <c r="W34" s="74">
        <f ca="1">SUMIF('Dummy Table'!B$25:B$28,Tournament!T34,'Dummy Table'!C$25:C$28)</f>
        <v>0</v>
      </c>
      <c r="X34" s="74">
        <f ca="1">SUMIF('Dummy Table'!B$25:B$28,Tournament!T34,'Dummy Table'!D$25:D$28)</f>
        <v>0</v>
      </c>
      <c r="Y34" s="74">
        <f ca="1">SUMIF('Dummy Table'!B$25:B$28,Tournament!T34,'Dummy Table'!E$25:E$28)</f>
        <v>0</v>
      </c>
      <c r="Z34" s="74"/>
      <c r="AA34" s="74" t="str">
        <f ca="1">CONCATENATE(SUMIF('Dummy Table'!B$25:B$28,Tournament!T34,'Dummy Table'!F$25:F$28)," - ",SUMIF('Dummy Table'!B$25:B$28,Tournament!T34,'Dummy Table'!G$25:G$28))</f>
        <v>0 - 0</v>
      </c>
      <c r="AB34" s="74"/>
      <c r="AC34" s="74">
        <f ca="1">SUMIF('Dummy Table'!B$25:B$28,Tournament!T34,'Dummy Table'!I$25:I$28)</f>
        <v>0</v>
      </c>
      <c r="AD34" s="72"/>
      <c r="AE34" s="12"/>
      <c r="AF34" s="197"/>
      <c r="AG34" s="50"/>
      <c r="AH34" s="12"/>
      <c r="AI34" s="12"/>
      <c r="AJ34" s="51" t="str">
        <f ca="1">IF(SUM('Dummy Table'!AM$25:AM$28)&gt;0,IF(ISNA(VLOOKUP(4,'Dummy Table'!AM$25:AN$28,2,FALSE)),"",VLOOKUP(4,'Dummy Table'!AM$25:AN$28,2,FALSE)),"")</f>
        <v>Costa Rica</v>
      </c>
      <c r="AK34" s="52"/>
      <c r="DE34" s="9"/>
      <c r="DF34" s="20"/>
      <c r="DG34" s="53"/>
      <c r="DH34" s="9"/>
    </row>
    <row r="35" spans="2:112" s="7" customFormat="1" ht="15" customHeight="1">
      <c r="B35" s="111"/>
      <c r="C35" s="111"/>
      <c r="D35" s="110">
        <v>22</v>
      </c>
      <c r="E35" s="110" t="s">
        <v>581</v>
      </c>
      <c r="F35" s="117">
        <f t="shared" si="0"/>
        <v>41809.958333333328</v>
      </c>
      <c r="G35" s="118">
        <f>'Countries and Timezone'!R23</f>
        <v>41809.958333333328</v>
      </c>
      <c r="H35" s="112" t="str">
        <f>N19</f>
        <v>Japan</v>
      </c>
      <c r="I35" s="111"/>
      <c r="J35" s="109" t="str">
        <f ca="1">IF(OFFSET('Group Stages'!$J$13,2*$D35-1,0)&lt;&gt;"",OFFSET('Group Stages'!$J$13,2*$D35-1,0),"")</f>
        <v/>
      </c>
      <c r="K35" s="110" t="s">
        <v>58</v>
      </c>
      <c r="L35" s="109" t="str">
        <f ca="1">IF(OFFSET('Group Stages'!$J$13,2*$D35,0)&lt;&gt;"",OFFSET('Group Stages'!$J$13,2*$D35,0),"")</f>
        <v/>
      </c>
      <c r="M35" s="111"/>
      <c r="N35" s="111" t="str">
        <f>N18</f>
        <v>Greece</v>
      </c>
      <c r="O35" s="111"/>
      <c r="P35" s="111"/>
      <c r="Q35" s="12"/>
      <c r="R35" s="11"/>
      <c r="S35" s="12"/>
      <c r="T35" s="30"/>
      <c r="U35" s="30"/>
      <c r="V35" s="12"/>
      <c r="W35" s="12"/>
      <c r="X35" s="12"/>
      <c r="Y35" s="12"/>
      <c r="Z35" s="12"/>
      <c r="AA35" s="12"/>
      <c r="AB35" s="12"/>
      <c r="AC35" s="12"/>
      <c r="AD35" s="12"/>
      <c r="AE35" s="12"/>
      <c r="AF35" s="12"/>
      <c r="AG35" s="50"/>
      <c r="AH35" s="12"/>
      <c r="AI35" s="12"/>
      <c r="AJ35" s="54"/>
      <c r="AK35" s="55"/>
      <c r="DE35" s="9"/>
      <c r="DF35" s="20"/>
      <c r="DG35" s="53"/>
      <c r="DH35" s="9"/>
    </row>
    <row r="36" spans="2:112" s="7" customFormat="1" ht="15" customHeight="1">
      <c r="B36" s="111"/>
      <c r="C36" s="111"/>
      <c r="D36" s="110">
        <v>23</v>
      </c>
      <c r="E36" s="110" t="s">
        <v>65</v>
      </c>
      <c r="F36" s="117">
        <f t="shared" si="0"/>
        <v>41809.833333333328</v>
      </c>
      <c r="G36" s="118">
        <f>'Countries and Timezone'!R24</f>
        <v>41809.833333333328</v>
      </c>
      <c r="H36" s="112" t="str">
        <f>H20</f>
        <v>Uruguay</v>
      </c>
      <c r="I36" s="111"/>
      <c r="J36" s="109" t="str">
        <f ca="1">IF(OFFSET('Group Stages'!$J$13,2*$D36-1,0)&lt;&gt;"",OFFSET('Group Stages'!$J$13,2*$D36-1,0),"")</f>
        <v/>
      </c>
      <c r="K36" s="110" t="s">
        <v>58</v>
      </c>
      <c r="L36" s="109" t="str">
        <f ca="1">IF(OFFSET('Group Stages'!$J$13,2*$D36,0)&lt;&gt;"",OFFSET('Group Stages'!$J$13,2*$D36,0),"")</f>
        <v/>
      </c>
      <c r="M36" s="111"/>
      <c r="N36" s="111" t="str">
        <f>H21</f>
        <v>England</v>
      </c>
      <c r="O36" s="111"/>
      <c r="P36" s="111"/>
      <c r="Q36" s="12"/>
      <c r="R36" s="11"/>
      <c r="S36" s="69" t="str">
        <f>INDEX(Language!$A$1:$AX$115,MATCH("Group E",Language!$B$1:$B$115,0),MATCH(Tournament!$G$2,Language!$A$1:$AW$1,0))</f>
        <v>Group E</v>
      </c>
      <c r="T36" s="70"/>
      <c r="U36" s="70"/>
      <c r="V36" s="70" t="s">
        <v>303</v>
      </c>
      <c r="W36" s="70" t="s">
        <v>64</v>
      </c>
      <c r="X36" s="70" t="s">
        <v>65</v>
      </c>
      <c r="Y36" s="70" t="s">
        <v>66</v>
      </c>
      <c r="Z36" s="70"/>
      <c r="AA36" s="70" t="s">
        <v>67</v>
      </c>
      <c r="AB36" s="70"/>
      <c r="AC36" s="70" t="s">
        <v>304</v>
      </c>
      <c r="AD36" s="71"/>
      <c r="AE36" s="12"/>
      <c r="AF36" s="197" t="s">
        <v>582</v>
      </c>
      <c r="AG36" s="50"/>
      <c r="AH36" s="12"/>
      <c r="AI36" s="12"/>
      <c r="AJ36" s="51" t="s">
        <v>73</v>
      </c>
      <c r="AK36" s="52" t="s">
        <v>1155</v>
      </c>
      <c r="DE36" s="9"/>
      <c r="DF36" s="20"/>
      <c r="DG36" s="53"/>
      <c r="DH36" s="9"/>
    </row>
    <row r="37" spans="2:112" s="7" customFormat="1" ht="15" customHeight="1">
      <c r="B37" s="111"/>
      <c r="C37" s="111"/>
      <c r="D37" s="110">
        <v>24</v>
      </c>
      <c r="E37" s="110" t="s">
        <v>65</v>
      </c>
      <c r="F37" s="117">
        <f t="shared" si="0"/>
        <v>41810.708333333328</v>
      </c>
      <c r="G37" s="118">
        <f>'Countries and Timezone'!R25</f>
        <v>41810.708333333328</v>
      </c>
      <c r="H37" s="112" t="str">
        <f>N21</f>
        <v>Italy</v>
      </c>
      <c r="I37" s="111"/>
      <c r="J37" s="109" t="str">
        <f ca="1">IF(OFFSET('Group Stages'!$J$13,2*$D37-1,0)&lt;&gt;"",OFFSET('Group Stages'!$J$13,2*$D37-1,0),"")</f>
        <v/>
      </c>
      <c r="K37" s="110" t="s">
        <v>58</v>
      </c>
      <c r="L37" s="109" t="str">
        <f ca="1">IF(OFFSET('Group Stages'!$J$13,2*$D37,0)&lt;&gt;"",OFFSET('Group Stages'!$J$13,2*$D37,0),"")</f>
        <v/>
      </c>
      <c r="M37" s="111"/>
      <c r="N37" s="111" t="str">
        <f>N20</f>
        <v>Costa Rica</v>
      </c>
      <c r="O37" s="111"/>
      <c r="P37" s="111"/>
      <c r="Q37" s="12"/>
      <c r="R37" s="11"/>
      <c r="S37" s="72">
        <v>1</v>
      </c>
      <c r="T37" s="73" t="str">
        <f ca="1">VLOOKUP(1,'Dummy Table'!O32:P35,2,FALSE)</f>
        <v>Switzerland</v>
      </c>
      <c r="U37" s="73"/>
      <c r="V37" s="74">
        <f ca="1">SUM(W37:Y37)</f>
        <v>0</v>
      </c>
      <c r="W37" s="74">
        <f ca="1">SUMIF('Dummy Table'!B$32:B$35,Tournament!T37,'Dummy Table'!C$32:C$35)</f>
        <v>0</v>
      </c>
      <c r="X37" s="74">
        <f ca="1">SUMIF('Dummy Table'!B$32:B$35,Tournament!T37,'Dummy Table'!D$32:D$35)</f>
        <v>0</v>
      </c>
      <c r="Y37" s="74">
        <f ca="1">SUMIF('Dummy Table'!B$32:B$35,Tournament!T37,'Dummy Table'!E$32:E$35)</f>
        <v>0</v>
      </c>
      <c r="Z37" s="74"/>
      <c r="AA37" s="74" t="str">
        <f ca="1">CONCATENATE(SUMIF('Dummy Table'!B$32:B$35,Tournament!T37,'Dummy Table'!F$32:F$35)," - ",SUMIF('Dummy Table'!B$32:B$35,Tournament!T37,'Dummy Table'!G$32:G$35))</f>
        <v>0 - 0</v>
      </c>
      <c r="AB37" s="74"/>
      <c r="AC37" s="74">
        <f ca="1">SUMIF('Dummy Table'!B$32:B$35,Tournament!T37,'Dummy Table'!I$32:I$35)</f>
        <v>0</v>
      </c>
      <c r="AD37" s="72"/>
      <c r="AE37" s="12"/>
      <c r="AF37" s="197"/>
      <c r="AG37" s="50"/>
      <c r="AH37" s="12"/>
      <c r="AI37" s="12"/>
      <c r="AJ37" s="51" t="str">
        <f ca="1">IF(SUM('Dummy Table'!AM$32:AM$35)&gt;0,IF(ISNA(VLOOKUP(1,'Dummy Table'!AM$32:AN$35,2,FALSE)),"",VLOOKUP(1,'Dummy Table'!AM$32:AN$35,2,FALSE)),"")</f>
        <v>Switzerland</v>
      </c>
      <c r="AK37" s="52"/>
      <c r="DE37" s="9"/>
      <c r="DF37" s="20"/>
      <c r="DG37" s="53"/>
      <c r="DH37" s="9"/>
    </row>
    <row r="38" spans="2:112" s="7" customFormat="1" ht="15" customHeight="1">
      <c r="B38" s="111"/>
      <c r="C38" s="111"/>
      <c r="D38" s="110">
        <v>25</v>
      </c>
      <c r="E38" s="110" t="s">
        <v>582</v>
      </c>
      <c r="F38" s="117">
        <f t="shared" si="0"/>
        <v>41810.833333333328</v>
      </c>
      <c r="G38" s="118">
        <f>'Countries and Timezone'!R26</f>
        <v>41810.833333333328</v>
      </c>
      <c r="H38" s="112" t="str">
        <f>H22</f>
        <v>Switzerland</v>
      </c>
      <c r="I38" s="111"/>
      <c r="J38" s="109" t="str">
        <f ca="1">IF(OFFSET('Group Stages'!$J$13,2*$D38-1,0)&lt;&gt;"",OFFSET('Group Stages'!$J$13,2*$D38-1,0),"")</f>
        <v/>
      </c>
      <c r="K38" s="110" t="s">
        <v>58</v>
      </c>
      <c r="L38" s="109" t="str">
        <f ca="1">IF(OFFSET('Group Stages'!$J$13,2*$D38,0)&lt;&gt;"",OFFSET('Group Stages'!$J$13,2*$D38,0),"")</f>
        <v/>
      </c>
      <c r="M38" s="111"/>
      <c r="N38" s="111" t="str">
        <f>H23</f>
        <v>France</v>
      </c>
      <c r="O38" s="111"/>
      <c r="P38" s="111"/>
      <c r="Q38" s="12"/>
      <c r="R38" s="11"/>
      <c r="S38" s="72">
        <v>2</v>
      </c>
      <c r="T38" s="73" t="str">
        <f ca="1">VLOOKUP(2,'Dummy Table'!O32:P35,2,FALSE)</f>
        <v>France</v>
      </c>
      <c r="U38" s="73"/>
      <c r="V38" s="74">
        <f ca="1">SUM(W38:Y38)</f>
        <v>0</v>
      </c>
      <c r="W38" s="74">
        <f ca="1">SUMIF('Dummy Table'!B$32:B$35,Tournament!T38,'Dummy Table'!C$32:C$35)</f>
        <v>0</v>
      </c>
      <c r="X38" s="74">
        <f ca="1">SUMIF('Dummy Table'!B$32:B$35,Tournament!T38,'Dummy Table'!D$32:D$35)</f>
        <v>0</v>
      </c>
      <c r="Y38" s="74">
        <f ca="1">SUMIF('Dummy Table'!B$32:B$35,Tournament!T38,'Dummy Table'!E$32:E$35)</f>
        <v>0</v>
      </c>
      <c r="Z38" s="74"/>
      <c r="AA38" s="74" t="str">
        <f ca="1">CONCATENATE(SUMIF('Dummy Table'!B$32:B$35,Tournament!T38,'Dummy Table'!F$32:F$35)," - ",SUMIF('Dummy Table'!B$32:B$35,Tournament!T38,'Dummy Table'!G$32:G$35))</f>
        <v>0 - 0</v>
      </c>
      <c r="AB38" s="74"/>
      <c r="AC38" s="74">
        <f ca="1">SUMIF('Dummy Table'!B$32:B$35,Tournament!T38,'Dummy Table'!I$32:I$35)</f>
        <v>0</v>
      </c>
      <c r="AD38" s="72"/>
      <c r="AE38" s="12"/>
      <c r="AF38" s="197"/>
      <c r="AG38" s="50"/>
      <c r="AH38" s="12"/>
      <c r="AI38" s="12"/>
      <c r="AJ38" s="51" t="str">
        <f ca="1">IF(SUM('Dummy Table'!AM$32:AM$35)&gt;0,IF(ISNA(VLOOKUP(2,'Dummy Table'!AM$32:AN$35,2,FALSE)),"",VLOOKUP(2,'Dummy Table'!AM$32:AN$35,2,FALSE)),"")</f>
        <v>France</v>
      </c>
      <c r="AK38" s="52"/>
      <c r="DE38" s="9"/>
      <c r="DF38" s="20"/>
      <c r="DG38" s="53"/>
      <c r="DH38" s="9"/>
    </row>
    <row r="39" spans="2:112" s="7" customFormat="1" ht="15" customHeight="1">
      <c r="B39" s="111"/>
      <c r="C39" s="111"/>
      <c r="D39" s="110">
        <v>26</v>
      </c>
      <c r="E39" s="110" t="s">
        <v>582</v>
      </c>
      <c r="F39" s="117">
        <f t="shared" si="0"/>
        <v>41810.958333333328</v>
      </c>
      <c r="G39" s="118">
        <f>'Countries and Timezone'!R27</f>
        <v>41810.958333333328</v>
      </c>
      <c r="H39" s="112" t="str">
        <f>N23</f>
        <v>Honduras</v>
      </c>
      <c r="I39" s="111"/>
      <c r="J39" s="109" t="str">
        <f ca="1">IF(OFFSET('Group Stages'!$J$13,2*$D39-1,0)&lt;&gt;"",OFFSET('Group Stages'!$J$13,2*$D39-1,0),"")</f>
        <v/>
      </c>
      <c r="K39" s="110" t="s">
        <v>58</v>
      </c>
      <c r="L39" s="109" t="str">
        <f ca="1">IF(OFFSET('Group Stages'!$J$13,2*$D39,0)&lt;&gt;"",OFFSET('Group Stages'!$J$13,2*$D39,0),"")</f>
        <v/>
      </c>
      <c r="M39" s="111"/>
      <c r="N39" s="111" t="str">
        <f>N22</f>
        <v>Ecuador</v>
      </c>
      <c r="O39" s="111"/>
      <c r="P39" s="111"/>
      <c r="Q39" s="12"/>
      <c r="R39" s="11"/>
      <c r="S39" s="72">
        <v>3</v>
      </c>
      <c r="T39" s="73" t="str">
        <f ca="1">VLOOKUP(3,'Dummy Table'!O32:P35,2,FALSE)</f>
        <v>Ecuador</v>
      </c>
      <c r="U39" s="73"/>
      <c r="V39" s="74">
        <f ca="1">SUM(W39:Y39)</f>
        <v>0</v>
      </c>
      <c r="W39" s="74">
        <f ca="1">SUMIF('Dummy Table'!B$32:B$35,Tournament!T39,'Dummy Table'!C$32:C$35)</f>
        <v>0</v>
      </c>
      <c r="X39" s="74">
        <f ca="1">SUMIF('Dummy Table'!B$32:B$35,Tournament!T39,'Dummy Table'!D$32:D$35)</f>
        <v>0</v>
      </c>
      <c r="Y39" s="74">
        <f ca="1">SUMIF('Dummy Table'!B$32:B$35,Tournament!T39,'Dummy Table'!E$32:E$35)</f>
        <v>0</v>
      </c>
      <c r="Z39" s="74"/>
      <c r="AA39" s="74" t="str">
        <f ca="1">CONCATENATE(SUMIF('Dummy Table'!B$32:B$35,Tournament!T39,'Dummy Table'!F$32:F$35)," - ",SUMIF('Dummy Table'!B$32:B$35,Tournament!T39,'Dummy Table'!G$32:G$35))</f>
        <v>0 - 0</v>
      </c>
      <c r="AB39" s="74"/>
      <c r="AC39" s="74">
        <f ca="1">SUMIF('Dummy Table'!B$32:B$35,Tournament!T39,'Dummy Table'!I$32:I$35)</f>
        <v>0</v>
      </c>
      <c r="AD39" s="72"/>
      <c r="AE39" s="12"/>
      <c r="AF39" s="197"/>
      <c r="AG39" s="50"/>
      <c r="AH39" s="12"/>
      <c r="AI39" s="12"/>
      <c r="AJ39" s="51" t="str">
        <f ca="1">IF(SUM('Dummy Table'!AM$32:AM$35)&gt;0,IF(ISNA(VLOOKUP(3,'Dummy Table'!AM$32:AN$35,2,FALSE)),"",VLOOKUP(3,'Dummy Table'!AM$32:AN$35,2,FALSE)),"")</f>
        <v>Ecuador</v>
      </c>
      <c r="AK39" s="52"/>
      <c r="DE39" s="9"/>
      <c r="DF39" s="22"/>
      <c r="DG39" s="53"/>
      <c r="DH39" s="9"/>
    </row>
    <row r="40" spans="2:112" s="7" customFormat="1" ht="15" customHeight="1">
      <c r="B40" s="111"/>
      <c r="C40" s="111"/>
      <c r="D40" s="110">
        <v>27</v>
      </c>
      <c r="E40" s="110" t="s">
        <v>71</v>
      </c>
      <c r="F40" s="117">
        <f t="shared" si="0"/>
        <v>41811.708333333328</v>
      </c>
      <c r="G40" s="118">
        <f>'Countries and Timezone'!R28</f>
        <v>41811.708333333328</v>
      </c>
      <c r="H40" s="112" t="str">
        <f>H24</f>
        <v>Argentina</v>
      </c>
      <c r="I40" s="111"/>
      <c r="J40" s="109" t="str">
        <f ca="1">IF(OFFSET('Group Stages'!$J$13,2*$D40-1,0)&lt;&gt;"",OFFSET('Group Stages'!$J$13,2*$D40-1,0),"")</f>
        <v/>
      </c>
      <c r="K40" s="110" t="s">
        <v>58</v>
      </c>
      <c r="L40" s="109" t="str">
        <f ca="1">IF(OFFSET('Group Stages'!$J$13,2*$D40,0)&lt;&gt;"",OFFSET('Group Stages'!$J$13,2*$D40,0),"")</f>
        <v/>
      </c>
      <c r="M40" s="111"/>
      <c r="N40" s="111" t="str">
        <f>H25</f>
        <v>Iran</v>
      </c>
      <c r="O40" s="111"/>
      <c r="P40" s="111"/>
      <c r="Q40" s="12"/>
      <c r="R40" s="11"/>
      <c r="S40" s="72">
        <v>4</v>
      </c>
      <c r="T40" s="73" t="str">
        <f ca="1">VLOOKUP(4,'Dummy Table'!O32:P35,2,FALSE)</f>
        <v>Honduras</v>
      </c>
      <c r="U40" s="73"/>
      <c r="V40" s="74">
        <f ca="1">SUM(W40:Y40)</f>
        <v>0</v>
      </c>
      <c r="W40" s="74">
        <f ca="1">SUMIF('Dummy Table'!B$32:B$35,Tournament!T40,'Dummy Table'!C$32:C$35)</f>
        <v>0</v>
      </c>
      <c r="X40" s="74">
        <f ca="1">SUMIF('Dummy Table'!B$32:B$35,Tournament!T40,'Dummy Table'!D$32:D$35)</f>
        <v>0</v>
      </c>
      <c r="Y40" s="74">
        <f ca="1">SUMIF('Dummy Table'!B$32:B$35,Tournament!T40,'Dummy Table'!E$32:E$35)</f>
        <v>0</v>
      </c>
      <c r="Z40" s="74"/>
      <c r="AA40" s="74" t="str">
        <f ca="1">CONCATENATE(SUMIF('Dummy Table'!B$32:B$35,Tournament!T40,'Dummy Table'!F$32:F$35)," - ",SUMIF('Dummy Table'!B$32:B$35,Tournament!T40,'Dummy Table'!G$32:G$35))</f>
        <v>0 - 0</v>
      </c>
      <c r="AB40" s="74"/>
      <c r="AC40" s="74">
        <f ca="1">SUMIF('Dummy Table'!B$32:B$35,Tournament!T40,'Dummy Table'!I$32:I$35)</f>
        <v>0</v>
      </c>
      <c r="AD40" s="72"/>
      <c r="AE40" s="12"/>
      <c r="AF40" s="197"/>
      <c r="AG40" s="50"/>
      <c r="AH40" s="12"/>
      <c r="AI40" s="12"/>
      <c r="AJ40" s="51" t="str">
        <f ca="1">IF(SUM('Dummy Table'!AM$32:AM$35)&gt;0,IF(ISNA(VLOOKUP(4,'Dummy Table'!AM$32:AN$35,2,FALSE)),"",VLOOKUP(4,'Dummy Table'!AM$32:AN$35,2,FALSE)),"")</f>
        <v>Honduras</v>
      </c>
      <c r="AK40" s="52"/>
      <c r="DE40" s="9"/>
      <c r="DF40" s="22"/>
      <c r="DG40" s="53"/>
      <c r="DH40" s="9"/>
    </row>
    <row r="41" spans="2:112" s="7" customFormat="1" ht="15" customHeight="1">
      <c r="B41" s="111"/>
      <c r="C41" s="111"/>
      <c r="D41" s="110">
        <v>28</v>
      </c>
      <c r="E41" s="110" t="s">
        <v>71</v>
      </c>
      <c r="F41" s="117">
        <f t="shared" si="0"/>
        <v>41811.958333333328</v>
      </c>
      <c r="G41" s="118">
        <f>'Countries and Timezone'!R29</f>
        <v>41811.958333333328</v>
      </c>
      <c r="H41" s="112" t="str">
        <f>N25</f>
        <v>Nigeria</v>
      </c>
      <c r="I41" s="111"/>
      <c r="J41" s="109" t="str">
        <f ca="1">IF(OFFSET('Group Stages'!$J$13,2*$D41-1,0)&lt;&gt;"",OFFSET('Group Stages'!$J$13,2*$D41-1,0),"")</f>
        <v/>
      </c>
      <c r="K41" s="110" t="s">
        <v>58</v>
      </c>
      <c r="L41" s="109" t="str">
        <f ca="1">IF(OFFSET('Group Stages'!$J$13,2*$D41,0)&lt;&gt;"",OFFSET('Group Stages'!$J$13,2*$D41,0),"")</f>
        <v/>
      </c>
      <c r="M41" s="111"/>
      <c r="N41" s="111" t="str">
        <f>N24</f>
        <v>Bosnia-Herzegovina</v>
      </c>
      <c r="O41" s="111"/>
      <c r="P41" s="111"/>
      <c r="Q41" s="12"/>
      <c r="R41" s="11"/>
      <c r="S41" s="12"/>
      <c r="T41" s="30"/>
      <c r="U41" s="30"/>
      <c r="V41" s="12"/>
      <c r="W41" s="12"/>
      <c r="X41" s="12"/>
      <c r="Y41" s="12"/>
      <c r="Z41" s="12"/>
      <c r="AA41" s="12"/>
      <c r="AB41" s="12"/>
      <c r="AC41" s="12"/>
      <c r="AD41" s="12"/>
      <c r="AE41" s="12"/>
      <c r="AF41" s="12"/>
      <c r="AG41" s="50"/>
      <c r="AH41" s="12"/>
      <c r="AI41" s="12"/>
      <c r="AJ41" s="51"/>
      <c r="AK41" s="55"/>
      <c r="DE41" s="9"/>
      <c r="DF41" s="9"/>
      <c r="DG41" s="53"/>
      <c r="DH41" s="9"/>
    </row>
    <row r="42" spans="2:112" s="7" customFormat="1" ht="15" customHeight="1">
      <c r="B42" s="111"/>
      <c r="C42" s="111"/>
      <c r="D42" s="110">
        <v>29</v>
      </c>
      <c r="E42" s="110" t="s">
        <v>583</v>
      </c>
      <c r="F42" s="117">
        <f t="shared" si="0"/>
        <v>41811.833333333328</v>
      </c>
      <c r="G42" s="118">
        <f>'Countries and Timezone'!R30</f>
        <v>41811.833333333328</v>
      </c>
      <c r="H42" s="112" t="str">
        <f>H26</f>
        <v>Germany</v>
      </c>
      <c r="I42" s="111"/>
      <c r="J42" s="109" t="str">
        <f ca="1">IF(OFFSET('Group Stages'!$J$13,2*$D42-1,0)&lt;&gt;"",OFFSET('Group Stages'!$J$13,2*$D42-1,0),"")</f>
        <v/>
      </c>
      <c r="K42" s="110" t="s">
        <v>58</v>
      </c>
      <c r="L42" s="109" t="str">
        <f ca="1">IF(OFFSET('Group Stages'!$J$13,2*$D42,0)&lt;&gt;"",OFFSET('Group Stages'!$J$13,2*$D42,0),"")</f>
        <v/>
      </c>
      <c r="M42" s="111"/>
      <c r="N42" s="111" t="str">
        <f>H27</f>
        <v>Ghana</v>
      </c>
      <c r="O42" s="111"/>
      <c r="P42" s="111"/>
      <c r="Q42" s="12"/>
      <c r="R42" s="11"/>
      <c r="S42" s="69" t="str">
        <f>INDEX(Language!$A$1:$AX$115,MATCH("Group F",Language!$B$1:$B$115,0),MATCH(Tournament!$G$2,Language!$A$1:$AW$1,0))</f>
        <v>Group F</v>
      </c>
      <c r="T42" s="70"/>
      <c r="U42" s="70"/>
      <c r="V42" s="70" t="s">
        <v>303</v>
      </c>
      <c r="W42" s="70" t="s">
        <v>64</v>
      </c>
      <c r="X42" s="70" t="s">
        <v>65</v>
      </c>
      <c r="Y42" s="70" t="s">
        <v>66</v>
      </c>
      <c r="Z42" s="70"/>
      <c r="AA42" s="70" t="s">
        <v>67</v>
      </c>
      <c r="AB42" s="70"/>
      <c r="AC42" s="70" t="s">
        <v>304</v>
      </c>
      <c r="AD42" s="71"/>
      <c r="AE42" s="12"/>
      <c r="AF42" s="197" t="s">
        <v>71</v>
      </c>
      <c r="AG42" s="50"/>
      <c r="AH42" s="12"/>
      <c r="AI42" s="12"/>
      <c r="AJ42" s="51" t="s">
        <v>73</v>
      </c>
      <c r="AK42" s="52" t="s">
        <v>1155</v>
      </c>
      <c r="DE42" s="9"/>
      <c r="DF42" s="9"/>
      <c r="DG42" s="53"/>
      <c r="DH42" s="9"/>
    </row>
    <row r="43" spans="2:112" s="7" customFormat="1" ht="15" customHeight="1">
      <c r="B43" s="111"/>
      <c r="C43" s="111"/>
      <c r="D43" s="110">
        <v>30</v>
      </c>
      <c r="E43" s="110" t="s">
        <v>583</v>
      </c>
      <c r="F43" s="117">
        <f t="shared" si="0"/>
        <v>41812.958333333328</v>
      </c>
      <c r="G43" s="118">
        <f>'Countries and Timezone'!R31</f>
        <v>41812.958333333328</v>
      </c>
      <c r="H43" s="112" t="str">
        <f>N27</f>
        <v>USA</v>
      </c>
      <c r="I43" s="111"/>
      <c r="J43" s="109" t="str">
        <f ca="1">IF(OFFSET('Group Stages'!$J$13,2*$D43-1,0)&lt;&gt;"",OFFSET('Group Stages'!$J$13,2*$D43-1,0),"")</f>
        <v/>
      </c>
      <c r="K43" s="110" t="s">
        <v>58</v>
      </c>
      <c r="L43" s="109" t="str">
        <f ca="1">IF(OFFSET('Group Stages'!$J$13,2*$D43,0)&lt;&gt;"",OFFSET('Group Stages'!$J$13,2*$D43,0),"")</f>
        <v/>
      </c>
      <c r="M43" s="111"/>
      <c r="N43" s="111" t="str">
        <f>N26</f>
        <v>Portugal</v>
      </c>
      <c r="O43" s="111"/>
      <c r="P43" s="111"/>
      <c r="Q43" s="12"/>
      <c r="R43" s="11"/>
      <c r="S43" s="72">
        <v>1</v>
      </c>
      <c r="T43" s="73" t="str">
        <f ca="1">VLOOKUP(1,'Dummy Table'!O39:P42,2,FALSE)</f>
        <v>Argentina</v>
      </c>
      <c r="U43" s="73"/>
      <c r="V43" s="74">
        <f ca="1">SUM(W43:Y43)</f>
        <v>0</v>
      </c>
      <c r="W43" s="74">
        <f ca="1">SUMIF('Dummy Table'!B$39:B$42,Tournament!T43,'Dummy Table'!C$39:C$42)</f>
        <v>0</v>
      </c>
      <c r="X43" s="74">
        <f ca="1">SUMIF('Dummy Table'!B$39:B$42,Tournament!T43,'Dummy Table'!D$39:D$42)</f>
        <v>0</v>
      </c>
      <c r="Y43" s="74">
        <f ca="1">SUMIF('Dummy Table'!B$39:B$42,Tournament!T43,'Dummy Table'!E$39:E$42)</f>
        <v>0</v>
      </c>
      <c r="Z43" s="74"/>
      <c r="AA43" s="74" t="str">
        <f ca="1">CONCATENATE(SUMIF('Dummy Table'!B$39:B$42,Tournament!T43,'Dummy Table'!F$39:F$42)," - ",SUMIF('Dummy Table'!B$39:B$42,Tournament!T43,'Dummy Table'!G$39:G$42))</f>
        <v>0 - 0</v>
      </c>
      <c r="AB43" s="74"/>
      <c r="AC43" s="74">
        <f ca="1">SUMIF('Dummy Table'!B$39:B$42,Tournament!T43,'Dummy Table'!I$39:I$42)</f>
        <v>0</v>
      </c>
      <c r="AD43" s="72"/>
      <c r="AE43" s="12"/>
      <c r="AF43" s="197"/>
      <c r="AG43" s="50"/>
      <c r="AH43" s="12"/>
      <c r="AI43" s="12"/>
      <c r="AJ43" s="51" t="str">
        <f ca="1">IF(SUM('Dummy Table'!AM$39:AM$42)&gt;0,IF(ISNA(VLOOKUP(1,'Dummy Table'!AM$39:AN$42,2,FALSE)),"",VLOOKUP(1,'Dummy Table'!AM$39:AN$42,2,FALSE)),"")</f>
        <v>Argentina</v>
      </c>
      <c r="AK43" s="52"/>
      <c r="DE43" s="9"/>
      <c r="DF43" s="9"/>
      <c r="DG43" s="53"/>
      <c r="DH43" s="9"/>
    </row>
    <row r="44" spans="2:112" s="7" customFormat="1" ht="15" customHeight="1">
      <c r="B44" s="111"/>
      <c r="C44" s="111"/>
      <c r="D44" s="110">
        <v>31</v>
      </c>
      <c r="E44" s="110" t="s">
        <v>584</v>
      </c>
      <c r="F44" s="117">
        <f t="shared" si="0"/>
        <v>41812.708333333328</v>
      </c>
      <c r="G44" s="118">
        <f>'Countries and Timezone'!R32</f>
        <v>41812.708333333328</v>
      </c>
      <c r="H44" s="112" t="str">
        <f>H28</f>
        <v>Belgium</v>
      </c>
      <c r="I44" s="111"/>
      <c r="J44" s="109" t="str">
        <f ca="1">IF(OFFSET('Group Stages'!$J$13,2*$D44-1,0)&lt;&gt;"",OFFSET('Group Stages'!$J$13,2*$D44-1,0),"")</f>
        <v/>
      </c>
      <c r="K44" s="110" t="s">
        <v>58</v>
      </c>
      <c r="L44" s="109" t="str">
        <f ca="1">IF(OFFSET('Group Stages'!$J$13,2*$D44,0)&lt;&gt;"",OFFSET('Group Stages'!$J$13,2*$D44,0),"")</f>
        <v/>
      </c>
      <c r="M44" s="111"/>
      <c r="N44" s="111" t="str">
        <f>H29</f>
        <v>Russia</v>
      </c>
      <c r="O44" s="111"/>
      <c r="P44" s="111"/>
      <c r="Q44" s="12"/>
      <c r="R44" s="11"/>
      <c r="S44" s="72">
        <v>2</v>
      </c>
      <c r="T44" s="73" t="str">
        <f ca="1">VLOOKUP(2,'Dummy Table'!O39:P42,2,FALSE)</f>
        <v>Bosnia-Herzegovina</v>
      </c>
      <c r="U44" s="73"/>
      <c r="V44" s="74">
        <f ca="1">SUM(W44:Y44)</f>
        <v>0</v>
      </c>
      <c r="W44" s="74">
        <f ca="1">SUMIF('Dummy Table'!B$39:B$42,Tournament!T44,'Dummy Table'!C$39:C$42)</f>
        <v>0</v>
      </c>
      <c r="X44" s="74">
        <f ca="1">SUMIF('Dummy Table'!B$39:B$42,Tournament!T44,'Dummy Table'!D$39:D$42)</f>
        <v>0</v>
      </c>
      <c r="Y44" s="74">
        <f ca="1">SUMIF('Dummy Table'!B$39:B$42,Tournament!T44,'Dummy Table'!E$39:E$42)</f>
        <v>0</v>
      </c>
      <c r="Z44" s="74"/>
      <c r="AA44" s="74" t="str">
        <f ca="1">CONCATENATE(SUMIF('Dummy Table'!B$39:B$42,Tournament!T44,'Dummy Table'!F$39:F$42)," - ",SUMIF('Dummy Table'!B$39:B$42,Tournament!T44,'Dummy Table'!G$39:G$42))</f>
        <v>0 - 0</v>
      </c>
      <c r="AB44" s="74"/>
      <c r="AC44" s="74">
        <f ca="1">SUMIF('Dummy Table'!B$39:B$42,Tournament!T44,'Dummy Table'!I$39:I$42)</f>
        <v>0</v>
      </c>
      <c r="AD44" s="72"/>
      <c r="AE44" s="12"/>
      <c r="AF44" s="197"/>
      <c r="AG44" s="50"/>
      <c r="AH44" s="12"/>
      <c r="AI44" s="12"/>
      <c r="AJ44" s="51" t="str">
        <f ca="1">IF(SUM('Dummy Table'!AM$39:AM$42)&gt;0,IF(ISNA(VLOOKUP(2,'Dummy Table'!AM$39:AN$42,2,FALSE)),"",VLOOKUP(2,'Dummy Table'!AM$39:AN$42,2,FALSE)),"")</f>
        <v>Bosnia-Herzegovina</v>
      </c>
      <c r="AK44" s="52"/>
      <c r="DE44" s="9"/>
      <c r="DF44" s="9"/>
      <c r="DG44" s="53"/>
      <c r="DH44" s="9"/>
    </row>
    <row r="45" spans="2:112" s="7" customFormat="1" ht="15" customHeight="1">
      <c r="B45" s="111"/>
      <c r="C45" s="111"/>
      <c r="D45" s="110">
        <v>32</v>
      </c>
      <c r="E45" s="110" t="s">
        <v>584</v>
      </c>
      <c r="F45" s="117">
        <f t="shared" si="0"/>
        <v>41812.833333333328</v>
      </c>
      <c r="G45" s="118">
        <f>'Countries and Timezone'!R33</f>
        <v>41812.833333333328</v>
      </c>
      <c r="H45" s="112" t="str">
        <f>N29</f>
        <v>South Korea</v>
      </c>
      <c r="I45" s="111"/>
      <c r="J45" s="109" t="str">
        <f ca="1">IF(OFFSET('Group Stages'!$J$13,2*$D45-1,0)&lt;&gt;"",OFFSET('Group Stages'!$J$13,2*$D45-1,0),"")</f>
        <v/>
      </c>
      <c r="K45" s="110" t="s">
        <v>58</v>
      </c>
      <c r="L45" s="109" t="str">
        <f ca="1">IF(OFFSET('Group Stages'!$J$13,2*$D45,0)&lt;&gt;"",OFFSET('Group Stages'!$J$13,2*$D45,0),"")</f>
        <v/>
      </c>
      <c r="M45" s="111"/>
      <c r="N45" s="111" t="str">
        <f>N28</f>
        <v>Algeria</v>
      </c>
      <c r="O45" s="111"/>
      <c r="P45" s="111"/>
      <c r="Q45" s="12"/>
      <c r="R45" s="11"/>
      <c r="S45" s="72">
        <v>3</v>
      </c>
      <c r="T45" s="73" t="str">
        <f ca="1">VLOOKUP(3,'Dummy Table'!O39:P42,2,FALSE)</f>
        <v>Nigeria</v>
      </c>
      <c r="U45" s="73"/>
      <c r="V45" s="74">
        <f ca="1">SUM(W45:Y45)</f>
        <v>0</v>
      </c>
      <c r="W45" s="74">
        <f ca="1">SUMIF('Dummy Table'!B$39:B$42,Tournament!T45,'Dummy Table'!C$39:C$42)</f>
        <v>0</v>
      </c>
      <c r="X45" s="74">
        <f ca="1">SUMIF('Dummy Table'!B$39:B$42,Tournament!T45,'Dummy Table'!D$39:D$42)</f>
        <v>0</v>
      </c>
      <c r="Y45" s="74">
        <f ca="1">SUMIF('Dummy Table'!B$39:B$42,Tournament!T45,'Dummy Table'!E$39:E$42)</f>
        <v>0</v>
      </c>
      <c r="Z45" s="74"/>
      <c r="AA45" s="74" t="str">
        <f ca="1">CONCATENATE(SUMIF('Dummy Table'!B$39:B$42,Tournament!T45,'Dummy Table'!F$39:F$42)," - ",SUMIF('Dummy Table'!B$39:B$42,Tournament!T45,'Dummy Table'!G$39:G$42))</f>
        <v>0 - 0</v>
      </c>
      <c r="AB45" s="74"/>
      <c r="AC45" s="74">
        <f ca="1">SUMIF('Dummy Table'!B$39:B$42,Tournament!T45,'Dummy Table'!I$39:I$42)</f>
        <v>0</v>
      </c>
      <c r="AD45" s="72"/>
      <c r="AE45" s="12"/>
      <c r="AF45" s="197"/>
      <c r="AG45" s="50"/>
      <c r="AH45" s="12"/>
      <c r="AI45" s="12"/>
      <c r="AJ45" s="51" t="str">
        <f ca="1">IF(SUM('Dummy Table'!AM$39:AM$42)&gt;0,IF(ISNA(VLOOKUP(3,'Dummy Table'!AM$39:AN$42,2,FALSE)),"",VLOOKUP(3,'Dummy Table'!AM$39:AN$42,2,FALSE)),"")</f>
        <v>Nigeria</v>
      </c>
      <c r="AK45" s="52"/>
      <c r="DE45" s="9"/>
      <c r="DF45" s="9"/>
      <c r="DG45" s="53"/>
      <c r="DH45" s="9"/>
    </row>
    <row r="46" spans="2:112" s="7" customFormat="1" ht="15" customHeight="1">
      <c r="B46" s="111"/>
      <c r="C46" s="111"/>
      <c r="D46" s="110">
        <v>33</v>
      </c>
      <c r="E46" s="110" t="s">
        <v>72</v>
      </c>
      <c r="F46" s="117">
        <f t="shared" si="0"/>
        <v>41813.875</v>
      </c>
      <c r="G46" s="118">
        <f>'Countries and Timezone'!R34</f>
        <v>41813.875</v>
      </c>
      <c r="H46" s="112" t="str">
        <f>N15</f>
        <v>Cameroon</v>
      </c>
      <c r="I46" s="111"/>
      <c r="J46" s="109" t="str">
        <f ca="1">IF(OFFSET('Group Stages'!$J$13,2*$D46-1,0)&lt;&gt;"",OFFSET('Group Stages'!$J$13,2*$D46-1,0),"")</f>
        <v/>
      </c>
      <c r="K46" s="110" t="s">
        <v>58</v>
      </c>
      <c r="L46" s="109" t="str">
        <f ca="1">IF(OFFSET('Group Stages'!$J$13,2*$D46,0)&lt;&gt;"",OFFSET('Group Stages'!$J$13,2*$D46,0),"")</f>
        <v/>
      </c>
      <c r="M46" s="111"/>
      <c r="N46" s="111" t="str">
        <f t="shared" ref="N46:N61" si="1">H14</f>
        <v>Brazil</v>
      </c>
      <c r="O46" s="111"/>
      <c r="P46" s="111"/>
      <c r="Q46" s="12"/>
      <c r="R46" s="11"/>
      <c r="S46" s="72">
        <v>4</v>
      </c>
      <c r="T46" s="73" t="str">
        <f ca="1">VLOOKUP(4,'Dummy Table'!O39:P42,2,FALSE)</f>
        <v>Iran</v>
      </c>
      <c r="U46" s="73"/>
      <c r="V46" s="74">
        <f ca="1">SUM(W46:Y46)</f>
        <v>0</v>
      </c>
      <c r="W46" s="74">
        <f ca="1">SUMIF('Dummy Table'!B$39:B$42,Tournament!T46,'Dummy Table'!C$39:C$42)</f>
        <v>0</v>
      </c>
      <c r="X46" s="74">
        <f ca="1">SUMIF('Dummy Table'!B$39:B$42,Tournament!T46,'Dummy Table'!D$39:D$42)</f>
        <v>0</v>
      </c>
      <c r="Y46" s="74">
        <f ca="1">SUMIF('Dummy Table'!B$39:B$42,Tournament!T46,'Dummy Table'!E$39:E$42)</f>
        <v>0</v>
      </c>
      <c r="Z46" s="74"/>
      <c r="AA46" s="74" t="str">
        <f ca="1">CONCATENATE(SUMIF('Dummy Table'!B$39:B$42,Tournament!T46,'Dummy Table'!F$39:F$42)," - ",SUMIF('Dummy Table'!B$39:B$42,Tournament!T46,'Dummy Table'!G$39:G$42))</f>
        <v>0 - 0</v>
      </c>
      <c r="AB46" s="74"/>
      <c r="AC46" s="74">
        <f ca="1">SUMIF('Dummy Table'!B$39:B$42,Tournament!T46,'Dummy Table'!I$39:I$42)</f>
        <v>0</v>
      </c>
      <c r="AD46" s="72"/>
      <c r="AE46" s="12"/>
      <c r="AF46" s="197"/>
      <c r="AG46" s="50"/>
      <c r="AH46" s="12"/>
      <c r="AI46" s="12"/>
      <c r="AJ46" s="51" t="str">
        <f ca="1">IF(SUM('Dummy Table'!AM$39:AM$42)&gt;0,IF(ISNA(VLOOKUP(4,'Dummy Table'!AM$39:AN$42,2,FALSE)),"",VLOOKUP(4,'Dummy Table'!AM$39:AN$42,2,FALSE)),"")</f>
        <v>Iran</v>
      </c>
      <c r="AK46" s="52"/>
      <c r="DE46" s="9"/>
      <c r="DF46" s="9"/>
      <c r="DG46" s="53"/>
      <c r="DH46" s="9"/>
    </row>
    <row r="47" spans="2:112" s="7" customFormat="1" ht="15" customHeight="1">
      <c r="B47" s="111"/>
      <c r="C47" s="111"/>
      <c r="D47" s="110">
        <v>34</v>
      </c>
      <c r="E47" s="110" t="s">
        <v>72</v>
      </c>
      <c r="F47" s="117">
        <f t="shared" si="0"/>
        <v>41813.875</v>
      </c>
      <c r="G47" s="118">
        <f>'Countries and Timezone'!R35</f>
        <v>41813.875</v>
      </c>
      <c r="H47" s="112" t="str">
        <f>N14</f>
        <v>Croatia</v>
      </c>
      <c r="I47" s="111"/>
      <c r="J47" s="109" t="str">
        <f ca="1">IF(OFFSET('Group Stages'!$J$13,2*$D47-1,0)&lt;&gt;"",OFFSET('Group Stages'!$J$13,2*$D47-1,0),"")</f>
        <v/>
      </c>
      <c r="K47" s="110" t="s">
        <v>58</v>
      </c>
      <c r="L47" s="109" t="str">
        <f ca="1">IF(OFFSET('Group Stages'!$J$13,2*$D47,0)&lt;&gt;"",OFFSET('Group Stages'!$J$13,2*$D47,0),"")</f>
        <v/>
      </c>
      <c r="M47" s="111"/>
      <c r="N47" s="111" t="str">
        <f t="shared" si="1"/>
        <v>Mexico</v>
      </c>
      <c r="O47" s="111"/>
      <c r="P47" s="111"/>
      <c r="Q47" s="12"/>
      <c r="R47" s="11"/>
      <c r="S47" s="12"/>
      <c r="T47" s="30"/>
      <c r="U47" s="30"/>
      <c r="V47" s="12"/>
      <c r="W47" s="12"/>
      <c r="X47" s="12"/>
      <c r="Y47" s="12"/>
      <c r="Z47" s="12"/>
      <c r="AA47" s="12"/>
      <c r="AB47" s="12"/>
      <c r="AC47" s="12"/>
      <c r="AD47" s="12"/>
      <c r="AE47" s="12"/>
      <c r="AF47" s="12"/>
      <c r="AG47" s="50"/>
      <c r="AH47" s="12"/>
      <c r="AI47" s="12"/>
      <c r="AJ47" s="51"/>
      <c r="AK47" s="55"/>
      <c r="DE47" s="9"/>
      <c r="DF47" s="9"/>
      <c r="DG47" s="53"/>
      <c r="DH47" s="9"/>
    </row>
    <row r="48" spans="2:112" s="7" customFormat="1" ht="15" customHeight="1">
      <c r="B48" s="111"/>
      <c r="C48" s="111"/>
      <c r="D48" s="110">
        <v>35</v>
      </c>
      <c r="E48" s="110" t="s">
        <v>580</v>
      </c>
      <c r="F48" s="117">
        <f t="shared" si="0"/>
        <v>41813.708333333328</v>
      </c>
      <c r="G48" s="118">
        <f>'Countries and Timezone'!R36</f>
        <v>41813.708333333328</v>
      </c>
      <c r="H48" s="112" t="str">
        <f>N17</f>
        <v>Australia</v>
      </c>
      <c r="I48" s="111"/>
      <c r="J48" s="109" t="str">
        <f ca="1">IF(OFFSET('Group Stages'!$J$13,2*$D48-1,0)&lt;&gt;"",OFFSET('Group Stages'!$J$13,2*$D48-1,0),"")</f>
        <v/>
      </c>
      <c r="K48" s="110" t="s">
        <v>58</v>
      </c>
      <c r="L48" s="109" t="str">
        <f ca="1">IF(OFFSET('Group Stages'!$J$13,2*$D48,0)&lt;&gt;"",OFFSET('Group Stages'!$J$13,2*$D48,0),"")</f>
        <v/>
      </c>
      <c r="M48" s="111"/>
      <c r="N48" s="111" t="str">
        <f t="shared" si="1"/>
        <v>Spain</v>
      </c>
      <c r="O48" s="111"/>
      <c r="P48" s="111"/>
      <c r="Q48" s="12"/>
      <c r="R48" s="11"/>
      <c r="S48" s="69" t="str">
        <f>INDEX(Language!$A$1:$AX$115,MATCH("Group G",Language!$B$1:$B$115,0),MATCH(Tournament!$G$2,Language!$A$1:$AW$1,0))</f>
        <v>Group G</v>
      </c>
      <c r="T48" s="70"/>
      <c r="U48" s="70"/>
      <c r="V48" s="70" t="s">
        <v>303</v>
      </c>
      <c r="W48" s="70" t="s">
        <v>64</v>
      </c>
      <c r="X48" s="70" t="s">
        <v>65</v>
      </c>
      <c r="Y48" s="70" t="s">
        <v>66</v>
      </c>
      <c r="Z48" s="70"/>
      <c r="AA48" s="70" t="s">
        <v>67</v>
      </c>
      <c r="AB48" s="70"/>
      <c r="AC48" s="70" t="s">
        <v>304</v>
      </c>
      <c r="AD48" s="71"/>
      <c r="AE48" s="12"/>
      <c r="AF48" s="197" t="s">
        <v>583</v>
      </c>
      <c r="AG48" s="50"/>
      <c r="AH48" s="12"/>
      <c r="AI48" s="12"/>
      <c r="AJ48" s="51" t="s">
        <v>73</v>
      </c>
      <c r="AK48" s="52" t="s">
        <v>1155</v>
      </c>
      <c r="DE48" s="9"/>
      <c r="DF48" s="9"/>
      <c r="DG48" s="53"/>
      <c r="DH48" s="9"/>
    </row>
    <row r="49" spans="2:112" s="7" customFormat="1" ht="15" customHeight="1">
      <c r="B49" s="111"/>
      <c r="C49" s="111"/>
      <c r="D49" s="110">
        <v>36</v>
      </c>
      <c r="E49" s="110" t="s">
        <v>580</v>
      </c>
      <c r="F49" s="117">
        <f t="shared" si="0"/>
        <v>41813.708333333328</v>
      </c>
      <c r="G49" s="118">
        <f>'Countries and Timezone'!R37</f>
        <v>41813.708333333328</v>
      </c>
      <c r="H49" s="112" t="str">
        <f>N16</f>
        <v>Netherlands</v>
      </c>
      <c r="I49" s="111"/>
      <c r="J49" s="109" t="str">
        <f ca="1">IF(OFFSET('Group Stages'!$J$13,2*$D49-1,0)&lt;&gt;"",OFFSET('Group Stages'!$J$13,2*$D49-1,0),"")</f>
        <v/>
      </c>
      <c r="K49" s="110" t="s">
        <v>58</v>
      </c>
      <c r="L49" s="109" t="str">
        <f ca="1">IF(OFFSET('Group Stages'!$J$13,2*$D49,0)&lt;&gt;"",OFFSET('Group Stages'!$J$13,2*$D49,0),"")</f>
        <v/>
      </c>
      <c r="M49" s="111"/>
      <c r="N49" s="111" t="str">
        <f t="shared" si="1"/>
        <v>Chile</v>
      </c>
      <c r="O49" s="111"/>
      <c r="P49" s="111"/>
      <c r="Q49" s="12"/>
      <c r="R49" s="11"/>
      <c r="S49" s="72">
        <v>1</v>
      </c>
      <c r="T49" s="73" t="str">
        <f ca="1">VLOOKUP(1,'Dummy Table'!O46:P49,2,FALSE)</f>
        <v>Germany</v>
      </c>
      <c r="U49" s="73"/>
      <c r="V49" s="74">
        <f ca="1">SUM(W49:Y49)</f>
        <v>0</v>
      </c>
      <c r="W49" s="74">
        <f ca="1">SUMIF('Dummy Table'!B$46:B$49,Tournament!T49,'Dummy Table'!C$46:C$49)</f>
        <v>0</v>
      </c>
      <c r="X49" s="74">
        <f ca="1">SUMIF('Dummy Table'!B$46:B$49,Tournament!T49,'Dummy Table'!D$46:D$49)</f>
        <v>0</v>
      </c>
      <c r="Y49" s="74">
        <f ca="1">SUMIF('Dummy Table'!B$46:B$49,Tournament!T49,'Dummy Table'!E$46:E$49)</f>
        <v>0</v>
      </c>
      <c r="Z49" s="74"/>
      <c r="AA49" s="74" t="str">
        <f ca="1">CONCATENATE(SUMIF('Dummy Table'!B$46:B$49,Tournament!T49,'Dummy Table'!F$46:F$49)," - ",SUMIF('Dummy Table'!B$46:B$49,Tournament!T49,'Dummy Table'!G$46:G$49))</f>
        <v>0 - 0</v>
      </c>
      <c r="AB49" s="74"/>
      <c r="AC49" s="74">
        <f ca="1">SUMIF('Dummy Table'!B$46:B$49,Tournament!T49,'Dummy Table'!I$46:I$49)</f>
        <v>0</v>
      </c>
      <c r="AD49" s="72"/>
      <c r="AE49" s="12"/>
      <c r="AF49" s="197"/>
      <c r="AG49" s="50"/>
      <c r="AH49" s="12"/>
      <c r="AI49" s="12"/>
      <c r="AJ49" s="51" t="str">
        <f ca="1">IF(SUM('Dummy Table'!AM$46:AM$49)&gt;0,IF(ISNA(VLOOKUP(1,'Dummy Table'!AM$46:AN$49,2,FALSE)),"",VLOOKUP(1,'Dummy Table'!AM$46:AN$49,2,FALSE)),"")</f>
        <v>Germany</v>
      </c>
      <c r="AK49" s="52"/>
      <c r="DE49" s="9"/>
      <c r="DF49" s="9"/>
      <c r="DG49" s="53"/>
      <c r="DH49" s="9"/>
    </row>
    <row r="50" spans="2:112" s="7" customFormat="1" ht="15" customHeight="1">
      <c r="B50" s="111"/>
      <c r="C50" s="111"/>
      <c r="D50" s="110">
        <v>37</v>
      </c>
      <c r="E50" s="110" t="s">
        <v>581</v>
      </c>
      <c r="F50" s="117">
        <f t="shared" si="0"/>
        <v>41814.875</v>
      </c>
      <c r="G50" s="118">
        <f>'Countries and Timezone'!R38</f>
        <v>41814.875</v>
      </c>
      <c r="H50" s="112" t="str">
        <f>N19</f>
        <v>Japan</v>
      </c>
      <c r="I50" s="111"/>
      <c r="J50" s="109" t="str">
        <f ca="1">IF(OFFSET('Group Stages'!$J$13,2*$D50-1,0)&lt;&gt;"",OFFSET('Group Stages'!$J$13,2*$D50-1,0),"")</f>
        <v/>
      </c>
      <c r="K50" s="110" t="s">
        <v>58</v>
      </c>
      <c r="L50" s="109" t="str">
        <f ca="1">IF(OFFSET('Group Stages'!$J$13,2*$D50,0)&lt;&gt;"",OFFSET('Group Stages'!$J$13,2*$D50,0),"")</f>
        <v/>
      </c>
      <c r="M50" s="111"/>
      <c r="N50" s="111" t="str">
        <f t="shared" si="1"/>
        <v>Colombia</v>
      </c>
      <c r="O50" s="111"/>
      <c r="P50" s="111"/>
      <c r="Q50" s="12"/>
      <c r="R50" s="11"/>
      <c r="S50" s="72">
        <v>2</v>
      </c>
      <c r="T50" s="73" t="str">
        <f ca="1">VLOOKUP(2,'Dummy Table'!O46:P49,2,FALSE)</f>
        <v>USA</v>
      </c>
      <c r="U50" s="73"/>
      <c r="V50" s="74">
        <f ca="1">SUM(W50:Y50)</f>
        <v>0</v>
      </c>
      <c r="W50" s="74">
        <f ca="1">SUMIF('Dummy Table'!B$46:B$49,Tournament!T50,'Dummy Table'!C$46:C$49)</f>
        <v>0</v>
      </c>
      <c r="X50" s="74">
        <f ca="1">SUMIF('Dummy Table'!B$46:B$49,Tournament!T50,'Dummy Table'!D$46:D$49)</f>
        <v>0</v>
      </c>
      <c r="Y50" s="74">
        <f ca="1">SUMIF('Dummy Table'!B$46:B$49,Tournament!T50,'Dummy Table'!E$46:E$49)</f>
        <v>0</v>
      </c>
      <c r="Z50" s="74"/>
      <c r="AA50" s="74" t="str">
        <f ca="1">CONCATENATE(SUMIF('Dummy Table'!B$46:B$49,Tournament!T50,'Dummy Table'!F$46:F$49)," - ",SUMIF('Dummy Table'!B$46:B$49,Tournament!T50,'Dummy Table'!G$46:G$49))</f>
        <v>0 - 0</v>
      </c>
      <c r="AB50" s="74"/>
      <c r="AC50" s="74">
        <f ca="1">SUMIF('Dummy Table'!B$46:B$49,Tournament!T50,'Dummy Table'!I$46:I$49)</f>
        <v>0</v>
      </c>
      <c r="AD50" s="72"/>
      <c r="AE50" s="12"/>
      <c r="AF50" s="197"/>
      <c r="AG50" s="50"/>
      <c r="AH50" s="12"/>
      <c r="AI50" s="12"/>
      <c r="AJ50" s="51" t="str">
        <f ca="1">IF(SUM('Dummy Table'!AM$46:AM$49)&gt;0,IF(ISNA(VLOOKUP(2,'Dummy Table'!AM$46:AN$49,2,FALSE)),"",VLOOKUP(2,'Dummy Table'!AM$46:AN$49,2,FALSE)),"")</f>
        <v>USA</v>
      </c>
      <c r="AK50" s="52"/>
      <c r="DE50" s="9"/>
      <c r="DF50" s="9"/>
      <c r="DG50" s="53"/>
      <c r="DH50" s="9"/>
    </row>
    <row r="51" spans="2:112" s="7" customFormat="1" ht="15" customHeight="1">
      <c r="B51" s="111"/>
      <c r="C51" s="111"/>
      <c r="D51" s="110">
        <v>38</v>
      </c>
      <c r="E51" s="110" t="s">
        <v>581</v>
      </c>
      <c r="F51" s="117">
        <f t="shared" si="0"/>
        <v>41814.875</v>
      </c>
      <c r="G51" s="118">
        <f>'Countries and Timezone'!R39</f>
        <v>41814.875</v>
      </c>
      <c r="H51" s="112" t="str">
        <f>N18</f>
        <v>Greece</v>
      </c>
      <c r="I51" s="111"/>
      <c r="J51" s="109" t="str">
        <f ca="1">IF(OFFSET('Group Stages'!$J$13,2*$D51-1,0)&lt;&gt;"",OFFSET('Group Stages'!$J$13,2*$D51-1,0),"")</f>
        <v/>
      </c>
      <c r="K51" s="110" t="s">
        <v>58</v>
      </c>
      <c r="L51" s="109" t="str">
        <f ca="1">IF(OFFSET('Group Stages'!$J$13,2*$D51,0)&lt;&gt;"",OFFSET('Group Stages'!$J$13,2*$D51,0),"")</f>
        <v/>
      </c>
      <c r="M51" s="111"/>
      <c r="N51" s="111" t="str">
        <f t="shared" si="1"/>
        <v>Ivory Coast</v>
      </c>
      <c r="O51" s="111"/>
      <c r="P51" s="111"/>
      <c r="Q51" s="12"/>
      <c r="R51" s="11"/>
      <c r="S51" s="72">
        <v>3</v>
      </c>
      <c r="T51" s="73" t="str">
        <f ca="1">VLOOKUP(3,'Dummy Table'!O46:P49,2,FALSE)</f>
        <v>Portugal</v>
      </c>
      <c r="U51" s="73"/>
      <c r="V51" s="74">
        <f ca="1">SUM(W51:Y51)</f>
        <v>0</v>
      </c>
      <c r="W51" s="74">
        <f ca="1">SUMIF('Dummy Table'!B$46:B$49,Tournament!T51,'Dummy Table'!C$46:C$49)</f>
        <v>0</v>
      </c>
      <c r="X51" s="74">
        <f ca="1">SUMIF('Dummy Table'!B$46:B$49,Tournament!T51,'Dummy Table'!D$46:D$49)</f>
        <v>0</v>
      </c>
      <c r="Y51" s="74">
        <f ca="1">SUMIF('Dummy Table'!B$46:B$49,Tournament!T51,'Dummy Table'!E$46:E$49)</f>
        <v>0</v>
      </c>
      <c r="Z51" s="74"/>
      <c r="AA51" s="74" t="str">
        <f ca="1">CONCATENATE(SUMIF('Dummy Table'!B$46:B$49,Tournament!T51,'Dummy Table'!F$46:F$49)," - ",SUMIF('Dummy Table'!B$46:B$49,Tournament!T51,'Dummy Table'!G$46:G$49))</f>
        <v>0 - 0</v>
      </c>
      <c r="AB51" s="74"/>
      <c r="AC51" s="74">
        <f ca="1">SUMIF('Dummy Table'!B$46:B$49,Tournament!T51,'Dummy Table'!I$46:I$49)</f>
        <v>0</v>
      </c>
      <c r="AD51" s="72"/>
      <c r="AE51" s="12"/>
      <c r="AF51" s="197"/>
      <c r="AG51" s="50"/>
      <c r="AH51" s="12"/>
      <c r="AI51" s="12"/>
      <c r="AJ51" s="51" t="str">
        <f ca="1">IF(SUM('Dummy Table'!AM$46:AM$49)&gt;0,IF(ISNA(VLOOKUP(3,'Dummy Table'!AM$46:AN$49,2,FALSE)),"",VLOOKUP(3,'Dummy Table'!AM$46:AN$49,2,FALSE)),"")</f>
        <v>Portugal</v>
      </c>
      <c r="AK51" s="52"/>
      <c r="DE51" s="9"/>
      <c r="DF51" s="9"/>
      <c r="DG51" s="53"/>
      <c r="DH51" s="9"/>
    </row>
    <row r="52" spans="2:112" s="7" customFormat="1" ht="15" customHeight="1">
      <c r="B52" s="111"/>
      <c r="C52" s="111"/>
      <c r="D52" s="110">
        <v>39</v>
      </c>
      <c r="E52" s="110" t="s">
        <v>65</v>
      </c>
      <c r="F52" s="117">
        <f t="shared" si="0"/>
        <v>41814.708333333328</v>
      </c>
      <c r="G52" s="118">
        <f>'Countries and Timezone'!R40</f>
        <v>41814.708333333328</v>
      </c>
      <c r="H52" s="112" t="str">
        <f>N21</f>
        <v>Italy</v>
      </c>
      <c r="I52" s="111"/>
      <c r="J52" s="109" t="str">
        <f ca="1">IF(OFFSET('Group Stages'!$J$13,2*$D52-1,0)&lt;&gt;"",OFFSET('Group Stages'!$J$13,2*$D52-1,0),"")</f>
        <v/>
      </c>
      <c r="K52" s="110" t="s">
        <v>58</v>
      </c>
      <c r="L52" s="109" t="str">
        <f ca="1">IF(OFFSET('Group Stages'!$J$13,2*$D52,0)&lt;&gt;"",OFFSET('Group Stages'!$J$13,2*$D52,0),"")</f>
        <v/>
      </c>
      <c r="M52" s="111"/>
      <c r="N52" s="111" t="str">
        <f t="shared" si="1"/>
        <v>Uruguay</v>
      </c>
      <c r="O52" s="111"/>
      <c r="P52" s="111"/>
      <c r="Q52" s="12"/>
      <c r="R52" s="11"/>
      <c r="S52" s="72">
        <v>4</v>
      </c>
      <c r="T52" s="73" t="str">
        <f ca="1">VLOOKUP(4,'Dummy Table'!O46:P49,2,FALSE)</f>
        <v>Ghana</v>
      </c>
      <c r="U52" s="73"/>
      <c r="V52" s="74">
        <f ca="1">SUM(W52:Y52)</f>
        <v>0</v>
      </c>
      <c r="W52" s="74">
        <f ca="1">SUMIF('Dummy Table'!B$46:B$49,Tournament!T52,'Dummy Table'!C$46:C$49)</f>
        <v>0</v>
      </c>
      <c r="X52" s="74">
        <f ca="1">SUMIF('Dummy Table'!B$46:B$49,Tournament!T52,'Dummy Table'!D$46:D$49)</f>
        <v>0</v>
      </c>
      <c r="Y52" s="74">
        <f ca="1">SUMIF('Dummy Table'!B$46:B$49,Tournament!T52,'Dummy Table'!E$46:E$49)</f>
        <v>0</v>
      </c>
      <c r="Z52" s="74"/>
      <c r="AA52" s="74" t="str">
        <f ca="1">CONCATENATE(SUMIF('Dummy Table'!B$46:B$49,Tournament!T52,'Dummy Table'!F$46:F$49)," - ",SUMIF('Dummy Table'!B$46:B$49,Tournament!T52,'Dummy Table'!G$46:G$49))</f>
        <v>0 - 0</v>
      </c>
      <c r="AB52" s="74"/>
      <c r="AC52" s="74">
        <f ca="1">SUMIF('Dummy Table'!B$46:B$49,Tournament!T52,'Dummy Table'!I$46:I$49)</f>
        <v>0</v>
      </c>
      <c r="AD52" s="72"/>
      <c r="AE52" s="12"/>
      <c r="AF52" s="197"/>
      <c r="AG52" s="50"/>
      <c r="AH52" s="12"/>
      <c r="AI52" s="12"/>
      <c r="AJ52" s="51" t="str">
        <f ca="1">IF(SUM('Dummy Table'!AM$46:AM$49)&gt;0,IF(ISNA(VLOOKUP(4,'Dummy Table'!AM$46:AN$49,2,FALSE)),"",VLOOKUP(4,'Dummy Table'!AM$46:AN$49,2,FALSE)),"")</f>
        <v>Ghana</v>
      </c>
      <c r="AK52" s="52"/>
      <c r="DE52" s="9"/>
      <c r="DF52" s="9"/>
      <c r="DG52" s="53"/>
      <c r="DH52" s="9"/>
    </row>
    <row r="53" spans="2:112" s="7" customFormat="1" ht="15" customHeight="1">
      <c r="B53" s="111"/>
      <c r="C53" s="111"/>
      <c r="D53" s="110">
        <v>40</v>
      </c>
      <c r="E53" s="110" t="s">
        <v>65</v>
      </c>
      <c r="F53" s="117">
        <f t="shared" si="0"/>
        <v>41814.708333333328</v>
      </c>
      <c r="G53" s="118">
        <f>'Countries and Timezone'!R41</f>
        <v>41814.708333333328</v>
      </c>
      <c r="H53" s="112" t="str">
        <f>N20</f>
        <v>Costa Rica</v>
      </c>
      <c r="I53" s="111"/>
      <c r="J53" s="109" t="str">
        <f ca="1">IF(OFFSET('Group Stages'!$J$13,2*$D53-1,0)&lt;&gt;"",OFFSET('Group Stages'!$J$13,2*$D53-1,0),"")</f>
        <v/>
      </c>
      <c r="K53" s="110" t="s">
        <v>58</v>
      </c>
      <c r="L53" s="109" t="str">
        <f ca="1">IF(OFFSET('Group Stages'!$J$13,2*$D53,0)&lt;&gt;"",OFFSET('Group Stages'!$J$13,2*$D53,0),"")</f>
        <v/>
      </c>
      <c r="M53" s="111"/>
      <c r="N53" s="111" t="str">
        <f t="shared" si="1"/>
        <v>England</v>
      </c>
      <c r="O53" s="111"/>
      <c r="P53" s="111"/>
      <c r="Q53" s="12"/>
      <c r="R53" s="11"/>
      <c r="S53" s="12"/>
      <c r="T53" s="30"/>
      <c r="U53" s="30"/>
      <c r="V53" s="12"/>
      <c r="W53" s="12"/>
      <c r="X53" s="12"/>
      <c r="Y53" s="12"/>
      <c r="Z53" s="12"/>
      <c r="AA53" s="12"/>
      <c r="AB53" s="12"/>
      <c r="AC53" s="12"/>
      <c r="AD53" s="12"/>
      <c r="AE53" s="12"/>
      <c r="AF53" s="12"/>
      <c r="AG53" s="50"/>
      <c r="AH53" s="12"/>
      <c r="AI53" s="12"/>
      <c r="AJ53" s="51"/>
      <c r="AK53" s="55"/>
      <c r="DE53" s="9"/>
      <c r="DF53" s="9"/>
      <c r="DG53" s="53"/>
      <c r="DH53" s="9"/>
    </row>
    <row r="54" spans="2:112" s="7" customFormat="1" ht="15" customHeight="1">
      <c r="B54" s="111"/>
      <c r="C54" s="111"/>
      <c r="D54" s="110">
        <v>41</v>
      </c>
      <c r="E54" s="110" t="s">
        <v>582</v>
      </c>
      <c r="F54" s="117">
        <f t="shared" si="0"/>
        <v>41815.875</v>
      </c>
      <c r="G54" s="118">
        <f>'Countries and Timezone'!R42</f>
        <v>41815.875</v>
      </c>
      <c r="H54" s="112" t="str">
        <f>N23</f>
        <v>Honduras</v>
      </c>
      <c r="I54" s="111"/>
      <c r="J54" s="109" t="str">
        <f ca="1">IF(OFFSET('Group Stages'!$J$13,2*$D54-1,0)&lt;&gt;"",OFFSET('Group Stages'!$J$13,2*$D54-1,0),"")</f>
        <v/>
      </c>
      <c r="K54" s="110" t="s">
        <v>58</v>
      </c>
      <c r="L54" s="109" t="str">
        <f ca="1">IF(OFFSET('Group Stages'!$J$13,2*$D54,0)&lt;&gt;"",OFFSET('Group Stages'!$J$13,2*$D54,0),"")</f>
        <v/>
      </c>
      <c r="M54" s="111"/>
      <c r="N54" s="111" t="str">
        <f t="shared" si="1"/>
        <v>Switzerland</v>
      </c>
      <c r="O54" s="111"/>
      <c r="P54" s="111"/>
      <c r="Q54" s="12"/>
      <c r="R54" s="11"/>
      <c r="S54" s="69" t="str">
        <f>INDEX(Language!$A$1:$AX$115,MATCH("Group H",Language!$B$1:$B$115,0),MATCH(Tournament!$G$2,Language!$A$1:$AW$1,0))</f>
        <v>Group H</v>
      </c>
      <c r="T54" s="70"/>
      <c r="U54" s="70"/>
      <c r="V54" s="70" t="s">
        <v>303</v>
      </c>
      <c r="W54" s="70" t="s">
        <v>64</v>
      </c>
      <c r="X54" s="70" t="s">
        <v>65</v>
      </c>
      <c r="Y54" s="70" t="s">
        <v>66</v>
      </c>
      <c r="Z54" s="70"/>
      <c r="AA54" s="70" t="s">
        <v>67</v>
      </c>
      <c r="AB54" s="70"/>
      <c r="AC54" s="70" t="s">
        <v>304</v>
      </c>
      <c r="AD54" s="71"/>
      <c r="AE54" s="12"/>
      <c r="AF54" s="197" t="s">
        <v>584</v>
      </c>
      <c r="AG54" s="50"/>
      <c r="AH54" s="12"/>
      <c r="AI54" s="12"/>
      <c r="AJ54" s="51" t="s">
        <v>73</v>
      </c>
      <c r="AK54" s="52" t="s">
        <v>1155</v>
      </c>
      <c r="DE54" s="9"/>
      <c r="DF54" s="9"/>
      <c r="DG54" s="53"/>
      <c r="DH54" s="9"/>
    </row>
    <row r="55" spans="2:112" s="7" customFormat="1" ht="15" customHeight="1">
      <c r="B55" s="111"/>
      <c r="C55" s="111"/>
      <c r="D55" s="110">
        <v>42</v>
      </c>
      <c r="E55" s="110" t="s">
        <v>582</v>
      </c>
      <c r="F55" s="117">
        <f t="shared" si="0"/>
        <v>41815.875</v>
      </c>
      <c r="G55" s="118">
        <f>'Countries and Timezone'!R43</f>
        <v>41815.875</v>
      </c>
      <c r="H55" s="112" t="str">
        <f>N22</f>
        <v>Ecuador</v>
      </c>
      <c r="I55" s="111"/>
      <c r="J55" s="109" t="str">
        <f ca="1">IF(OFFSET('Group Stages'!$J$13,2*$D55-1,0)&lt;&gt;"",OFFSET('Group Stages'!$J$13,2*$D55-1,0),"")</f>
        <v/>
      </c>
      <c r="K55" s="110" t="s">
        <v>58</v>
      </c>
      <c r="L55" s="109" t="str">
        <f ca="1">IF(OFFSET('Group Stages'!$J$13,2*$D55,0)&lt;&gt;"",OFFSET('Group Stages'!$J$13,2*$D55,0),"")</f>
        <v/>
      </c>
      <c r="M55" s="111"/>
      <c r="N55" s="111" t="str">
        <f t="shared" si="1"/>
        <v>France</v>
      </c>
      <c r="O55" s="111"/>
      <c r="P55" s="111"/>
      <c r="Q55" s="12"/>
      <c r="R55" s="11"/>
      <c r="S55" s="72">
        <v>1</v>
      </c>
      <c r="T55" s="73" t="str">
        <f ca="1">VLOOKUP(1,'Dummy Table'!O53:P56,2,FALSE)</f>
        <v>Belgium</v>
      </c>
      <c r="U55" s="73"/>
      <c r="V55" s="74">
        <f ca="1">SUM(W55:Y55)</f>
        <v>0</v>
      </c>
      <c r="W55" s="74">
        <f ca="1">SUMIF('Dummy Table'!B$53:B$56,Tournament!T55,'Dummy Table'!C$53:C$56)</f>
        <v>0</v>
      </c>
      <c r="X55" s="74">
        <f ca="1">SUMIF('Dummy Table'!B$53:B$56,Tournament!T55,'Dummy Table'!D$53:D$56)</f>
        <v>0</v>
      </c>
      <c r="Y55" s="74">
        <f ca="1">SUMIF('Dummy Table'!B$53:B$56,Tournament!T55,'Dummy Table'!E$53:E$56)</f>
        <v>0</v>
      </c>
      <c r="Z55" s="74"/>
      <c r="AA55" s="74" t="str">
        <f ca="1">CONCATENATE(SUMIF('Dummy Table'!B$53:B$56,Tournament!T55,'Dummy Table'!F$53:F$56)," - ",SUMIF('Dummy Table'!B$53:B$56,Tournament!T55,'Dummy Table'!G$53:G$56))</f>
        <v>0 - 0</v>
      </c>
      <c r="AB55" s="74"/>
      <c r="AC55" s="74">
        <f ca="1">SUMIF('Dummy Table'!B$53:B$56,Tournament!T55,'Dummy Table'!I$53:I$56)</f>
        <v>0</v>
      </c>
      <c r="AD55" s="72"/>
      <c r="AE55" s="12"/>
      <c r="AF55" s="197"/>
      <c r="AG55" s="50"/>
      <c r="AH55" s="12"/>
      <c r="AI55" s="12"/>
      <c r="AJ55" s="51" t="str">
        <f ca="1">IF(SUM('Dummy Table'!AM$53:AM$56)&gt;0,IF(ISNA(VLOOKUP(1,'Dummy Table'!AM$53:AN$56,2,FALSE)),"",VLOOKUP(1,'Dummy Table'!AM$53:AN$56,2,FALSE)),"")</f>
        <v>Belgium</v>
      </c>
      <c r="AK55" s="52"/>
      <c r="DE55" s="9"/>
      <c r="DF55" s="9"/>
      <c r="DG55" s="53"/>
      <c r="DH55" s="9"/>
    </row>
    <row r="56" spans="2:112" s="7" customFormat="1" ht="15" customHeight="1">
      <c r="B56" s="111"/>
      <c r="C56" s="111"/>
      <c r="D56" s="110">
        <v>43</v>
      </c>
      <c r="E56" s="110" t="s">
        <v>71</v>
      </c>
      <c r="F56" s="117">
        <f t="shared" si="0"/>
        <v>41815.708333333328</v>
      </c>
      <c r="G56" s="118">
        <f>'Countries and Timezone'!R44</f>
        <v>41815.708333333328</v>
      </c>
      <c r="H56" s="112" t="str">
        <f>N25</f>
        <v>Nigeria</v>
      </c>
      <c r="I56" s="111"/>
      <c r="J56" s="109" t="str">
        <f ca="1">IF(OFFSET('Group Stages'!$J$13,2*$D56-1,0)&lt;&gt;"",OFFSET('Group Stages'!$J$13,2*$D56-1,0),"")</f>
        <v/>
      </c>
      <c r="K56" s="110" t="s">
        <v>58</v>
      </c>
      <c r="L56" s="109" t="str">
        <f ca="1">IF(OFFSET('Group Stages'!$J$13,2*$D56,0)&lt;&gt;"",OFFSET('Group Stages'!$J$13,2*$D56,0),"")</f>
        <v/>
      </c>
      <c r="M56" s="111"/>
      <c r="N56" s="111" t="str">
        <f t="shared" si="1"/>
        <v>Argentina</v>
      </c>
      <c r="O56" s="111"/>
      <c r="P56" s="111"/>
      <c r="Q56" s="12"/>
      <c r="R56" s="11"/>
      <c r="S56" s="72">
        <v>2</v>
      </c>
      <c r="T56" s="73" t="str">
        <f ca="1">VLOOKUP(2,'Dummy Table'!O53:P56,2,FALSE)</f>
        <v>Russia</v>
      </c>
      <c r="U56" s="73"/>
      <c r="V56" s="74">
        <f ca="1">SUM(W56:Y56)</f>
        <v>0</v>
      </c>
      <c r="W56" s="74">
        <f ca="1">SUMIF('Dummy Table'!B$53:B$56,Tournament!T56,'Dummy Table'!C$53:C$56)</f>
        <v>0</v>
      </c>
      <c r="X56" s="74">
        <f ca="1">SUMIF('Dummy Table'!B$53:B$56,Tournament!T56,'Dummy Table'!D$53:D$56)</f>
        <v>0</v>
      </c>
      <c r="Y56" s="74">
        <f ca="1">SUMIF('Dummy Table'!B$53:B$56,Tournament!T56,'Dummy Table'!E$53:E$56)</f>
        <v>0</v>
      </c>
      <c r="Z56" s="74"/>
      <c r="AA56" s="74" t="str">
        <f ca="1">CONCATENATE(SUMIF('Dummy Table'!B$53:B$56,Tournament!T56,'Dummy Table'!F$53:F$56)," - ",SUMIF('Dummy Table'!B$53:B$56,Tournament!T56,'Dummy Table'!G$53:G$56))</f>
        <v>0 - 0</v>
      </c>
      <c r="AB56" s="74"/>
      <c r="AC56" s="74">
        <f ca="1">SUMIF('Dummy Table'!B$53:B$56,Tournament!T56,'Dummy Table'!I$53:I$56)</f>
        <v>0</v>
      </c>
      <c r="AD56" s="72"/>
      <c r="AE56" s="12"/>
      <c r="AF56" s="197"/>
      <c r="AG56" s="50"/>
      <c r="AH56" s="12"/>
      <c r="AI56" s="12"/>
      <c r="AJ56" s="51" t="str">
        <f ca="1">IF(SUM('Dummy Table'!AM$53:AM$56)&gt;0,IF(ISNA(VLOOKUP(2,'Dummy Table'!AM$53:AN$56,2,FALSE)),"",VLOOKUP(2,'Dummy Table'!AM$53:AN$56,2,FALSE)),"")</f>
        <v>Russia</v>
      </c>
      <c r="AK56" s="52"/>
      <c r="DE56" s="9"/>
      <c r="DF56" s="9"/>
      <c r="DG56" s="53"/>
      <c r="DH56" s="9"/>
    </row>
    <row r="57" spans="2:112" s="7" customFormat="1" ht="15" customHeight="1">
      <c r="B57" s="111"/>
      <c r="C57" s="111"/>
      <c r="D57" s="110">
        <v>44</v>
      </c>
      <c r="E57" s="110" t="s">
        <v>71</v>
      </c>
      <c r="F57" s="117">
        <f t="shared" si="0"/>
        <v>41815.708333333328</v>
      </c>
      <c r="G57" s="118">
        <f>'Countries and Timezone'!R45</f>
        <v>41815.708333333328</v>
      </c>
      <c r="H57" s="112" t="str">
        <f>N24</f>
        <v>Bosnia-Herzegovina</v>
      </c>
      <c r="I57" s="111"/>
      <c r="J57" s="109" t="str">
        <f ca="1">IF(OFFSET('Group Stages'!$J$13,2*$D57-1,0)&lt;&gt;"",OFFSET('Group Stages'!$J$13,2*$D57-1,0),"")</f>
        <v/>
      </c>
      <c r="K57" s="110" t="s">
        <v>58</v>
      </c>
      <c r="L57" s="109" t="str">
        <f ca="1">IF(OFFSET('Group Stages'!$J$13,2*$D57,0)&lt;&gt;"",OFFSET('Group Stages'!$J$13,2*$D57,0),"")</f>
        <v/>
      </c>
      <c r="M57" s="111"/>
      <c r="N57" s="111" t="str">
        <f t="shared" si="1"/>
        <v>Iran</v>
      </c>
      <c r="O57" s="111"/>
      <c r="P57" s="111"/>
      <c r="Q57" s="12"/>
      <c r="R57" s="11"/>
      <c r="S57" s="72">
        <v>3</v>
      </c>
      <c r="T57" s="73" t="str">
        <f ca="1">VLOOKUP(3,'Dummy Table'!O53:P56,2,FALSE)</f>
        <v>Algeria</v>
      </c>
      <c r="U57" s="73"/>
      <c r="V57" s="74">
        <f ca="1">SUM(W57:Y57)</f>
        <v>0</v>
      </c>
      <c r="W57" s="74">
        <f ca="1">SUMIF('Dummy Table'!B$53:B$56,Tournament!T57,'Dummy Table'!C$53:C$56)</f>
        <v>0</v>
      </c>
      <c r="X57" s="74">
        <f ca="1">SUMIF('Dummy Table'!B$53:B$56,Tournament!T57,'Dummy Table'!D$53:D$56)</f>
        <v>0</v>
      </c>
      <c r="Y57" s="74">
        <f ca="1">SUMIF('Dummy Table'!B$53:B$56,Tournament!T57,'Dummy Table'!E$53:E$56)</f>
        <v>0</v>
      </c>
      <c r="Z57" s="74"/>
      <c r="AA57" s="74" t="str">
        <f ca="1">CONCATENATE(SUMIF('Dummy Table'!B$53:B$56,Tournament!T57,'Dummy Table'!F$53:F$56)," - ",SUMIF('Dummy Table'!B$53:B$56,Tournament!T57,'Dummy Table'!G$53:G$56))</f>
        <v>0 - 0</v>
      </c>
      <c r="AB57" s="74"/>
      <c r="AC57" s="74">
        <f ca="1">SUMIF('Dummy Table'!B$53:B$56,Tournament!T57,'Dummy Table'!I$53:I$56)</f>
        <v>0</v>
      </c>
      <c r="AD57" s="72"/>
      <c r="AE57" s="12"/>
      <c r="AF57" s="197"/>
      <c r="AG57" s="50"/>
      <c r="AH57" s="12"/>
      <c r="AI57" s="12"/>
      <c r="AJ57" s="51" t="str">
        <f ca="1">IF(SUM('Dummy Table'!AM$53:AM$56)&gt;0,IF(ISNA(VLOOKUP(3,'Dummy Table'!AM$53:AN$56,2,FALSE)),"",VLOOKUP(3,'Dummy Table'!AM$53:AN$56,2,FALSE)),"")</f>
        <v>Algeria</v>
      </c>
      <c r="AK57" s="52"/>
      <c r="DE57" s="9"/>
      <c r="DF57" s="9"/>
      <c r="DG57" s="53"/>
      <c r="DH57" s="9"/>
    </row>
    <row r="58" spans="2:112" s="7" customFormat="1" ht="15" customHeight="1">
      <c r="B58" s="111"/>
      <c r="C58" s="111"/>
      <c r="D58" s="110">
        <v>45</v>
      </c>
      <c r="E58" s="110" t="s">
        <v>583</v>
      </c>
      <c r="F58" s="117">
        <f t="shared" si="0"/>
        <v>41816.708333333328</v>
      </c>
      <c r="G58" s="118">
        <f>'Countries and Timezone'!R46</f>
        <v>41816.708333333328</v>
      </c>
      <c r="H58" s="112" t="str">
        <f>N27</f>
        <v>USA</v>
      </c>
      <c r="I58" s="111"/>
      <c r="J58" s="109" t="str">
        <f ca="1">IF(OFFSET('Group Stages'!$J$13,2*$D58-1,0)&lt;&gt;"",OFFSET('Group Stages'!$J$13,2*$D58-1,0),"")</f>
        <v/>
      </c>
      <c r="K58" s="110" t="s">
        <v>58</v>
      </c>
      <c r="L58" s="109" t="str">
        <f ca="1">IF(OFFSET('Group Stages'!$J$13,2*$D58,0)&lt;&gt;"",OFFSET('Group Stages'!$J$13,2*$D58,0),"")</f>
        <v/>
      </c>
      <c r="M58" s="111"/>
      <c r="N58" s="111" t="str">
        <f t="shared" si="1"/>
        <v>Germany</v>
      </c>
      <c r="O58" s="111"/>
      <c r="P58" s="111"/>
      <c r="Q58" s="12"/>
      <c r="R58" s="11"/>
      <c r="S58" s="72">
        <v>4</v>
      </c>
      <c r="T58" s="73" t="str">
        <f ca="1">VLOOKUP(4,'Dummy Table'!O53:P56,2,FALSE)</f>
        <v>South Korea</v>
      </c>
      <c r="U58" s="73"/>
      <c r="V58" s="74">
        <f ca="1">SUM(W58:Y58)</f>
        <v>0</v>
      </c>
      <c r="W58" s="74">
        <f ca="1">SUMIF('Dummy Table'!B$53:B$56,Tournament!T58,'Dummy Table'!C$53:C$56)</f>
        <v>0</v>
      </c>
      <c r="X58" s="74">
        <f ca="1">SUMIF('Dummy Table'!B$53:B$56,Tournament!T58,'Dummy Table'!D$53:D$56)</f>
        <v>0</v>
      </c>
      <c r="Y58" s="74">
        <f ca="1">SUMIF('Dummy Table'!B$53:B$56,Tournament!T58,'Dummy Table'!E$53:E$56)</f>
        <v>0</v>
      </c>
      <c r="Z58" s="74"/>
      <c r="AA58" s="74" t="str">
        <f ca="1">CONCATENATE(SUMIF('Dummy Table'!B$53:B$56,Tournament!T58,'Dummy Table'!F$53:F$56)," - ",SUMIF('Dummy Table'!B$53:B$56,Tournament!T58,'Dummy Table'!G$53:G$56))</f>
        <v>0 - 0</v>
      </c>
      <c r="AB58" s="74"/>
      <c r="AC58" s="74">
        <f ca="1">SUMIF('Dummy Table'!B$53:B$56,Tournament!T58,'Dummy Table'!I$53:I$56)</f>
        <v>0</v>
      </c>
      <c r="AD58" s="72"/>
      <c r="AE58" s="12"/>
      <c r="AF58" s="197"/>
      <c r="AG58" s="50"/>
      <c r="AH58" s="12"/>
      <c r="AI58" s="12"/>
      <c r="AJ58" s="51" t="str">
        <f ca="1">IF(SUM('Dummy Table'!AM$53:AM$56)&gt;0,IF(ISNA(VLOOKUP(4,'Dummy Table'!AM$53:AN$56,2,FALSE)),"",VLOOKUP(4,'Dummy Table'!AM$53:AN$56,2,FALSE)),"")</f>
        <v>South Korea</v>
      </c>
      <c r="AK58" s="52"/>
      <c r="DE58" s="9"/>
      <c r="DF58" s="9"/>
      <c r="DG58" s="53"/>
      <c r="DH58" s="9"/>
    </row>
    <row r="59" spans="2:112" s="7" customFormat="1" ht="15" customHeight="1">
      <c r="B59" s="111"/>
      <c r="C59" s="111"/>
      <c r="D59" s="110">
        <v>46</v>
      </c>
      <c r="E59" s="110" t="s">
        <v>583</v>
      </c>
      <c r="F59" s="117">
        <f t="shared" si="0"/>
        <v>41816.708333333328</v>
      </c>
      <c r="G59" s="118">
        <f>'Countries and Timezone'!R47</f>
        <v>41816.708333333328</v>
      </c>
      <c r="H59" s="112" t="str">
        <f>N26</f>
        <v>Portugal</v>
      </c>
      <c r="I59" s="111"/>
      <c r="J59" s="109" t="str">
        <f ca="1">IF(OFFSET('Group Stages'!$J$13,2*$D59-1,0)&lt;&gt;"",OFFSET('Group Stages'!$J$13,2*$D59-1,0),"")</f>
        <v/>
      </c>
      <c r="K59" s="110" t="s">
        <v>58</v>
      </c>
      <c r="L59" s="109" t="str">
        <f ca="1">IF(OFFSET('Group Stages'!$J$13,2*$D59,0)&lt;&gt;"",OFFSET('Group Stages'!$J$13,2*$D59,0),"")</f>
        <v/>
      </c>
      <c r="M59" s="111"/>
      <c r="N59" s="111" t="str">
        <f t="shared" si="1"/>
        <v>Ghana</v>
      </c>
      <c r="O59" s="111"/>
      <c r="P59" s="111"/>
      <c r="Q59" s="12"/>
      <c r="R59" s="11"/>
      <c r="S59" s="12"/>
      <c r="T59" s="12"/>
      <c r="U59" s="12"/>
      <c r="V59" s="12"/>
      <c r="W59" s="12"/>
      <c r="X59" s="12"/>
      <c r="Y59" s="12"/>
      <c r="Z59" s="12"/>
      <c r="AA59" s="12"/>
      <c r="AB59" s="12"/>
      <c r="AC59" s="12"/>
      <c r="AD59" s="20"/>
      <c r="AE59" s="20"/>
      <c r="AF59" s="12"/>
      <c r="AG59" s="56"/>
      <c r="AH59" s="76"/>
      <c r="AI59" s="76"/>
      <c r="AJ59" s="12"/>
      <c r="DC59" s="9"/>
      <c r="DD59" s="9"/>
      <c r="DE59" s="53"/>
      <c r="DF59" s="9"/>
    </row>
    <row r="60" spans="2:112" s="7" customFormat="1" ht="15" customHeight="1">
      <c r="B60" s="111"/>
      <c r="C60" s="111"/>
      <c r="D60" s="110">
        <v>47</v>
      </c>
      <c r="E60" s="110" t="s">
        <v>584</v>
      </c>
      <c r="F60" s="117">
        <f t="shared" si="0"/>
        <v>41816.875</v>
      </c>
      <c r="G60" s="118">
        <f>'Countries and Timezone'!R48</f>
        <v>41816.875</v>
      </c>
      <c r="H60" s="112" t="str">
        <f>N29</f>
        <v>South Korea</v>
      </c>
      <c r="I60" s="111"/>
      <c r="J60" s="109" t="str">
        <f ca="1">IF(OFFSET('Group Stages'!$J$13,2*$D60-1,0)&lt;&gt;"",OFFSET('Group Stages'!$J$13,2*$D60-1,0),"")</f>
        <v/>
      </c>
      <c r="K60" s="110" t="s">
        <v>58</v>
      </c>
      <c r="L60" s="109" t="str">
        <f ca="1">IF(OFFSET('Group Stages'!$J$13,2*$D60,0)&lt;&gt;"",OFFSET('Group Stages'!$J$13,2*$D60,0),"")</f>
        <v/>
      </c>
      <c r="M60" s="111"/>
      <c r="N60" s="111" t="str">
        <f t="shared" si="1"/>
        <v>Belgium</v>
      </c>
      <c r="O60" s="111"/>
      <c r="P60" s="111"/>
      <c r="Q60" s="12"/>
      <c r="R60" s="57"/>
      <c r="S60" s="58" t="s">
        <v>2682</v>
      </c>
      <c r="T60" s="59" t="str">
        <f>INDEX(Language!$A$1:$AX$115,MATCH("Played",Language!$B$1:$B$115,0),MATCH($G$2,Language!$A$1:$AW$1,0))</f>
        <v>Played</v>
      </c>
      <c r="V60" s="58" t="s">
        <v>2685</v>
      </c>
      <c r="W60" s="59" t="str">
        <f>INDEX(Language!$A$1:$AX$115,MATCH("Lose",Language!$B$1:$B$115,0),MATCH($G$2,Language!$A$1:$AW$1,0))</f>
        <v>Lose</v>
      </c>
      <c r="Z60" s="59"/>
      <c r="AB60" s="59" t="s">
        <v>2688</v>
      </c>
      <c r="AC60" s="59" t="str">
        <f>INDEX(Language!$A$1:$AX$115,MATCH("Point",Language!$B$1:$B$115,0),MATCH($G$2,Language!$A$1:$AW$1,0))</f>
        <v>Point</v>
      </c>
      <c r="AD60" s="20"/>
      <c r="AE60" s="12"/>
      <c r="AF60" s="21"/>
      <c r="AG60" s="49"/>
      <c r="AH60" s="12"/>
      <c r="AI60" s="12"/>
      <c r="AJ60" s="12"/>
      <c r="DB60" s="9"/>
      <c r="DC60" s="9"/>
      <c r="DD60" s="53"/>
      <c r="DE60" s="9"/>
    </row>
    <row r="61" spans="2:112" s="7" customFormat="1" ht="15" customHeight="1">
      <c r="B61" s="111"/>
      <c r="C61" s="111"/>
      <c r="D61" s="110">
        <v>48</v>
      </c>
      <c r="E61" s="110" t="s">
        <v>584</v>
      </c>
      <c r="F61" s="117">
        <f t="shared" si="0"/>
        <v>41816.875</v>
      </c>
      <c r="G61" s="118">
        <f>'Countries and Timezone'!R49</f>
        <v>41816.875</v>
      </c>
      <c r="H61" s="112" t="str">
        <f>N28</f>
        <v>Algeria</v>
      </c>
      <c r="I61" s="111"/>
      <c r="J61" s="109" t="str">
        <f ca="1">IF(OFFSET('Group Stages'!$J$13,2*$D61-1,0)&lt;&gt;"",OFFSET('Group Stages'!$J$13,2*$D61-1,0),"")</f>
        <v/>
      </c>
      <c r="K61" s="110" t="s">
        <v>58</v>
      </c>
      <c r="L61" s="109" t="str">
        <f ca="1">IF(OFFSET('Group Stages'!$J$13,2*$D61,0)&lt;&gt;"",OFFSET('Group Stages'!$J$13,2*$D61,0),"")</f>
        <v/>
      </c>
      <c r="M61" s="111"/>
      <c r="N61" s="111" t="str">
        <f t="shared" si="1"/>
        <v>Russia</v>
      </c>
      <c r="O61" s="111"/>
      <c r="P61" s="111"/>
      <c r="Q61" s="12"/>
      <c r="R61" s="57"/>
      <c r="S61" s="58" t="s">
        <v>2683</v>
      </c>
      <c r="T61" s="59" t="str">
        <f>INDEX(Language!$A$1:$AX$115,MATCH("Win",Language!$B$1:$B$115,0),MATCH($G$2,Language!$A$1:$AW$1,0))</f>
        <v>Win</v>
      </c>
      <c r="V61" s="58" t="s">
        <v>2686</v>
      </c>
      <c r="W61" s="59" t="str">
        <f>INDEX(Language!$A$1:$AX$115,MATCH("Goal scored for",Language!$B$1:$B$115,0),MATCH($G$2,Language!$A$1:$AW$1,0))</f>
        <v>Goal scored for</v>
      </c>
      <c r="X61" s="59"/>
      <c r="Y61" s="59"/>
      <c r="Z61" s="59"/>
      <c r="AA61" s="59"/>
      <c r="AB61" s="59"/>
      <c r="AC61" s="20"/>
      <c r="AD61" s="12"/>
      <c r="AE61" s="12"/>
      <c r="AF61" s="21"/>
      <c r="AG61" s="49"/>
      <c r="AH61" s="12"/>
      <c r="AI61" s="12"/>
      <c r="AJ61" s="12"/>
      <c r="DB61" s="9"/>
      <c r="DC61" s="9"/>
      <c r="DD61" s="53"/>
      <c r="DE61" s="9"/>
    </row>
    <row r="62" spans="2:112" s="7" customFormat="1" ht="15" customHeight="1">
      <c r="B62" s="111"/>
      <c r="C62" s="111"/>
      <c r="D62" s="111"/>
      <c r="E62" s="111"/>
      <c r="F62" s="111"/>
      <c r="G62" s="111"/>
      <c r="H62" s="111"/>
      <c r="I62" s="111"/>
      <c r="J62" s="111"/>
      <c r="K62" s="110"/>
      <c r="L62" s="111"/>
      <c r="M62" s="111"/>
      <c r="N62" s="111"/>
      <c r="O62" s="111"/>
      <c r="P62" s="111"/>
      <c r="Q62" s="12"/>
      <c r="R62" s="60"/>
      <c r="S62" s="61" t="s">
        <v>2684</v>
      </c>
      <c r="T62" s="62" t="str">
        <f>INDEX(Language!$A$1:$AX$115,MATCH("Draw",Language!$B$1:$B$115,0),MATCH($G$2,Language!$A$1:$AW$1,0))</f>
        <v>Draw</v>
      </c>
      <c r="U62" s="24"/>
      <c r="V62" s="61" t="s">
        <v>2687</v>
      </c>
      <c r="W62" s="62" t="str">
        <f>INDEX(Language!$A$1:$AX$115,MATCH("Goal scored against",Language!$B$1:$B$115,0),MATCH($G$2,Language!$A$1:$AW$1,0))</f>
        <v>Goal scored against</v>
      </c>
      <c r="X62" s="62"/>
      <c r="Y62" s="62"/>
      <c r="Z62" s="62"/>
      <c r="AA62" s="62"/>
      <c r="AB62" s="62"/>
      <c r="AC62" s="63"/>
      <c r="AD62" s="24"/>
      <c r="AE62" s="24"/>
      <c r="AF62" s="64"/>
      <c r="AG62" s="65"/>
      <c r="AH62" s="12"/>
      <c r="AI62" s="12"/>
      <c r="AJ62" s="12"/>
      <c r="DB62" s="9"/>
      <c r="DC62" s="9"/>
      <c r="DD62" s="53"/>
      <c r="DE62" s="9"/>
    </row>
    <row r="63" spans="2:112" s="7" customFormat="1" ht="15" customHeight="1">
      <c r="B63" s="111"/>
      <c r="C63" s="111"/>
      <c r="D63" s="111"/>
      <c r="E63" s="111"/>
      <c r="F63" s="111"/>
      <c r="G63" s="111"/>
      <c r="H63" s="111"/>
      <c r="I63" s="111"/>
      <c r="J63" s="111"/>
      <c r="K63" s="110"/>
      <c r="L63" s="111"/>
      <c r="M63" s="111"/>
      <c r="N63" s="111"/>
      <c r="O63" s="111"/>
      <c r="P63" s="111"/>
      <c r="Q63" s="12"/>
      <c r="R63" s="12"/>
      <c r="S63" s="12"/>
      <c r="T63" s="12"/>
      <c r="U63" s="12"/>
      <c r="V63" s="12"/>
      <c r="W63" s="12"/>
      <c r="X63" s="12"/>
      <c r="Y63" s="12"/>
      <c r="Z63" s="12"/>
      <c r="AA63" s="12"/>
      <c r="AB63" s="12"/>
      <c r="AC63" s="20"/>
      <c r="AD63" s="126"/>
      <c r="AE63" s="12"/>
      <c r="AF63" s="21"/>
      <c r="AG63" s="76"/>
      <c r="AH63" s="12"/>
      <c r="AI63" s="12"/>
      <c r="AJ63" s="12"/>
      <c r="DB63" s="9"/>
      <c r="DC63" s="9"/>
      <c r="DD63" s="53"/>
      <c r="DE63" s="9"/>
    </row>
    <row r="64" spans="2:112" s="7" customFormat="1" ht="15" customHeight="1">
      <c r="B64" s="111"/>
      <c r="C64" s="111"/>
      <c r="D64" s="111"/>
      <c r="E64" s="111"/>
      <c r="F64" s="111"/>
      <c r="G64" s="111"/>
      <c r="H64" s="111"/>
      <c r="I64" s="111"/>
      <c r="J64" s="111"/>
      <c r="K64" s="110"/>
      <c r="L64" s="111"/>
      <c r="M64" s="111"/>
      <c r="N64" s="111"/>
      <c r="O64" s="111"/>
      <c r="P64" s="111"/>
      <c r="Q64" s="111"/>
      <c r="R64" s="111"/>
      <c r="S64" s="111"/>
      <c r="T64" s="111"/>
      <c r="U64" s="111"/>
      <c r="V64" s="111"/>
      <c r="W64" s="111"/>
      <c r="X64" s="111"/>
      <c r="Y64" s="111"/>
      <c r="Z64" s="111"/>
      <c r="AA64" s="111"/>
      <c r="AB64" s="111"/>
      <c r="AC64" s="111"/>
      <c r="AD64" s="111"/>
      <c r="AE64" s="111"/>
      <c r="AF64" s="114"/>
      <c r="AG64" s="110"/>
      <c r="AH64" s="111"/>
      <c r="DB64" s="9"/>
      <c r="DC64" s="9"/>
      <c r="DD64" s="53"/>
      <c r="DE64" s="9"/>
    </row>
    <row r="65" spans="2:112" s="7" customFormat="1" ht="15" customHeight="1">
      <c r="B65" s="111"/>
      <c r="C65" s="196" t="str">
        <f>INDEX(Language!$A$1:$AX$115,MATCH("Round of 16",Language!$B$1:$B$115,0),MATCH($G$2,Language!$A$1:$AW$1,0))</f>
        <v>Round of 16</v>
      </c>
      <c r="D65" s="196"/>
      <c r="E65" s="196"/>
      <c r="F65" s="196"/>
      <c r="G65" s="196"/>
      <c r="H65" s="196"/>
      <c r="I65" s="196"/>
      <c r="J65" s="196"/>
      <c r="K65" s="196"/>
      <c r="L65" s="196"/>
      <c r="M65" s="196"/>
      <c r="N65" s="196"/>
      <c r="O65" s="196"/>
      <c r="P65" s="111"/>
      <c r="Q65" s="111"/>
      <c r="R65" s="196" t="str">
        <f>INDEX(Language!$A$1:$AX$115,MATCH("Quarter Finals",Language!$B$1:$B$115,0),MATCH($G$2,Language!$A$1:$AW$1,0))</f>
        <v>Quarter Finals</v>
      </c>
      <c r="S65" s="196"/>
      <c r="T65" s="196"/>
      <c r="U65" s="196"/>
      <c r="V65" s="196"/>
      <c r="W65" s="196"/>
      <c r="X65" s="196"/>
      <c r="Y65" s="196"/>
      <c r="Z65" s="196"/>
      <c r="AA65" s="196"/>
      <c r="AB65" s="196"/>
      <c r="AC65" s="196"/>
      <c r="AD65" s="196"/>
      <c r="AE65" s="196"/>
      <c r="AF65" s="196"/>
      <c r="AG65" s="196"/>
      <c r="AH65" s="111"/>
      <c r="DB65" s="9"/>
      <c r="DC65" s="9"/>
      <c r="DD65" s="53"/>
      <c r="DE65" s="9"/>
    </row>
    <row r="66" spans="2:112" s="7" customFormat="1" ht="15" customHeight="1">
      <c r="B66" s="111"/>
      <c r="C66" s="116"/>
      <c r="D66" s="116"/>
      <c r="E66" s="116"/>
      <c r="F66" s="116"/>
      <c r="G66" s="119"/>
      <c r="H66" s="116"/>
      <c r="I66" s="116"/>
      <c r="J66" s="116"/>
      <c r="K66" s="120"/>
      <c r="L66" s="116"/>
      <c r="M66" s="116"/>
      <c r="N66" s="116"/>
      <c r="O66" s="111"/>
      <c r="P66" s="111"/>
      <c r="Q66" s="111"/>
      <c r="R66" s="116"/>
      <c r="S66" s="116"/>
      <c r="T66" s="116"/>
      <c r="U66" s="116"/>
      <c r="V66" s="116"/>
      <c r="W66" s="116"/>
      <c r="X66" s="116"/>
      <c r="Y66" s="116"/>
      <c r="Z66" s="116"/>
      <c r="AA66" s="120"/>
      <c r="AB66" s="116"/>
      <c r="AC66" s="116"/>
      <c r="AD66" s="116"/>
      <c r="AE66" s="116"/>
      <c r="AF66" s="111"/>
      <c r="AG66" s="111"/>
      <c r="AH66" s="111"/>
      <c r="AJ66" s="48"/>
      <c r="AK66" s="8"/>
      <c r="DE66" s="9"/>
      <c r="DF66" s="9"/>
      <c r="DG66" s="53"/>
      <c r="DH66" s="9"/>
    </row>
    <row r="67" spans="2:112" s="7" customFormat="1" ht="15" customHeight="1">
      <c r="B67" s="111"/>
      <c r="C67" s="111"/>
      <c r="D67" s="110">
        <v>49</v>
      </c>
      <c r="E67" s="110"/>
      <c r="F67" s="117">
        <f>G67</f>
        <v>41818.708333333328</v>
      </c>
      <c r="G67" s="118">
        <f>'Countries and Timezone'!R50</f>
        <v>41818.708333333328</v>
      </c>
      <c r="H67" s="112" t="str">
        <f ca="1">IF(Tournament!$V$13=3,Tournament!$T$13,INDEX(Language!$A$1:$AX$115,MATCH("Group A Winner",Language!$B$1:$B$115,0),MATCH($G$2,Language!$A$1:$AW$1,0)))</f>
        <v>Group A Winner</v>
      </c>
      <c r="I67" s="111"/>
      <c r="J67" s="110" t="str">
        <f>IF(J68="","",IF(AND(J68=L68,J68&lt;&gt;"",L68&lt;&gt;""),IF(AND(J69=L69,J69&lt;&gt;"",L69&lt;&gt;""),IF(AND(J70=L70,J70&lt;&gt;"",L70&lt;&gt;""),"",J68+J69+J70),J68+J69),J68))</f>
        <v/>
      </c>
      <c r="K67" s="110" t="s">
        <v>58</v>
      </c>
      <c r="L67" s="110" t="str">
        <f>IF(L68="","",IF(AND(J68=L68,J68&lt;&gt;"",L68&lt;&gt;""),IF(AND(J69=L69,J69&lt;&gt;"",L69&lt;&gt;""),IF(AND(J70=L70,J70&lt;&gt;"",L70&lt;&gt;""),"",L68+L69+L70),L68+L69),L68))</f>
        <v/>
      </c>
      <c r="M67" s="111"/>
      <c r="N67" s="111" t="str">
        <f ca="1">IF(Tournament!$V$20=3,Tournament!$T$20,INDEX(Language!$A$1:$AX$115,MATCH("Group B Runner Up",Language!$B$1:$B$115,0),MATCH($G$2,Language!$A$1:$AW$1,0)))</f>
        <v>Group B Runner Up</v>
      </c>
      <c r="O67" s="111"/>
      <c r="P67" s="111"/>
      <c r="Q67" s="111"/>
      <c r="R67" s="116"/>
      <c r="S67" s="120">
        <v>57</v>
      </c>
      <c r="T67" s="117">
        <f>U67</f>
        <v>41824.875</v>
      </c>
      <c r="U67" s="118">
        <f>'Countries and Timezone'!R58</f>
        <v>41824.875</v>
      </c>
      <c r="V67" s="118"/>
      <c r="W67" s="118"/>
      <c r="X67" s="118"/>
      <c r="Y67" s="112" t="str">
        <f>IF(AND(J67&lt;&gt;"",L67&lt;&gt;"",J67&lt;&gt;L67),IF(J67&gt;L67,H67,N67),INDEX(Language!$A$1:$AX$115,MATCH("Match 49 Winner",Language!$B$1:$B$115,0),MATCH($G$2,Language!$A$1:$AW$1,0)))</f>
        <v>Match 49 Winner</v>
      </c>
      <c r="Z67" s="116"/>
      <c r="AA67" s="110" t="str">
        <f>IF(AA68="","",IF(AND(AA68=AC68,AA68&lt;&gt;"",AC68&lt;&gt;""),IF(AND(AA69=AC69,AA69&lt;&gt;"",AC69&lt;&gt;""),IF(AND(AA70=AC70,AA70&lt;&gt;"",AC70&lt;&gt;""),"",AA68+AA69+AA70),AA68+AA69),AA68))</f>
        <v/>
      </c>
      <c r="AB67" s="110" t="s">
        <v>58</v>
      </c>
      <c r="AC67" s="110" t="str">
        <f>IF(AC68="","",IF(AND(AA68=AC68,AA68&lt;&gt;"",AC68&lt;&gt;""),IF(AND(AA69=AC69,AA69&lt;&gt;"",AC69&lt;&gt;""),IF(AND(AA70=AC70,AA70&lt;&gt;"",AC70&lt;&gt;""),"",AC68+AC69+AC70),AC68+AC69),AC68))</f>
        <v/>
      </c>
      <c r="AD67" s="116"/>
      <c r="AE67" s="111" t="str">
        <f>IF(AND(J73&lt;&gt;"",L73&lt;&gt;"",J73&lt;&gt;L73),IF(J73&gt;L73,H73,N73),INDEX(Language!$A$1:$AX$115,MATCH("Match 50 Winner",Language!$B$1:$B$115,0),MATCH($G$2,Language!$A$1:$AW$1,0)))</f>
        <v>Match 50 Winner</v>
      </c>
      <c r="AF67" s="111"/>
      <c r="AG67" s="111"/>
      <c r="AH67" s="111"/>
      <c r="AJ67" s="48"/>
      <c r="AK67" s="8"/>
      <c r="DE67" s="9"/>
      <c r="DF67" s="9"/>
      <c r="DG67" s="53"/>
      <c r="DH67" s="9"/>
    </row>
    <row r="68" spans="2:112" s="7" customFormat="1" ht="15" customHeight="1">
      <c r="B68" s="111"/>
      <c r="C68" s="111"/>
      <c r="D68" s="110"/>
      <c r="E68" s="110"/>
      <c r="F68" s="111"/>
      <c r="G68" s="111"/>
      <c r="H68" s="112" t="str">
        <f>INDEX(Language!$A$1:$AX$115,MATCH("Normal Time",Language!$B$1:$B$115,0),MATCH($G$2,Language!$A$1:$AW$1,0))</f>
        <v>Normal Time</v>
      </c>
      <c r="I68" s="111"/>
      <c r="J68" s="109">
        <f>'Knock Out Stages'!J41</f>
        <v>0</v>
      </c>
      <c r="K68" s="110" t="s">
        <v>58</v>
      </c>
      <c r="L68" s="109">
        <f>'Knock Out Stages'!J42</f>
        <v>0</v>
      </c>
      <c r="M68" s="111"/>
      <c r="N68" s="111"/>
      <c r="O68" s="111"/>
      <c r="P68" s="111"/>
      <c r="Q68" s="111"/>
      <c r="R68" s="116"/>
      <c r="S68" s="120"/>
      <c r="T68" s="116"/>
      <c r="U68" s="116"/>
      <c r="V68" s="116"/>
      <c r="W68" s="116"/>
      <c r="X68" s="116"/>
      <c r="Y68" s="112" t="str">
        <f>INDEX(Language!$A$1:$AX$115,MATCH("Normal Time",Language!$B$1:$B$115,0),MATCH($G$2,Language!$A$1:$AW$1,0))</f>
        <v>Normal Time</v>
      </c>
      <c r="Z68" s="116"/>
      <c r="AA68" s="109">
        <f>'Knock Out Stages'!J60</f>
        <v>0</v>
      </c>
      <c r="AB68" s="110" t="s">
        <v>58</v>
      </c>
      <c r="AC68" s="109">
        <f>'Knock Out Stages'!J61</f>
        <v>0</v>
      </c>
      <c r="AD68" s="116"/>
      <c r="AE68" s="121"/>
      <c r="AF68" s="111"/>
      <c r="AG68" s="111"/>
      <c r="AH68" s="111"/>
      <c r="AJ68" s="48"/>
      <c r="AK68" s="8"/>
      <c r="DE68" s="9"/>
      <c r="DF68" s="9"/>
      <c r="DG68" s="53"/>
      <c r="DH68" s="9"/>
    </row>
    <row r="69" spans="2:112" s="7" customFormat="1" ht="15" customHeight="1">
      <c r="B69" s="111"/>
      <c r="C69" s="111"/>
      <c r="D69" s="110"/>
      <c r="E69" s="110"/>
      <c r="F69" s="111"/>
      <c r="G69" s="111"/>
      <c r="H69" s="112" t="str">
        <f>INDEX(Language!$A$1:$AX$115,MATCH("Extra Time",Language!$B$1:$B$115,0),MATCH($G$2,Language!$A$1:$AW$1,0))</f>
        <v>Extra Time</v>
      </c>
      <c r="I69" s="111"/>
      <c r="J69" s="109">
        <f>'Knock Out Stages'!K41</f>
        <v>0</v>
      </c>
      <c r="K69" s="110" t="s">
        <v>58</v>
      </c>
      <c r="L69" s="109">
        <f>'Knock Out Stages'!K42</f>
        <v>0</v>
      </c>
      <c r="M69" s="111"/>
      <c r="N69" s="111"/>
      <c r="O69" s="111"/>
      <c r="P69" s="111"/>
      <c r="Q69" s="116"/>
      <c r="R69" s="116"/>
      <c r="S69" s="120"/>
      <c r="T69" s="116"/>
      <c r="U69" s="116"/>
      <c r="V69" s="116"/>
      <c r="W69" s="116"/>
      <c r="X69" s="116"/>
      <c r="Y69" s="112" t="str">
        <f>INDEX(Language!$A$1:$AX$115,MATCH("Extra Time",Language!$B$1:$B$115,0),MATCH($G$2,Language!$A$1:$AW$1,0))</f>
        <v>Extra Time</v>
      </c>
      <c r="Z69" s="116"/>
      <c r="AA69" s="109">
        <f>'Knock Out Stages'!K60</f>
        <v>0</v>
      </c>
      <c r="AB69" s="110" t="s">
        <v>58</v>
      </c>
      <c r="AC69" s="109">
        <f>'Knock Out Stages'!K61</f>
        <v>0</v>
      </c>
      <c r="AD69" s="116"/>
      <c r="AE69" s="121"/>
      <c r="AF69" s="111"/>
      <c r="AG69" s="111"/>
      <c r="AH69" s="111"/>
      <c r="AJ69" s="48"/>
      <c r="AK69" s="8"/>
      <c r="DE69" s="9"/>
      <c r="DF69" s="9"/>
      <c r="DG69" s="53"/>
      <c r="DH69" s="9"/>
    </row>
    <row r="70" spans="2:112" s="7" customFormat="1" ht="15" customHeight="1">
      <c r="B70" s="111"/>
      <c r="C70" s="111"/>
      <c r="D70" s="110"/>
      <c r="E70" s="110"/>
      <c r="F70" s="111"/>
      <c r="G70" s="111"/>
      <c r="H70" s="112" t="str">
        <f>INDEX(Language!$A$1:$AX$115,MATCH("Penalty Shoot Out",Language!$B$1:$B$115,0),MATCH($G$2,Language!$A$1:$AW$1,0))</f>
        <v>Penalty Shoot Out</v>
      </c>
      <c r="I70" s="111"/>
      <c r="J70" s="109">
        <f>'Knock Out Stages'!L41</f>
        <v>0</v>
      </c>
      <c r="K70" s="110" t="s">
        <v>58</v>
      </c>
      <c r="L70" s="109">
        <f>'Knock Out Stages'!L42</f>
        <v>0</v>
      </c>
      <c r="M70" s="111"/>
      <c r="N70" s="111"/>
      <c r="O70" s="111"/>
      <c r="P70" s="111"/>
      <c r="Q70" s="116"/>
      <c r="R70" s="116"/>
      <c r="S70" s="120"/>
      <c r="T70" s="116"/>
      <c r="U70" s="116"/>
      <c r="V70" s="116"/>
      <c r="W70" s="116"/>
      <c r="X70" s="116"/>
      <c r="Y70" s="112" t="str">
        <f>INDEX(Language!$A$1:$AX$115,MATCH("Penalty Shoot Out",Language!$B$1:$B$115,0),MATCH($G$2,Language!$A$1:$AW$1,0))</f>
        <v>Penalty Shoot Out</v>
      </c>
      <c r="Z70" s="116"/>
      <c r="AA70" s="109">
        <f>'Knock Out Stages'!L60</f>
        <v>0</v>
      </c>
      <c r="AB70" s="110" t="s">
        <v>58</v>
      </c>
      <c r="AC70" s="109">
        <f>'Knock Out Stages'!L61</f>
        <v>0</v>
      </c>
      <c r="AD70" s="116"/>
      <c r="AE70" s="121"/>
      <c r="AF70" s="111"/>
      <c r="AG70" s="111"/>
      <c r="AH70" s="111"/>
      <c r="AJ70" s="48"/>
      <c r="AK70" s="8"/>
      <c r="DE70" s="9"/>
      <c r="DF70" s="9"/>
      <c r="DG70" s="53"/>
      <c r="DH70" s="9"/>
    </row>
    <row r="71" spans="2:112" s="7" customFormat="1" ht="15" customHeight="1">
      <c r="B71" s="111"/>
      <c r="C71" s="111"/>
      <c r="D71" s="110"/>
      <c r="E71" s="110"/>
      <c r="F71" s="111"/>
      <c r="G71" s="111"/>
      <c r="H71" s="112"/>
      <c r="I71" s="111"/>
      <c r="J71" s="110"/>
      <c r="K71" s="111"/>
      <c r="L71" s="111"/>
      <c r="M71" s="111"/>
      <c r="N71" s="111"/>
      <c r="O71" s="111"/>
      <c r="P71" s="111"/>
      <c r="Q71" s="116"/>
      <c r="R71" s="116"/>
      <c r="S71" s="120"/>
      <c r="T71" s="116"/>
      <c r="U71" s="116"/>
      <c r="V71" s="116"/>
      <c r="W71" s="116"/>
      <c r="X71" s="116"/>
      <c r="Y71" s="122"/>
      <c r="Z71" s="116"/>
      <c r="AA71" s="120"/>
      <c r="AB71" s="116"/>
      <c r="AC71" s="116"/>
      <c r="AD71" s="116"/>
      <c r="AE71" s="121"/>
      <c r="AF71" s="111"/>
      <c r="AG71" s="111"/>
      <c r="AH71" s="111"/>
      <c r="AJ71" s="48"/>
      <c r="AK71" s="8"/>
      <c r="DE71" s="9"/>
      <c r="DF71" s="9"/>
      <c r="DG71" s="53"/>
      <c r="DH71" s="9"/>
    </row>
    <row r="72" spans="2:112" s="7" customFormat="1" ht="15" customHeight="1">
      <c r="B72" s="111"/>
      <c r="C72" s="111"/>
      <c r="D72" s="110"/>
      <c r="E72" s="110"/>
      <c r="F72" s="111"/>
      <c r="G72" s="111"/>
      <c r="H72" s="112"/>
      <c r="I72" s="111"/>
      <c r="J72" s="110"/>
      <c r="K72" s="111"/>
      <c r="L72" s="111"/>
      <c r="M72" s="111"/>
      <c r="N72" s="111"/>
      <c r="O72" s="111"/>
      <c r="P72" s="111"/>
      <c r="Q72" s="116"/>
      <c r="R72" s="116"/>
      <c r="S72" s="120">
        <v>58</v>
      </c>
      <c r="T72" s="117">
        <f>U72</f>
        <v>41824.708333333328</v>
      </c>
      <c r="U72" s="118">
        <f>'Countries and Timezone'!R59</f>
        <v>41824.708333333328</v>
      </c>
      <c r="V72" s="118"/>
      <c r="W72" s="118"/>
      <c r="X72" s="118"/>
      <c r="Y72" s="112" t="str">
        <f>IF(AND(J91&lt;&gt;"",L91&lt;&gt;"",J91&lt;&gt;L91),IF(J91&gt;L91,H91,N91),INDEX(Language!$A$1:$AX$115,MATCH("Match 53 Winner",Language!$B$1:$B$115,0),MATCH($G$2,Language!$A$1:$AW$1,0)))</f>
        <v>Match 53 Winner</v>
      </c>
      <c r="Z72" s="116"/>
      <c r="AA72" s="110" t="str">
        <f>IF(AA73="","",IF(AND(AA73=AC73,AA73&lt;&gt;"",AC73&lt;&gt;""),IF(AND(AA74=AC74,AA74&lt;&gt;"",AC74&lt;&gt;""),IF(AND(AA75=AC75,AA75&lt;&gt;"",AC75&lt;&gt;""),"",AA73+AA74+AA75),AA73+AA74),AA73))</f>
        <v/>
      </c>
      <c r="AB72" s="110" t="s">
        <v>58</v>
      </c>
      <c r="AC72" s="110" t="str">
        <f>IF(AC73="","",IF(AND(AA73=AC73,AA73&lt;&gt;"",AC73&lt;&gt;""),IF(AND(AA74=AC74,AA74&lt;&gt;"",AC74&lt;&gt;""),IF(AND(AA75=AC75,AA75&lt;&gt;"",AC75&lt;&gt;""),"",AC73+AC74+AC75),AC73+AC74),AC73))</f>
        <v/>
      </c>
      <c r="AD72" s="116"/>
      <c r="AE72" s="111" t="str">
        <f>IF(AND(J97&lt;&gt;"",L97&lt;&gt;"",J97&lt;&gt;L97),IF(J97&gt;L97,H97,N97),INDEX(Language!$A$1:$AX$115,MATCH("Match 54 Winner",Language!$B$1:$B$115,0),MATCH($G$2,Language!$A$1:$AW$1,0)))</f>
        <v>Match 54 Winner</v>
      </c>
      <c r="AF72" s="111"/>
      <c r="AG72" s="111"/>
      <c r="AH72" s="111"/>
      <c r="AJ72" s="48"/>
      <c r="AK72" s="8"/>
      <c r="DE72" s="9"/>
      <c r="DF72" s="9"/>
      <c r="DG72" s="53"/>
      <c r="DH72" s="9"/>
    </row>
    <row r="73" spans="2:112" s="7" customFormat="1" ht="15" customHeight="1">
      <c r="B73" s="111"/>
      <c r="C73" s="111"/>
      <c r="D73" s="110">
        <v>50</v>
      </c>
      <c r="E73" s="110"/>
      <c r="F73" s="117">
        <f>G73</f>
        <v>41818.875</v>
      </c>
      <c r="G73" s="118">
        <f>'Countries and Timezone'!R51</f>
        <v>41818.875</v>
      </c>
      <c r="H73" s="112" t="str">
        <f ca="1">IF(Tournament!$V$25=3,Tournament!$T$25,INDEX(Language!$A$1:$AX$115,MATCH("Group C Winner",Language!$B$1:$B$115,0),MATCH($G$2,Language!$A$1:$AW$1,0)))</f>
        <v>Group C Winner</v>
      </c>
      <c r="I73" s="111"/>
      <c r="J73" s="110" t="str">
        <f>IF(J74="","",IF(AND(J74=L74,J74&lt;&gt;"",L74&lt;&gt;""),IF(AND(J75=L75,J75&lt;&gt;"",L75&lt;&gt;""),IF(AND(J76=L76,J76&lt;&gt;"",L76&lt;&gt;""),"",J74+J75+J76),J74+J75),J74))</f>
        <v/>
      </c>
      <c r="K73" s="110" t="s">
        <v>58</v>
      </c>
      <c r="L73" s="110" t="str">
        <f>IF(L74="","",IF(AND(J74=L74,J74&lt;&gt;"",L74&lt;&gt;""),IF(AND(J75=L75,J75&lt;&gt;"",L75&lt;&gt;""),IF(AND(J76=L76,J76&lt;&gt;"",L76&lt;&gt;""),"",L74+L75+L76),L74+L75),L74))</f>
        <v/>
      </c>
      <c r="M73" s="111"/>
      <c r="N73" s="111" t="str">
        <f ca="1">IF(Tournament!$V$32=3,Tournament!$T$32,INDEX(Language!$A$1:$AX$115,MATCH("Group D Runner Up",Language!$B$1:$B$115,0),MATCH($G$2,Language!$A$1:$AW$1,0)))</f>
        <v>Group D Runner Up</v>
      </c>
      <c r="O73" s="111"/>
      <c r="P73" s="111"/>
      <c r="Q73" s="116"/>
      <c r="R73" s="116"/>
      <c r="S73" s="120"/>
      <c r="T73" s="116"/>
      <c r="U73" s="116"/>
      <c r="V73" s="116"/>
      <c r="W73" s="116"/>
      <c r="X73" s="116"/>
      <c r="Y73" s="112" t="str">
        <f>INDEX(Language!$A$1:$AX$115,MATCH("Normal Time",Language!$B$1:$B$115,0),MATCH($G$2,Language!$A$1:$AW$1,0))</f>
        <v>Normal Time</v>
      </c>
      <c r="Z73" s="116"/>
      <c r="AA73" s="109">
        <f>'Knock Out Stages'!J62</f>
        <v>0</v>
      </c>
      <c r="AB73" s="110" t="s">
        <v>58</v>
      </c>
      <c r="AC73" s="109">
        <f>'Knock Out Stages'!J63</f>
        <v>0</v>
      </c>
      <c r="AD73" s="116"/>
      <c r="AE73" s="121"/>
      <c r="AF73" s="111"/>
      <c r="AG73" s="111"/>
      <c r="AH73" s="111"/>
      <c r="AJ73" s="48"/>
      <c r="AK73" s="8"/>
      <c r="DE73" s="9"/>
      <c r="DF73" s="9"/>
      <c r="DG73" s="53"/>
      <c r="DH73" s="9"/>
    </row>
    <row r="74" spans="2:112" s="7" customFormat="1" ht="15" customHeight="1">
      <c r="B74" s="111"/>
      <c r="C74" s="111"/>
      <c r="D74" s="110"/>
      <c r="E74" s="110"/>
      <c r="F74" s="111"/>
      <c r="G74" s="111"/>
      <c r="H74" s="112" t="str">
        <f>INDEX(Language!$A$1:$AX$115,MATCH("Normal Time",Language!$B$1:$B$115,0),MATCH($G$2,Language!$A$1:$AW$1,0))</f>
        <v>Normal Time</v>
      </c>
      <c r="I74" s="111"/>
      <c r="J74" s="109">
        <f>'Knock Out Stages'!J43</f>
        <v>0</v>
      </c>
      <c r="K74" s="110" t="s">
        <v>58</v>
      </c>
      <c r="L74" s="109">
        <f>'Knock Out Stages'!J44</f>
        <v>0</v>
      </c>
      <c r="M74" s="111"/>
      <c r="N74" s="111"/>
      <c r="O74" s="111"/>
      <c r="P74" s="111"/>
      <c r="Q74" s="116"/>
      <c r="R74" s="116"/>
      <c r="S74" s="120"/>
      <c r="T74" s="116"/>
      <c r="U74" s="116"/>
      <c r="V74" s="116"/>
      <c r="W74" s="116"/>
      <c r="X74" s="116"/>
      <c r="Y74" s="112" t="str">
        <f>INDEX(Language!$A$1:$AX$115,MATCH("Extra Time",Language!$B$1:$B$115,0),MATCH($G$2,Language!$A$1:$AW$1,0))</f>
        <v>Extra Time</v>
      </c>
      <c r="Z74" s="116"/>
      <c r="AA74" s="109">
        <f>'Knock Out Stages'!K62</f>
        <v>0</v>
      </c>
      <c r="AB74" s="110" t="s">
        <v>58</v>
      </c>
      <c r="AC74" s="109">
        <f>'Knock Out Stages'!K63</f>
        <v>0</v>
      </c>
      <c r="AD74" s="116"/>
      <c r="AE74" s="121"/>
      <c r="AF74" s="111"/>
      <c r="AG74" s="111"/>
      <c r="AH74" s="111"/>
      <c r="AJ74" s="48"/>
      <c r="AK74" s="8"/>
      <c r="DE74" s="9"/>
      <c r="DF74" s="9"/>
      <c r="DG74" s="53"/>
      <c r="DH74" s="9"/>
    </row>
    <row r="75" spans="2:112" s="7" customFormat="1" ht="15" customHeight="1">
      <c r="B75" s="111"/>
      <c r="C75" s="111"/>
      <c r="D75" s="110"/>
      <c r="E75" s="110"/>
      <c r="F75" s="111"/>
      <c r="G75" s="111"/>
      <c r="H75" s="112" t="str">
        <f>INDEX(Language!$A$1:$AX$115,MATCH("Extra Time",Language!$B$1:$B$115,0),MATCH($G$2,Language!$A$1:$AW$1,0))</f>
        <v>Extra Time</v>
      </c>
      <c r="I75" s="111"/>
      <c r="J75" s="109">
        <f>'Knock Out Stages'!K43</f>
        <v>0</v>
      </c>
      <c r="K75" s="110" t="s">
        <v>58</v>
      </c>
      <c r="L75" s="109">
        <f>'Knock Out Stages'!K44</f>
        <v>0</v>
      </c>
      <c r="M75" s="111"/>
      <c r="N75" s="111"/>
      <c r="O75" s="111"/>
      <c r="P75" s="111"/>
      <c r="Q75" s="116"/>
      <c r="R75" s="116"/>
      <c r="S75" s="120"/>
      <c r="T75" s="116"/>
      <c r="U75" s="116"/>
      <c r="V75" s="116"/>
      <c r="W75" s="116"/>
      <c r="X75" s="116"/>
      <c r="Y75" s="112" t="str">
        <f>INDEX(Language!$A$1:$AX$115,MATCH("Penalty Shoot Out",Language!$B$1:$B$115,0),MATCH($G$2,Language!$A$1:$AW$1,0))</f>
        <v>Penalty Shoot Out</v>
      </c>
      <c r="Z75" s="116"/>
      <c r="AA75" s="109">
        <f>'Knock Out Stages'!L62</f>
        <v>0</v>
      </c>
      <c r="AB75" s="110" t="s">
        <v>58</v>
      </c>
      <c r="AC75" s="109">
        <f>'Knock Out Stages'!L63</f>
        <v>0</v>
      </c>
      <c r="AD75" s="116"/>
      <c r="AE75" s="121"/>
      <c r="AF75" s="111"/>
      <c r="AG75" s="111"/>
      <c r="AH75" s="111"/>
      <c r="AJ75" s="48"/>
      <c r="AK75" s="8"/>
      <c r="DE75" s="9"/>
      <c r="DF75" s="9"/>
      <c r="DG75" s="53"/>
      <c r="DH75" s="9"/>
    </row>
    <row r="76" spans="2:112" s="7" customFormat="1" ht="15" customHeight="1">
      <c r="B76" s="111"/>
      <c r="C76" s="111"/>
      <c r="D76" s="110"/>
      <c r="E76" s="110"/>
      <c r="F76" s="111"/>
      <c r="G76" s="111"/>
      <c r="H76" s="112" t="str">
        <f>INDEX(Language!$A$1:$AX$115,MATCH("Penalty Shoot Out",Language!$B$1:$B$115,0),MATCH($G$2,Language!$A$1:$AW$1,0))</f>
        <v>Penalty Shoot Out</v>
      </c>
      <c r="I76" s="111"/>
      <c r="J76" s="109">
        <f>'Knock Out Stages'!L43</f>
        <v>0</v>
      </c>
      <c r="K76" s="110" t="s">
        <v>58</v>
      </c>
      <c r="L76" s="109">
        <f>'Knock Out Stages'!L44</f>
        <v>0</v>
      </c>
      <c r="M76" s="111"/>
      <c r="N76" s="111"/>
      <c r="O76" s="111"/>
      <c r="P76" s="111"/>
      <c r="Q76" s="116"/>
      <c r="R76" s="116"/>
      <c r="S76" s="120"/>
      <c r="T76" s="116"/>
      <c r="U76" s="116"/>
      <c r="V76" s="116"/>
      <c r="W76" s="116"/>
      <c r="X76" s="116"/>
      <c r="Y76" s="122"/>
      <c r="Z76" s="116"/>
      <c r="AA76" s="120"/>
      <c r="AB76" s="116"/>
      <c r="AC76" s="116"/>
      <c r="AD76" s="116"/>
      <c r="AE76" s="121"/>
      <c r="AF76" s="111"/>
      <c r="AG76" s="111"/>
      <c r="AH76" s="111"/>
      <c r="AJ76" s="48"/>
      <c r="AK76" s="8"/>
      <c r="DE76" s="9"/>
      <c r="DF76" s="9"/>
      <c r="DG76" s="53"/>
      <c r="DH76" s="9"/>
    </row>
    <row r="77" spans="2:112" s="7" customFormat="1" ht="15" customHeight="1">
      <c r="B77" s="111"/>
      <c r="C77" s="111"/>
      <c r="D77" s="110"/>
      <c r="E77" s="110"/>
      <c r="F77" s="111"/>
      <c r="G77" s="111"/>
      <c r="H77" s="112"/>
      <c r="I77" s="111"/>
      <c r="J77" s="110"/>
      <c r="K77" s="111"/>
      <c r="L77" s="111"/>
      <c r="M77" s="111"/>
      <c r="N77" s="111"/>
      <c r="O77" s="111"/>
      <c r="P77" s="111"/>
      <c r="Q77" s="116"/>
      <c r="R77" s="116"/>
      <c r="S77" s="120">
        <v>59</v>
      </c>
      <c r="T77" s="117">
        <f>U77</f>
        <v>41825.875</v>
      </c>
      <c r="U77" s="118">
        <f>'Countries and Timezone'!R60</f>
        <v>41825.875</v>
      </c>
      <c r="V77" s="118"/>
      <c r="W77" s="118"/>
      <c r="X77" s="118"/>
      <c r="Y77" s="112" t="str">
        <f>IF(AND(J79&lt;&gt;"",L79&lt;&gt;"",J79&lt;&gt;L79),IF(J79&gt;L79,H79,N79),INDEX(Language!$A$1:$AX$115,MATCH("Match 51 Winner",Language!$B$1:$B$115,0),MATCH($G$2,Language!$A$1:$AW$1,0)))</f>
        <v>Match 51 Winner</v>
      </c>
      <c r="Z77" s="116"/>
      <c r="AA77" s="110" t="str">
        <f>IF(AA78="","",IF(AND(AA78=AC78,AA78&lt;&gt;"",AC78&lt;&gt;""),IF(AND(AA79=AC79,AA79&lt;&gt;"",AC79&lt;&gt;""),IF(AND(AA80=AC80,AA80&lt;&gt;"",AC80&lt;&gt;""),"",AA78+AA79+AA80),AA78+AA79),AA78))</f>
        <v/>
      </c>
      <c r="AB77" s="110" t="s">
        <v>58</v>
      </c>
      <c r="AC77" s="110" t="str">
        <f>IF(AC78="","",IF(AND(AA78=AC78,AA78&lt;&gt;"",AC78&lt;&gt;""),IF(AND(AA79=AC79,AA79&lt;&gt;"",AC79&lt;&gt;""),IF(AND(AA80=AC80,AA80&lt;&gt;"",AC80&lt;&gt;""),"",AC78+AC79+AC80),AC78+AC79),AC78))</f>
        <v/>
      </c>
      <c r="AD77" s="116"/>
      <c r="AE77" s="111" t="str">
        <f>IF(AND(J85&lt;&gt;"",L85&lt;&gt;"",J85&lt;&gt;L85),IF(J85&gt;L85,H85,N85),INDEX(Language!$A$1:$AX$115,MATCH("Match 52 Winner",Language!$B$1:$B$115,0),MATCH($G$2,Language!$A$1:$AW$1,0)))</f>
        <v>Match 52 Winner</v>
      </c>
      <c r="AF77" s="111"/>
      <c r="AG77" s="111"/>
      <c r="AH77" s="111"/>
      <c r="AJ77" s="48"/>
      <c r="AK77" s="8"/>
      <c r="DE77" s="9"/>
      <c r="DF77" s="9"/>
      <c r="DG77" s="53"/>
      <c r="DH77" s="9"/>
    </row>
    <row r="78" spans="2:112" s="7" customFormat="1" ht="15" customHeight="1">
      <c r="B78" s="111"/>
      <c r="C78" s="111"/>
      <c r="D78" s="110"/>
      <c r="E78" s="110"/>
      <c r="F78" s="111"/>
      <c r="G78" s="111"/>
      <c r="H78" s="112"/>
      <c r="I78" s="111"/>
      <c r="J78" s="110"/>
      <c r="K78" s="111"/>
      <c r="L78" s="111"/>
      <c r="M78" s="111"/>
      <c r="N78" s="111"/>
      <c r="O78" s="111"/>
      <c r="P78" s="111"/>
      <c r="Q78" s="116"/>
      <c r="R78" s="116"/>
      <c r="S78" s="120"/>
      <c r="T78" s="116"/>
      <c r="U78" s="116"/>
      <c r="V78" s="116"/>
      <c r="W78" s="116"/>
      <c r="X78" s="116"/>
      <c r="Y78" s="112" t="str">
        <f>INDEX(Language!$A$1:$AX$115,MATCH("Normal Time",Language!$B$1:$B$115,0),MATCH($G$2,Language!$A$1:$AW$1,0))</f>
        <v>Normal Time</v>
      </c>
      <c r="Z78" s="116"/>
      <c r="AA78" s="109">
        <f>'Knock Out Stages'!J64</f>
        <v>0</v>
      </c>
      <c r="AB78" s="110" t="s">
        <v>58</v>
      </c>
      <c r="AC78" s="109">
        <f>'Knock Out Stages'!J65</f>
        <v>0</v>
      </c>
      <c r="AD78" s="116"/>
      <c r="AE78" s="121"/>
      <c r="AF78" s="111"/>
      <c r="AG78" s="111"/>
      <c r="AH78" s="111"/>
      <c r="AJ78" s="48"/>
      <c r="AK78" s="8"/>
      <c r="DE78" s="9"/>
      <c r="DF78" s="9"/>
      <c r="DG78" s="53"/>
      <c r="DH78" s="9"/>
    </row>
    <row r="79" spans="2:112" s="7" customFormat="1" ht="15" customHeight="1">
      <c r="B79" s="116"/>
      <c r="C79" s="116"/>
      <c r="D79" s="120">
        <v>51</v>
      </c>
      <c r="E79" s="120"/>
      <c r="F79" s="117">
        <f>G79</f>
        <v>41819.708333333328</v>
      </c>
      <c r="G79" s="118">
        <f>'Countries and Timezone'!R52</f>
        <v>41819.708333333328</v>
      </c>
      <c r="H79" s="112" t="str">
        <f ca="1">IF(Tournament!$V$19=3,Tournament!$T$19,INDEX(Language!$A$1:$AX$115,MATCH("Group B Winner",Language!$B$1:$B$115,0),MATCH($G$2,Language!$A$1:$AW$1,0)))</f>
        <v>Group B Winner</v>
      </c>
      <c r="I79" s="111"/>
      <c r="J79" s="110" t="str">
        <f>IF(J80="","",IF(AND(J80=L80,J80&lt;&gt;"",L80&lt;&gt;""),IF(AND(J81=L81,J81&lt;&gt;"",L81&lt;&gt;""),IF(AND(J82=L82,J82&lt;&gt;"",L82&lt;&gt;""),"",J80+J81+J82),J80+J81),J80))</f>
        <v/>
      </c>
      <c r="K79" s="110" t="s">
        <v>58</v>
      </c>
      <c r="L79" s="110" t="str">
        <f>IF(L80="","",IF(AND(J80=L80,J80&lt;&gt;"",L80&lt;&gt;""),IF(AND(J81=L81,J81&lt;&gt;"",L81&lt;&gt;""),IF(AND(J82=L82,J82&lt;&gt;"",L82&lt;&gt;""),"",L80+L81+L82),L80+L81),L80))</f>
        <v/>
      </c>
      <c r="M79" s="111"/>
      <c r="N79" s="111" t="str">
        <f ca="1">IF(Tournament!$V$14=3,Tournament!$T$14,INDEX(Language!$A$1:$AX$115,MATCH("Group A Runner Up",Language!$B$1:$B$115,0),MATCH($G$2,Language!$A$1:$AW$1,0)))</f>
        <v>Group A Runner Up</v>
      </c>
      <c r="O79" s="111"/>
      <c r="P79" s="111"/>
      <c r="Q79" s="116"/>
      <c r="R79" s="116"/>
      <c r="S79" s="120"/>
      <c r="T79" s="116"/>
      <c r="U79" s="116"/>
      <c r="V79" s="116"/>
      <c r="W79" s="116"/>
      <c r="X79" s="116"/>
      <c r="Y79" s="112" t="str">
        <f>INDEX(Language!$A$1:$AX$115,MATCH("Extra Time",Language!$B$1:$B$115,0),MATCH($G$2,Language!$A$1:$AW$1,0))</f>
        <v>Extra Time</v>
      </c>
      <c r="Z79" s="116"/>
      <c r="AA79" s="109">
        <f>'Knock Out Stages'!K64</f>
        <v>0</v>
      </c>
      <c r="AB79" s="110" t="s">
        <v>58</v>
      </c>
      <c r="AC79" s="109">
        <f>'Knock Out Stages'!K65</f>
        <v>0</v>
      </c>
      <c r="AD79" s="116"/>
      <c r="AE79" s="121"/>
      <c r="AF79" s="111"/>
      <c r="AG79" s="111"/>
      <c r="AH79" s="111"/>
      <c r="AJ79" s="48"/>
      <c r="AK79" s="8"/>
      <c r="DE79" s="9"/>
      <c r="DF79" s="9"/>
      <c r="DG79" s="53"/>
      <c r="DH79" s="9"/>
    </row>
    <row r="80" spans="2:112" s="7" customFormat="1" ht="15" customHeight="1">
      <c r="B80" s="116"/>
      <c r="C80" s="116"/>
      <c r="D80" s="120"/>
      <c r="E80" s="120"/>
      <c r="F80" s="116"/>
      <c r="G80" s="119"/>
      <c r="H80" s="112" t="str">
        <f>INDEX(Language!$A$1:$AX$115,MATCH("Normal Time",Language!$B$1:$B$115,0),MATCH($G$2,Language!$A$1:$AW$1,0))</f>
        <v>Normal Time</v>
      </c>
      <c r="I80" s="116"/>
      <c r="J80" s="109">
        <f>'Knock Out Stages'!J45</f>
        <v>0</v>
      </c>
      <c r="K80" s="110" t="s">
        <v>58</v>
      </c>
      <c r="L80" s="109">
        <f>'Knock Out Stages'!J46</f>
        <v>0</v>
      </c>
      <c r="M80" s="116"/>
      <c r="N80" s="116"/>
      <c r="O80" s="111"/>
      <c r="P80" s="111"/>
      <c r="Q80" s="116"/>
      <c r="R80" s="116"/>
      <c r="S80" s="120"/>
      <c r="T80" s="116"/>
      <c r="U80" s="116"/>
      <c r="V80" s="116"/>
      <c r="W80" s="116"/>
      <c r="X80" s="116"/>
      <c r="Y80" s="112" t="str">
        <f>INDEX(Language!$A$1:$AX$115,MATCH("Penalty Shoot Out",Language!$B$1:$B$115,0),MATCH($G$2,Language!$A$1:$AW$1,0))</f>
        <v>Penalty Shoot Out</v>
      </c>
      <c r="Z80" s="116"/>
      <c r="AA80" s="109">
        <f>'Knock Out Stages'!L64</f>
        <v>0</v>
      </c>
      <c r="AB80" s="110" t="s">
        <v>58</v>
      </c>
      <c r="AC80" s="109">
        <f>'Knock Out Stages'!L65</f>
        <v>0</v>
      </c>
      <c r="AD80" s="116"/>
      <c r="AE80" s="121"/>
      <c r="AF80" s="111"/>
      <c r="AG80" s="111"/>
      <c r="AH80" s="111"/>
      <c r="AJ80" s="48"/>
      <c r="AK80" s="8"/>
      <c r="DE80" s="9"/>
      <c r="DF80" s="9"/>
      <c r="DG80" s="53"/>
      <c r="DH80" s="9"/>
    </row>
    <row r="81" spans="2:112" s="7" customFormat="1" ht="15" customHeight="1">
      <c r="B81" s="116"/>
      <c r="C81" s="116"/>
      <c r="D81" s="120"/>
      <c r="E81" s="120"/>
      <c r="F81" s="116"/>
      <c r="G81" s="119"/>
      <c r="H81" s="112" t="str">
        <f>INDEX(Language!$A$1:$AX$115,MATCH("Extra Time",Language!$B$1:$B$115,0),MATCH($G$2,Language!$A$1:$AW$1,0))</f>
        <v>Extra Time</v>
      </c>
      <c r="I81" s="116"/>
      <c r="J81" s="109">
        <f>'Knock Out Stages'!K45</f>
        <v>0</v>
      </c>
      <c r="K81" s="110" t="s">
        <v>58</v>
      </c>
      <c r="L81" s="109">
        <f>'Knock Out Stages'!K46</f>
        <v>0</v>
      </c>
      <c r="M81" s="116"/>
      <c r="N81" s="116"/>
      <c r="O81" s="111"/>
      <c r="P81" s="111"/>
      <c r="Q81" s="116"/>
      <c r="R81" s="116"/>
      <c r="S81" s="120"/>
      <c r="T81" s="116"/>
      <c r="U81" s="116"/>
      <c r="V81" s="116"/>
      <c r="W81" s="116"/>
      <c r="X81" s="116"/>
      <c r="Y81" s="122"/>
      <c r="Z81" s="116"/>
      <c r="AA81" s="120"/>
      <c r="AB81" s="116"/>
      <c r="AC81" s="116"/>
      <c r="AD81" s="116"/>
      <c r="AE81" s="121"/>
      <c r="AF81" s="111"/>
      <c r="AG81" s="111"/>
      <c r="AH81" s="111"/>
      <c r="AJ81" s="48"/>
      <c r="AK81" s="8"/>
      <c r="DE81" s="9"/>
      <c r="DF81" s="9"/>
      <c r="DG81" s="53"/>
      <c r="DH81" s="9"/>
    </row>
    <row r="82" spans="2:112" s="7" customFormat="1" ht="15" customHeight="1">
      <c r="B82" s="116"/>
      <c r="C82" s="116"/>
      <c r="D82" s="120"/>
      <c r="E82" s="120"/>
      <c r="F82" s="116"/>
      <c r="G82" s="119"/>
      <c r="H82" s="112" t="str">
        <f>INDEX(Language!$A$1:$AX$115,MATCH("Penalty Shoot Out",Language!$B$1:$B$115,0),MATCH($G$2,Language!$A$1:$AW$1,0))</f>
        <v>Penalty Shoot Out</v>
      </c>
      <c r="I82" s="116"/>
      <c r="J82" s="109">
        <f>'Knock Out Stages'!L45</f>
        <v>0</v>
      </c>
      <c r="K82" s="110" t="s">
        <v>58</v>
      </c>
      <c r="L82" s="109">
        <f>'Knock Out Stages'!L46</f>
        <v>0</v>
      </c>
      <c r="M82" s="116"/>
      <c r="N82" s="116"/>
      <c r="O82" s="111"/>
      <c r="P82" s="111"/>
      <c r="Q82" s="116"/>
      <c r="R82" s="116"/>
      <c r="S82" s="120">
        <v>60</v>
      </c>
      <c r="T82" s="117">
        <f>U82</f>
        <v>41825.708333333328</v>
      </c>
      <c r="U82" s="118">
        <f>'Countries and Timezone'!R61</f>
        <v>41825.708333333328</v>
      </c>
      <c r="V82" s="118"/>
      <c r="W82" s="118"/>
      <c r="X82" s="118"/>
      <c r="Y82" s="112" t="str">
        <f>IF(AND(J103&lt;&gt;"",L103&lt;&gt;"",J103&lt;&gt;L103),IF(J103&gt;L103,H103,N103),INDEX(Language!$A$1:$AX$115,MATCH("Match 55 Winner",Language!$B$1:$B$115,0),MATCH($G$2,Language!$A$1:$AW$1,0)))</f>
        <v>Match 55 Winner</v>
      </c>
      <c r="Z82" s="116"/>
      <c r="AA82" s="110" t="str">
        <f>IF(AA83="","",IF(AND(AA83=AC83,AA83&lt;&gt;"",AC83&lt;&gt;""),IF(AND(AA84=AC84,AA84&lt;&gt;"",AC84&lt;&gt;""),IF(AND(AA85=AC85,AA85&lt;&gt;"",AC85&lt;&gt;""),"",AA83+AA84+AA85),AA83+AA84),AA83))</f>
        <v/>
      </c>
      <c r="AB82" s="110" t="s">
        <v>58</v>
      </c>
      <c r="AC82" s="110" t="str">
        <f>IF(AC83="","",IF(AND(AA83=AC83,AA83&lt;&gt;"",AC83&lt;&gt;""),IF(AND(AA84=AC84,AA84&lt;&gt;"",AC84&lt;&gt;""),IF(AND(AA85=AC85,AA85&lt;&gt;"",AC85&lt;&gt;""),"",AC83+AC84+AC85),AC83+AC84),AC83))</f>
        <v/>
      </c>
      <c r="AD82" s="116"/>
      <c r="AE82" s="111" t="str">
        <f>IF(AND(J109&lt;&gt;"",L109&lt;&gt;"",J109&lt;&gt;L109),IF(J109&gt;L109,H109,N109),INDEX(Language!$A$1:$AX$115,MATCH("Match 56 Winner",Language!$B$1:$B$115,0),MATCH($G$2,Language!$A$1:$AW$1,0)))</f>
        <v>Match 56 Winner</v>
      </c>
      <c r="AF82" s="111"/>
      <c r="AG82" s="111"/>
      <c r="AH82" s="111"/>
      <c r="AJ82" s="48"/>
      <c r="AK82" s="8"/>
      <c r="DE82" s="9"/>
      <c r="DF82" s="9"/>
      <c r="DG82" s="53"/>
      <c r="DH82" s="9"/>
    </row>
    <row r="83" spans="2:112" s="7" customFormat="1" ht="15" customHeight="1">
      <c r="B83" s="116"/>
      <c r="C83" s="116"/>
      <c r="D83" s="120"/>
      <c r="E83" s="120"/>
      <c r="F83" s="116"/>
      <c r="G83" s="119"/>
      <c r="H83" s="122"/>
      <c r="I83" s="116"/>
      <c r="J83" s="120"/>
      <c r="K83" s="116"/>
      <c r="L83" s="116"/>
      <c r="M83" s="116"/>
      <c r="N83" s="116"/>
      <c r="O83" s="111"/>
      <c r="P83" s="111"/>
      <c r="Q83" s="116"/>
      <c r="R83" s="116"/>
      <c r="S83" s="116"/>
      <c r="T83" s="116"/>
      <c r="U83" s="116"/>
      <c r="V83" s="116"/>
      <c r="W83" s="116"/>
      <c r="X83" s="116"/>
      <c r="Y83" s="112" t="str">
        <f>INDEX(Language!$A$1:$AX$115,MATCH("Normal Time",Language!$B$1:$B$115,0),MATCH($G$2,Language!$A$1:$AW$1,0))</f>
        <v>Normal Time</v>
      </c>
      <c r="Z83" s="116"/>
      <c r="AA83" s="109">
        <f>'Knock Out Stages'!J66</f>
        <v>0</v>
      </c>
      <c r="AB83" s="110" t="s">
        <v>58</v>
      </c>
      <c r="AC83" s="109">
        <f>'Knock Out Stages'!J67</f>
        <v>0</v>
      </c>
      <c r="AD83" s="116"/>
      <c r="AE83" s="121"/>
      <c r="AF83" s="111"/>
      <c r="AG83" s="111"/>
      <c r="AH83" s="111"/>
      <c r="AJ83" s="48"/>
      <c r="AK83" s="8"/>
      <c r="DE83" s="9"/>
      <c r="DF83" s="9"/>
      <c r="DG83" s="53"/>
      <c r="DH83" s="9"/>
    </row>
    <row r="84" spans="2:112" s="7" customFormat="1" ht="15" customHeight="1">
      <c r="B84" s="116"/>
      <c r="C84" s="116"/>
      <c r="D84" s="120"/>
      <c r="E84" s="120"/>
      <c r="F84" s="116"/>
      <c r="G84" s="119"/>
      <c r="H84" s="122"/>
      <c r="I84" s="116"/>
      <c r="J84" s="120"/>
      <c r="K84" s="116"/>
      <c r="L84" s="116"/>
      <c r="M84" s="116"/>
      <c r="N84" s="116"/>
      <c r="O84" s="111"/>
      <c r="P84" s="111"/>
      <c r="Q84" s="116"/>
      <c r="R84" s="116"/>
      <c r="S84" s="116"/>
      <c r="T84" s="116"/>
      <c r="U84" s="116"/>
      <c r="V84" s="116"/>
      <c r="W84" s="116"/>
      <c r="X84" s="116"/>
      <c r="Y84" s="112" t="str">
        <f>INDEX(Language!$A$1:$AX$115,MATCH("Extra Time",Language!$B$1:$B$115,0),MATCH($G$2,Language!$A$1:$AW$1,0))</f>
        <v>Extra Time</v>
      </c>
      <c r="Z84" s="116"/>
      <c r="AA84" s="109">
        <f>'Knock Out Stages'!K66</f>
        <v>0</v>
      </c>
      <c r="AB84" s="110" t="s">
        <v>58</v>
      </c>
      <c r="AC84" s="109">
        <f>'Knock Out Stages'!K67</f>
        <v>0</v>
      </c>
      <c r="AD84" s="116"/>
      <c r="AE84" s="121"/>
      <c r="AF84" s="111"/>
      <c r="AG84" s="111"/>
      <c r="AH84" s="111"/>
      <c r="AJ84" s="48"/>
      <c r="AK84" s="8"/>
      <c r="DE84" s="9"/>
      <c r="DF84" s="9"/>
      <c r="DG84" s="53"/>
      <c r="DH84" s="9"/>
    </row>
    <row r="85" spans="2:112" s="7" customFormat="1" ht="15" customHeight="1">
      <c r="B85" s="116"/>
      <c r="C85" s="116"/>
      <c r="D85" s="120">
        <v>52</v>
      </c>
      <c r="E85" s="120"/>
      <c r="F85" s="117">
        <f>G85</f>
        <v>41819.875</v>
      </c>
      <c r="G85" s="118">
        <f>'Countries and Timezone'!R53</f>
        <v>41819.875</v>
      </c>
      <c r="H85" s="112" t="str">
        <f ca="1">IF(Tournament!$V$31=3,Tournament!$T$31,INDEX(Language!$A$1:$AX$115,MATCH("Group D Winner",Language!$B$1:$B$115,0),MATCH($G$2,Language!$A$1:$AW$1,0)))</f>
        <v>Group D Winner</v>
      </c>
      <c r="I85" s="111"/>
      <c r="J85" s="110" t="str">
        <f>IF(J86="","",IF(AND(J86=L86,J86&lt;&gt;"",L86&lt;&gt;""),IF(AND(J87=L87,J87&lt;&gt;"",L87&lt;&gt;""),IF(AND(J88=L88,J88&lt;&gt;"",L88&lt;&gt;""),"",J86+J87+J88),J86+J87),J86))</f>
        <v/>
      </c>
      <c r="K85" s="110" t="s">
        <v>58</v>
      </c>
      <c r="L85" s="110" t="str">
        <f>IF(L86="","",IF(AND(J86=L86,J86&lt;&gt;"",L86&lt;&gt;""),IF(AND(J87=L87,J87&lt;&gt;"",L87&lt;&gt;""),IF(AND(J88=L88,J88&lt;&gt;"",L88&lt;&gt;""),"",L86+L87+L88),L86+L87),L86))</f>
        <v/>
      </c>
      <c r="M85" s="111"/>
      <c r="N85" s="111" t="str">
        <f ca="1">IF(Tournament!$V$26=3,Tournament!$T$26,INDEX(Language!$A$1:$AX$115,MATCH("Group C Runner Up",Language!$B$1:$B$115,0),MATCH($G$2,Language!$A$1:$AW$1,0)))</f>
        <v>Group C Runner Up</v>
      </c>
      <c r="O85" s="111"/>
      <c r="P85" s="111"/>
      <c r="Q85" s="116"/>
      <c r="R85" s="116"/>
      <c r="S85" s="116"/>
      <c r="T85" s="116"/>
      <c r="U85" s="116"/>
      <c r="V85" s="116"/>
      <c r="W85" s="116"/>
      <c r="X85" s="116"/>
      <c r="Y85" s="112" t="str">
        <f>INDEX(Language!$A$1:$AX$115,MATCH("Penalty Shoot Out",Language!$B$1:$B$115,0),MATCH($G$2,Language!$A$1:$AW$1,0))</f>
        <v>Penalty Shoot Out</v>
      </c>
      <c r="Z85" s="116"/>
      <c r="AA85" s="109">
        <f>'Knock Out Stages'!L66</f>
        <v>0</v>
      </c>
      <c r="AB85" s="110" t="s">
        <v>58</v>
      </c>
      <c r="AC85" s="109">
        <f>'Knock Out Stages'!L67</f>
        <v>0</v>
      </c>
      <c r="AD85" s="116"/>
      <c r="AE85" s="121"/>
      <c r="AF85" s="111"/>
      <c r="AG85" s="111"/>
      <c r="AH85" s="111"/>
      <c r="AJ85" s="48"/>
      <c r="AK85" s="8"/>
      <c r="DE85" s="9"/>
      <c r="DF85" s="9"/>
      <c r="DG85" s="53"/>
      <c r="DH85" s="9"/>
    </row>
    <row r="86" spans="2:112" s="7" customFormat="1" ht="15" customHeight="1">
      <c r="B86" s="116"/>
      <c r="C86" s="116"/>
      <c r="D86" s="120"/>
      <c r="E86" s="120"/>
      <c r="F86" s="116"/>
      <c r="G86" s="119"/>
      <c r="H86" s="112" t="str">
        <f>INDEX(Language!$A$1:$AX$115,MATCH("Normal Time",Language!$B$1:$B$115,0),MATCH($G$2,Language!$A$1:$AW$1,0))</f>
        <v>Normal Time</v>
      </c>
      <c r="I86" s="116"/>
      <c r="J86" s="109">
        <f>'Knock Out Stages'!J47</f>
        <v>0</v>
      </c>
      <c r="K86" s="110" t="s">
        <v>58</v>
      </c>
      <c r="L86" s="109">
        <f>'Knock Out Stages'!J48</f>
        <v>0</v>
      </c>
      <c r="M86" s="116"/>
      <c r="N86" s="116"/>
      <c r="O86" s="111"/>
      <c r="P86" s="111"/>
      <c r="Q86" s="116"/>
      <c r="R86" s="116"/>
      <c r="S86" s="116"/>
      <c r="T86" s="116"/>
      <c r="U86" s="116"/>
      <c r="V86" s="116"/>
      <c r="W86" s="116"/>
      <c r="X86" s="116"/>
      <c r="Y86" s="116"/>
      <c r="Z86" s="116"/>
      <c r="AA86" s="120"/>
      <c r="AB86" s="116"/>
      <c r="AC86" s="116"/>
      <c r="AD86" s="116"/>
      <c r="AE86" s="116"/>
      <c r="AF86" s="111"/>
      <c r="AG86" s="111"/>
      <c r="AH86" s="111"/>
      <c r="AJ86" s="48"/>
      <c r="AK86" s="8"/>
      <c r="DE86" s="9"/>
      <c r="DF86" s="9"/>
      <c r="DG86" s="53"/>
      <c r="DH86" s="9"/>
    </row>
    <row r="87" spans="2:112" s="7" customFormat="1" ht="15" customHeight="1">
      <c r="B87" s="116"/>
      <c r="C87" s="116"/>
      <c r="D87" s="120"/>
      <c r="E87" s="120"/>
      <c r="F87" s="116"/>
      <c r="G87" s="119"/>
      <c r="H87" s="112" t="str">
        <f>INDEX(Language!$A$1:$AX$115,MATCH("Extra Time",Language!$B$1:$B$115,0),MATCH($G$2,Language!$A$1:$AW$1,0))</f>
        <v>Extra Time</v>
      </c>
      <c r="I87" s="116"/>
      <c r="J87" s="109">
        <f>'Knock Out Stages'!K47</f>
        <v>0</v>
      </c>
      <c r="K87" s="110" t="s">
        <v>58</v>
      </c>
      <c r="L87" s="109">
        <f>'Knock Out Stages'!K48</f>
        <v>0</v>
      </c>
      <c r="M87" s="116"/>
      <c r="N87" s="116"/>
      <c r="O87" s="111"/>
      <c r="P87" s="111"/>
      <c r="Q87" s="116"/>
      <c r="R87" s="116"/>
      <c r="S87" s="116"/>
      <c r="T87" s="116"/>
      <c r="U87" s="116"/>
      <c r="V87" s="116"/>
      <c r="W87" s="116"/>
      <c r="X87" s="120"/>
      <c r="Y87" s="116"/>
      <c r="Z87" s="116"/>
      <c r="AA87" s="116"/>
      <c r="AB87" s="116"/>
      <c r="AC87" s="111"/>
      <c r="AD87" s="111"/>
      <c r="AE87" s="111"/>
      <c r="AF87" s="114"/>
      <c r="AG87" s="110"/>
      <c r="AH87" s="111"/>
      <c r="DB87" s="9"/>
      <c r="DC87" s="9"/>
      <c r="DD87" s="53"/>
      <c r="DE87" s="9"/>
    </row>
    <row r="88" spans="2:112" s="7" customFormat="1" ht="15" customHeight="1">
      <c r="B88" s="116"/>
      <c r="C88" s="116"/>
      <c r="D88" s="120"/>
      <c r="E88" s="120"/>
      <c r="F88" s="116"/>
      <c r="G88" s="119"/>
      <c r="H88" s="112" t="str">
        <f>INDEX(Language!$A$1:$AX$115,MATCH("Penalty Shoot Out",Language!$B$1:$B$115,0),MATCH($G$2,Language!$A$1:$AW$1,0))</f>
        <v>Penalty Shoot Out</v>
      </c>
      <c r="I88" s="116"/>
      <c r="J88" s="109">
        <f>'Knock Out Stages'!L47</f>
        <v>0</v>
      </c>
      <c r="K88" s="110" t="s">
        <v>58</v>
      </c>
      <c r="L88" s="109">
        <f>'Knock Out Stages'!L48</f>
        <v>0</v>
      </c>
      <c r="M88" s="116"/>
      <c r="N88" s="116"/>
      <c r="O88" s="111"/>
      <c r="P88" s="111"/>
      <c r="Q88" s="111"/>
      <c r="R88" s="196" t="str">
        <f>INDEX(Language!$A$1:$AX$115,MATCH("Semi Finals",Language!$B$1:$B$115,0),MATCH($G$2,Language!$A$1:$AW$1,0))</f>
        <v>Semi Finals</v>
      </c>
      <c r="S88" s="196"/>
      <c r="T88" s="196"/>
      <c r="U88" s="196"/>
      <c r="V88" s="196"/>
      <c r="W88" s="196"/>
      <c r="X88" s="196"/>
      <c r="Y88" s="196"/>
      <c r="Z88" s="196"/>
      <c r="AA88" s="196"/>
      <c r="AB88" s="196"/>
      <c r="AC88" s="196"/>
      <c r="AD88" s="196"/>
      <c r="AE88" s="196"/>
      <c r="AF88" s="196"/>
      <c r="AG88" s="196"/>
      <c r="AH88" s="111"/>
      <c r="DB88" s="9"/>
      <c r="DC88" s="9"/>
      <c r="DD88" s="53"/>
      <c r="DE88" s="9"/>
    </row>
    <row r="89" spans="2:112" s="7" customFormat="1" ht="15" customHeight="1">
      <c r="B89" s="116"/>
      <c r="C89" s="116"/>
      <c r="D89" s="120"/>
      <c r="E89" s="120"/>
      <c r="F89" s="116"/>
      <c r="G89" s="119"/>
      <c r="H89" s="122"/>
      <c r="I89" s="116"/>
      <c r="J89" s="120"/>
      <c r="K89" s="116"/>
      <c r="L89" s="116"/>
      <c r="M89" s="116"/>
      <c r="N89" s="116"/>
      <c r="O89" s="111"/>
      <c r="P89" s="111"/>
      <c r="Q89" s="116"/>
      <c r="R89" s="116"/>
      <c r="S89" s="116"/>
      <c r="T89" s="116"/>
      <c r="U89" s="116"/>
      <c r="V89" s="116"/>
      <c r="W89" s="116"/>
      <c r="X89" s="116"/>
      <c r="Y89" s="116"/>
      <c r="Z89" s="116"/>
      <c r="AA89" s="120"/>
      <c r="AB89" s="116"/>
      <c r="AC89" s="116"/>
      <c r="AD89" s="116"/>
      <c r="AE89" s="116"/>
      <c r="AF89" s="111"/>
      <c r="AG89" s="111"/>
      <c r="AH89" s="111"/>
      <c r="AJ89" s="48"/>
      <c r="AK89" s="8"/>
      <c r="DE89" s="9"/>
      <c r="DF89" s="9"/>
      <c r="DG89" s="53"/>
      <c r="DH89" s="9"/>
    </row>
    <row r="90" spans="2:112" s="7" customFormat="1" ht="15" customHeight="1">
      <c r="B90" s="116"/>
      <c r="C90" s="116"/>
      <c r="D90" s="120"/>
      <c r="E90" s="120"/>
      <c r="F90" s="116"/>
      <c r="G90" s="119"/>
      <c r="H90" s="122"/>
      <c r="I90" s="116"/>
      <c r="J90" s="120"/>
      <c r="K90" s="116"/>
      <c r="L90" s="116"/>
      <c r="M90" s="116"/>
      <c r="N90" s="116"/>
      <c r="O90" s="111"/>
      <c r="P90" s="111"/>
      <c r="Q90" s="116"/>
      <c r="R90" s="116"/>
      <c r="S90" s="116">
        <v>61</v>
      </c>
      <c r="T90" s="117">
        <f>U90</f>
        <v>41828.875</v>
      </c>
      <c r="U90" s="118">
        <f>'Countries and Timezone'!R62</f>
        <v>41828.875</v>
      </c>
      <c r="V90" s="118"/>
      <c r="W90" s="118"/>
      <c r="X90" s="118"/>
      <c r="Y90" s="112" t="str">
        <f>IF(AND(AA67&lt;&gt;"",AC67&lt;&gt;"",AA67&lt;&gt;AC67),IF(AA67&gt;AC67,Y67,AE67),INDEX(Language!$A$1:$AX$115,MATCH("Match 57 Winner",Language!$B$1:$B$115,0),MATCH($G$2,Language!$A$1:$AW$1,0)))</f>
        <v>Match 57 Winner</v>
      </c>
      <c r="Z90" s="116"/>
      <c r="AA90" s="110" t="str">
        <f>IF(AA91="","",IF(AND(AA91=AC91,AA91&lt;&gt;"",AC91&lt;&gt;""),IF(AND(AA92=AC92,AA92&lt;&gt;"",AC92&lt;&gt;""),IF(AND(AA93=AC93,AA93&lt;&gt;"",AC93&lt;&gt;""),"",AA91+AA92+AA93),AA91+AA92),AA91))</f>
        <v/>
      </c>
      <c r="AB90" s="110" t="s">
        <v>58</v>
      </c>
      <c r="AC90" s="110" t="str">
        <f>IF(AC91="","",IF(AND(AA91=AC91,AA91&lt;&gt;"",AC91&lt;&gt;""),IF(AND(AA92=AC92,AA92&lt;&gt;"",AC92&lt;&gt;""),IF(AND(AA93=AC93,AA93&lt;&gt;"",AC93&lt;&gt;""),"",AC91+AC92+AC93),AC91+AC92),AC91))</f>
        <v/>
      </c>
      <c r="AD90" s="116"/>
      <c r="AE90" s="111" t="str">
        <f>IF(AND(AA72&lt;&gt;"",AC72&lt;&gt;"",AA72&lt;&gt;AC72),IF(AA72&gt;AC72,Y72,AE72),INDEX(Language!$A$1:$AX$115,MATCH("Match 58 Winner",Language!$B$1:$B$115,0),MATCH($G$2,Language!$A$1:$AW$1,0)))</f>
        <v>Match 58 Winner</v>
      </c>
      <c r="AF90" s="111"/>
      <c r="AG90" s="111"/>
      <c r="AH90" s="111"/>
      <c r="AJ90" s="48"/>
      <c r="AK90" s="8"/>
      <c r="DE90" s="9"/>
      <c r="DF90" s="9"/>
      <c r="DG90" s="53"/>
      <c r="DH90" s="9"/>
    </row>
    <row r="91" spans="2:112" s="7" customFormat="1" ht="15" customHeight="1">
      <c r="B91" s="116"/>
      <c r="C91" s="116"/>
      <c r="D91" s="120">
        <v>53</v>
      </c>
      <c r="E91" s="120"/>
      <c r="F91" s="117">
        <f>G91</f>
        <v>41820.708333333328</v>
      </c>
      <c r="G91" s="118">
        <f>'Countries and Timezone'!R54</f>
        <v>41820.708333333328</v>
      </c>
      <c r="H91" s="112" t="str">
        <f ca="1">IF(Tournament!$V$37=3,Tournament!$T$37,INDEX(Language!$A$1:$AX$115,MATCH("Group E Winner",Language!$B$1:$B$115,0),MATCH($G$2,Language!$A$1:$AW$1,0)))</f>
        <v>Group E Winner</v>
      </c>
      <c r="I91" s="111"/>
      <c r="J91" s="110" t="str">
        <f>IF(J92="","",IF(AND(J92=L92,J92&lt;&gt;"",L92&lt;&gt;""),IF(AND(J93=L93,J93&lt;&gt;"",L93&lt;&gt;""),IF(AND(J94=L94,J94&lt;&gt;"",L94&lt;&gt;""),"",J92+J93+J94),J92+J93),J92))</f>
        <v/>
      </c>
      <c r="K91" s="110" t="s">
        <v>58</v>
      </c>
      <c r="L91" s="110" t="str">
        <f>IF(L92="","",IF(AND(J92=L92,J92&lt;&gt;"",L92&lt;&gt;""),IF(AND(J93=L93,J93&lt;&gt;"",L93&lt;&gt;""),IF(AND(J94=L94,J94&lt;&gt;"",L94&lt;&gt;""),"",L92+L93+L94),L92+L93),L92))</f>
        <v/>
      </c>
      <c r="M91" s="111"/>
      <c r="N91" s="111" t="str">
        <f ca="1">IF(Tournament!$V$44=3,Tournament!$T$44,INDEX(Language!$A$1:$AX$115,MATCH("Group F Runner Up",Language!$B$1:$B$115,0),MATCH($G$2,Language!$A$1:$AW$1,0)))</f>
        <v>Group F Runner Up</v>
      </c>
      <c r="O91" s="111"/>
      <c r="P91" s="111"/>
      <c r="Q91" s="116"/>
      <c r="R91" s="116"/>
      <c r="S91" s="116"/>
      <c r="T91" s="116"/>
      <c r="U91" s="116"/>
      <c r="V91" s="116"/>
      <c r="W91" s="116"/>
      <c r="X91" s="116"/>
      <c r="Y91" s="112" t="str">
        <f>INDEX(Language!$A$1:$AX$115,MATCH("Normal Time",Language!$B$1:$B$115,0),MATCH($G$2,Language!$A$1:$AW$1,0))</f>
        <v>Normal Time</v>
      </c>
      <c r="Z91" s="116"/>
      <c r="AA91" s="109">
        <f>'Knock Out Stages'!J71</f>
        <v>0</v>
      </c>
      <c r="AB91" s="110" t="s">
        <v>58</v>
      </c>
      <c r="AC91" s="109">
        <f>'Knock Out Stages'!J72</f>
        <v>0</v>
      </c>
      <c r="AD91" s="116"/>
      <c r="AE91" s="121"/>
      <c r="AF91" s="111"/>
      <c r="AG91" s="111"/>
      <c r="AH91" s="111"/>
      <c r="AJ91" s="48"/>
      <c r="AK91" s="8"/>
      <c r="DE91" s="9"/>
      <c r="DF91" s="9"/>
      <c r="DG91" s="53"/>
      <c r="DH91" s="9"/>
    </row>
    <row r="92" spans="2:112" s="7" customFormat="1" ht="15" customHeight="1">
      <c r="B92" s="111"/>
      <c r="C92" s="116"/>
      <c r="D92" s="120"/>
      <c r="E92" s="120"/>
      <c r="F92" s="116"/>
      <c r="G92" s="119"/>
      <c r="H92" s="112" t="str">
        <f>INDEX(Language!$A$1:$AX$115,MATCH("Normal Time",Language!$B$1:$B$115,0),MATCH($G$2,Language!$A$1:$AW$1,0))</f>
        <v>Normal Time</v>
      </c>
      <c r="I92" s="116"/>
      <c r="J92" s="109">
        <f>'Knock Out Stages'!J49</f>
        <v>0</v>
      </c>
      <c r="K92" s="110" t="s">
        <v>58</v>
      </c>
      <c r="L92" s="109">
        <f>'Knock Out Stages'!J50</f>
        <v>0</v>
      </c>
      <c r="M92" s="116"/>
      <c r="N92" s="116"/>
      <c r="O92" s="111"/>
      <c r="P92" s="111"/>
      <c r="Q92" s="116"/>
      <c r="R92" s="116"/>
      <c r="S92" s="116"/>
      <c r="T92" s="116"/>
      <c r="U92" s="116"/>
      <c r="V92" s="116"/>
      <c r="W92" s="116"/>
      <c r="X92" s="116"/>
      <c r="Y92" s="112" t="str">
        <f>INDEX(Language!$A$1:$AX$115,MATCH("Extra Time",Language!$B$1:$B$115,0),MATCH($G$2,Language!$A$1:$AW$1,0))</f>
        <v>Extra Time</v>
      </c>
      <c r="Z92" s="116"/>
      <c r="AA92" s="109">
        <f>'Knock Out Stages'!K71</f>
        <v>0</v>
      </c>
      <c r="AB92" s="110" t="s">
        <v>58</v>
      </c>
      <c r="AC92" s="109">
        <f>'Knock Out Stages'!K72</f>
        <v>0</v>
      </c>
      <c r="AD92" s="116"/>
      <c r="AE92" s="121"/>
      <c r="AF92" s="111"/>
      <c r="AG92" s="111"/>
      <c r="AH92" s="111"/>
      <c r="AJ92" s="48"/>
      <c r="AK92" s="8"/>
      <c r="DE92" s="9"/>
      <c r="DF92" s="9"/>
      <c r="DG92" s="53"/>
      <c r="DH92" s="9"/>
    </row>
    <row r="93" spans="2:112" s="7" customFormat="1" ht="15" customHeight="1">
      <c r="B93" s="111"/>
      <c r="C93" s="116"/>
      <c r="D93" s="120"/>
      <c r="E93" s="120"/>
      <c r="F93" s="116"/>
      <c r="G93" s="119"/>
      <c r="H93" s="112" t="str">
        <f>INDEX(Language!$A$1:$AX$115,MATCH("Extra Time",Language!$B$1:$B$115,0),MATCH($G$2,Language!$A$1:$AW$1,0))</f>
        <v>Extra Time</v>
      </c>
      <c r="I93" s="116"/>
      <c r="J93" s="109">
        <f>'Knock Out Stages'!K49</f>
        <v>0</v>
      </c>
      <c r="K93" s="110" t="s">
        <v>58</v>
      </c>
      <c r="L93" s="109">
        <f>'Knock Out Stages'!K50</f>
        <v>0</v>
      </c>
      <c r="M93" s="116"/>
      <c r="N93" s="116"/>
      <c r="O93" s="111"/>
      <c r="P93" s="111"/>
      <c r="Q93" s="116"/>
      <c r="R93" s="116"/>
      <c r="S93" s="116"/>
      <c r="T93" s="116"/>
      <c r="U93" s="116"/>
      <c r="V93" s="116"/>
      <c r="W93" s="116"/>
      <c r="X93" s="116"/>
      <c r="Y93" s="112" t="str">
        <f>INDEX(Language!$A$1:$AX$115,MATCH("Penalty Shoot Out",Language!$B$1:$B$115,0),MATCH($G$2,Language!$A$1:$AW$1,0))</f>
        <v>Penalty Shoot Out</v>
      </c>
      <c r="Z93" s="116"/>
      <c r="AA93" s="109">
        <f>'Knock Out Stages'!L71</f>
        <v>0</v>
      </c>
      <c r="AB93" s="110" t="s">
        <v>58</v>
      </c>
      <c r="AC93" s="109">
        <f>'Knock Out Stages'!L72</f>
        <v>0</v>
      </c>
      <c r="AD93" s="116"/>
      <c r="AE93" s="121"/>
      <c r="AF93" s="111"/>
      <c r="AG93" s="111"/>
      <c r="AH93" s="111"/>
      <c r="AJ93" s="48"/>
      <c r="AK93" s="8"/>
      <c r="DE93" s="9"/>
      <c r="DF93" s="9"/>
      <c r="DG93" s="53"/>
      <c r="DH93" s="9"/>
    </row>
    <row r="94" spans="2:112" s="7" customFormat="1" ht="15" customHeight="1">
      <c r="B94" s="111"/>
      <c r="C94" s="116"/>
      <c r="D94" s="120"/>
      <c r="E94" s="120"/>
      <c r="F94" s="116"/>
      <c r="G94" s="119"/>
      <c r="H94" s="112" t="str">
        <f>INDEX(Language!$A$1:$AX$115,MATCH("Penalty Shoot Out",Language!$B$1:$B$115,0),MATCH($G$2,Language!$A$1:$AW$1,0))</f>
        <v>Penalty Shoot Out</v>
      </c>
      <c r="I94" s="116"/>
      <c r="J94" s="109">
        <f>'Knock Out Stages'!L49</f>
        <v>0</v>
      </c>
      <c r="K94" s="110" t="s">
        <v>58</v>
      </c>
      <c r="L94" s="109">
        <f>'Knock Out Stages'!L50</f>
        <v>0</v>
      </c>
      <c r="M94" s="116"/>
      <c r="N94" s="116"/>
      <c r="O94" s="111"/>
      <c r="P94" s="111"/>
      <c r="Q94" s="116"/>
      <c r="R94" s="116"/>
      <c r="S94" s="116"/>
      <c r="T94" s="116"/>
      <c r="U94" s="116"/>
      <c r="V94" s="116"/>
      <c r="W94" s="116"/>
      <c r="X94" s="116"/>
      <c r="Y94" s="122"/>
      <c r="Z94" s="116"/>
      <c r="AA94" s="120"/>
      <c r="AB94" s="116"/>
      <c r="AC94" s="116"/>
      <c r="AD94" s="116"/>
      <c r="AE94" s="121"/>
      <c r="AF94" s="111"/>
      <c r="AG94" s="111"/>
      <c r="AH94" s="111"/>
      <c r="AJ94" s="48"/>
      <c r="AK94" s="8"/>
      <c r="DE94" s="9"/>
      <c r="DF94" s="9"/>
      <c r="DG94" s="53"/>
      <c r="DH94" s="9"/>
    </row>
    <row r="95" spans="2:112" s="7" customFormat="1" ht="15" customHeight="1">
      <c r="B95" s="111"/>
      <c r="C95" s="116"/>
      <c r="D95" s="120"/>
      <c r="E95" s="120"/>
      <c r="F95" s="116"/>
      <c r="G95" s="119"/>
      <c r="H95" s="122"/>
      <c r="I95" s="116"/>
      <c r="J95" s="120"/>
      <c r="K95" s="116"/>
      <c r="L95" s="116"/>
      <c r="M95" s="116"/>
      <c r="N95" s="116"/>
      <c r="O95" s="111"/>
      <c r="P95" s="111"/>
      <c r="Q95" s="116"/>
      <c r="R95" s="116"/>
      <c r="S95" s="116">
        <v>62</v>
      </c>
      <c r="T95" s="117">
        <f>U95</f>
        <v>41829.875</v>
      </c>
      <c r="U95" s="118">
        <f>'Countries and Timezone'!R63</f>
        <v>41829.875</v>
      </c>
      <c r="V95" s="118"/>
      <c r="W95" s="118"/>
      <c r="X95" s="118"/>
      <c r="Y95" s="112" t="str">
        <f>IF(AND(AA77&lt;&gt;"",AC77&lt;&gt;"",AA77&lt;&gt;AC77),IF(AA77&gt;AC77,Y77,AE77),INDEX(Language!$A$1:$AX$115,MATCH("Match 59 Winner",Language!$B$1:$B$115,0),MATCH($G$2,Language!$A$1:$AW$1,0)))</f>
        <v>Match 59 Winner</v>
      </c>
      <c r="Z95" s="116"/>
      <c r="AA95" s="110" t="str">
        <f>IF(AA96="","",IF(AND(AA96=AC96,AA96&lt;&gt;"",AC96&lt;&gt;""),IF(AND(AA97=AC97,AA97&lt;&gt;"",AC97&lt;&gt;""),IF(AND(AA98=AC98,AA98&lt;&gt;"",AC98&lt;&gt;""),"",AA96+AA97+AA98),AA96+AA97),AA96))</f>
        <v/>
      </c>
      <c r="AB95" s="110" t="s">
        <v>58</v>
      </c>
      <c r="AC95" s="110" t="str">
        <f>IF(AC96="","",IF(AND(AA96=AC96,AA96&lt;&gt;"",AC96&lt;&gt;""),IF(AND(AA97=AC97,AA97&lt;&gt;"",AC97&lt;&gt;""),IF(AND(AA98=AC98,AA98&lt;&gt;"",AC98&lt;&gt;""),"",AC96+AC97+AC98),AC96+AC97),AC96))</f>
        <v/>
      </c>
      <c r="AD95" s="116"/>
      <c r="AE95" s="111" t="str">
        <f>IF(AND(AA82&lt;&gt;"",AC82&lt;&gt;"",AA82&lt;&gt;AC82),IF(AA82&gt;AC82,Y82,AE82),INDEX(Language!$A$1:$AX$115,MATCH("Match 60 Winner",Language!$B$1:$B$115,0),MATCH($G$2,Language!$A$1:$AW$1,0)))</f>
        <v>Match 60 Winner</v>
      </c>
      <c r="AF95" s="111"/>
      <c r="AG95" s="111"/>
      <c r="AH95" s="111"/>
      <c r="AJ95" s="48"/>
      <c r="AK95" s="8"/>
      <c r="DE95" s="9"/>
      <c r="DF95" s="9"/>
      <c r="DG95" s="53"/>
      <c r="DH95" s="9"/>
    </row>
    <row r="96" spans="2:112" s="7" customFormat="1" ht="15" customHeight="1">
      <c r="B96" s="111"/>
      <c r="C96" s="116"/>
      <c r="D96" s="120"/>
      <c r="E96" s="120"/>
      <c r="F96" s="116"/>
      <c r="G96" s="119"/>
      <c r="H96" s="122"/>
      <c r="I96" s="116"/>
      <c r="J96" s="120"/>
      <c r="K96" s="116"/>
      <c r="L96" s="116"/>
      <c r="M96" s="116"/>
      <c r="N96" s="116"/>
      <c r="O96" s="111"/>
      <c r="P96" s="111"/>
      <c r="Q96" s="116"/>
      <c r="R96" s="116"/>
      <c r="S96" s="116"/>
      <c r="T96" s="116"/>
      <c r="U96" s="116"/>
      <c r="V96" s="116"/>
      <c r="W96" s="116"/>
      <c r="X96" s="116"/>
      <c r="Y96" s="112" t="str">
        <f>INDEX(Language!$A$1:$AX$115,MATCH("Normal Time",Language!$B$1:$B$115,0),MATCH($G$2,Language!$A$1:$AW$1,0))</f>
        <v>Normal Time</v>
      </c>
      <c r="Z96" s="116"/>
      <c r="AA96" s="109">
        <f>'Knock Out Stages'!J73</f>
        <v>0</v>
      </c>
      <c r="AB96" s="110" t="s">
        <v>58</v>
      </c>
      <c r="AC96" s="109">
        <f>'Knock Out Stages'!J74</f>
        <v>0</v>
      </c>
      <c r="AD96" s="116"/>
      <c r="AE96" s="121"/>
      <c r="AF96" s="111"/>
      <c r="AG96" s="111"/>
      <c r="AH96" s="111"/>
      <c r="AJ96" s="48"/>
      <c r="AK96" s="8"/>
      <c r="DE96" s="9"/>
      <c r="DF96" s="9"/>
      <c r="DG96" s="53"/>
      <c r="DH96" s="9"/>
    </row>
    <row r="97" spans="2:112" s="7" customFormat="1" ht="15" customHeight="1">
      <c r="B97" s="116"/>
      <c r="C97" s="116"/>
      <c r="D97" s="120">
        <v>54</v>
      </c>
      <c r="E97" s="120"/>
      <c r="F97" s="117">
        <f>G97</f>
        <v>41820.875</v>
      </c>
      <c r="G97" s="118">
        <f>'Countries and Timezone'!R55</f>
        <v>41820.875</v>
      </c>
      <c r="H97" s="112" t="str">
        <f ca="1">IF(Tournament!$V$49=3,Tournament!$T$49,INDEX(Language!$A$1:$AX$115,MATCH("Group G Winner",Language!$B$1:$B$115,0),MATCH($G$2,Language!$A$1:$AW$1,0)))</f>
        <v>Group G Winner</v>
      </c>
      <c r="I97" s="111"/>
      <c r="J97" s="110" t="str">
        <f>IF(J98="","",IF(AND(J98=L98,J98&lt;&gt;"",L98&lt;&gt;""),IF(AND(J99=L99,J99&lt;&gt;"",L99&lt;&gt;""),IF(AND(J100=L100,J100&lt;&gt;"",L100&lt;&gt;""),"",J98+J99+J100),J98+J99),J98))</f>
        <v/>
      </c>
      <c r="K97" s="110" t="s">
        <v>58</v>
      </c>
      <c r="L97" s="110" t="str">
        <f>IF(L98="","",IF(AND(J98=L98,J98&lt;&gt;"",L98&lt;&gt;""),IF(AND(J99=L99,J99&lt;&gt;"",L99&lt;&gt;""),IF(AND(J100=L100,J100&lt;&gt;"",L100&lt;&gt;""),"",L98+L99+L100),L98+L99),L98))</f>
        <v/>
      </c>
      <c r="M97" s="111"/>
      <c r="N97" s="111" t="str">
        <f ca="1">IF(Tournament!$V$56=3,Tournament!$T$56,INDEX(Language!$A$1:$AX$115,MATCH("Group H Runner Up",Language!$B$1:$B$115,0),MATCH($G$2,Language!$A$1:$AW$1,0)))</f>
        <v>Group H Runner Up</v>
      </c>
      <c r="O97" s="111"/>
      <c r="P97" s="111"/>
      <c r="Q97" s="116"/>
      <c r="R97" s="116"/>
      <c r="S97" s="116"/>
      <c r="T97" s="116"/>
      <c r="U97" s="116"/>
      <c r="V97" s="116"/>
      <c r="W97" s="116"/>
      <c r="X97" s="116"/>
      <c r="Y97" s="112" t="str">
        <f>INDEX(Language!$A$1:$AX$115,MATCH("Extra Time",Language!$B$1:$B$115,0),MATCH($G$2,Language!$A$1:$AW$1,0))</f>
        <v>Extra Time</v>
      </c>
      <c r="Z97" s="116"/>
      <c r="AA97" s="109">
        <f>'Knock Out Stages'!K73</f>
        <v>0</v>
      </c>
      <c r="AB97" s="110" t="s">
        <v>58</v>
      </c>
      <c r="AC97" s="109">
        <f>'Knock Out Stages'!K74</f>
        <v>0</v>
      </c>
      <c r="AD97" s="116"/>
      <c r="AE97" s="121"/>
      <c r="AF97" s="111"/>
      <c r="AG97" s="111"/>
      <c r="AH97" s="111"/>
      <c r="AJ97" s="48"/>
      <c r="AK97" s="8"/>
      <c r="DE97" s="9"/>
      <c r="DF97" s="9"/>
      <c r="DG97" s="53"/>
      <c r="DH97" s="9"/>
    </row>
    <row r="98" spans="2:112" s="7" customFormat="1" ht="15" customHeight="1">
      <c r="B98" s="116"/>
      <c r="C98" s="116"/>
      <c r="D98" s="120"/>
      <c r="E98" s="120"/>
      <c r="F98" s="116"/>
      <c r="G98" s="119"/>
      <c r="H98" s="112" t="str">
        <f>INDEX(Language!$A$1:$AX$115,MATCH("Normal Time",Language!$B$1:$B$115,0),MATCH($G$2,Language!$A$1:$AW$1,0))</f>
        <v>Normal Time</v>
      </c>
      <c r="I98" s="116"/>
      <c r="J98" s="109">
        <f>'Knock Out Stages'!J51</f>
        <v>0</v>
      </c>
      <c r="K98" s="110" t="s">
        <v>58</v>
      </c>
      <c r="L98" s="109">
        <f>'Knock Out Stages'!J52</f>
        <v>0</v>
      </c>
      <c r="M98" s="116"/>
      <c r="N98" s="116"/>
      <c r="O98" s="111"/>
      <c r="P98" s="111"/>
      <c r="Q98" s="116"/>
      <c r="R98" s="116"/>
      <c r="S98" s="116"/>
      <c r="T98" s="116"/>
      <c r="U98" s="116"/>
      <c r="V98" s="116"/>
      <c r="W98" s="116"/>
      <c r="X98" s="116"/>
      <c r="Y98" s="112" t="str">
        <f>INDEX(Language!$A$1:$AX$115,MATCH("Penalty Shoot Out",Language!$B$1:$B$115,0),MATCH($G$2,Language!$A$1:$AW$1,0))</f>
        <v>Penalty Shoot Out</v>
      </c>
      <c r="Z98" s="116"/>
      <c r="AA98" s="109">
        <f>'Knock Out Stages'!L73</f>
        <v>0</v>
      </c>
      <c r="AB98" s="110" t="s">
        <v>58</v>
      </c>
      <c r="AC98" s="109">
        <f>'Knock Out Stages'!L74</f>
        <v>0</v>
      </c>
      <c r="AD98" s="116"/>
      <c r="AE98" s="121"/>
      <c r="AF98" s="111"/>
      <c r="AG98" s="111"/>
      <c r="AH98" s="111"/>
      <c r="AJ98" s="48"/>
      <c r="AK98" s="8"/>
      <c r="DE98" s="9"/>
      <c r="DF98" s="9"/>
      <c r="DG98" s="53"/>
      <c r="DH98" s="9"/>
    </row>
    <row r="99" spans="2:112" s="7" customFormat="1" ht="15" customHeight="1">
      <c r="B99" s="116"/>
      <c r="C99" s="116"/>
      <c r="D99" s="120"/>
      <c r="E99" s="120"/>
      <c r="F99" s="116"/>
      <c r="G99" s="119"/>
      <c r="H99" s="112" t="str">
        <f>INDEX(Language!$A$1:$AX$115,MATCH("Extra Time",Language!$B$1:$B$115,0),MATCH($G$2,Language!$A$1:$AW$1,0))</f>
        <v>Extra Time</v>
      </c>
      <c r="I99" s="116"/>
      <c r="J99" s="109">
        <f>'Knock Out Stages'!K51</f>
        <v>0</v>
      </c>
      <c r="K99" s="110" t="s">
        <v>58</v>
      </c>
      <c r="L99" s="109">
        <f>'Knock Out Stages'!K52</f>
        <v>0</v>
      </c>
      <c r="M99" s="116"/>
      <c r="N99" s="116"/>
      <c r="O99" s="111"/>
      <c r="P99" s="111"/>
      <c r="Q99" s="116"/>
      <c r="R99" s="116"/>
      <c r="S99" s="116"/>
      <c r="T99" s="116"/>
      <c r="U99" s="116"/>
      <c r="V99" s="116"/>
      <c r="W99" s="116"/>
      <c r="X99" s="116"/>
      <c r="Y99" s="116"/>
      <c r="Z99" s="116"/>
      <c r="AA99" s="120"/>
      <c r="AB99" s="116"/>
      <c r="AC99" s="116"/>
      <c r="AD99" s="116"/>
      <c r="AE99" s="116"/>
      <c r="AF99" s="111"/>
      <c r="AG99" s="111"/>
      <c r="AH99" s="111"/>
      <c r="AJ99" s="48"/>
      <c r="AK99" s="8"/>
      <c r="DE99" s="9"/>
      <c r="DF99" s="9"/>
      <c r="DG99" s="53"/>
      <c r="DH99" s="9"/>
    </row>
    <row r="100" spans="2:112" s="7" customFormat="1" ht="15" customHeight="1">
      <c r="B100" s="116"/>
      <c r="C100" s="116"/>
      <c r="D100" s="120"/>
      <c r="E100" s="120"/>
      <c r="F100" s="116"/>
      <c r="G100" s="119"/>
      <c r="H100" s="112" t="str">
        <f>INDEX(Language!$A$1:$AX$115,MATCH("Penalty Shoot Out",Language!$B$1:$B$115,0),MATCH($G$2,Language!$A$1:$AW$1,0))</f>
        <v>Penalty Shoot Out</v>
      </c>
      <c r="I100" s="116"/>
      <c r="J100" s="109">
        <f>'Knock Out Stages'!L51</f>
        <v>0</v>
      </c>
      <c r="K100" s="110" t="s">
        <v>58</v>
      </c>
      <c r="L100" s="109">
        <f>'Knock Out Stages'!L52</f>
        <v>0</v>
      </c>
      <c r="M100" s="116"/>
      <c r="N100" s="116"/>
      <c r="O100" s="111"/>
      <c r="P100" s="111"/>
      <c r="Q100" s="116"/>
      <c r="R100" s="116"/>
      <c r="S100" s="116"/>
      <c r="T100" s="116"/>
      <c r="U100" s="116"/>
      <c r="V100" s="116"/>
      <c r="W100" s="116"/>
      <c r="X100" s="120"/>
      <c r="Y100" s="116"/>
      <c r="Z100" s="116"/>
      <c r="AA100" s="116"/>
      <c r="AB100" s="116"/>
      <c r="AC100" s="111"/>
      <c r="AD100" s="111"/>
      <c r="AE100" s="111"/>
      <c r="AF100" s="114"/>
      <c r="AG100" s="110"/>
      <c r="AH100" s="111"/>
      <c r="DB100" s="9"/>
      <c r="DC100" s="9"/>
      <c r="DD100" s="53"/>
      <c r="DE100" s="9"/>
    </row>
    <row r="101" spans="2:112" s="7" customFormat="1" ht="15" customHeight="1">
      <c r="B101" s="116"/>
      <c r="C101" s="116"/>
      <c r="D101" s="120"/>
      <c r="E101" s="120"/>
      <c r="F101" s="116"/>
      <c r="G101" s="119"/>
      <c r="H101" s="122"/>
      <c r="I101" s="116"/>
      <c r="J101" s="120"/>
      <c r="K101" s="116"/>
      <c r="L101" s="116"/>
      <c r="M101" s="116"/>
      <c r="N101" s="116"/>
      <c r="O101" s="111"/>
      <c r="P101" s="111"/>
      <c r="Q101" s="111"/>
      <c r="R101" s="196" t="str">
        <f>INDEX(Language!$A$1:$AX$115,MATCH("Match for Third Place",Language!$B$1:$B$115,0),MATCH($G$2,Language!$A$1:$AW$1,0))</f>
        <v>Match for Third Place</v>
      </c>
      <c r="S101" s="196"/>
      <c r="T101" s="196"/>
      <c r="U101" s="196"/>
      <c r="V101" s="196"/>
      <c r="W101" s="196"/>
      <c r="X101" s="196"/>
      <c r="Y101" s="196"/>
      <c r="Z101" s="196"/>
      <c r="AA101" s="196"/>
      <c r="AB101" s="196"/>
      <c r="AC101" s="196"/>
      <c r="AD101" s="196"/>
      <c r="AE101" s="196"/>
      <c r="AF101" s="196"/>
      <c r="AG101" s="196"/>
      <c r="AH101" s="111"/>
      <c r="DB101" s="9"/>
      <c r="DC101" s="9"/>
      <c r="DD101" s="53"/>
      <c r="DE101" s="9"/>
    </row>
    <row r="102" spans="2:112" s="7" customFormat="1" ht="15" customHeight="1">
      <c r="B102" s="116"/>
      <c r="C102" s="116"/>
      <c r="D102" s="120"/>
      <c r="E102" s="120"/>
      <c r="F102" s="116"/>
      <c r="G102" s="119"/>
      <c r="H102" s="122"/>
      <c r="I102" s="116"/>
      <c r="J102" s="120"/>
      <c r="K102" s="116"/>
      <c r="L102" s="116"/>
      <c r="M102" s="116"/>
      <c r="N102" s="116"/>
      <c r="O102" s="111"/>
      <c r="P102" s="111"/>
      <c r="Q102" s="116"/>
      <c r="R102" s="116"/>
      <c r="S102" s="116"/>
      <c r="T102" s="116"/>
      <c r="U102" s="116"/>
      <c r="V102" s="116"/>
      <c r="W102" s="116"/>
      <c r="X102" s="116"/>
      <c r="Y102" s="116"/>
      <c r="Z102" s="116"/>
      <c r="AA102" s="120"/>
      <c r="AB102" s="116"/>
      <c r="AC102" s="116"/>
      <c r="AD102" s="116"/>
      <c r="AE102" s="116"/>
      <c r="AF102" s="111"/>
      <c r="AG102" s="111"/>
      <c r="AH102" s="111"/>
      <c r="AJ102" s="48"/>
      <c r="AK102" s="8"/>
      <c r="DE102" s="9"/>
      <c r="DF102" s="9"/>
      <c r="DG102" s="53"/>
      <c r="DH102" s="9"/>
    </row>
    <row r="103" spans="2:112" s="7" customFormat="1" ht="15" customHeight="1">
      <c r="B103" s="116"/>
      <c r="C103" s="116"/>
      <c r="D103" s="120">
        <v>55</v>
      </c>
      <c r="E103" s="120"/>
      <c r="F103" s="117">
        <f>G103</f>
        <v>41821.708333333328</v>
      </c>
      <c r="G103" s="118">
        <f>'Countries and Timezone'!R56</f>
        <v>41821.708333333328</v>
      </c>
      <c r="H103" s="112" t="str">
        <f ca="1">IF(Tournament!$V$43=3,Tournament!$T$43,INDEX(Language!$A$1:$AX$115,MATCH("Group F Winner",Language!$B$1:$B$115,0),MATCH($G$2,Language!$A$1:$AW$1,0)))</f>
        <v>Group F Winner</v>
      </c>
      <c r="I103" s="111"/>
      <c r="J103" s="110" t="str">
        <f>IF(J104="","",IF(AND(J104=L104,J104&lt;&gt;"",L104&lt;&gt;""),IF(AND(J105=L105,J105&lt;&gt;"",L105&lt;&gt;""),IF(AND(J106=L106,J106&lt;&gt;"",L106&lt;&gt;""),"",J104+J105+J106),J104+J105),J104))</f>
        <v/>
      </c>
      <c r="K103" s="110" t="s">
        <v>58</v>
      </c>
      <c r="L103" s="110" t="str">
        <f>IF(L104="","",IF(AND(J104=L104,J104&lt;&gt;"",L104&lt;&gt;""),IF(AND(J105=L105,J105&lt;&gt;"",L105&lt;&gt;""),IF(AND(J106=L106,J106&lt;&gt;"",L106&lt;&gt;""),"",L104+L105+L106),L104+L105),L104))</f>
        <v/>
      </c>
      <c r="M103" s="111"/>
      <c r="N103" s="111" t="str">
        <f ca="1">IF(Tournament!$V$38=3,Tournament!$T$38,INDEX(Language!$A$1:$AX$115,MATCH("Group E Runner Up",Language!$B$1:$B$115,0),MATCH($G$2,Language!$A$1:$AW$1,0)))</f>
        <v>Group E Runner Up</v>
      </c>
      <c r="O103" s="111"/>
      <c r="P103" s="111"/>
      <c r="Q103" s="116"/>
      <c r="R103" s="116"/>
      <c r="S103" s="116">
        <v>63</v>
      </c>
      <c r="T103" s="117">
        <f>U103</f>
        <v>41832.875</v>
      </c>
      <c r="U103" s="118">
        <f>'Countries and Timezone'!R64</f>
        <v>41832.875</v>
      </c>
      <c r="V103" s="118"/>
      <c r="W103" s="118"/>
      <c r="X103" s="118"/>
      <c r="Y103" s="112" t="str">
        <f>IF(AND(AA90&lt;&gt;"",AC90&lt;&gt;"",AA90&lt;&gt;AC90),IF(AA90&lt;AC90,Y90,AE90),INDEX(Language!$A$1:$AX$115,MATCH("Match 61 Loser",Language!$B$1:$B$115,0),MATCH($G$2,Language!$A$1:$AW$1,0)))</f>
        <v>Match 61 Loser</v>
      </c>
      <c r="Z103" s="116"/>
      <c r="AA103" s="110" t="str">
        <f>IF(AA104="","",IF(AND(AA104=AC104,AA104&lt;&gt;"",AC104&lt;&gt;""),IF(AND(AA105=AC105,AA105&lt;&gt;"",AC105&lt;&gt;""),IF(AND(AA106=AC106,AA106&lt;&gt;"",AC106&lt;&gt;""),"",AA104+AA105+AA106),AA104+AA105),AA104))</f>
        <v/>
      </c>
      <c r="AB103" s="110" t="s">
        <v>58</v>
      </c>
      <c r="AC103" s="110" t="str">
        <f>IF(AC104="","",IF(AND(AA104=AC104,AA104&lt;&gt;"",AC104&lt;&gt;""),IF(AND(AA105=AC105,AA105&lt;&gt;"",AC105&lt;&gt;""),IF(AND(AA106=AC106,AA106&lt;&gt;"",AC106&lt;&gt;""),"",AC104+AC105+AC106),AC104+AC105),AC104))</f>
        <v/>
      </c>
      <c r="AD103" s="116"/>
      <c r="AE103" s="111" t="str">
        <f>IF(AND(AA95&lt;&gt;"",AC95&lt;&gt;"",AA95&lt;&gt;AC95),IF(AA95&lt;AC95,Y95,AE95),INDEX(Language!$A$1:$AX$115,MATCH("Match 62 Loser",Language!$B$1:$B$115,0),MATCH($G$2,Language!$A$1:$AW$1,0)))</f>
        <v>Match 62 Loser</v>
      </c>
      <c r="AF103" s="111"/>
      <c r="AG103" s="111"/>
      <c r="AH103" s="111"/>
      <c r="AJ103" s="48"/>
      <c r="AK103" s="8"/>
      <c r="DE103" s="9"/>
      <c r="DF103" s="9"/>
      <c r="DG103" s="53"/>
      <c r="DH103" s="9"/>
    </row>
    <row r="104" spans="2:112" s="7" customFormat="1" ht="15" customHeight="1">
      <c r="B104" s="116"/>
      <c r="C104" s="116"/>
      <c r="D104" s="120"/>
      <c r="E104" s="120"/>
      <c r="F104" s="116"/>
      <c r="G104" s="119"/>
      <c r="H104" s="112" t="str">
        <f>INDEX(Language!$A$1:$AX$115,MATCH("Normal Time",Language!$B$1:$B$115,0),MATCH($G$2,Language!$A$1:$AW$1,0))</f>
        <v>Normal Time</v>
      </c>
      <c r="I104" s="116"/>
      <c r="J104" s="109">
        <f>'Knock Out Stages'!J53</f>
        <v>0</v>
      </c>
      <c r="K104" s="110" t="s">
        <v>58</v>
      </c>
      <c r="L104" s="109">
        <f>'Knock Out Stages'!J54</f>
        <v>0</v>
      </c>
      <c r="M104" s="116"/>
      <c r="N104" s="116"/>
      <c r="O104" s="111"/>
      <c r="P104" s="111"/>
      <c r="Q104" s="116"/>
      <c r="R104" s="116"/>
      <c r="S104" s="116"/>
      <c r="T104" s="116"/>
      <c r="U104" s="116"/>
      <c r="V104" s="116"/>
      <c r="W104" s="116"/>
      <c r="X104" s="116"/>
      <c r="Y104" s="112" t="str">
        <f>INDEX(Language!$A$1:$AX$115,MATCH("Normal Time",Language!$B$1:$B$115,0),MATCH($G$2,Language!$A$1:$AW$1,0))</f>
        <v>Normal Time</v>
      </c>
      <c r="Z104" s="116"/>
      <c r="AA104" s="109">
        <f>'Knock Out Stages'!J78</f>
        <v>0</v>
      </c>
      <c r="AB104" s="110" t="s">
        <v>58</v>
      </c>
      <c r="AC104" s="109">
        <f>'Knock Out Stages'!J79</f>
        <v>0</v>
      </c>
      <c r="AD104" s="116"/>
      <c r="AE104" s="116"/>
      <c r="AF104" s="111"/>
      <c r="AG104" s="111"/>
      <c r="AH104" s="111"/>
      <c r="AJ104" s="48"/>
      <c r="AK104" s="8"/>
      <c r="DE104" s="9"/>
      <c r="DF104" s="9"/>
      <c r="DG104" s="53"/>
      <c r="DH104" s="9"/>
    </row>
    <row r="105" spans="2:112" s="7" customFormat="1" ht="15" customHeight="1">
      <c r="B105" s="116"/>
      <c r="C105" s="116"/>
      <c r="D105" s="120"/>
      <c r="E105" s="120"/>
      <c r="F105" s="116"/>
      <c r="G105" s="119"/>
      <c r="H105" s="112" t="str">
        <f>INDEX(Language!$A$1:$AX$115,MATCH("Extra Time",Language!$B$1:$B$115,0),MATCH($G$2,Language!$A$1:$AW$1,0))</f>
        <v>Extra Time</v>
      </c>
      <c r="I105" s="116"/>
      <c r="J105" s="109">
        <f>'Knock Out Stages'!K53</f>
        <v>0</v>
      </c>
      <c r="K105" s="110" t="s">
        <v>58</v>
      </c>
      <c r="L105" s="109">
        <f>'Knock Out Stages'!K54</f>
        <v>0</v>
      </c>
      <c r="M105" s="116"/>
      <c r="N105" s="116"/>
      <c r="O105" s="111"/>
      <c r="P105" s="111"/>
      <c r="Q105" s="116"/>
      <c r="R105" s="116"/>
      <c r="S105" s="116"/>
      <c r="T105" s="116"/>
      <c r="U105" s="116"/>
      <c r="V105" s="116"/>
      <c r="W105" s="116"/>
      <c r="X105" s="116"/>
      <c r="Y105" s="112" t="str">
        <f>INDEX(Language!$A$1:$AX$115,MATCH("Extra Time",Language!$B$1:$B$115,0),MATCH($G$2,Language!$A$1:$AW$1,0))</f>
        <v>Extra Time</v>
      </c>
      <c r="Z105" s="116"/>
      <c r="AA105" s="109">
        <f>'Knock Out Stages'!K78</f>
        <v>0</v>
      </c>
      <c r="AB105" s="110" t="s">
        <v>58</v>
      </c>
      <c r="AC105" s="109">
        <f>'Knock Out Stages'!K79</f>
        <v>0</v>
      </c>
      <c r="AD105" s="116"/>
      <c r="AE105" s="116"/>
      <c r="AF105" s="111"/>
      <c r="AG105" s="111"/>
      <c r="AH105" s="111"/>
      <c r="AJ105" s="48"/>
      <c r="AK105" s="8"/>
      <c r="DE105" s="9"/>
      <c r="DF105" s="9"/>
      <c r="DG105" s="53"/>
      <c r="DH105" s="9"/>
    </row>
    <row r="106" spans="2:112" s="7" customFormat="1" ht="15" customHeight="1">
      <c r="B106" s="116"/>
      <c r="C106" s="116"/>
      <c r="D106" s="120"/>
      <c r="E106" s="120"/>
      <c r="F106" s="116"/>
      <c r="G106" s="119"/>
      <c r="H106" s="112" t="str">
        <f>INDEX(Language!$A$1:$AX$115,MATCH("Penalty Shoot Out",Language!$B$1:$B$115,0),MATCH($G$2,Language!$A$1:$AW$1,0))</f>
        <v>Penalty Shoot Out</v>
      </c>
      <c r="I106" s="116"/>
      <c r="J106" s="109">
        <f>'Knock Out Stages'!L53</f>
        <v>0</v>
      </c>
      <c r="K106" s="110" t="s">
        <v>58</v>
      </c>
      <c r="L106" s="109">
        <f>'Knock Out Stages'!L54</f>
        <v>0</v>
      </c>
      <c r="M106" s="116"/>
      <c r="N106" s="116"/>
      <c r="O106" s="111"/>
      <c r="P106" s="111"/>
      <c r="Q106" s="116"/>
      <c r="R106" s="116"/>
      <c r="S106" s="116"/>
      <c r="T106" s="116"/>
      <c r="U106" s="116"/>
      <c r="V106" s="116"/>
      <c r="W106" s="116"/>
      <c r="X106" s="116"/>
      <c r="Y106" s="112" t="str">
        <f>INDEX(Language!$A$1:$AX$115,MATCH("Penalty Shoot Out",Language!$B$1:$B$115,0),MATCH($G$2,Language!$A$1:$AW$1,0))</f>
        <v>Penalty Shoot Out</v>
      </c>
      <c r="Z106" s="116"/>
      <c r="AA106" s="109">
        <f>'Knock Out Stages'!L78</f>
        <v>0</v>
      </c>
      <c r="AB106" s="110" t="s">
        <v>58</v>
      </c>
      <c r="AC106" s="109">
        <f>'Knock Out Stages'!L79</f>
        <v>0</v>
      </c>
      <c r="AD106" s="116"/>
      <c r="AE106" s="116"/>
      <c r="AF106" s="111"/>
      <c r="AG106" s="111"/>
      <c r="AH106" s="111"/>
      <c r="AJ106" s="48"/>
      <c r="AK106" s="8"/>
      <c r="DE106" s="9"/>
      <c r="DF106" s="9"/>
      <c r="DG106" s="53"/>
      <c r="DH106" s="9"/>
    </row>
    <row r="107" spans="2:112" s="7" customFormat="1" ht="15" customHeight="1">
      <c r="B107" s="116"/>
      <c r="C107" s="116"/>
      <c r="D107" s="120"/>
      <c r="E107" s="120"/>
      <c r="F107" s="116"/>
      <c r="G107" s="119"/>
      <c r="H107" s="122"/>
      <c r="I107" s="116"/>
      <c r="J107" s="120"/>
      <c r="K107" s="116"/>
      <c r="L107" s="116"/>
      <c r="M107" s="116"/>
      <c r="N107" s="116"/>
      <c r="O107" s="111"/>
      <c r="P107" s="111"/>
      <c r="Q107" s="116"/>
      <c r="R107" s="116"/>
      <c r="S107" s="116"/>
      <c r="T107" s="116"/>
      <c r="U107" s="116"/>
      <c r="V107" s="116"/>
      <c r="W107" s="116"/>
      <c r="X107" s="116"/>
      <c r="Y107" s="116"/>
      <c r="Z107" s="116"/>
      <c r="AA107" s="120"/>
      <c r="AB107" s="116"/>
      <c r="AC107" s="116"/>
      <c r="AD107" s="116"/>
      <c r="AE107" s="116"/>
      <c r="AF107" s="111"/>
      <c r="AG107" s="111"/>
      <c r="AH107" s="111"/>
      <c r="AJ107" s="48"/>
      <c r="AK107" s="8"/>
      <c r="DE107" s="9"/>
      <c r="DF107" s="9"/>
      <c r="DG107" s="53"/>
      <c r="DH107" s="9"/>
    </row>
    <row r="108" spans="2:112" s="7" customFormat="1" ht="15" customHeight="1">
      <c r="B108" s="116"/>
      <c r="C108" s="116"/>
      <c r="D108" s="120"/>
      <c r="E108" s="120"/>
      <c r="F108" s="116"/>
      <c r="G108" s="119"/>
      <c r="H108" s="122"/>
      <c r="I108" s="116"/>
      <c r="J108" s="120"/>
      <c r="K108" s="116"/>
      <c r="L108" s="116"/>
      <c r="M108" s="116"/>
      <c r="N108" s="116"/>
      <c r="O108" s="111"/>
      <c r="P108" s="111"/>
      <c r="Q108" s="116"/>
      <c r="R108" s="116"/>
      <c r="S108" s="116"/>
      <c r="T108" s="116"/>
      <c r="U108" s="116"/>
      <c r="V108" s="116"/>
      <c r="W108" s="116"/>
      <c r="X108" s="120"/>
      <c r="Y108" s="116"/>
      <c r="Z108" s="116"/>
      <c r="AA108" s="116"/>
      <c r="AB108" s="116"/>
      <c r="AC108" s="111"/>
      <c r="AD108" s="111"/>
      <c r="AE108" s="111"/>
      <c r="AF108" s="114"/>
      <c r="AG108" s="110"/>
      <c r="AH108" s="111"/>
      <c r="DB108" s="9"/>
      <c r="DC108" s="9"/>
      <c r="DD108" s="53"/>
      <c r="DE108" s="9"/>
    </row>
    <row r="109" spans="2:112" s="7" customFormat="1" ht="15" customHeight="1">
      <c r="B109" s="116"/>
      <c r="C109" s="116"/>
      <c r="D109" s="120">
        <v>56</v>
      </c>
      <c r="E109" s="120"/>
      <c r="F109" s="117">
        <f>G109</f>
        <v>41821.875</v>
      </c>
      <c r="G109" s="118">
        <f>'Countries and Timezone'!R57</f>
        <v>41821.875</v>
      </c>
      <c r="H109" s="112" t="str">
        <f ca="1">IF(Tournament!$V$55=3,Tournament!$T$55,INDEX(Language!$A$1:$AX$115,MATCH("Group H Winner",Language!$B$1:$B$115,0),MATCH($G$2,Language!$A$1:$AW$1,0)))</f>
        <v>Group H Winner</v>
      </c>
      <c r="I109" s="111"/>
      <c r="J109" s="110" t="str">
        <f>IF(J110="","",IF(AND(J110=L110,J110&lt;&gt;"",L110&lt;&gt;""),IF(AND(J111=L111,J111&lt;&gt;"",L111&lt;&gt;""),IF(AND(J112=L112,J112&lt;&gt;"",L112&lt;&gt;""),"",J110+J111+J112),J110+J111),J110))</f>
        <v/>
      </c>
      <c r="K109" s="110" t="s">
        <v>58</v>
      </c>
      <c r="L109" s="110" t="str">
        <f>IF(L110="","",IF(AND(J110=L110,J110&lt;&gt;"",L110&lt;&gt;""),IF(AND(J111=L111,J111&lt;&gt;"",L111&lt;&gt;""),IF(AND(J112=L112,J112&lt;&gt;"",L112&lt;&gt;""),"",L110+L111+L112),L110+L111),L110))</f>
        <v/>
      </c>
      <c r="M109" s="111"/>
      <c r="N109" s="111" t="str">
        <f ca="1">IF(Tournament!$V$50=3,Tournament!$T$50,INDEX(Language!$A$1:$AX$115,MATCH("Group G Runner Up",Language!$B$1:$B$115,0),MATCH($G$2,Language!$A$1:$AW$1,0)))</f>
        <v>Group G Runner Up</v>
      </c>
      <c r="O109" s="111"/>
      <c r="P109" s="111"/>
      <c r="Q109" s="111"/>
      <c r="R109" s="196" t="str">
        <f>INDEX(Language!$A$1:$AX$115,MATCH("Final",Language!$B$1:$B$115,0),MATCH($G$2,Language!$A$1:$AW$1,0))</f>
        <v>Final</v>
      </c>
      <c r="S109" s="196"/>
      <c r="T109" s="196"/>
      <c r="U109" s="196"/>
      <c r="V109" s="196"/>
      <c r="W109" s="196"/>
      <c r="X109" s="196"/>
      <c r="Y109" s="196"/>
      <c r="Z109" s="196"/>
      <c r="AA109" s="196"/>
      <c r="AB109" s="196"/>
      <c r="AC109" s="196"/>
      <c r="AD109" s="196"/>
      <c r="AE109" s="196"/>
      <c r="AF109" s="196"/>
      <c r="AG109" s="196"/>
      <c r="AH109" s="111"/>
      <c r="DB109" s="9"/>
      <c r="DC109" s="9"/>
      <c r="DD109" s="53"/>
      <c r="DE109" s="9"/>
    </row>
    <row r="110" spans="2:112" s="7" customFormat="1" ht="15" customHeight="1">
      <c r="B110" s="116"/>
      <c r="C110" s="116"/>
      <c r="D110" s="120"/>
      <c r="E110" s="120"/>
      <c r="F110" s="116"/>
      <c r="G110" s="119"/>
      <c r="H110" s="112" t="str">
        <f>INDEX(Language!$A$1:$AX$115,MATCH("Normal Time",Language!$B$1:$B$115,0),MATCH($G$2,Language!$A$1:$AW$1,0))</f>
        <v>Normal Time</v>
      </c>
      <c r="I110" s="116"/>
      <c r="J110" s="109">
        <f>'Knock Out Stages'!J55</f>
        <v>0</v>
      </c>
      <c r="K110" s="110" t="s">
        <v>58</v>
      </c>
      <c r="L110" s="109">
        <f>'Knock Out Stages'!J56</f>
        <v>0</v>
      </c>
      <c r="M110" s="116"/>
      <c r="N110" s="116"/>
      <c r="O110" s="111"/>
      <c r="P110" s="111"/>
      <c r="Q110" s="116"/>
      <c r="R110" s="116"/>
      <c r="S110" s="116"/>
      <c r="T110" s="116"/>
      <c r="U110" s="116"/>
      <c r="V110" s="116"/>
      <c r="W110" s="116"/>
      <c r="X110" s="116"/>
      <c r="Y110" s="116"/>
      <c r="Z110" s="116"/>
      <c r="AA110" s="120"/>
      <c r="AB110" s="116"/>
      <c r="AC110" s="116"/>
      <c r="AD110" s="116"/>
      <c r="AE110" s="116"/>
      <c r="AF110" s="111"/>
      <c r="AG110" s="111"/>
      <c r="AH110" s="111"/>
      <c r="AJ110" s="48"/>
      <c r="AK110" s="8"/>
      <c r="DE110" s="9"/>
      <c r="DF110" s="9"/>
      <c r="DG110" s="53"/>
      <c r="DH110" s="9"/>
    </row>
    <row r="111" spans="2:112" s="7" customFormat="1" ht="15" customHeight="1">
      <c r="B111" s="116"/>
      <c r="C111" s="116"/>
      <c r="D111" s="120"/>
      <c r="E111" s="120"/>
      <c r="F111" s="116"/>
      <c r="G111" s="119"/>
      <c r="H111" s="112" t="str">
        <f>INDEX(Language!$A$1:$AX$115,MATCH("Extra Time",Language!$B$1:$B$115,0),MATCH($G$2,Language!$A$1:$AW$1,0))</f>
        <v>Extra Time</v>
      </c>
      <c r="I111" s="116"/>
      <c r="J111" s="109">
        <f>'Knock Out Stages'!K55</f>
        <v>0</v>
      </c>
      <c r="K111" s="110" t="s">
        <v>58</v>
      </c>
      <c r="L111" s="109">
        <f>'Knock Out Stages'!K56</f>
        <v>0</v>
      </c>
      <c r="M111" s="116"/>
      <c r="N111" s="116"/>
      <c r="O111" s="111"/>
      <c r="P111" s="111"/>
      <c r="Q111" s="116"/>
      <c r="R111" s="116"/>
      <c r="S111" s="116">
        <v>64</v>
      </c>
      <c r="T111" s="117">
        <f>U111</f>
        <v>41833.833333333328</v>
      </c>
      <c r="U111" s="118">
        <f>'Countries and Timezone'!R65</f>
        <v>41833.833333333328</v>
      </c>
      <c r="V111" s="118"/>
      <c r="W111" s="118"/>
      <c r="X111" s="118"/>
      <c r="Y111" s="112" t="str">
        <f>IF(AND(AA90&lt;&gt;"",AC90&lt;&gt;"",AA90&lt;&gt;AC90),IF(AA90&gt;AC90,Y90,AE90),INDEX(Language!$A$1:$AX$115,MATCH("Match 61 Winner",Language!$B$1:$B$115,0),MATCH($G$2,Language!$A$1:$AW$1,0)))</f>
        <v>Match 61 Winner</v>
      </c>
      <c r="Z111" s="116"/>
      <c r="AA111" s="110" t="str">
        <f>IF(AA112="","",IF(AND(AA112=AC112,AA112&lt;&gt;"",AC112&lt;&gt;""),IF(AND(AA113=AC113,AA113&lt;&gt;"",AC113&lt;&gt;""),IF(AND(AA114=AC114,AA114&lt;&gt;"",AC114&lt;&gt;""),"",AA112+AA113+AA114),AA112+AA113),AA112))</f>
        <v/>
      </c>
      <c r="AB111" s="110" t="s">
        <v>58</v>
      </c>
      <c r="AC111" s="110" t="str">
        <f>IF(AC112="","",IF(AND(AA112=AC112,AA112&lt;&gt;"",AC112&lt;&gt;""),IF(AND(AA113=AC113,AA113&lt;&gt;"",AC113&lt;&gt;""),IF(AND(AA114=AC114,AA114&lt;&gt;"",AC114&lt;&gt;""),"",AC112+AC113+AC114),AC112+AC113),AC112))</f>
        <v/>
      </c>
      <c r="AD111" s="116"/>
      <c r="AE111" s="111" t="str">
        <f>IF(AND(AA95&lt;&gt;"",AC95&lt;&gt;"",AA95&lt;&gt;AC95),IF(AA95&gt;AC95,Y95,AE95),INDEX(Language!$A$1:$AX$115,MATCH("Match 62 Winner",Language!$B$1:$B$115,0),MATCH($G$2,Language!$A$1:$AW$1,0)))</f>
        <v>Match 62 Winner</v>
      </c>
      <c r="AF111" s="111"/>
      <c r="AG111" s="111"/>
      <c r="AH111" s="111"/>
      <c r="AJ111" s="48"/>
      <c r="AK111" s="8"/>
      <c r="DE111" s="9"/>
      <c r="DF111" s="9"/>
      <c r="DG111" s="53"/>
      <c r="DH111" s="9"/>
    </row>
    <row r="112" spans="2:112" s="7" customFormat="1" ht="15" customHeight="1">
      <c r="B112" s="116"/>
      <c r="C112" s="116"/>
      <c r="D112" s="120"/>
      <c r="E112" s="120"/>
      <c r="F112" s="116"/>
      <c r="G112" s="119"/>
      <c r="H112" s="112" t="str">
        <f>INDEX(Language!$A$1:$AX$115,MATCH("Penalty Shoot Out",Language!$B$1:$B$115,0),MATCH($G$2,Language!$A$1:$AW$1,0))</f>
        <v>Penalty Shoot Out</v>
      </c>
      <c r="I112" s="116"/>
      <c r="J112" s="109">
        <f>'Knock Out Stages'!L55</f>
        <v>0</v>
      </c>
      <c r="K112" s="110" t="s">
        <v>58</v>
      </c>
      <c r="L112" s="109">
        <f>'Knock Out Stages'!L56</f>
        <v>0</v>
      </c>
      <c r="M112" s="116"/>
      <c r="N112" s="116"/>
      <c r="O112" s="111"/>
      <c r="P112" s="111"/>
      <c r="Q112" s="116"/>
      <c r="R112" s="116"/>
      <c r="S112" s="116"/>
      <c r="T112" s="116"/>
      <c r="U112" s="116"/>
      <c r="V112" s="116"/>
      <c r="W112" s="116"/>
      <c r="X112" s="116"/>
      <c r="Y112" s="112" t="str">
        <f>INDEX(Language!$A$1:$AX$115,MATCH("Normal Time",Language!$B$1:$B$115,0),MATCH($G$2,Language!$A$1:$AW$1,0))</f>
        <v>Normal Time</v>
      </c>
      <c r="Z112" s="116"/>
      <c r="AA112" s="109">
        <f>'Knock Out Stages'!J83</f>
        <v>0</v>
      </c>
      <c r="AB112" s="110" t="s">
        <v>58</v>
      </c>
      <c r="AC112" s="109">
        <f>'Knock Out Stages'!J84</f>
        <v>0</v>
      </c>
      <c r="AD112" s="116"/>
      <c r="AE112" s="116"/>
      <c r="AF112" s="111"/>
      <c r="AG112" s="111"/>
      <c r="AH112" s="111"/>
      <c r="AJ112" s="48"/>
      <c r="AK112" s="8"/>
      <c r="DE112" s="9"/>
      <c r="DF112" s="9"/>
      <c r="DG112" s="53"/>
      <c r="DH112" s="9"/>
    </row>
    <row r="113" spans="2:112" s="7" customFormat="1" ht="15" customHeight="1">
      <c r="B113" s="116"/>
      <c r="C113" s="116"/>
      <c r="D113" s="116"/>
      <c r="E113" s="116"/>
      <c r="F113" s="116"/>
      <c r="G113" s="119"/>
      <c r="H113" s="116"/>
      <c r="I113" s="116"/>
      <c r="J113" s="120"/>
      <c r="K113" s="116"/>
      <c r="L113" s="116"/>
      <c r="M113" s="116"/>
      <c r="N113" s="116"/>
      <c r="O113" s="111"/>
      <c r="P113" s="111"/>
      <c r="Q113" s="116"/>
      <c r="R113" s="116"/>
      <c r="S113" s="116"/>
      <c r="T113" s="116"/>
      <c r="U113" s="116"/>
      <c r="V113" s="116"/>
      <c r="W113" s="116"/>
      <c r="X113" s="116"/>
      <c r="Y113" s="112" t="str">
        <f>INDEX(Language!$A$1:$AX$115,MATCH("Extra Time",Language!$B$1:$B$115,0),MATCH($G$2,Language!$A$1:$AW$1,0))</f>
        <v>Extra Time</v>
      </c>
      <c r="Z113" s="116"/>
      <c r="AA113" s="109">
        <f>'Knock Out Stages'!K83</f>
        <v>0</v>
      </c>
      <c r="AB113" s="110" t="s">
        <v>58</v>
      </c>
      <c r="AC113" s="109">
        <f>'Knock Out Stages'!K84</f>
        <v>0</v>
      </c>
      <c r="AD113" s="116"/>
      <c r="AE113" s="116"/>
      <c r="AF113" s="111"/>
      <c r="AG113" s="111"/>
      <c r="AH113" s="111"/>
      <c r="AJ113" s="48"/>
      <c r="AK113" s="8"/>
      <c r="DE113" s="9"/>
      <c r="DF113" s="9"/>
      <c r="DG113" s="53"/>
      <c r="DH113" s="9"/>
    </row>
    <row r="114" spans="2:112" s="7" customFormat="1" ht="15" customHeight="1">
      <c r="B114" s="111"/>
      <c r="C114" s="111"/>
      <c r="D114" s="111"/>
      <c r="E114" s="111"/>
      <c r="F114" s="111"/>
      <c r="G114" s="111"/>
      <c r="H114" s="111"/>
      <c r="I114" s="111"/>
      <c r="J114" s="111"/>
      <c r="K114" s="111"/>
      <c r="L114" s="111"/>
      <c r="M114" s="111"/>
      <c r="N114" s="111"/>
      <c r="O114" s="111"/>
      <c r="P114" s="111"/>
      <c r="Q114" s="116"/>
      <c r="R114" s="116"/>
      <c r="S114" s="116"/>
      <c r="T114" s="116"/>
      <c r="U114" s="116"/>
      <c r="V114" s="116"/>
      <c r="W114" s="116"/>
      <c r="X114" s="116"/>
      <c r="Y114" s="112" t="str">
        <f>INDEX(Language!$A$1:$AX$115,MATCH("Penalty Shoot Out",Language!$B$1:$B$115,0),MATCH($G$2,Language!$A$1:$AW$1,0))</f>
        <v>Penalty Shoot Out</v>
      </c>
      <c r="Z114" s="116"/>
      <c r="AA114" s="109">
        <f>'Knock Out Stages'!L83</f>
        <v>0</v>
      </c>
      <c r="AB114" s="110" t="s">
        <v>58</v>
      </c>
      <c r="AC114" s="109">
        <f>'Knock Out Stages'!L84</f>
        <v>0</v>
      </c>
      <c r="AD114" s="116"/>
      <c r="AE114" s="116"/>
      <c r="AF114" s="111"/>
      <c r="AG114" s="111"/>
      <c r="AH114" s="111"/>
      <c r="AJ114" s="48"/>
      <c r="AK114" s="8"/>
      <c r="DE114" s="9"/>
      <c r="DF114" s="9"/>
      <c r="DG114" s="53"/>
      <c r="DH114" s="9"/>
    </row>
    <row r="115" spans="2:112" s="7" customFormat="1" ht="15" customHeight="1">
      <c r="B115" s="111"/>
      <c r="C115" s="111"/>
      <c r="D115" s="111"/>
      <c r="E115" s="111"/>
      <c r="F115" s="111"/>
      <c r="G115" s="111"/>
      <c r="H115" s="111"/>
      <c r="I115" s="111"/>
      <c r="J115" s="111"/>
      <c r="K115" s="111"/>
      <c r="L115" s="111"/>
      <c r="M115" s="111"/>
      <c r="N115" s="111"/>
      <c r="O115" s="111"/>
      <c r="P115" s="111"/>
      <c r="Q115" s="116"/>
      <c r="R115" s="116"/>
      <c r="S115" s="116"/>
      <c r="T115" s="116"/>
      <c r="U115" s="116"/>
      <c r="V115" s="116"/>
      <c r="W115" s="116"/>
      <c r="X115" s="116"/>
      <c r="Y115" s="116"/>
      <c r="Z115" s="116"/>
      <c r="AA115" s="120"/>
      <c r="AB115" s="116"/>
      <c r="AC115" s="116"/>
      <c r="AD115" s="116"/>
      <c r="AE115" s="116"/>
      <c r="AF115" s="111"/>
      <c r="AG115" s="111"/>
      <c r="AH115" s="111"/>
      <c r="AJ115" s="48"/>
      <c r="AK115" s="8"/>
      <c r="DE115" s="9"/>
      <c r="DF115" s="9"/>
      <c r="DG115" s="53"/>
      <c r="DH115" s="9"/>
    </row>
    <row r="116" spans="2:112" s="7" customFormat="1" ht="15" customHeight="1">
      <c r="B116" s="111"/>
      <c r="C116" s="111"/>
      <c r="D116" s="111"/>
      <c r="E116" s="111"/>
      <c r="F116" s="111"/>
      <c r="G116" s="111"/>
      <c r="H116" s="111"/>
      <c r="I116" s="111"/>
      <c r="J116" s="111"/>
      <c r="K116" s="111"/>
      <c r="L116" s="111"/>
      <c r="M116" s="111"/>
      <c r="N116" s="111"/>
      <c r="O116" s="111"/>
      <c r="P116" s="111"/>
      <c r="Q116" s="111"/>
      <c r="R116" s="111"/>
      <c r="S116" s="111"/>
      <c r="T116" s="111"/>
      <c r="U116" s="111"/>
      <c r="V116" s="111"/>
      <c r="W116" s="111"/>
      <c r="X116" s="111"/>
      <c r="Y116" s="111"/>
      <c r="Z116" s="111"/>
      <c r="AA116" s="111"/>
      <c r="AB116" s="111"/>
      <c r="AC116" s="111"/>
      <c r="AD116" s="111"/>
      <c r="AE116" s="111"/>
      <c r="AF116" s="114"/>
      <c r="AG116" s="110"/>
      <c r="AH116" s="111"/>
      <c r="DB116" s="9"/>
      <c r="DC116" s="9"/>
      <c r="DD116" s="53"/>
      <c r="DE116" s="9"/>
    </row>
    <row r="117" spans="2:112" s="7" customFormat="1" ht="15" customHeight="1">
      <c r="B117" s="116"/>
      <c r="C117" s="116"/>
      <c r="D117" s="116"/>
      <c r="E117" s="116"/>
      <c r="F117" s="116"/>
      <c r="G117" s="119"/>
      <c r="H117" s="116"/>
      <c r="I117" s="116"/>
      <c r="J117" s="116"/>
      <c r="K117" s="120"/>
      <c r="L117" s="116"/>
      <c r="M117" s="116"/>
      <c r="N117" s="116"/>
      <c r="O117" s="116"/>
      <c r="P117" s="116"/>
      <c r="Q117" s="116"/>
      <c r="R117" s="116"/>
      <c r="S117" s="116"/>
      <c r="T117" s="116"/>
      <c r="U117" s="116"/>
      <c r="V117" s="116"/>
      <c r="W117" s="116"/>
      <c r="X117" s="116"/>
      <c r="Y117" s="116"/>
      <c r="Z117" s="116"/>
      <c r="AA117" s="116"/>
      <c r="AB117" s="111"/>
      <c r="AC117" s="111"/>
      <c r="AD117" s="111"/>
      <c r="AE117" s="111"/>
      <c r="AF117" s="114"/>
      <c r="AG117" s="110"/>
      <c r="AH117" s="111"/>
      <c r="DB117" s="9"/>
      <c r="DC117" s="9"/>
      <c r="DD117" s="53"/>
      <c r="DE117" s="9"/>
    </row>
    <row r="118" spans="2:112" s="7" customFormat="1" ht="15" customHeight="1">
      <c r="B118" s="116"/>
      <c r="C118" s="116"/>
      <c r="D118" s="113"/>
      <c r="E118" s="113"/>
      <c r="F118" s="113" t="e">
        <f>INDEX(Language!$A$1:$AX$115,MATCH("World Cup 2010 Champion",Language!$B$1:$B$115,0),MATCH($G$2,Language!$A$1:$AW$1,0))</f>
        <v>#N/A</v>
      </c>
      <c r="G118" s="119"/>
      <c r="H118" s="116"/>
      <c r="I118" s="116"/>
      <c r="J118" s="116"/>
      <c r="K118" s="120"/>
      <c r="L118" s="116"/>
      <c r="M118" s="116"/>
      <c r="N118" s="123" t="str">
        <f>UPPER(IF(AND(AA111&lt;&gt;"",AC111&lt;&gt;"",AA111&lt;&gt;AC111),IF(AA111&gt;AC111,Y111,AE111),INDEX(Language!$A$1:$AX$115,MATCH("Match 64 Winner",Language!$B$1:$B$115,0),MATCH($G$2,Language!$A$1:$AW$1,0))))</f>
        <v>MATCH 64 WINNER</v>
      </c>
      <c r="O118" s="116"/>
      <c r="P118" s="116"/>
      <c r="Q118" s="116"/>
      <c r="R118" s="116"/>
      <c r="S118" s="116"/>
      <c r="T118" s="116"/>
      <c r="U118" s="116"/>
      <c r="V118" s="116"/>
      <c r="W118" s="116"/>
      <c r="X118" s="116"/>
      <c r="Y118" s="116"/>
      <c r="Z118" s="116"/>
      <c r="AA118" s="116"/>
      <c r="AB118" s="111"/>
      <c r="AC118" s="111"/>
      <c r="AD118" s="111"/>
      <c r="AE118" s="111"/>
      <c r="AF118" s="114"/>
      <c r="AG118" s="110"/>
      <c r="AH118" s="111"/>
      <c r="DB118" s="9"/>
      <c r="DC118" s="9"/>
      <c r="DD118" s="53"/>
      <c r="DE118" s="9"/>
    </row>
    <row r="119" spans="2:112" s="7" customFormat="1" ht="15" customHeight="1">
      <c r="B119" s="116"/>
      <c r="C119" s="116"/>
      <c r="D119" s="116"/>
      <c r="E119" s="116"/>
      <c r="F119" s="116"/>
      <c r="G119" s="119"/>
      <c r="H119" s="116"/>
      <c r="I119" s="116"/>
      <c r="J119" s="116"/>
      <c r="K119" s="120"/>
      <c r="L119" s="116"/>
      <c r="M119" s="116"/>
      <c r="N119" s="116"/>
      <c r="O119" s="116"/>
      <c r="P119" s="116"/>
      <c r="Q119" s="116"/>
      <c r="R119" s="116"/>
      <c r="S119" s="116"/>
      <c r="T119" s="116"/>
      <c r="U119" s="116"/>
      <c r="V119" s="116"/>
      <c r="W119" s="116"/>
      <c r="X119" s="116"/>
      <c r="Y119" s="116"/>
      <c r="Z119" s="116"/>
      <c r="AA119" s="116"/>
      <c r="AB119" s="111"/>
      <c r="AC119" s="111"/>
      <c r="AD119" s="111"/>
      <c r="AE119" s="111"/>
      <c r="AF119" s="114"/>
      <c r="AG119" s="110"/>
      <c r="AH119" s="111"/>
      <c r="DB119" s="9"/>
      <c r="DC119" s="9"/>
      <c r="DD119" s="53"/>
      <c r="DE119" s="9"/>
    </row>
    <row r="120" spans="2:112" s="7" customFormat="1" ht="15" customHeight="1">
      <c r="B120" s="111"/>
      <c r="C120" s="111"/>
      <c r="D120" s="111"/>
      <c r="E120" s="111"/>
      <c r="F120" s="111"/>
      <c r="G120" s="111"/>
      <c r="H120" s="111"/>
      <c r="I120" s="111"/>
      <c r="J120" s="111"/>
      <c r="K120" s="111"/>
      <c r="L120" s="111"/>
      <c r="M120" s="111"/>
      <c r="N120" s="111"/>
      <c r="O120" s="111"/>
      <c r="P120" s="111"/>
      <c r="Q120" s="111"/>
      <c r="R120" s="111"/>
      <c r="S120" s="111"/>
      <c r="T120" s="111"/>
      <c r="U120" s="111"/>
      <c r="V120" s="111"/>
      <c r="W120" s="111"/>
      <c r="X120" s="111"/>
      <c r="Y120" s="111"/>
      <c r="Z120" s="111"/>
      <c r="AA120" s="111"/>
      <c r="AB120" s="111"/>
      <c r="AC120" s="111"/>
      <c r="AD120" s="111"/>
      <c r="AE120" s="111"/>
      <c r="AF120" s="114"/>
      <c r="AG120" s="110"/>
      <c r="AH120" s="111"/>
      <c r="DB120" s="9"/>
      <c r="DC120" s="9"/>
      <c r="DD120" s="53"/>
      <c r="DE120" s="9"/>
    </row>
    <row r="121" spans="2:112" s="7" customFormat="1" ht="15" customHeight="1">
      <c r="B121" s="111"/>
      <c r="C121" s="111"/>
      <c r="D121" s="111"/>
      <c r="E121" s="111"/>
      <c r="F121" s="111"/>
      <c r="G121" s="111"/>
      <c r="H121" s="111"/>
      <c r="I121" s="111"/>
      <c r="J121" s="111"/>
      <c r="K121" s="111"/>
      <c r="L121" s="111"/>
      <c r="M121" s="111"/>
      <c r="N121" s="111"/>
      <c r="O121" s="111"/>
      <c r="P121" s="111"/>
      <c r="Q121" s="111"/>
      <c r="R121" s="111"/>
      <c r="S121" s="111"/>
      <c r="T121" s="111"/>
      <c r="U121" s="111"/>
      <c r="V121" s="111"/>
      <c r="W121" s="111"/>
      <c r="X121" s="111"/>
      <c r="Y121" s="111"/>
      <c r="Z121" s="111"/>
      <c r="AA121" s="111"/>
      <c r="AB121" s="111"/>
      <c r="AC121" s="111"/>
      <c r="AD121" s="111"/>
      <c r="AE121" s="111"/>
      <c r="AF121" s="114"/>
      <c r="AG121" s="110"/>
      <c r="AH121" s="111"/>
      <c r="DB121" s="9"/>
      <c r="DC121" s="9"/>
      <c r="DD121" s="53"/>
      <c r="DE121" s="9"/>
    </row>
    <row r="122" spans="2:112" s="7" customFormat="1" ht="15" customHeight="1">
      <c r="B122" s="111"/>
      <c r="C122" s="111"/>
      <c r="D122" s="111"/>
      <c r="E122" s="111"/>
      <c r="F122" s="111"/>
      <c r="G122" s="111"/>
      <c r="H122" s="111"/>
      <c r="I122" s="111"/>
      <c r="J122" s="111"/>
      <c r="K122" s="111"/>
      <c r="L122" s="111"/>
      <c r="M122" s="111"/>
      <c r="N122" s="111"/>
      <c r="O122" s="111"/>
      <c r="P122" s="111"/>
      <c r="Q122" s="12"/>
      <c r="R122" s="12"/>
      <c r="S122" s="12"/>
      <c r="Z122" s="12"/>
      <c r="AA122" s="12"/>
      <c r="AC122" s="9"/>
      <c r="AF122" s="48"/>
      <c r="AG122" s="8"/>
      <c r="DB122" s="9"/>
      <c r="DC122" s="9"/>
      <c r="DD122" s="53"/>
      <c r="DE122" s="9"/>
    </row>
    <row r="123" spans="2:112" s="7" customFormat="1" ht="15" customHeight="1">
      <c r="B123" s="111"/>
      <c r="C123" s="111"/>
      <c r="D123" s="111"/>
      <c r="E123" s="111"/>
      <c r="F123" s="111"/>
      <c r="G123" s="111"/>
      <c r="H123" s="111"/>
      <c r="I123" s="111"/>
      <c r="J123" s="111"/>
      <c r="K123" s="111"/>
      <c r="L123" s="111"/>
      <c r="M123" s="111"/>
      <c r="N123" s="111"/>
      <c r="O123" s="111"/>
      <c r="P123" s="111"/>
      <c r="Q123" s="12"/>
      <c r="R123" s="12"/>
      <c r="S123" s="12"/>
      <c r="Z123" s="12"/>
      <c r="AA123" s="12"/>
      <c r="AC123" s="9"/>
      <c r="AF123" s="48"/>
      <c r="AG123" s="8"/>
      <c r="DB123" s="9"/>
      <c r="DC123" s="9"/>
      <c r="DD123" s="53"/>
      <c r="DE123" s="9"/>
    </row>
    <row r="124" spans="2:112" s="7" customFormat="1" ht="15" customHeight="1">
      <c r="B124" s="111"/>
      <c r="C124" s="111"/>
      <c r="D124" s="111"/>
      <c r="E124" s="111"/>
      <c r="F124" s="111"/>
      <c r="G124" s="111"/>
      <c r="H124" s="111"/>
      <c r="I124" s="111"/>
      <c r="J124" s="111"/>
      <c r="K124" s="111"/>
      <c r="L124" s="111"/>
      <c r="M124" s="111"/>
      <c r="N124" s="111"/>
      <c r="O124" s="111"/>
      <c r="P124" s="111"/>
      <c r="Q124" s="12"/>
      <c r="R124" s="12"/>
      <c r="S124" s="12"/>
      <c r="Z124" s="12"/>
      <c r="AA124" s="12"/>
      <c r="AC124" s="9"/>
      <c r="AF124" s="48"/>
      <c r="AG124" s="8"/>
      <c r="DB124" s="9"/>
      <c r="DC124" s="9"/>
      <c r="DD124" s="53"/>
      <c r="DE124" s="9"/>
    </row>
    <row r="125" spans="2:112" s="7" customFormat="1" ht="15" customHeight="1">
      <c r="B125" s="111"/>
      <c r="C125" s="111"/>
      <c r="D125" s="111"/>
      <c r="E125" s="111"/>
      <c r="F125" s="111"/>
      <c r="G125" s="111"/>
      <c r="H125" s="111"/>
      <c r="I125" s="111"/>
      <c r="J125" s="111"/>
      <c r="K125" s="111"/>
      <c r="L125" s="111"/>
      <c r="M125" s="111"/>
      <c r="N125" s="111"/>
      <c r="O125" s="111"/>
      <c r="P125" s="111"/>
      <c r="Q125" s="12"/>
      <c r="R125" s="12"/>
      <c r="S125" s="12"/>
      <c r="T125" s="12"/>
      <c r="U125" s="12"/>
      <c r="V125" s="12"/>
      <c r="W125" s="12"/>
      <c r="X125" s="12"/>
      <c r="Y125" s="12"/>
      <c r="Z125" s="12"/>
      <c r="AA125" s="12"/>
      <c r="AC125" s="9"/>
      <c r="AF125" s="48"/>
      <c r="AG125" s="8"/>
      <c r="DB125" s="9"/>
      <c r="DC125" s="9"/>
      <c r="DD125" s="53"/>
      <c r="DE125" s="9"/>
    </row>
    <row r="126" spans="2:112" s="7" customFormat="1" ht="15" customHeight="1">
      <c r="B126" s="111"/>
      <c r="C126" s="111"/>
      <c r="D126" s="111"/>
      <c r="E126" s="111"/>
      <c r="F126" s="111"/>
      <c r="G126" s="111"/>
      <c r="H126" s="111"/>
      <c r="I126" s="111"/>
      <c r="J126" s="111"/>
      <c r="K126" s="111"/>
      <c r="L126" s="111"/>
      <c r="M126" s="111"/>
      <c r="N126" s="111"/>
      <c r="O126" s="111"/>
      <c r="P126" s="111"/>
      <c r="Q126" s="12"/>
      <c r="R126" s="12"/>
      <c r="S126" s="12"/>
      <c r="T126" s="12"/>
      <c r="U126" s="12"/>
      <c r="V126" s="12"/>
      <c r="W126" s="12"/>
      <c r="X126" s="12"/>
      <c r="Y126" s="12"/>
      <c r="Z126" s="12"/>
      <c r="AA126" s="12"/>
      <c r="AC126" s="9"/>
      <c r="AF126" s="48"/>
      <c r="AG126" s="8"/>
      <c r="DB126" s="9"/>
      <c r="DC126" s="9"/>
      <c r="DD126" s="53"/>
      <c r="DE126" s="9"/>
    </row>
    <row r="127" spans="2:112" s="7" customFormat="1" ht="15" customHeight="1">
      <c r="B127" s="111"/>
      <c r="C127" s="111"/>
      <c r="D127" s="111"/>
      <c r="E127" s="111"/>
      <c r="F127" s="111"/>
      <c r="G127" s="111"/>
      <c r="H127" s="111"/>
      <c r="I127" s="111"/>
      <c r="J127" s="111"/>
      <c r="K127" s="111"/>
      <c r="L127" s="111"/>
      <c r="M127" s="111"/>
      <c r="N127" s="111"/>
      <c r="O127" s="111"/>
      <c r="P127" s="111"/>
      <c r="Q127" s="12"/>
      <c r="R127" s="12"/>
      <c r="S127" s="12"/>
      <c r="T127" s="12"/>
      <c r="U127" s="12"/>
      <c r="V127" s="12"/>
      <c r="W127" s="12"/>
      <c r="X127" s="12"/>
      <c r="Y127" s="12"/>
      <c r="Z127" s="12"/>
      <c r="AA127" s="12"/>
      <c r="AC127" s="9"/>
      <c r="AF127" s="48"/>
      <c r="AG127" s="8"/>
      <c r="DB127" s="9"/>
      <c r="DC127" s="9"/>
      <c r="DD127" s="53"/>
      <c r="DE127" s="9"/>
    </row>
    <row r="128" spans="2:112" s="7" customFormat="1" ht="15" customHeight="1">
      <c r="B128" s="111"/>
      <c r="C128" s="111"/>
      <c r="D128" s="111"/>
      <c r="E128" s="111"/>
      <c r="F128" s="111"/>
      <c r="G128" s="111"/>
      <c r="H128" s="111"/>
      <c r="I128" s="111"/>
      <c r="J128" s="111"/>
      <c r="K128" s="111"/>
      <c r="L128" s="111"/>
      <c r="M128" s="111"/>
      <c r="N128" s="111"/>
      <c r="O128" s="111"/>
      <c r="P128" s="111"/>
      <c r="Q128" s="12"/>
      <c r="R128" s="12"/>
      <c r="S128" s="12"/>
      <c r="Z128" s="12"/>
      <c r="AA128" s="12"/>
      <c r="AC128" s="9"/>
      <c r="AF128" s="48"/>
      <c r="AG128" s="8"/>
      <c r="DB128" s="9"/>
      <c r="DC128" s="9"/>
      <c r="DD128" s="53"/>
      <c r="DE128" s="9"/>
    </row>
    <row r="129" spans="2:109" s="7" customFormat="1" ht="15" customHeight="1">
      <c r="B129" s="111"/>
      <c r="C129" s="111"/>
      <c r="D129" s="111"/>
      <c r="E129" s="111"/>
      <c r="F129" s="111"/>
      <c r="G129" s="111"/>
      <c r="H129" s="111"/>
      <c r="I129" s="111"/>
      <c r="J129" s="111"/>
      <c r="K129" s="111"/>
      <c r="L129" s="111"/>
      <c r="M129" s="111"/>
      <c r="N129" s="111"/>
      <c r="O129" s="111"/>
      <c r="P129" s="111"/>
      <c r="Q129" s="12"/>
      <c r="R129" s="12"/>
      <c r="S129" s="12"/>
      <c r="Z129" s="12"/>
      <c r="AA129" s="12"/>
      <c r="AC129" s="9"/>
      <c r="AF129" s="48"/>
      <c r="AG129" s="8"/>
      <c r="DB129" s="9"/>
      <c r="DC129" s="9"/>
      <c r="DD129" s="53"/>
      <c r="DE129" s="9"/>
    </row>
    <row r="130" spans="2:109" s="7" customFormat="1" ht="15" customHeight="1">
      <c r="B130" s="111"/>
      <c r="C130" s="111"/>
      <c r="D130" s="111"/>
      <c r="E130" s="111"/>
      <c r="F130" s="111"/>
      <c r="G130" s="111"/>
      <c r="H130" s="111"/>
      <c r="I130" s="111"/>
      <c r="J130" s="111"/>
      <c r="K130" s="111"/>
      <c r="L130" s="111"/>
      <c r="M130" s="111"/>
      <c r="N130" s="111"/>
      <c r="O130" s="111"/>
      <c r="P130" s="111"/>
      <c r="Q130" s="12"/>
      <c r="R130" s="12"/>
      <c r="S130" s="12"/>
      <c r="Z130" s="12"/>
      <c r="AA130" s="12"/>
      <c r="AC130" s="9"/>
      <c r="AF130" s="48"/>
      <c r="AG130" s="8"/>
      <c r="DB130" s="9"/>
      <c r="DC130" s="9"/>
      <c r="DD130" s="53"/>
      <c r="DE130" s="9"/>
    </row>
    <row r="131" spans="2:109" s="7" customFormat="1" ht="15" customHeight="1">
      <c r="B131" s="111"/>
      <c r="C131" s="111"/>
      <c r="D131" s="111"/>
      <c r="E131" s="111"/>
      <c r="F131" s="111"/>
      <c r="G131" s="111"/>
      <c r="H131" s="111"/>
      <c r="I131" s="111"/>
      <c r="J131" s="111"/>
      <c r="K131" s="111"/>
      <c r="L131" s="111"/>
      <c r="M131" s="111"/>
      <c r="N131" s="111"/>
      <c r="O131" s="111"/>
      <c r="P131" s="111"/>
      <c r="Q131" s="12"/>
      <c r="R131" s="12"/>
      <c r="S131" s="12"/>
      <c r="T131" s="12"/>
      <c r="U131" s="12"/>
      <c r="V131" s="12"/>
      <c r="W131" s="12"/>
      <c r="X131" s="12"/>
      <c r="Y131" s="12"/>
      <c r="Z131" s="12"/>
      <c r="AA131" s="12"/>
      <c r="AC131" s="9"/>
      <c r="AF131" s="48"/>
      <c r="AG131" s="8"/>
      <c r="DB131" s="9"/>
      <c r="DC131" s="9"/>
      <c r="DD131" s="53"/>
      <c r="DE131" s="9"/>
    </row>
    <row r="132" spans="2:109" s="7" customFormat="1" ht="15" customHeight="1">
      <c r="B132" s="111"/>
      <c r="C132" s="111"/>
      <c r="D132" s="111"/>
      <c r="E132" s="111"/>
      <c r="F132" s="111"/>
      <c r="G132" s="111"/>
      <c r="H132" s="111"/>
      <c r="I132" s="111"/>
      <c r="J132" s="111"/>
      <c r="K132" s="111"/>
      <c r="L132" s="111"/>
      <c r="M132" s="111"/>
      <c r="N132" s="111"/>
      <c r="O132" s="111"/>
      <c r="P132" s="111"/>
      <c r="Q132" s="12"/>
      <c r="R132" s="12"/>
      <c r="S132" s="12"/>
      <c r="T132" s="12"/>
      <c r="U132" s="12"/>
      <c r="V132" s="12"/>
      <c r="W132" s="12"/>
      <c r="X132" s="12"/>
      <c r="Y132" s="12"/>
      <c r="Z132" s="12"/>
      <c r="AA132" s="12"/>
      <c r="AC132" s="9"/>
      <c r="AF132" s="48"/>
      <c r="AG132" s="8"/>
      <c r="DB132" s="9"/>
      <c r="DC132" s="9"/>
      <c r="DD132" s="53"/>
      <c r="DE132" s="9"/>
    </row>
    <row r="133" spans="2:109" s="7" customFormat="1" ht="15" customHeight="1">
      <c r="B133" s="111"/>
      <c r="C133" s="111"/>
      <c r="D133" s="111"/>
      <c r="E133" s="111"/>
      <c r="F133" s="111"/>
      <c r="G133" s="111"/>
      <c r="H133" s="111"/>
      <c r="I133" s="111"/>
      <c r="J133" s="111"/>
      <c r="K133" s="111"/>
      <c r="L133" s="111"/>
      <c r="M133" s="111"/>
      <c r="N133" s="111"/>
      <c r="O133" s="111"/>
      <c r="P133" s="111"/>
      <c r="Q133" s="12"/>
      <c r="R133" s="12"/>
      <c r="S133" s="12"/>
      <c r="T133" s="12"/>
      <c r="U133" s="12"/>
      <c r="V133" s="12"/>
      <c r="W133" s="12"/>
      <c r="X133" s="12"/>
      <c r="Y133" s="12"/>
      <c r="Z133" s="12"/>
      <c r="AA133" s="12"/>
      <c r="AC133" s="9"/>
      <c r="AF133" s="48"/>
      <c r="AG133" s="8"/>
      <c r="DB133" s="9"/>
      <c r="DC133" s="9"/>
      <c r="DD133" s="53"/>
      <c r="DE133" s="9"/>
    </row>
    <row r="134" spans="2:109" s="7" customFormat="1" ht="15" customHeight="1">
      <c r="B134" s="111"/>
      <c r="C134" s="111"/>
      <c r="D134" s="111"/>
      <c r="E134" s="111"/>
      <c r="F134" s="111"/>
      <c r="G134" s="111"/>
      <c r="H134" s="111"/>
      <c r="I134" s="111"/>
      <c r="J134" s="111"/>
      <c r="K134" s="111"/>
      <c r="L134" s="111"/>
      <c r="M134" s="111"/>
      <c r="N134" s="111"/>
      <c r="O134" s="111"/>
      <c r="P134" s="111"/>
      <c r="Q134" s="12"/>
      <c r="R134" s="12"/>
      <c r="S134" s="12"/>
      <c r="Z134" s="12"/>
      <c r="AA134" s="12"/>
      <c r="AC134" s="9"/>
      <c r="AF134" s="48"/>
      <c r="AG134" s="8"/>
      <c r="DB134" s="9"/>
      <c r="DC134" s="9"/>
      <c r="DD134" s="53"/>
      <c r="DE134" s="9"/>
    </row>
    <row r="135" spans="2:109" s="7" customFormat="1" ht="15" customHeight="1">
      <c r="B135" s="111"/>
      <c r="C135" s="111"/>
      <c r="D135" s="111"/>
      <c r="E135" s="111"/>
      <c r="F135" s="111"/>
      <c r="G135" s="111"/>
      <c r="H135" s="111"/>
      <c r="I135" s="111"/>
      <c r="J135" s="111"/>
      <c r="K135" s="111"/>
      <c r="L135" s="111"/>
      <c r="M135" s="111"/>
      <c r="N135" s="111"/>
      <c r="O135" s="111"/>
      <c r="P135" s="111"/>
      <c r="Q135" s="12"/>
      <c r="R135" s="12"/>
      <c r="S135" s="12"/>
      <c r="Z135" s="12"/>
      <c r="AA135" s="12"/>
      <c r="AC135" s="9"/>
      <c r="AF135" s="48"/>
      <c r="AG135" s="8"/>
      <c r="DB135" s="9"/>
      <c r="DC135" s="9"/>
      <c r="DD135" s="53"/>
      <c r="DE135" s="9"/>
    </row>
    <row r="136" spans="2:109" s="7" customFormat="1" ht="15" customHeight="1">
      <c r="B136" s="111"/>
      <c r="C136" s="111"/>
      <c r="D136" s="111"/>
      <c r="E136" s="111"/>
      <c r="F136" s="111"/>
      <c r="G136" s="111"/>
      <c r="H136" s="111"/>
      <c r="I136" s="111"/>
      <c r="J136" s="111"/>
      <c r="K136" s="111"/>
      <c r="L136" s="111"/>
      <c r="M136" s="111"/>
      <c r="N136" s="111"/>
      <c r="O136" s="111"/>
      <c r="P136" s="111"/>
      <c r="Q136" s="12"/>
      <c r="R136" s="12"/>
      <c r="S136" s="12"/>
      <c r="Z136" s="12"/>
      <c r="AA136" s="12"/>
      <c r="AC136" s="9"/>
      <c r="AF136" s="48"/>
      <c r="AG136" s="8"/>
      <c r="DB136" s="9"/>
      <c r="DC136" s="9"/>
      <c r="DD136" s="53"/>
      <c r="DE136" s="9"/>
    </row>
    <row r="137" spans="2:109" s="7" customFormat="1" ht="15" customHeight="1">
      <c r="B137" s="111"/>
      <c r="C137" s="111"/>
      <c r="D137" s="111"/>
      <c r="E137" s="111"/>
      <c r="F137" s="111"/>
      <c r="G137" s="111"/>
      <c r="H137" s="111"/>
      <c r="I137" s="111"/>
      <c r="J137" s="111"/>
      <c r="K137" s="111"/>
      <c r="L137" s="111"/>
      <c r="M137" s="111"/>
      <c r="N137" s="111"/>
      <c r="O137" s="111"/>
      <c r="P137" s="111"/>
      <c r="Q137" s="12"/>
      <c r="R137" s="12"/>
      <c r="S137" s="12"/>
      <c r="T137" s="12"/>
      <c r="U137" s="12"/>
      <c r="V137" s="12"/>
      <c r="W137" s="12"/>
      <c r="X137" s="12"/>
      <c r="Y137" s="12"/>
      <c r="Z137" s="12"/>
      <c r="AA137" s="12"/>
      <c r="AC137" s="9"/>
      <c r="AF137" s="48"/>
      <c r="AG137" s="8"/>
      <c r="DB137" s="9"/>
      <c r="DC137" s="9"/>
      <c r="DD137" s="53"/>
      <c r="DE137" s="9"/>
    </row>
    <row r="138" spans="2:109" s="7" customFormat="1" ht="15" customHeight="1">
      <c r="B138" s="111"/>
      <c r="C138" s="111"/>
      <c r="D138" s="111"/>
      <c r="E138" s="111"/>
      <c r="F138" s="111"/>
      <c r="G138" s="111"/>
      <c r="H138" s="111"/>
      <c r="I138" s="111"/>
      <c r="J138" s="111"/>
      <c r="K138" s="111"/>
      <c r="L138" s="111"/>
      <c r="M138" s="111"/>
      <c r="N138" s="111"/>
      <c r="O138" s="111"/>
      <c r="P138" s="111"/>
      <c r="Q138" s="12"/>
      <c r="R138" s="12"/>
      <c r="S138" s="12"/>
      <c r="T138" s="12"/>
      <c r="U138" s="12"/>
      <c r="V138" s="12"/>
      <c r="W138" s="12"/>
      <c r="X138" s="12"/>
      <c r="Y138" s="12"/>
      <c r="Z138" s="12"/>
      <c r="AA138" s="12"/>
      <c r="AC138" s="9"/>
      <c r="AF138" s="48"/>
      <c r="AG138" s="8"/>
      <c r="DB138" s="9"/>
      <c r="DC138" s="9"/>
      <c r="DD138" s="53"/>
      <c r="DE138" s="9"/>
    </row>
    <row r="139" spans="2:109" s="7" customFormat="1" ht="15" customHeight="1">
      <c r="B139" s="111"/>
      <c r="C139" s="111"/>
      <c r="D139" s="111"/>
      <c r="E139" s="111"/>
      <c r="F139" s="111"/>
      <c r="G139" s="111"/>
      <c r="H139" s="111"/>
      <c r="I139" s="111"/>
      <c r="J139" s="111"/>
      <c r="K139" s="111"/>
      <c r="L139" s="111"/>
      <c r="M139" s="111"/>
      <c r="N139" s="111"/>
      <c r="O139" s="111"/>
      <c r="P139" s="111"/>
      <c r="Q139" s="12"/>
      <c r="R139" s="12"/>
      <c r="S139" s="12"/>
      <c r="T139" s="12"/>
      <c r="U139" s="12"/>
      <c r="V139" s="12"/>
      <c r="W139" s="12"/>
      <c r="X139" s="12"/>
      <c r="Y139" s="12"/>
      <c r="Z139" s="12"/>
      <c r="AA139" s="12"/>
      <c r="AC139" s="9"/>
      <c r="AF139" s="48"/>
      <c r="AG139" s="8"/>
      <c r="DB139" s="9"/>
      <c r="DC139" s="9"/>
      <c r="DD139" s="53"/>
      <c r="DE139" s="9"/>
    </row>
    <row r="140" spans="2:109" s="7" customFormat="1" ht="15" customHeight="1">
      <c r="B140" s="111"/>
      <c r="C140" s="111"/>
      <c r="D140" s="111"/>
      <c r="E140" s="111"/>
      <c r="F140" s="111"/>
      <c r="G140" s="111"/>
      <c r="H140" s="111"/>
      <c r="I140" s="111"/>
      <c r="J140" s="111"/>
      <c r="K140" s="111"/>
      <c r="L140" s="111"/>
      <c r="M140" s="111"/>
      <c r="N140" s="111"/>
      <c r="O140" s="111"/>
      <c r="P140" s="111"/>
      <c r="Q140" s="12"/>
      <c r="R140" s="12"/>
      <c r="S140" s="12"/>
      <c r="Z140" s="12"/>
      <c r="AA140" s="12"/>
      <c r="AC140" s="9"/>
      <c r="AF140" s="48"/>
      <c r="AG140" s="8"/>
      <c r="DB140" s="9"/>
      <c r="DC140" s="9"/>
      <c r="DD140" s="53"/>
      <c r="DE140" s="9"/>
    </row>
    <row r="141" spans="2:109" s="7" customFormat="1" ht="15" customHeight="1">
      <c r="B141" s="111"/>
      <c r="C141" s="111"/>
      <c r="D141" s="111"/>
      <c r="E141" s="111"/>
      <c r="F141" s="111"/>
      <c r="G141" s="111"/>
      <c r="H141" s="111"/>
      <c r="I141" s="111"/>
      <c r="J141" s="111"/>
      <c r="K141" s="111"/>
      <c r="L141" s="111"/>
      <c r="M141" s="111"/>
      <c r="N141" s="111"/>
      <c r="O141" s="111"/>
      <c r="P141" s="111"/>
      <c r="Q141" s="12"/>
      <c r="R141" s="12"/>
      <c r="S141" s="12"/>
      <c r="Z141" s="12"/>
      <c r="AA141" s="12"/>
      <c r="AC141" s="9"/>
      <c r="AF141" s="48"/>
      <c r="AG141" s="8"/>
      <c r="DB141" s="9"/>
      <c r="DC141" s="9"/>
      <c r="DD141" s="53"/>
      <c r="DE141" s="9"/>
    </row>
    <row r="142" spans="2:109" s="7" customFormat="1" ht="15" customHeight="1">
      <c r="B142" s="111"/>
      <c r="C142" s="111"/>
      <c r="D142" s="111"/>
      <c r="E142" s="111"/>
      <c r="F142" s="111"/>
      <c r="G142" s="111"/>
      <c r="H142" s="111"/>
      <c r="I142" s="111"/>
      <c r="J142" s="111"/>
      <c r="K142" s="111"/>
      <c r="L142" s="111"/>
      <c r="M142" s="111"/>
      <c r="N142" s="111"/>
      <c r="O142" s="111"/>
      <c r="P142" s="111"/>
      <c r="Q142" s="12"/>
      <c r="R142" s="12"/>
      <c r="S142" s="12"/>
      <c r="Z142" s="12"/>
      <c r="AA142" s="12"/>
      <c r="AC142" s="9"/>
      <c r="AF142" s="48"/>
      <c r="AG142" s="8"/>
      <c r="DB142" s="9"/>
      <c r="DC142" s="9"/>
      <c r="DD142" s="53"/>
      <c r="DE142" s="9"/>
    </row>
    <row r="143" spans="2:109" s="7" customFormat="1" ht="15" customHeight="1">
      <c r="B143" s="111"/>
      <c r="C143" s="111"/>
      <c r="D143" s="111"/>
      <c r="E143" s="111"/>
      <c r="F143" s="111"/>
      <c r="G143" s="111"/>
      <c r="H143" s="111"/>
      <c r="I143" s="111"/>
      <c r="J143" s="111"/>
      <c r="K143" s="111"/>
      <c r="L143" s="111"/>
      <c r="M143" s="111"/>
      <c r="N143" s="111"/>
      <c r="O143" s="111"/>
      <c r="P143" s="111"/>
      <c r="Q143" s="12"/>
      <c r="R143" s="12"/>
      <c r="S143" s="12"/>
      <c r="T143" s="12"/>
      <c r="U143" s="12"/>
      <c r="V143" s="12"/>
      <c r="W143" s="12"/>
      <c r="X143" s="12"/>
      <c r="Y143" s="12"/>
      <c r="Z143" s="12"/>
      <c r="AA143" s="12"/>
      <c r="AC143" s="9"/>
      <c r="AF143" s="48"/>
      <c r="AG143" s="8"/>
      <c r="DB143" s="9"/>
      <c r="DC143" s="9"/>
      <c r="DD143" s="53"/>
      <c r="DE143" s="9"/>
    </row>
    <row r="144" spans="2:109" s="7" customFormat="1" ht="15" customHeight="1">
      <c r="B144" s="111"/>
      <c r="C144" s="111"/>
      <c r="D144" s="111"/>
      <c r="E144" s="111"/>
      <c r="F144" s="111"/>
      <c r="G144" s="111"/>
      <c r="H144" s="111"/>
      <c r="I144" s="111"/>
      <c r="J144" s="111"/>
      <c r="K144" s="111"/>
      <c r="L144" s="111"/>
      <c r="M144" s="111"/>
      <c r="N144" s="111"/>
      <c r="O144" s="111"/>
      <c r="P144" s="111"/>
      <c r="Q144" s="12"/>
      <c r="R144" s="12"/>
      <c r="S144" s="12"/>
      <c r="T144" s="12"/>
      <c r="U144" s="12"/>
      <c r="V144" s="12"/>
      <c r="W144" s="12"/>
      <c r="X144" s="12"/>
      <c r="Y144" s="12"/>
      <c r="Z144" s="12"/>
      <c r="AA144" s="12"/>
      <c r="AC144" s="9"/>
      <c r="AF144" s="48"/>
      <c r="AG144" s="8"/>
      <c r="DB144" s="9"/>
      <c r="DC144" s="9"/>
      <c r="DD144" s="53"/>
      <c r="DE144" s="9"/>
    </row>
    <row r="145" spans="2:109" s="7" customFormat="1" ht="15" customHeight="1">
      <c r="B145" s="111"/>
      <c r="C145" s="111"/>
      <c r="D145" s="111"/>
      <c r="E145" s="111"/>
      <c r="F145" s="111"/>
      <c r="G145" s="111"/>
      <c r="H145" s="111"/>
      <c r="I145" s="111"/>
      <c r="J145" s="111"/>
      <c r="K145" s="111"/>
      <c r="L145" s="111"/>
      <c r="M145" s="111"/>
      <c r="N145" s="111"/>
      <c r="O145" s="111"/>
      <c r="P145" s="111"/>
      <c r="Q145" s="12"/>
      <c r="R145" s="12"/>
      <c r="S145" s="12"/>
      <c r="T145" s="12"/>
      <c r="U145" s="12"/>
      <c r="V145" s="12"/>
      <c r="W145" s="12"/>
      <c r="X145" s="12"/>
      <c r="Y145" s="12"/>
      <c r="Z145" s="12"/>
      <c r="AA145" s="12"/>
      <c r="AC145" s="9"/>
      <c r="AF145" s="48"/>
      <c r="AG145" s="8"/>
      <c r="DB145" s="9"/>
      <c r="DC145" s="9"/>
      <c r="DD145" s="53"/>
      <c r="DE145" s="9"/>
    </row>
    <row r="146" spans="2:109" s="7" customFormat="1" ht="15" customHeight="1">
      <c r="B146" s="111"/>
      <c r="C146" s="111"/>
      <c r="D146" s="111"/>
      <c r="E146" s="111"/>
      <c r="F146" s="111"/>
      <c r="G146" s="111"/>
      <c r="H146" s="111"/>
      <c r="I146" s="111"/>
      <c r="J146" s="111"/>
      <c r="K146" s="111"/>
      <c r="L146" s="111"/>
      <c r="M146" s="111"/>
      <c r="N146" s="111"/>
      <c r="O146" s="111"/>
      <c r="P146" s="111"/>
      <c r="Q146" s="12"/>
      <c r="R146" s="12"/>
      <c r="S146" s="12"/>
      <c r="Z146" s="12"/>
      <c r="AA146" s="12"/>
      <c r="AC146" s="9"/>
      <c r="AF146" s="48"/>
      <c r="AG146" s="8"/>
      <c r="DB146" s="9"/>
      <c r="DC146" s="9"/>
      <c r="DD146" s="53"/>
      <c r="DE146" s="9"/>
    </row>
    <row r="147" spans="2:109" s="7" customFormat="1" ht="15" customHeight="1">
      <c r="B147" s="111"/>
      <c r="C147" s="111"/>
      <c r="D147" s="111"/>
      <c r="E147" s="111"/>
      <c r="F147" s="111"/>
      <c r="G147" s="111"/>
      <c r="H147" s="111"/>
      <c r="I147" s="111"/>
      <c r="J147" s="111"/>
      <c r="K147" s="111"/>
      <c r="L147" s="111"/>
      <c r="M147" s="111"/>
      <c r="N147" s="111"/>
      <c r="O147" s="111"/>
      <c r="P147" s="111"/>
      <c r="Q147" s="12"/>
      <c r="R147" s="12"/>
      <c r="S147" s="12"/>
      <c r="Z147" s="12"/>
      <c r="AA147" s="12"/>
      <c r="AC147" s="9"/>
      <c r="AF147" s="48"/>
      <c r="AG147" s="8"/>
      <c r="DB147" s="9"/>
      <c r="DC147" s="9"/>
      <c r="DD147" s="53"/>
      <c r="DE147" s="9"/>
    </row>
    <row r="148" spans="2:109" s="7" customFormat="1" ht="15" customHeight="1">
      <c r="B148" s="111"/>
      <c r="C148" s="111"/>
      <c r="D148" s="111"/>
      <c r="E148" s="111"/>
      <c r="F148" s="111"/>
      <c r="G148" s="111"/>
      <c r="H148" s="111"/>
      <c r="I148" s="111"/>
      <c r="J148" s="111"/>
      <c r="K148" s="111"/>
      <c r="L148" s="111"/>
      <c r="M148" s="111"/>
      <c r="N148" s="111"/>
      <c r="O148" s="111"/>
      <c r="P148" s="111"/>
      <c r="Q148" s="12"/>
      <c r="R148" s="12"/>
      <c r="S148" s="12"/>
      <c r="Z148" s="12"/>
      <c r="AA148" s="12"/>
      <c r="AC148" s="9"/>
      <c r="AF148" s="48"/>
      <c r="AG148" s="8"/>
      <c r="DB148" s="9"/>
      <c r="DC148" s="9"/>
      <c r="DD148" s="53"/>
      <c r="DE148" s="9"/>
    </row>
    <row r="149" spans="2:109" s="7" customFormat="1" ht="15" customHeight="1">
      <c r="B149" s="111"/>
      <c r="C149" s="111"/>
      <c r="D149" s="111"/>
      <c r="E149" s="111"/>
      <c r="F149" s="111"/>
      <c r="G149" s="111"/>
      <c r="H149" s="111"/>
      <c r="I149" s="111"/>
      <c r="J149" s="111"/>
      <c r="K149" s="111"/>
      <c r="L149" s="111"/>
      <c r="M149" s="111"/>
      <c r="N149" s="111"/>
      <c r="O149" s="111"/>
      <c r="P149" s="111"/>
      <c r="Q149" s="12"/>
      <c r="R149" s="12"/>
      <c r="S149" s="12"/>
      <c r="T149" s="12"/>
      <c r="U149" s="12"/>
      <c r="V149" s="12"/>
      <c r="W149" s="12"/>
      <c r="X149" s="12"/>
      <c r="Y149" s="12"/>
      <c r="Z149" s="12"/>
      <c r="AA149" s="12"/>
      <c r="AC149" s="9"/>
      <c r="AF149" s="48"/>
      <c r="AG149" s="8"/>
      <c r="DB149" s="9"/>
      <c r="DC149" s="9"/>
      <c r="DD149" s="53"/>
      <c r="DE149" s="9"/>
    </row>
    <row r="150" spans="2:109" s="7" customFormat="1" ht="15" customHeight="1">
      <c r="B150" s="111"/>
      <c r="C150" s="111"/>
      <c r="D150" s="111"/>
      <c r="E150" s="111"/>
      <c r="F150" s="111"/>
      <c r="G150" s="111"/>
      <c r="H150" s="111"/>
      <c r="I150" s="111"/>
      <c r="J150" s="111"/>
      <c r="K150" s="111"/>
      <c r="L150" s="111"/>
      <c r="M150" s="111"/>
      <c r="N150" s="111"/>
      <c r="O150" s="111"/>
      <c r="P150" s="111"/>
      <c r="Q150" s="12"/>
      <c r="R150" s="12"/>
      <c r="S150" s="12"/>
      <c r="T150" s="12"/>
      <c r="U150" s="12"/>
      <c r="V150" s="12"/>
      <c r="W150" s="12"/>
      <c r="X150" s="12"/>
      <c r="Y150" s="12"/>
      <c r="Z150" s="12"/>
      <c r="AA150" s="12"/>
      <c r="AC150" s="9"/>
      <c r="AF150" s="48"/>
      <c r="AG150" s="8"/>
      <c r="DB150" s="9"/>
      <c r="DC150" s="9"/>
      <c r="DD150" s="53"/>
      <c r="DE150" s="9"/>
    </row>
    <row r="151" spans="2:109" s="7" customFormat="1" ht="15" customHeight="1">
      <c r="B151" s="111"/>
      <c r="C151" s="111"/>
      <c r="D151" s="111"/>
      <c r="E151" s="111"/>
      <c r="F151" s="111"/>
      <c r="G151" s="111"/>
      <c r="H151" s="111"/>
      <c r="I151" s="111"/>
      <c r="J151" s="111"/>
      <c r="K151" s="111"/>
      <c r="L151" s="111"/>
      <c r="M151" s="111"/>
      <c r="N151" s="111"/>
      <c r="O151" s="111"/>
      <c r="P151" s="111"/>
      <c r="Q151" s="12"/>
      <c r="R151" s="12"/>
      <c r="S151" s="12"/>
      <c r="T151" s="12"/>
      <c r="U151" s="12"/>
      <c r="V151" s="12"/>
      <c r="W151" s="12"/>
      <c r="X151" s="12"/>
      <c r="Y151" s="12"/>
      <c r="Z151" s="12"/>
      <c r="AA151" s="12"/>
      <c r="AC151" s="9"/>
      <c r="AF151" s="48"/>
      <c r="AG151" s="8"/>
      <c r="DB151" s="9"/>
      <c r="DC151" s="9"/>
      <c r="DD151" s="53"/>
      <c r="DE151" s="9"/>
    </row>
    <row r="152" spans="2:109" s="7" customFormat="1" ht="15" customHeight="1">
      <c r="B152" s="111"/>
      <c r="C152" s="111"/>
      <c r="D152" s="111"/>
      <c r="E152" s="111"/>
      <c r="F152" s="111"/>
      <c r="G152" s="111"/>
      <c r="H152" s="111"/>
      <c r="I152" s="111"/>
      <c r="J152" s="111"/>
      <c r="K152" s="111"/>
      <c r="L152" s="111"/>
      <c r="M152" s="111"/>
      <c r="N152" s="111"/>
      <c r="O152" s="111"/>
      <c r="P152" s="111"/>
      <c r="Q152" s="12"/>
      <c r="R152" s="12"/>
      <c r="S152" s="12"/>
      <c r="Z152" s="12"/>
      <c r="AA152" s="12"/>
      <c r="AC152" s="9"/>
      <c r="AF152" s="48"/>
      <c r="AG152" s="8"/>
      <c r="DB152" s="9"/>
      <c r="DC152" s="9"/>
      <c r="DD152" s="53"/>
      <c r="DE152" s="9"/>
    </row>
    <row r="153" spans="2:109" s="7" customFormat="1" ht="15" customHeight="1">
      <c r="B153" s="111"/>
      <c r="C153" s="111"/>
      <c r="D153" s="111"/>
      <c r="E153" s="111"/>
      <c r="F153" s="111"/>
      <c r="G153" s="111"/>
      <c r="H153" s="111"/>
      <c r="I153" s="111"/>
      <c r="J153" s="111"/>
      <c r="K153" s="111"/>
      <c r="L153" s="111"/>
      <c r="M153" s="111"/>
      <c r="N153" s="111"/>
      <c r="O153" s="111"/>
      <c r="P153" s="111"/>
      <c r="Q153" s="12"/>
      <c r="R153" s="12"/>
      <c r="S153" s="12"/>
      <c r="Z153" s="12"/>
      <c r="AA153" s="12"/>
      <c r="AC153" s="9"/>
      <c r="AF153" s="48"/>
      <c r="AG153" s="8"/>
      <c r="DB153" s="9"/>
      <c r="DC153" s="9"/>
      <c r="DD153" s="53"/>
      <c r="DE153" s="9"/>
    </row>
    <row r="154" spans="2:109" s="7" customFormat="1" ht="15" customHeight="1">
      <c r="B154" s="111"/>
      <c r="C154" s="111"/>
      <c r="D154" s="111"/>
      <c r="E154" s="111"/>
      <c r="F154" s="111"/>
      <c r="G154" s="111"/>
      <c r="H154" s="111"/>
      <c r="I154" s="111"/>
      <c r="J154" s="111"/>
      <c r="K154" s="111"/>
      <c r="L154" s="111"/>
      <c r="M154" s="111"/>
      <c r="N154" s="111"/>
      <c r="O154" s="111"/>
      <c r="P154" s="111"/>
      <c r="Q154" s="12"/>
      <c r="R154" s="12"/>
      <c r="S154" s="12"/>
      <c r="Z154" s="12"/>
      <c r="AA154" s="12"/>
      <c r="AC154" s="9"/>
      <c r="AF154" s="48"/>
      <c r="AG154" s="8"/>
      <c r="DB154" s="9"/>
      <c r="DC154" s="9"/>
      <c r="DD154" s="53"/>
      <c r="DE154" s="9"/>
    </row>
    <row r="155" spans="2:109" s="7" customFormat="1" ht="15" customHeight="1">
      <c r="B155" s="111"/>
      <c r="C155" s="111"/>
      <c r="D155" s="111"/>
      <c r="E155" s="111"/>
      <c r="F155" s="111"/>
      <c r="G155" s="111"/>
      <c r="H155" s="111"/>
      <c r="I155" s="111"/>
      <c r="J155" s="111"/>
      <c r="K155" s="111"/>
      <c r="L155" s="111"/>
      <c r="M155" s="111"/>
      <c r="N155" s="111"/>
      <c r="O155" s="111"/>
      <c r="P155" s="111"/>
      <c r="Q155" s="12"/>
      <c r="R155" s="12"/>
      <c r="S155" s="12"/>
      <c r="T155" s="12"/>
      <c r="U155" s="12"/>
      <c r="V155" s="12"/>
      <c r="W155" s="12"/>
      <c r="X155" s="12"/>
      <c r="Y155" s="12"/>
      <c r="Z155" s="12"/>
      <c r="AA155" s="12"/>
      <c r="AC155" s="9"/>
      <c r="AF155" s="48"/>
      <c r="AG155" s="8"/>
      <c r="DB155" s="9"/>
      <c r="DC155" s="9"/>
      <c r="DD155" s="53"/>
      <c r="DE155" s="9"/>
    </row>
    <row r="156" spans="2:109" s="7" customFormat="1" ht="15" customHeight="1">
      <c r="B156" s="111"/>
      <c r="C156" s="111"/>
      <c r="D156" s="111"/>
      <c r="E156" s="111"/>
      <c r="F156" s="111"/>
      <c r="G156" s="111"/>
      <c r="H156" s="111"/>
      <c r="I156" s="111"/>
      <c r="J156" s="111"/>
      <c r="K156" s="111"/>
      <c r="L156" s="111"/>
      <c r="M156" s="111"/>
      <c r="N156" s="111"/>
      <c r="O156" s="111"/>
      <c r="P156" s="111"/>
      <c r="Q156" s="12"/>
      <c r="R156" s="12"/>
      <c r="S156" s="12"/>
      <c r="T156" s="12"/>
      <c r="U156" s="12"/>
      <c r="V156" s="12"/>
      <c r="W156" s="12"/>
      <c r="X156" s="12"/>
      <c r="Y156" s="12"/>
      <c r="Z156" s="12"/>
      <c r="AA156" s="12"/>
      <c r="AC156" s="9"/>
      <c r="AF156" s="48"/>
      <c r="AG156" s="8"/>
      <c r="DB156" s="9"/>
      <c r="DC156" s="9"/>
      <c r="DD156" s="53"/>
      <c r="DE156" s="9"/>
    </row>
    <row r="157" spans="2:109" s="7" customFormat="1" ht="15" customHeight="1">
      <c r="B157" s="111"/>
      <c r="C157" s="111"/>
      <c r="D157" s="111"/>
      <c r="E157" s="111"/>
      <c r="F157" s="111"/>
      <c r="G157" s="111"/>
      <c r="H157" s="111"/>
      <c r="I157" s="111"/>
      <c r="J157" s="111"/>
      <c r="K157" s="111"/>
      <c r="L157" s="111"/>
      <c r="M157" s="111"/>
      <c r="N157" s="111"/>
      <c r="O157" s="111"/>
      <c r="P157" s="111"/>
      <c r="Q157" s="12"/>
      <c r="R157" s="12"/>
      <c r="S157" s="12"/>
      <c r="T157" s="12"/>
      <c r="U157" s="12"/>
      <c r="V157" s="12"/>
      <c r="W157" s="12"/>
      <c r="X157" s="12"/>
      <c r="Y157" s="12"/>
      <c r="Z157" s="12"/>
      <c r="AA157" s="12"/>
      <c r="AC157" s="9"/>
      <c r="AF157" s="48"/>
      <c r="AG157" s="8"/>
      <c r="DB157" s="9"/>
      <c r="DC157" s="9"/>
      <c r="DD157" s="53" t="s">
        <v>335</v>
      </c>
      <c r="DE157" s="9"/>
    </row>
    <row r="158" spans="2:109" s="7" customFormat="1" ht="15" customHeight="1">
      <c r="B158" s="111"/>
      <c r="C158" s="111"/>
      <c r="D158" s="111"/>
      <c r="E158" s="111"/>
      <c r="F158" s="111"/>
      <c r="G158" s="111"/>
      <c r="H158" s="111"/>
      <c r="I158" s="111"/>
      <c r="J158" s="111"/>
      <c r="K158" s="111"/>
      <c r="L158" s="111"/>
      <c r="M158" s="111"/>
      <c r="N158" s="111"/>
      <c r="O158" s="111"/>
      <c r="P158" s="111"/>
      <c r="Q158" s="12"/>
      <c r="R158" s="12"/>
      <c r="S158" s="12"/>
      <c r="Z158" s="12"/>
      <c r="AA158" s="12"/>
      <c r="AC158" s="9"/>
      <c r="AF158" s="48"/>
      <c r="AG158" s="8"/>
      <c r="DB158" s="9"/>
      <c r="DC158" s="9"/>
      <c r="DD158" s="53" t="s">
        <v>336</v>
      </c>
      <c r="DE158" s="9"/>
    </row>
    <row r="159" spans="2:109" s="7" customFormat="1" ht="15" customHeight="1">
      <c r="B159" s="111"/>
      <c r="C159" s="111"/>
      <c r="D159" s="111"/>
      <c r="E159" s="111"/>
      <c r="F159" s="111"/>
      <c r="G159" s="111"/>
      <c r="H159" s="111"/>
      <c r="I159" s="111"/>
      <c r="J159" s="111"/>
      <c r="K159" s="111"/>
      <c r="L159" s="111"/>
      <c r="M159" s="111"/>
      <c r="N159" s="111"/>
      <c r="O159" s="111"/>
      <c r="P159" s="111"/>
      <c r="Q159" s="12"/>
      <c r="R159" s="12"/>
      <c r="S159" s="12"/>
      <c r="Z159" s="12"/>
      <c r="AA159" s="12"/>
      <c r="AC159" s="9"/>
      <c r="AF159" s="48"/>
      <c r="AG159" s="8"/>
      <c r="DB159" s="9"/>
      <c r="DC159" s="9"/>
      <c r="DD159" s="53" t="s">
        <v>337</v>
      </c>
      <c r="DE159" s="9"/>
    </row>
    <row r="160" spans="2:109" s="7" customFormat="1" ht="15" customHeight="1">
      <c r="B160" s="111"/>
      <c r="C160" s="111"/>
      <c r="D160" s="111"/>
      <c r="E160" s="111"/>
      <c r="F160" s="111"/>
      <c r="G160" s="111"/>
      <c r="H160" s="111"/>
      <c r="I160" s="111"/>
      <c r="J160" s="111"/>
      <c r="K160" s="111"/>
      <c r="L160" s="111"/>
      <c r="M160" s="111"/>
      <c r="N160" s="111"/>
      <c r="O160" s="111"/>
      <c r="P160" s="111"/>
      <c r="Q160" s="67"/>
      <c r="R160" s="67"/>
      <c r="S160" s="67"/>
      <c r="T160" s="67"/>
      <c r="U160" s="67"/>
      <c r="V160" s="67"/>
      <c r="W160" s="67"/>
      <c r="X160" s="67"/>
      <c r="Y160" s="67"/>
      <c r="Z160" s="67"/>
      <c r="AA160" s="67"/>
      <c r="AC160" s="9"/>
      <c r="AF160" s="48"/>
      <c r="AG160" s="8"/>
      <c r="DB160" s="9"/>
      <c r="DC160" s="9"/>
      <c r="DD160" s="53" t="s">
        <v>338</v>
      </c>
      <c r="DE160" s="9"/>
    </row>
    <row r="161" spans="2:109" s="7" customFormat="1" ht="15" customHeight="1">
      <c r="B161" s="111"/>
      <c r="C161" s="111"/>
      <c r="D161" s="111"/>
      <c r="E161" s="111"/>
      <c r="F161" s="111"/>
      <c r="G161" s="111"/>
      <c r="H161" s="111"/>
      <c r="I161" s="111"/>
      <c r="J161" s="111"/>
      <c r="K161" s="111"/>
      <c r="L161" s="111"/>
      <c r="M161" s="111"/>
      <c r="N161" s="111"/>
      <c r="O161" s="111"/>
      <c r="P161" s="111"/>
      <c r="Q161" s="59"/>
      <c r="R161" s="59"/>
      <c r="S161" s="59"/>
      <c r="T161" s="59"/>
      <c r="U161" s="59"/>
      <c r="V161" s="59"/>
      <c r="W161" s="59"/>
      <c r="X161" s="59"/>
      <c r="Y161" s="59"/>
      <c r="Z161" s="59"/>
      <c r="AA161" s="59"/>
      <c r="AC161" s="9"/>
      <c r="AF161" s="48"/>
      <c r="AG161" s="8"/>
      <c r="DB161" s="9"/>
      <c r="DC161" s="9"/>
      <c r="DD161" s="53" t="s">
        <v>339</v>
      </c>
      <c r="DE161" s="9"/>
    </row>
    <row r="162" spans="2:109" s="7" customFormat="1" ht="15" customHeight="1">
      <c r="B162" s="111"/>
      <c r="C162" s="111"/>
      <c r="D162" s="111"/>
      <c r="E162" s="111"/>
      <c r="F162" s="111"/>
      <c r="G162" s="111"/>
      <c r="H162" s="111"/>
      <c r="I162" s="111"/>
      <c r="J162" s="111"/>
      <c r="K162" s="110"/>
      <c r="L162" s="111"/>
      <c r="M162" s="111"/>
      <c r="N162" s="111"/>
      <c r="O162" s="111"/>
      <c r="P162" s="111"/>
      <c r="Q162" s="59"/>
      <c r="R162" s="59"/>
      <c r="S162" s="59"/>
      <c r="T162" s="59"/>
      <c r="U162" s="59"/>
      <c r="V162" s="59"/>
      <c r="W162" s="59"/>
      <c r="X162" s="59"/>
      <c r="Y162" s="59"/>
      <c r="Z162" s="59"/>
      <c r="AA162" s="59"/>
      <c r="AC162" s="9"/>
      <c r="AF162" s="48"/>
      <c r="AG162" s="8"/>
      <c r="DB162" s="9"/>
      <c r="DC162" s="9"/>
      <c r="DD162" s="53" t="s">
        <v>340</v>
      </c>
      <c r="DE162" s="9"/>
    </row>
    <row r="163" spans="2:109" s="7" customFormat="1" ht="15" customHeight="1">
      <c r="B163" s="111"/>
      <c r="C163" s="111"/>
      <c r="D163" s="111"/>
      <c r="E163" s="111"/>
      <c r="F163" s="111"/>
      <c r="G163" s="111"/>
      <c r="H163" s="111"/>
      <c r="I163" s="111"/>
      <c r="J163" s="111"/>
      <c r="K163" s="110"/>
      <c r="L163" s="111"/>
      <c r="M163" s="111"/>
      <c r="N163" s="111"/>
      <c r="O163" s="111"/>
      <c r="P163" s="111"/>
      <c r="Q163" s="59"/>
      <c r="R163" s="59"/>
      <c r="S163" s="59"/>
      <c r="T163" s="59"/>
      <c r="U163" s="59"/>
      <c r="V163" s="59"/>
      <c r="W163" s="59"/>
      <c r="X163" s="59"/>
      <c r="Y163" s="59"/>
      <c r="Z163" s="59"/>
      <c r="AA163" s="59"/>
      <c r="AC163" s="9"/>
      <c r="AF163" s="48"/>
      <c r="AG163" s="8"/>
      <c r="DB163" s="9"/>
      <c r="DC163" s="9"/>
      <c r="DD163" s="53" t="s">
        <v>341</v>
      </c>
      <c r="DE163" s="9"/>
    </row>
  </sheetData>
  <sheetProtection password="CEE2" sheet="1" objects="1" scenarios="1" selectLockedCells="1" sort="0" autoFilter="0" pivotTables="0" selectUnlockedCells="1"/>
  <mergeCells count="14">
    <mergeCell ref="R10:AG10"/>
    <mergeCell ref="C65:O65"/>
    <mergeCell ref="R101:AG101"/>
    <mergeCell ref="R65:AG65"/>
    <mergeCell ref="R88:AG88"/>
    <mergeCell ref="AF12:AF16"/>
    <mergeCell ref="AF18:AF22"/>
    <mergeCell ref="AF24:AF28"/>
    <mergeCell ref="R109:AG109"/>
    <mergeCell ref="AF30:AF34"/>
    <mergeCell ref="AF36:AF40"/>
    <mergeCell ref="AF42:AF46"/>
    <mergeCell ref="AF48:AF52"/>
    <mergeCell ref="AF54:AF58"/>
  </mergeCells>
  <phoneticPr fontId="1" type="noConversion"/>
  <conditionalFormatting sqref="S13:AD14">
    <cfRule type="expression" dxfId="23" priority="10" stopIfTrue="1">
      <formula>SUM($V$13:$V$16)=12</formula>
    </cfRule>
  </conditionalFormatting>
  <conditionalFormatting sqref="S19:AD20">
    <cfRule type="expression" dxfId="22" priority="11" stopIfTrue="1">
      <formula>SUM($V$19:$V$22)=12</formula>
    </cfRule>
  </conditionalFormatting>
  <conditionalFormatting sqref="S25:AD26">
    <cfRule type="expression" dxfId="21" priority="12" stopIfTrue="1">
      <formula>SUM($V$25:$V$28)=12</formula>
    </cfRule>
  </conditionalFormatting>
  <conditionalFormatting sqref="S31:AD32">
    <cfRule type="expression" dxfId="20" priority="13" stopIfTrue="1">
      <formula>SUM($V$31:$V$34)=12</formula>
    </cfRule>
  </conditionalFormatting>
  <conditionalFormatting sqref="S37:AD38">
    <cfRule type="expression" dxfId="19" priority="14" stopIfTrue="1">
      <formula>SUM($V$37:$V$40)=12</formula>
    </cfRule>
  </conditionalFormatting>
  <conditionalFormatting sqref="S43:AD44">
    <cfRule type="expression" dxfId="18" priority="15" stopIfTrue="1">
      <formula>SUM($V$43:$V$46)=12</formula>
    </cfRule>
  </conditionalFormatting>
  <conditionalFormatting sqref="S49:AD50">
    <cfRule type="expression" dxfId="17" priority="16" stopIfTrue="1">
      <formula>SUM($V$49:$V$52)=12</formula>
    </cfRule>
  </conditionalFormatting>
  <conditionalFormatting sqref="S55:AD56">
    <cfRule type="expression" dxfId="16" priority="17" stopIfTrue="1">
      <formula>SUM($V$55:$V$58)=12</formula>
    </cfRule>
  </conditionalFormatting>
  <conditionalFormatting sqref="AJ12:AK12">
    <cfRule type="expression" dxfId="15" priority="18" stopIfTrue="1">
      <formula>AND(SUM($V$13:$V$16)=12,$AJ13&lt;&gt;"")</formula>
    </cfRule>
  </conditionalFormatting>
  <conditionalFormatting sqref="AJ13:AK16">
    <cfRule type="expression" dxfId="14" priority="19" stopIfTrue="1">
      <formula>AND(SUM($V$13:$V$16)=12,$AJ13&lt;&gt;"")</formula>
    </cfRule>
  </conditionalFormatting>
  <conditionalFormatting sqref="AJ18:AK18">
    <cfRule type="expression" dxfId="13" priority="20" stopIfTrue="1">
      <formula>AND(SUM($V$19:$V$22)=12,$AJ19&lt;&gt;"")</formula>
    </cfRule>
  </conditionalFormatting>
  <conditionalFormatting sqref="AJ19:AK21">
    <cfRule type="expression" dxfId="12" priority="21" stopIfTrue="1">
      <formula>AND(SUM($V$19:$V$22)=12,$AJ19&lt;&gt;"")</formula>
    </cfRule>
  </conditionalFormatting>
  <conditionalFormatting sqref="AJ22:AK22">
    <cfRule type="expression" dxfId="11" priority="22" stopIfTrue="1">
      <formula>AND(SUM($V$19:$V$22)=12,$AJ22&lt;&gt;"")</formula>
    </cfRule>
  </conditionalFormatting>
  <conditionalFormatting sqref="AJ24:AK24">
    <cfRule type="expression" dxfId="10" priority="23" stopIfTrue="1">
      <formula>AND(SUM($V$25:$V$28)=12,$AJ25&lt;&gt;"")</formula>
    </cfRule>
  </conditionalFormatting>
  <conditionalFormatting sqref="AJ25:AK28">
    <cfRule type="expression" dxfId="9" priority="24" stopIfTrue="1">
      <formula>AND(SUM($V$25:$V$28)=12,$AJ25&lt;&gt;"")</formula>
    </cfRule>
  </conditionalFormatting>
  <conditionalFormatting sqref="AJ30:AK30">
    <cfRule type="expression" dxfId="8" priority="25" stopIfTrue="1">
      <formula>AND(SUM($V$31:$V$34)=12,$AJ31&lt;&gt;"")</formula>
    </cfRule>
  </conditionalFormatting>
  <conditionalFormatting sqref="AJ31:AK34">
    <cfRule type="expression" dxfId="7" priority="26" stopIfTrue="1">
      <formula>AND(SUM($V$31:$V$34)=12,$AJ31&lt;&gt;"")</formula>
    </cfRule>
  </conditionalFormatting>
  <conditionalFormatting sqref="AJ36:AK36">
    <cfRule type="expression" dxfId="6" priority="27" stopIfTrue="1">
      <formula>AND(SUM($V$37:$V$40)=12,$AJ37&lt;&gt;"")</formula>
    </cfRule>
  </conditionalFormatting>
  <conditionalFormatting sqref="AJ37:AK40">
    <cfRule type="expression" dxfId="5" priority="28" stopIfTrue="1">
      <formula>AND(SUM($V$37:$V$40)=12,$AJ37&lt;&gt;"")</formula>
    </cfRule>
  </conditionalFormatting>
  <conditionalFormatting sqref="AJ42:AK42 AJ48:AK48">
    <cfRule type="expression" dxfId="4" priority="29" stopIfTrue="1">
      <formula>AND(SUM($V$43:$V$46)=12,$AJ43&lt;&gt;"")</formula>
    </cfRule>
  </conditionalFormatting>
  <conditionalFormatting sqref="AJ43:AK46 AJ49:AK52">
    <cfRule type="expression" dxfId="3" priority="30" stopIfTrue="1">
      <formula>AND(SUM($V$43:$V$46)=12,$AJ43&lt;&gt;"")</formula>
    </cfRule>
  </conditionalFormatting>
  <conditionalFormatting sqref="AJ54:AK54">
    <cfRule type="expression" dxfId="2" priority="31" stopIfTrue="1">
      <formula>AND(SUM($V$55:$V$58)=12,$AJ55&lt;&gt;"")</formula>
    </cfRule>
  </conditionalFormatting>
  <conditionalFormatting sqref="AJ55:AK58">
    <cfRule type="expression" dxfId="1" priority="32" stopIfTrue="1">
      <formula>AND(SUM($V$55:$V$58)=12,$AJ55&lt;&gt;"")</formula>
    </cfRule>
  </conditionalFormatting>
  <printOptions horizontalCentered="1" verticalCentered="1"/>
  <pageMargins left="0.39" right="0.32" top="0.28999999999999998" bottom="0.39" header="0.21" footer="0.26"/>
  <pageSetup scale="43" orientation="portrait" horizontalDpi="300" verticalDpi="300" r:id="rId1"/>
  <headerFooter alignWithMargins="0">
    <oddFooter>&amp;C
copyright (c) exceltemplate.net 2010</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45"/>
  <sheetViews>
    <sheetView showGridLines="0" topLeftCell="E1" zoomScaleNormal="100" workbookViewId="0">
      <selection activeCell="N1" sqref="N1"/>
    </sheetView>
  </sheetViews>
  <sheetFormatPr defaultColWidth="9.109375" defaultRowHeight="15" customHeight="1"/>
  <cols>
    <col min="1" max="1" width="9.88671875" style="82" customWidth="1"/>
    <col min="2" max="2" width="5.88671875" style="82" customWidth="1"/>
    <col min="3" max="3" width="23" style="82" customWidth="1"/>
    <col min="4" max="4" width="30.88671875" style="82" bestFit="1" customWidth="1"/>
    <col min="5" max="5" width="13.6640625" style="82" bestFit="1" customWidth="1"/>
    <col min="6" max="6" width="4.44140625" style="82" bestFit="1" customWidth="1"/>
    <col min="7" max="8" width="9.109375" style="82"/>
    <col min="9" max="9" width="9.21875" style="108" bestFit="1" customWidth="1"/>
    <col min="10" max="10" width="9.109375" style="108"/>
    <col min="11" max="16" width="9.21875" style="108" bestFit="1" customWidth="1"/>
    <col min="17" max="18" width="11.33203125" style="108" bestFit="1" customWidth="1"/>
    <col min="19" max="19" width="9.109375" style="82"/>
    <col min="20" max="20" width="2.44140625" style="92" customWidth="1"/>
    <col min="21" max="21" width="4.33203125" style="92" customWidth="1"/>
    <col min="22" max="22" width="19.33203125" style="92" customWidth="1"/>
    <col min="23" max="28" width="9.109375" style="92"/>
    <col min="29" max="29" width="2.44140625" style="92" customWidth="1"/>
    <col min="30" max="16384" width="9.109375" style="82"/>
  </cols>
  <sheetData>
    <row r="1" spans="1:35" ht="15" customHeight="1">
      <c r="I1" s="89"/>
      <c r="J1" s="89"/>
      <c r="K1" s="90"/>
      <c r="L1" s="89"/>
      <c r="M1" s="89"/>
      <c r="N1" s="89"/>
      <c r="O1" s="89"/>
      <c r="P1" s="89"/>
      <c r="Q1" s="91"/>
      <c r="R1" s="89"/>
    </row>
    <row r="2" spans="1:35" ht="15" customHeight="1">
      <c r="I2" s="89">
        <v>1</v>
      </c>
      <c r="J2" s="93" t="s">
        <v>305</v>
      </c>
      <c r="K2" s="93">
        <v>6</v>
      </c>
      <c r="L2" s="94">
        <v>0.25</v>
      </c>
      <c r="M2" s="95">
        <f>VLOOKUP(Tournament!G4,'Countries and Timezone'!J2:K145,2,FALSE)</f>
        <v>4</v>
      </c>
      <c r="N2" s="96">
        <f>VLOOKUP(Tournament!G4,'Countries and Timezone'!J2:L145,3,FALSE)</f>
        <v>0.16666666666666666</v>
      </c>
      <c r="O2" s="97">
        <v>1</v>
      </c>
      <c r="P2" s="98">
        <f t="shared" ref="P2:P33" si="0">Q2</f>
        <v>41802.708333333336</v>
      </c>
      <c r="Q2" s="99">
        <v>41802.708333333336</v>
      </c>
      <c r="R2" s="100">
        <f t="shared" ref="R2:R33" si="1">IF(M$2&gt;0,Q2+N$2,Q2-N$2)</f>
        <v>41802.875</v>
      </c>
    </row>
    <row r="3" spans="1:35" ht="15" customHeight="1">
      <c r="I3" s="89">
        <v>2</v>
      </c>
      <c r="J3" s="93" t="s">
        <v>306</v>
      </c>
      <c r="K3" s="93">
        <v>12.5</v>
      </c>
      <c r="L3" s="94">
        <v>0.52083333333333337</v>
      </c>
      <c r="M3" s="95"/>
      <c r="N3" s="89"/>
      <c r="O3" s="97">
        <v>2</v>
      </c>
      <c r="P3" s="98">
        <f t="shared" si="0"/>
        <v>41803.541666666664</v>
      </c>
      <c r="Q3" s="99">
        <v>41803.541666666664</v>
      </c>
      <c r="R3" s="100">
        <f t="shared" si="1"/>
        <v>41803.708333333328</v>
      </c>
    </row>
    <row r="4" spans="1:35" ht="15" customHeight="1">
      <c r="I4" s="89">
        <v>3</v>
      </c>
      <c r="J4" s="93" t="s">
        <v>307</v>
      </c>
      <c r="K4" s="93">
        <v>6</v>
      </c>
      <c r="L4" s="94">
        <v>0.25</v>
      </c>
      <c r="M4" s="89"/>
      <c r="N4" s="89"/>
      <c r="O4" s="97">
        <v>3</v>
      </c>
      <c r="P4" s="98">
        <f t="shared" si="0"/>
        <v>41803.666666666664</v>
      </c>
      <c r="Q4" s="99">
        <v>41803.666666666664</v>
      </c>
      <c r="R4" s="100">
        <f t="shared" si="1"/>
        <v>41803.833333333328</v>
      </c>
    </row>
    <row r="5" spans="1:35" ht="15" customHeight="1">
      <c r="I5" s="89">
        <v>4</v>
      </c>
      <c r="J5" s="93" t="s">
        <v>308</v>
      </c>
      <c r="K5" s="93">
        <v>4</v>
      </c>
      <c r="L5" s="94">
        <v>0.16666666666666666</v>
      </c>
      <c r="M5" s="89"/>
      <c r="N5" s="89"/>
      <c r="O5" s="97">
        <v>4</v>
      </c>
      <c r="P5" s="98">
        <f t="shared" si="0"/>
        <v>41803.791666666664</v>
      </c>
      <c r="Q5" s="99">
        <v>41803.791666666664</v>
      </c>
      <c r="R5" s="100">
        <f t="shared" si="1"/>
        <v>41803.958333333328</v>
      </c>
    </row>
    <row r="6" spans="1:35" ht="15" customHeight="1">
      <c r="A6" s="101"/>
      <c r="B6" s="101"/>
      <c r="C6" s="101"/>
      <c r="D6" s="101"/>
      <c r="E6" s="101"/>
      <c r="I6" s="89">
        <v>5</v>
      </c>
      <c r="J6" s="93" t="s">
        <v>309</v>
      </c>
      <c r="K6" s="93">
        <v>9</v>
      </c>
      <c r="L6" s="94">
        <v>0.375</v>
      </c>
      <c r="M6" s="89"/>
      <c r="N6" s="89"/>
      <c r="O6" s="97">
        <v>5</v>
      </c>
      <c r="P6" s="98">
        <f t="shared" si="0"/>
        <v>41804.541666666664</v>
      </c>
      <c r="Q6" s="99">
        <v>41804.541666666664</v>
      </c>
      <c r="R6" s="100">
        <f t="shared" si="1"/>
        <v>41804.708333333328</v>
      </c>
    </row>
    <row r="7" spans="1:35" ht="15" customHeight="1">
      <c r="A7" s="202"/>
      <c r="B7" s="102"/>
      <c r="C7" s="103" t="str">
        <f>'Dummy Table'!B4</f>
        <v>Brazil</v>
      </c>
      <c r="D7" s="104"/>
      <c r="E7" s="103"/>
      <c r="I7" s="89">
        <v>6</v>
      </c>
      <c r="J7" s="93" t="s">
        <v>310</v>
      </c>
      <c r="K7" s="93">
        <v>6</v>
      </c>
      <c r="L7" s="94">
        <v>0.25</v>
      </c>
      <c r="M7" s="89"/>
      <c r="N7" s="89"/>
      <c r="O7" s="97">
        <v>6</v>
      </c>
      <c r="P7" s="98">
        <f t="shared" si="0"/>
        <v>41804.916666666664</v>
      </c>
      <c r="Q7" s="99">
        <v>41804.916666666664</v>
      </c>
      <c r="R7" s="100">
        <f t="shared" si="1"/>
        <v>41805.083333333328</v>
      </c>
      <c r="AG7" s="82" t="s">
        <v>3863</v>
      </c>
      <c r="AH7" s="82" t="s">
        <v>3863</v>
      </c>
      <c r="AI7" s="82" t="s">
        <v>3956</v>
      </c>
    </row>
    <row r="8" spans="1:35" ht="15" customHeight="1">
      <c r="A8" s="202"/>
      <c r="B8" s="102"/>
      <c r="C8" s="103" t="str">
        <f>'Dummy Table'!B5</f>
        <v>Croatia</v>
      </c>
      <c r="D8" s="104"/>
      <c r="E8" s="103"/>
      <c r="I8" s="89">
        <v>7</v>
      </c>
      <c r="J8" s="93" t="s">
        <v>311</v>
      </c>
      <c r="K8" s="93">
        <v>5</v>
      </c>
      <c r="L8" s="94">
        <v>0.20833333333333334</v>
      </c>
      <c r="M8" s="89"/>
      <c r="N8" s="89"/>
      <c r="O8" s="97">
        <v>7</v>
      </c>
      <c r="P8" s="98">
        <f t="shared" si="0"/>
        <v>41804.666666666664</v>
      </c>
      <c r="Q8" s="99">
        <v>41804.666666666664</v>
      </c>
      <c r="R8" s="100">
        <f t="shared" si="1"/>
        <v>41804.833333333328</v>
      </c>
      <c r="AG8" s="82" t="s">
        <v>4007</v>
      </c>
      <c r="AH8" s="82" t="s">
        <v>4007</v>
      </c>
      <c r="AI8" s="82" t="s">
        <v>3846</v>
      </c>
    </row>
    <row r="9" spans="1:35" ht="15" customHeight="1">
      <c r="A9" s="202"/>
      <c r="B9" s="102"/>
      <c r="C9" s="103" t="str">
        <f>'Dummy Table'!B6</f>
        <v>Mexico</v>
      </c>
      <c r="D9" s="104"/>
      <c r="E9" s="103"/>
      <c r="I9" s="89">
        <v>8</v>
      </c>
      <c r="J9" s="93" t="s">
        <v>312</v>
      </c>
      <c r="K9" s="93">
        <v>16</v>
      </c>
      <c r="L9" s="94">
        <v>0.66666666666666663</v>
      </c>
      <c r="M9" s="89"/>
      <c r="N9" s="89"/>
      <c r="O9" s="97">
        <v>8</v>
      </c>
      <c r="P9" s="98">
        <f t="shared" si="0"/>
        <v>41804.791666666664</v>
      </c>
      <c r="Q9" s="99">
        <v>41804.791666666664</v>
      </c>
      <c r="R9" s="100">
        <f t="shared" si="1"/>
        <v>41804.958333333328</v>
      </c>
      <c r="AG9" s="82" t="s">
        <v>3846</v>
      </c>
      <c r="AH9" s="82" t="s">
        <v>3846</v>
      </c>
      <c r="AI9" s="82" t="s">
        <v>3847</v>
      </c>
    </row>
    <row r="10" spans="1:35" ht="15" customHeight="1">
      <c r="A10" s="202"/>
      <c r="B10" s="102"/>
      <c r="C10" s="103" t="str">
        <f>'Dummy Table'!B7</f>
        <v>Cameroon</v>
      </c>
      <c r="D10" s="103"/>
      <c r="E10" s="103"/>
      <c r="I10" s="89">
        <v>9</v>
      </c>
      <c r="J10" s="93" t="s">
        <v>313</v>
      </c>
      <c r="K10" s="105">
        <v>-5</v>
      </c>
      <c r="L10" s="94">
        <v>0.20833333333333334</v>
      </c>
      <c r="M10" s="89"/>
      <c r="N10" s="89"/>
      <c r="O10" s="97">
        <v>9</v>
      </c>
      <c r="P10" s="98">
        <f t="shared" si="0"/>
        <v>41805.541666666664</v>
      </c>
      <c r="Q10" s="99">
        <v>41805.541666666664</v>
      </c>
      <c r="R10" s="100">
        <f t="shared" si="1"/>
        <v>41805.708333333328</v>
      </c>
      <c r="AG10" s="82" t="s">
        <v>3859</v>
      </c>
      <c r="AH10" s="82" t="s">
        <v>3859</v>
      </c>
      <c r="AI10" s="82" t="s">
        <v>62</v>
      </c>
    </row>
    <row r="11" spans="1:35" ht="15" customHeight="1">
      <c r="A11" s="202"/>
      <c r="B11" s="102"/>
      <c r="C11" s="103" t="str">
        <f>'Dummy Table'!B11</f>
        <v>Spain</v>
      </c>
      <c r="D11" s="103"/>
      <c r="E11" s="103"/>
      <c r="I11" s="89">
        <v>10</v>
      </c>
      <c r="J11" s="93" t="s">
        <v>314</v>
      </c>
      <c r="K11" s="93">
        <v>6</v>
      </c>
      <c r="L11" s="94">
        <v>0.25</v>
      </c>
      <c r="M11" s="89"/>
      <c r="N11" s="89"/>
      <c r="O11" s="97">
        <v>10</v>
      </c>
      <c r="P11" s="98">
        <f t="shared" si="0"/>
        <v>41805.666666666664</v>
      </c>
      <c r="Q11" s="99">
        <v>41805.666666666664</v>
      </c>
      <c r="R11" s="100">
        <f t="shared" si="1"/>
        <v>41805.833333333328</v>
      </c>
      <c r="AG11" s="82" t="s">
        <v>3962</v>
      </c>
      <c r="AH11" s="82" t="s">
        <v>3962</v>
      </c>
      <c r="AI11" s="82" t="s">
        <v>3848</v>
      </c>
    </row>
    <row r="12" spans="1:35" ht="15" customHeight="1">
      <c r="A12" s="202"/>
      <c r="B12" s="102"/>
      <c r="C12" s="103" t="str">
        <f>'Dummy Table'!B12</f>
        <v>Netherlands</v>
      </c>
      <c r="D12" s="103"/>
      <c r="E12" s="103"/>
      <c r="I12" s="89">
        <v>11</v>
      </c>
      <c r="J12" s="93" t="s">
        <v>315</v>
      </c>
      <c r="K12" s="93">
        <v>6</v>
      </c>
      <c r="L12" s="94">
        <v>0.25</v>
      </c>
      <c r="M12" s="89"/>
      <c r="N12" s="89"/>
      <c r="O12" s="97">
        <v>11</v>
      </c>
      <c r="P12" s="98">
        <f t="shared" si="0"/>
        <v>41805.791666666664</v>
      </c>
      <c r="Q12" s="99">
        <v>41805.791666666664</v>
      </c>
      <c r="R12" s="100">
        <f t="shared" si="1"/>
        <v>41805.958333333328</v>
      </c>
      <c r="AG12" s="82" t="s">
        <v>3959</v>
      </c>
      <c r="AH12" s="82" t="s">
        <v>3959</v>
      </c>
      <c r="AI12" s="82" t="s">
        <v>3849</v>
      </c>
    </row>
    <row r="13" spans="1:35" ht="15" customHeight="1">
      <c r="A13" s="202"/>
      <c r="B13" s="102"/>
      <c r="C13" s="103" t="str">
        <f>'Dummy Table'!B13</f>
        <v>Chile</v>
      </c>
      <c r="D13" s="103"/>
      <c r="E13" s="103"/>
      <c r="I13" s="89">
        <v>12</v>
      </c>
      <c r="J13" s="93" t="s">
        <v>316</v>
      </c>
      <c r="K13" s="93">
        <v>-1</v>
      </c>
      <c r="L13" s="94">
        <v>4.1666666666666664E-2</v>
      </c>
      <c r="M13" s="89"/>
      <c r="N13" s="89"/>
      <c r="O13" s="97">
        <v>12</v>
      </c>
      <c r="P13" s="98">
        <f t="shared" si="0"/>
        <v>41806.666666666664</v>
      </c>
      <c r="Q13" s="99">
        <v>41806.666666666664</v>
      </c>
      <c r="R13" s="100">
        <f t="shared" si="1"/>
        <v>41806.833333333328</v>
      </c>
      <c r="AG13" s="82" t="s">
        <v>3865</v>
      </c>
      <c r="AH13" s="82" t="s">
        <v>3865</v>
      </c>
      <c r="AI13" s="82" t="s">
        <v>3957</v>
      </c>
    </row>
    <row r="14" spans="1:35" ht="15" customHeight="1">
      <c r="A14" s="202"/>
      <c r="B14" s="102"/>
      <c r="C14" s="103" t="str">
        <f>'Dummy Table'!B14</f>
        <v>Australia</v>
      </c>
      <c r="D14" s="104"/>
      <c r="E14" s="103"/>
      <c r="I14" s="89">
        <v>13</v>
      </c>
      <c r="J14" s="93" t="s">
        <v>317</v>
      </c>
      <c r="K14" s="93">
        <v>6</v>
      </c>
      <c r="L14" s="94">
        <v>0.25</v>
      </c>
      <c r="M14" s="89"/>
      <c r="N14" s="89"/>
      <c r="O14" s="97">
        <v>13</v>
      </c>
      <c r="P14" s="98">
        <f t="shared" si="0"/>
        <v>41806.541666666664</v>
      </c>
      <c r="Q14" s="99">
        <v>41806.541666666664</v>
      </c>
      <c r="R14" s="100">
        <f t="shared" si="1"/>
        <v>41806.708333333328</v>
      </c>
      <c r="AG14" s="82" t="s">
        <v>3854</v>
      </c>
      <c r="AH14" s="82" t="s">
        <v>3854</v>
      </c>
      <c r="AI14" s="82" t="s">
        <v>61</v>
      </c>
    </row>
    <row r="15" spans="1:35" ht="15" customHeight="1">
      <c r="A15" s="202"/>
      <c r="B15" s="102"/>
      <c r="C15" s="103" t="str">
        <f>'Dummy Table'!B18</f>
        <v>Colombia</v>
      </c>
      <c r="D15" s="104"/>
      <c r="E15" s="103"/>
      <c r="I15" s="89">
        <v>14</v>
      </c>
      <c r="J15" s="93" t="s">
        <v>318</v>
      </c>
      <c r="K15" s="93">
        <v>-1</v>
      </c>
      <c r="L15" s="94">
        <v>4.1666666666666664E-2</v>
      </c>
      <c r="M15" s="89"/>
      <c r="N15" s="89"/>
      <c r="O15" s="97">
        <v>14</v>
      </c>
      <c r="P15" s="98">
        <f t="shared" si="0"/>
        <v>41806.791666666664</v>
      </c>
      <c r="Q15" s="99">
        <v>41806.791666666664</v>
      </c>
      <c r="R15" s="100">
        <f t="shared" si="1"/>
        <v>41806.958333333328</v>
      </c>
      <c r="AG15" s="82" t="s">
        <v>4044</v>
      </c>
      <c r="AH15" s="82" t="s">
        <v>4044</v>
      </c>
      <c r="AI15" s="82" t="s">
        <v>3850</v>
      </c>
    </row>
    <row r="16" spans="1:35" ht="15" customHeight="1">
      <c r="A16" s="202"/>
      <c r="B16" s="102"/>
      <c r="C16" s="103" t="str">
        <f>'Dummy Table'!B19</f>
        <v>Greece</v>
      </c>
      <c r="D16" s="104"/>
      <c r="E16" s="103"/>
      <c r="I16" s="89">
        <v>15</v>
      </c>
      <c r="J16" s="93" t="s">
        <v>319</v>
      </c>
      <c r="K16" s="93">
        <v>15</v>
      </c>
      <c r="L16" s="94">
        <v>0.625</v>
      </c>
      <c r="M16" s="89"/>
      <c r="N16" s="89"/>
      <c r="O16" s="97">
        <v>15</v>
      </c>
      <c r="P16" s="98">
        <f t="shared" si="0"/>
        <v>41807.541666666664</v>
      </c>
      <c r="Q16" s="99">
        <v>41807.541666666664</v>
      </c>
      <c r="R16" s="100">
        <f t="shared" si="1"/>
        <v>41807.708333333328</v>
      </c>
      <c r="AG16" s="82" t="s">
        <v>61</v>
      </c>
      <c r="AH16" s="82" t="s">
        <v>61</v>
      </c>
      <c r="AI16" s="82" t="s">
        <v>3851</v>
      </c>
    </row>
    <row r="17" spans="1:35" ht="15" customHeight="1">
      <c r="A17" s="202"/>
      <c r="B17" s="102"/>
      <c r="C17" s="103" t="str">
        <f>'Dummy Table'!B20</f>
        <v>Ivory Coast</v>
      </c>
      <c r="D17" s="104"/>
      <c r="E17" s="103"/>
      <c r="I17" s="89">
        <v>16</v>
      </c>
      <c r="J17" s="93" t="s">
        <v>320</v>
      </c>
      <c r="K17" s="93">
        <v>6</v>
      </c>
      <c r="L17" s="94">
        <v>0.25</v>
      </c>
      <c r="M17" s="89"/>
      <c r="N17" s="89"/>
      <c r="O17" s="97">
        <v>16</v>
      </c>
      <c r="P17" s="98">
        <f t="shared" si="0"/>
        <v>41807.791666666664</v>
      </c>
      <c r="Q17" s="99">
        <v>41807.791666666664</v>
      </c>
      <c r="R17" s="100">
        <f t="shared" si="1"/>
        <v>41807.958333333328</v>
      </c>
      <c r="AG17" s="82" t="s">
        <v>2279</v>
      </c>
      <c r="AH17" s="82" t="s">
        <v>2279</v>
      </c>
      <c r="AI17" s="82" t="s">
        <v>3852</v>
      </c>
    </row>
    <row r="18" spans="1:35" ht="15" customHeight="1">
      <c r="A18" s="202"/>
      <c r="B18" s="102"/>
      <c r="C18" s="103" t="str">
        <f>'Dummy Table'!B21</f>
        <v>Japan</v>
      </c>
      <c r="D18" s="103"/>
      <c r="E18" s="103"/>
      <c r="I18" s="89">
        <v>17</v>
      </c>
      <c r="J18" s="93" t="s">
        <v>321</v>
      </c>
      <c r="K18" s="93">
        <v>10</v>
      </c>
      <c r="L18" s="94">
        <v>0.41666666666666669</v>
      </c>
      <c r="M18" s="89"/>
      <c r="N18" s="89"/>
      <c r="O18" s="97">
        <v>17</v>
      </c>
      <c r="P18" s="98">
        <f t="shared" si="0"/>
        <v>41807.666666666664</v>
      </c>
      <c r="Q18" s="99">
        <v>41807.666666666664</v>
      </c>
      <c r="R18" s="100">
        <f t="shared" si="1"/>
        <v>41807.833333333328</v>
      </c>
      <c r="AG18" s="82" t="s">
        <v>3858</v>
      </c>
      <c r="AH18" s="82" t="s">
        <v>3858</v>
      </c>
      <c r="AI18" s="82" t="s">
        <v>3853</v>
      </c>
    </row>
    <row r="19" spans="1:35" ht="15" customHeight="1">
      <c r="A19" s="202"/>
      <c r="B19" s="102"/>
      <c r="C19" s="103" t="str">
        <f>'Dummy Table'!B25</f>
        <v>Uruguay</v>
      </c>
      <c r="D19" s="103"/>
      <c r="E19" s="103"/>
      <c r="I19" s="89">
        <v>18</v>
      </c>
      <c r="J19" s="93" t="s">
        <v>322</v>
      </c>
      <c r="K19" s="93">
        <v>5</v>
      </c>
      <c r="L19" s="94">
        <v>0.20833333333333334</v>
      </c>
      <c r="M19" s="89"/>
      <c r="N19" s="89"/>
      <c r="O19" s="97">
        <v>18</v>
      </c>
      <c r="P19" s="98">
        <f t="shared" si="0"/>
        <v>41808.791666666664</v>
      </c>
      <c r="Q19" s="99">
        <v>41808.791666666664</v>
      </c>
      <c r="R19" s="100">
        <f t="shared" si="1"/>
        <v>41808.958333333328</v>
      </c>
      <c r="AG19" s="82" t="s">
        <v>3847</v>
      </c>
      <c r="AH19" s="82" t="s">
        <v>3847</v>
      </c>
      <c r="AI19" s="82" t="s">
        <v>3958</v>
      </c>
    </row>
    <row r="20" spans="1:35" ht="15" customHeight="1">
      <c r="A20" s="202"/>
      <c r="B20" s="102"/>
      <c r="C20" s="103" t="str">
        <f>'Dummy Table'!B26</f>
        <v>Costa Rica</v>
      </c>
      <c r="D20" s="103"/>
      <c r="E20" s="103"/>
      <c r="I20" s="89">
        <v>19</v>
      </c>
      <c r="J20" s="93" t="s">
        <v>323</v>
      </c>
      <c r="K20" s="93">
        <v>11</v>
      </c>
      <c r="L20" s="94">
        <v>0.45833333333333331</v>
      </c>
      <c r="M20" s="89"/>
      <c r="N20" s="89"/>
      <c r="O20" s="97">
        <v>19</v>
      </c>
      <c r="P20" s="98">
        <f t="shared" si="0"/>
        <v>41808.666666666664</v>
      </c>
      <c r="Q20" s="99">
        <v>41808.666666666664</v>
      </c>
      <c r="R20" s="100">
        <f t="shared" si="1"/>
        <v>41808.833333333328</v>
      </c>
      <c r="AG20" s="82" t="s">
        <v>4070</v>
      </c>
      <c r="AH20" s="82" t="s">
        <v>4070</v>
      </c>
      <c r="AI20" s="82" t="s">
        <v>3854</v>
      </c>
    </row>
    <row r="21" spans="1:35" ht="15" customHeight="1">
      <c r="A21" s="202"/>
      <c r="B21" s="102"/>
      <c r="C21" s="103" t="str">
        <f>'Dummy Table'!B27</f>
        <v>England</v>
      </c>
      <c r="D21" s="104"/>
      <c r="E21" s="103"/>
      <c r="I21" s="89">
        <v>20</v>
      </c>
      <c r="J21" s="93" t="s">
        <v>324</v>
      </c>
      <c r="K21" s="93">
        <v>6</v>
      </c>
      <c r="L21" s="94">
        <v>0.25</v>
      </c>
      <c r="M21" s="89"/>
      <c r="N21" s="89"/>
      <c r="O21" s="97">
        <v>20</v>
      </c>
      <c r="P21" s="98">
        <f t="shared" si="0"/>
        <v>41808.541666666664</v>
      </c>
      <c r="Q21" s="99">
        <v>41808.541666666664</v>
      </c>
      <c r="R21" s="100">
        <f t="shared" si="1"/>
        <v>41808.708333333328</v>
      </c>
      <c r="AG21" s="82" t="s">
        <v>3850</v>
      </c>
      <c r="AH21" s="82" t="s">
        <v>3850</v>
      </c>
      <c r="AI21" s="82" t="s">
        <v>3855</v>
      </c>
    </row>
    <row r="22" spans="1:35" ht="15" customHeight="1">
      <c r="A22" s="202"/>
      <c r="B22" s="102"/>
      <c r="C22" s="103" t="str">
        <f>'Dummy Table'!B28</f>
        <v>Italy</v>
      </c>
      <c r="D22" s="103"/>
      <c r="E22" s="103"/>
      <c r="I22" s="89">
        <v>21</v>
      </c>
      <c r="J22" s="93" t="s">
        <v>325</v>
      </c>
      <c r="K22" s="93">
        <v>5</v>
      </c>
      <c r="L22" s="94">
        <v>0.20833333333333334</v>
      </c>
      <c r="M22" s="89"/>
      <c r="N22" s="89"/>
      <c r="O22" s="97">
        <v>21</v>
      </c>
      <c r="P22" s="98">
        <f t="shared" si="0"/>
        <v>41809.541666666664</v>
      </c>
      <c r="Q22" s="99">
        <v>41809.541666666664</v>
      </c>
      <c r="R22" s="100">
        <f t="shared" si="1"/>
        <v>41809.708333333328</v>
      </c>
      <c r="AG22" s="82" t="s">
        <v>3960</v>
      </c>
      <c r="AH22" s="82" t="s">
        <v>3960</v>
      </c>
      <c r="AI22" s="82" t="s">
        <v>3856</v>
      </c>
    </row>
    <row r="23" spans="1:35" ht="15" customHeight="1">
      <c r="A23" s="202"/>
      <c r="B23" s="102"/>
      <c r="C23" s="103" t="str">
        <f>'Dummy Table'!B32</f>
        <v>Switzerland</v>
      </c>
      <c r="D23" s="103"/>
      <c r="E23" s="103"/>
      <c r="I23" s="89">
        <v>22</v>
      </c>
      <c r="J23" s="93" t="s">
        <v>326</v>
      </c>
      <c r="K23" s="93">
        <v>5</v>
      </c>
      <c r="L23" s="94">
        <v>0.20833333333333334</v>
      </c>
      <c r="M23" s="89"/>
      <c r="N23" s="89"/>
      <c r="O23" s="97">
        <v>22</v>
      </c>
      <c r="P23" s="98">
        <f t="shared" si="0"/>
        <v>41809.791666666664</v>
      </c>
      <c r="Q23" s="99">
        <v>41809.791666666664</v>
      </c>
      <c r="R23" s="100">
        <f t="shared" si="1"/>
        <v>41809.958333333328</v>
      </c>
      <c r="AG23" s="82" t="s">
        <v>59</v>
      </c>
      <c r="AH23" s="82" t="s">
        <v>59</v>
      </c>
      <c r="AI23" s="82" t="s">
        <v>3959</v>
      </c>
    </row>
    <row r="24" spans="1:35" ht="15" customHeight="1">
      <c r="A24" s="202"/>
      <c r="B24" s="102"/>
      <c r="C24" s="103" t="str">
        <f>'Dummy Table'!B33</f>
        <v>Ecuador</v>
      </c>
      <c r="D24" s="104"/>
      <c r="E24" s="103"/>
      <c r="I24" s="89">
        <v>23</v>
      </c>
      <c r="J24" s="93" t="s">
        <v>327</v>
      </c>
      <c r="K24" s="93">
        <v>-2</v>
      </c>
      <c r="L24" s="94">
        <v>8.3333333333333329E-2</v>
      </c>
      <c r="M24" s="89"/>
      <c r="N24" s="89"/>
      <c r="O24" s="97">
        <v>23</v>
      </c>
      <c r="P24" s="98">
        <f t="shared" si="0"/>
        <v>41809.666666666664</v>
      </c>
      <c r="Q24" s="99">
        <v>41809.666666666664</v>
      </c>
      <c r="R24" s="100">
        <f t="shared" si="1"/>
        <v>41809.833333333328</v>
      </c>
      <c r="AG24" s="82" t="s">
        <v>4088</v>
      </c>
      <c r="AH24" s="82" t="s">
        <v>4088</v>
      </c>
      <c r="AI24" s="82" t="s">
        <v>3857</v>
      </c>
    </row>
    <row r="25" spans="1:35" ht="15" customHeight="1">
      <c r="A25" s="202"/>
      <c r="B25" s="102"/>
      <c r="C25" s="103" t="str">
        <f>'Dummy Table'!B34</f>
        <v>France</v>
      </c>
      <c r="D25" s="104"/>
      <c r="E25" s="103"/>
      <c r="I25" s="89">
        <v>24</v>
      </c>
      <c r="J25" s="93" t="s">
        <v>328</v>
      </c>
      <c r="K25" s="93">
        <v>-1</v>
      </c>
      <c r="L25" s="94">
        <v>4.1666666666666664E-2</v>
      </c>
      <c r="M25" s="89"/>
      <c r="N25" s="89"/>
      <c r="O25" s="97">
        <v>24</v>
      </c>
      <c r="P25" s="98">
        <f t="shared" si="0"/>
        <v>41810.541666666664</v>
      </c>
      <c r="Q25" s="99">
        <v>41810.541666666664</v>
      </c>
      <c r="R25" s="100">
        <f t="shared" si="1"/>
        <v>41810.708333333328</v>
      </c>
      <c r="AG25" s="82" t="s">
        <v>62</v>
      </c>
      <c r="AH25" s="82" t="s">
        <v>62</v>
      </c>
      <c r="AI25" s="82" t="s">
        <v>3858</v>
      </c>
    </row>
    <row r="26" spans="1:35" ht="15" customHeight="1">
      <c r="A26" s="202"/>
      <c r="B26" s="102"/>
      <c r="C26" s="103" t="str">
        <f>'Dummy Table'!B35</f>
        <v>Honduras</v>
      </c>
      <c r="D26" s="103"/>
      <c r="E26" s="103"/>
      <c r="I26" s="89">
        <v>25</v>
      </c>
      <c r="J26" s="93" t="s">
        <v>329</v>
      </c>
      <c r="K26" s="93">
        <v>0</v>
      </c>
      <c r="L26" s="94">
        <v>0</v>
      </c>
      <c r="M26" s="89"/>
      <c r="N26" s="89"/>
      <c r="O26" s="97">
        <v>25</v>
      </c>
      <c r="P26" s="98">
        <f t="shared" si="0"/>
        <v>41810.666666666664</v>
      </c>
      <c r="Q26" s="99">
        <v>41810.666666666664</v>
      </c>
      <c r="R26" s="100">
        <f t="shared" si="1"/>
        <v>41810.833333333328</v>
      </c>
      <c r="AG26" s="82" t="s">
        <v>3864</v>
      </c>
      <c r="AH26" s="82" t="s">
        <v>3864</v>
      </c>
      <c r="AI26" s="82" t="s">
        <v>3859</v>
      </c>
    </row>
    <row r="27" spans="1:35" ht="15" customHeight="1">
      <c r="A27" s="202"/>
      <c r="B27" s="102"/>
      <c r="C27" s="103" t="str">
        <f>'Dummy Table'!B39</f>
        <v>Argentina</v>
      </c>
      <c r="D27" s="104"/>
      <c r="E27" s="103"/>
      <c r="I27" s="89">
        <v>26</v>
      </c>
      <c r="J27" s="93" t="s">
        <v>330</v>
      </c>
      <c r="K27" s="93">
        <v>13</v>
      </c>
      <c r="L27" s="94">
        <v>0.54166666666666663</v>
      </c>
      <c r="M27" s="89"/>
      <c r="N27" s="89"/>
      <c r="O27" s="97">
        <v>26</v>
      </c>
      <c r="P27" s="98">
        <f t="shared" si="0"/>
        <v>41810.791666666664</v>
      </c>
      <c r="Q27" s="99">
        <v>41810.791666666664</v>
      </c>
      <c r="R27" s="100">
        <f t="shared" si="1"/>
        <v>41810.958333333328</v>
      </c>
      <c r="AG27" s="82" t="s">
        <v>3848</v>
      </c>
      <c r="AH27" s="82" t="s">
        <v>3848</v>
      </c>
      <c r="AI27" s="82" t="s">
        <v>3960</v>
      </c>
    </row>
    <row r="28" spans="1:35" ht="15" customHeight="1">
      <c r="A28" s="202"/>
      <c r="B28" s="102"/>
      <c r="C28" s="103" t="str">
        <f>'Dummy Table'!B40</f>
        <v>Bosnia-Herzegovina</v>
      </c>
      <c r="D28" s="104"/>
      <c r="E28" s="103"/>
      <c r="I28" s="89">
        <v>27</v>
      </c>
      <c r="J28" s="93" t="s">
        <v>331</v>
      </c>
      <c r="K28" s="93">
        <v>5</v>
      </c>
      <c r="L28" s="94">
        <v>0.20833333333333334</v>
      </c>
      <c r="M28" s="89"/>
      <c r="N28" s="89"/>
      <c r="O28" s="97">
        <v>27</v>
      </c>
      <c r="P28" s="98">
        <f t="shared" si="0"/>
        <v>41811.541666666664</v>
      </c>
      <c r="Q28" s="99">
        <v>41811.541666666664</v>
      </c>
      <c r="R28" s="100">
        <f t="shared" si="1"/>
        <v>41811.708333333328</v>
      </c>
      <c r="AG28" s="82" t="s">
        <v>4109</v>
      </c>
      <c r="AH28" s="82" t="s">
        <v>4109</v>
      </c>
      <c r="AI28" s="82" t="s">
        <v>3860</v>
      </c>
    </row>
    <row r="29" spans="1:35" ht="15" customHeight="1">
      <c r="A29" s="202"/>
      <c r="B29" s="102"/>
      <c r="C29" s="103" t="str">
        <f>'Dummy Table'!B41</f>
        <v>Iran</v>
      </c>
      <c r="D29" s="103"/>
      <c r="E29" s="103"/>
      <c r="I29" s="89">
        <v>28</v>
      </c>
      <c r="J29" s="93" t="s">
        <v>332</v>
      </c>
      <c r="K29" s="93">
        <v>6</v>
      </c>
      <c r="L29" s="94">
        <v>0.25</v>
      </c>
      <c r="M29" s="89"/>
      <c r="N29" s="89"/>
      <c r="O29" s="97">
        <v>28</v>
      </c>
      <c r="P29" s="98">
        <f t="shared" si="0"/>
        <v>41811.791666666664</v>
      </c>
      <c r="Q29" s="99">
        <v>41811.791666666664</v>
      </c>
      <c r="R29" s="100">
        <f t="shared" si="1"/>
        <v>41811.958333333328</v>
      </c>
      <c r="AG29" s="82" t="s">
        <v>4144</v>
      </c>
      <c r="AH29" s="82" t="s">
        <v>4144</v>
      </c>
      <c r="AI29" s="82" t="s">
        <v>3861</v>
      </c>
    </row>
    <row r="30" spans="1:35" ht="15" customHeight="1">
      <c r="A30" s="202"/>
      <c r="B30" s="102"/>
      <c r="C30" s="103" t="str">
        <f>'Dummy Table'!B42</f>
        <v>Nigeria</v>
      </c>
      <c r="D30" s="103"/>
      <c r="E30" s="103"/>
      <c r="I30" s="89">
        <v>29</v>
      </c>
      <c r="J30" s="93" t="s">
        <v>333</v>
      </c>
      <c r="K30" s="93">
        <v>5</v>
      </c>
      <c r="L30" s="94">
        <v>0.20833333333333334</v>
      </c>
      <c r="M30" s="89"/>
      <c r="N30" s="89"/>
      <c r="O30" s="97">
        <v>29</v>
      </c>
      <c r="P30" s="98">
        <f t="shared" si="0"/>
        <v>41811.666666666664</v>
      </c>
      <c r="Q30" s="99">
        <v>41811.666666666664</v>
      </c>
      <c r="R30" s="100">
        <f t="shared" si="1"/>
        <v>41811.833333333328</v>
      </c>
      <c r="AG30" s="82" t="s">
        <v>3849</v>
      </c>
      <c r="AH30" s="82" t="s">
        <v>3849</v>
      </c>
      <c r="AI30" s="82" t="s">
        <v>3862</v>
      </c>
    </row>
    <row r="31" spans="1:35" ht="15" customHeight="1">
      <c r="A31" s="202"/>
      <c r="B31" s="102"/>
      <c r="C31" s="103" t="str">
        <f>'Dummy Table'!B48</f>
        <v>Ghana</v>
      </c>
      <c r="D31" s="104"/>
      <c r="E31" s="103"/>
      <c r="I31" s="89">
        <v>30</v>
      </c>
      <c r="J31" s="93" t="s">
        <v>334</v>
      </c>
      <c r="K31" s="93">
        <v>0</v>
      </c>
      <c r="L31" s="94">
        <v>0</v>
      </c>
      <c r="M31" s="89"/>
      <c r="N31" s="89"/>
      <c r="O31" s="97">
        <v>30</v>
      </c>
      <c r="P31" s="98">
        <f t="shared" si="0"/>
        <v>41812.791666666664</v>
      </c>
      <c r="Q31" s="99">
        <v>41812.791666666664</v>
      </c>
      <c r="R31" s="100">
        <f t="shared" si="1"/>
        <v>41812.958333333328</v>
      </c>
      <c r="AG31" s="82" t="s">
        <v>3958</v>
      </c>
      <c r="AH31" s="82" t="s">
        <v>3958</v>
      </c>
      <c r="AI31" s="82" t="s">
        <v>3863</v>
      </c>
    </row>
    <row r="32" spans="1:35" ht="15" customHeight="1">
      <c r="A32" s="202"/>
      <c r="B32" s="102"/>
      <c r="C32" s="103" t="str">
        <f>'Dummy Table'!B49</f>
        <v>USA</v>
      </c>
      <c r="D32" s="103"/>
      <c r="E32" s="103"/>
      <c r="I32" s="89">
        <v>31</v>
      </c>
      <c r="J32" s="93" t="s">
        <v>335</v>
      </c>
      <c r="K32" s="93">
        <v>5</v>
      </c>
      <c r="L32" s="94">
        <v>0.20833333333333334</v>
      </c>
      <c r="M32" s="89"/>
      <c r="N32" s="89"/>
      <c r="O32" s="97">
        <v>31</v>
      </c>
      <c r="P32" s="98">
        <f t="shared" si="0"/>
        <v>41812.541666666664</v>
      </c>
      <c r="Q32" s="99">
        <v>41812.541666666664</v>
      </c>
      <c r="R32" s="100">
        <f t="shared" si="1"/>
        <v>41812.708333333328</v>
      </c>
      <c r="AG32" s="82" t="s">
        <v>60</v>
      </c>
      <c r="AH32" s="82" t="s">
        <v>60</v>
      </c>
      <c r="AI32" s="82" t="s">
        <v>3961</v>
      </c>
    </row>
    <row r="33" spans="1:35" ht="15" customHeight="1">
      <c r="A33" s="202"/>
      <c r="B33" s="102"/>
      <c r="C33" s="103" t="str">
        <f>'Dummy Table'!B46</f>
        <v>Germany</v>
      </c>
      <c r="D33" s="104"/>
      <c r="E33" s="103"/>
      <c r="I33" s="89">
        <v>32</v>
      </c>
      <c r="J33" s="93" t="s">
        <v>336</v>
      </c>
      <c r="K33" s="93">
        <v>13</v>
      </c>
      <c r="L33" s="94">
        <v>0.54166666666666663</v>
      </c>
      <c r="M33" s="89"/>
      <c r="N33" s="89"/>
      <c r="O33" s="97">
        <v>32</v>
      </c>
      <c r="P33" s="98">
        <f t="shared" si="0"/>
        <v>41812.666666666664</v>
      </c>
      <c r="Q33" s="106">
        <v>41812.666666666664</v>
      </c>
      <c r="R33" s="100">
        <f t="shared" si="1"/>
        <v>41812.833333333328</v>
      </c>
      <c r="AG33" s="82" t="s">
        <v>3856</v>
      </c>
      <c r="AH33" s="82" t="s">
        <v>3856</v>
      </c>
      <c r="AI33" s="82" t="s">
        <v>2834</v>
      </c>
    </row>
    <row r="34" spans="1:35" ht="15" customHeight="1">
      <c r="A34" s="202"/>
      <c r="B34" s="102"/>
      <c r="C34" s="103" t="str">
        <f>'Dummy Table'!B47</f>
        <v>Portugal</v>
      </c>
      <c r="D34" s="103"/>
      <c r="E34" s="103"/>
      <c r="I34" s="89">
        <v>33</v>
      </c>
      <c r="J34" s="93" t="s">
        <v>337</v>
      </c>
      <c r="K34" s="93">
        <v>5</v>
      </c>
      <c r="L34" s="94">
        <v>0.20833333333333334</v>
      </c>
      <c r="M34" s="89"/>
      <c r="N34" s="89"/>
      <c r="O34" s="97">
        <v>33</v>
      </c>
      <c r="P34" s="98">
        <f t="shared" ref="P34:P65" si="2">Q34</f>
        <v>41813.708333333336</v>
      </c>
      <c r="Q34" s="106">
        <v>41813.708333333336</v>
      </c>
      <c r="R34" s="100">
        <f t="shared" ref="R34:R65" si="3">IF(M$2&gt;0,Q34+N$2,Q34-N$2)</f>
        <v>41813.875</v>
      </c>
      <c r="AG34" s="82" t="s">
        <v>3851</v>
      </c>
      <c r="AH34" s="82" t="s">
        <v>3851</v>
      </c>
      <c r="AI34" s="82" t="s">
        <v>60</v>
      </c>
    </row>
    <row r="35" spans="1:35" ht="15" customHeight="1">
      <c r="A35" s="202"/>
      <c r="B35" s="102"/>
      <c r="C35" s="103" t="str">
        <f>'Dummy Table'!B55</f>
        <v>Russia</v>
      </c>
      <c r="D35" s="103"/>
      <c r="E35" s="103"/>
      <c r="I35" s="89">
        <v>34</v>
      </c>
      <c r="J35" s="93" t="s">
        <v>338</v>
      </c>
      <c r="K35" s="93">
        <v>-1.5</v>
      </c>
      <c r="L35" s="94">
        <v>6.25E-2</v>
      </c>
      <c r="M35" s="89"/>
      <c r="N35" s="89"/>
      <c r="O35" s="97">
        <v>34</v>
      </c>
      <c r="P35" s="98">
        <f t="shared" si="2"/>
        <v>41813.708333333336</v>
      </c>
      <c r="Q35" s="106">
        <v>41813.708333333336</v>
      </c>
      <c r="R35" s="100">
        <f t="shared" si="3"/>
        <v>41813.875</v>
      </c>
      <c r="AG35" s="82" t="s">
        <v>4161</v>
      </c>
      <c r="AH35" s="82" t="s">
        <v>4161</v>
      </c>
      <c r="AI35" s="82" t="s">
        <v>3962</v>
      </c>
    </row>
    <row r="36" spans="1:35" ht="15" customHeight="1">
      <c r="A36" s="202"/>
      <c r="B36" s="102"/>
      <c r="C36" s="103" t="str">
        <f>'Dummy Table'!B56</f>
        <v>South Korea</v>
      </c>
      <c r="D36" s="104"/>
      <c r="E36" s="103"/>
      <c r="I36" s="89">
        <v>35</v>
      </c>
      <c r="J36" s="93" t="s">
        <v>339</v>
      </c>
      <c r="K36" s="93">
        <v>3</v>
      </c>
      <c r="L36" s="94">
        <v>0.125</v>
      </c>
      <c r="M36" s="89"/>
      <c r="N36" s="89"/>
      <c r="O36" s="97">
        <v>35</v>
      </c>
      <c r="P36" s="98">
        <f t="shared" si="2"/>
        <v>41813.541666666664</v>
      </c>
      <c r="Q36" s="106">
        <v>41813.541666666664</v>
      </c>
      <c r="R36" s="100">
        <f t="shared" si="3"/>
        <v>41813.708333333328</v>
      </c>
      <c r="AG36" s="82" t="s">
        <v>3852</v>
      </c>
      <c r="AH36" s="82" t="s">
        <v>3852</v>
      </c>
      <c r="AI36" s="82" t="s">
        <v>59</v>
      </c>
    </row>
    <row r="37" spans="1:35" ht="15" customHeight="1">
      <c r="A37" s="202"/>
      <c r="B37" s="102"/>
      <c r="C37" s="103" t="str">
        <f>'Dummy Table'!B53</f>
        <v>Belgium</v>
      </c>
      <c r="D37" s="103"/>
      <c r="E37" s="103"/>
      <c r="I37" s="89">
        <v>36</v>
      </c>
      <c r="J37" s="93" t="s">
        <v>340</v>
      </c>
      <c r="K37" s="93">
        <v>-2</v>
      </c>
      <c r="L37" s="94">
        <v>8.3333333333333329E-2</v>
      </c>
      <c r="M37" s="89"/>
      <c r="N37" s="89"/>
      <c r="O37" s="97">
        <v>36</v>
      </c>
      <c r="P37" s="98">
        <f t="shared" si="2"/>
        <v>41813.541666666664</v>
      </c>
      <c r="Q37" s="106">
        <v>41813.541666666664</v>
      </c>
      <c r="R37" s="100">
        <f t="shared" si="3"/>
        <v>41813.708333333328</v>
      </c>
      <c r="AG37" s="82" t="s">
        <v>4190</v>
      </c>
      <c r="AH37" s="82" t="s">
        <v>4190</v>
      </c>
      <c r="AI37" s="82" t="s">
        <v>3864</v>
      </c>
    </row>
    <row r="38" spans="1:35" ht="15" customHeight="1">
      <c r="A38" s="202"/>
      <c r="B38" s="102"/>
      <c r="C38" s="103" t="str">
        <f>'Dummy Table'!B54</f>
        <v>Algeria</v>
      </c>
      <c r="D38" s="103"/>
      <c r="E38" s="103"/>
      <c r="I38" s="89">
        <v>37</v>
      </c>
      <c r="J38" s="93" t="s">
        <v>341</v>
      </c>
      <c r="K38" s="93">
        <v>5</v>
      </c>
      <c r="L38" s="94">
        <v>0.20833333333333334</v>
      </c>
      <c r="M38" s="89"/>
      <c r="N38" s="89"/>
      <c r="O38" s="97">
        <v>37</v>
      </c>
      <c r="P38" s="98">
        <f t="shared" si="2"/>
        <v>41814.708333333336</v>
      </c>
      <c r="Q38" s="106">
        <v>41814.708333333336</v>
      </c>
      <c r="R38" s="100">
        <f t="shared" si="3"/>
        <v>41814.875</v>
      </c>
      <c r="AG38" s="82" t="s">
        <v>3957</v>
      </c>
      <c r="AH38" s="82" t="s">
        <v>3957</v>
      </c>
      <c r="AI38" s="82" t="s">
        <v>3865</v>
      </c>
    </row>
    <row r="39" spans="1:35" ht="15" customHeight="1">
      <c r="I39" s="89">
        <v>38</v>
      </c>
      <c r="J39" s="93" t="s">
        <v>342</v>
      </c>
      <c r="K39" s="93">
        <v>12.5</v>
      </c>
      <c r="L39" s="94">
        <v>0.52083333333333337</v>
      </c>
      <c r="M39" s="89"/>
      <c r="N39" s="89"/>
      <c r="O39" s="97">
        <v>38</v>
      </c>
      <c r="P39" s="98">
        <f t="shared" si="2"/>
        <v>41814.708333333336</v>
      </c>
      <c r="Q39" s="106">
        <v>41814.708333333336</v>
      </c>
      <c r="R39" s="100">
        <f t="shared" si="3"/>
        <v>41814.875</v>
      </c>
    </row>
    <row r="40" spans="1:35" ht="15" customHeight="1">
      <c r="I40" s="89">
        <v>39</v>
      </c>
      <c r="J40" s="93" t="s">
        <v>343</v>
      </c>
      <c r="K40" s="93">
        <v>-3</v>
      </c>
      <c r="L40" s="94">
        <v>0.125</v>
      </c>
      <c r="M40" s="89"/>
      <c r="N40" s="89"/>
      <c r="O40" s="97">
        <v>39</v>
      </c>
      <c r="P40" s="98">
        <f t="shared" si="2"/>
        <v>41814.541666666664</v>
      </c>
      <c r="Q40" s="106">
        <v>41814.541666666664</v>
      </c>
      <c r="R40" s="100">
        <f t="shared" si="3"/>
        <v>41814.708333333328</v>
      </c>
    </row>
    <row r="41" spans="1:35" ht="15" customHeight="1">
      <c r="I41" s="89">
        <v>40</v>
      </c>
      <c r="J41" s="93" t="s">
        <v>344</v>
      </c>
      <c r="K41" s="93">
        <v>-1</v>
      </c>
      <c r="L41" s="94">
        <v>4.1666666666666664E-2</v>
      </c>
      <c r="M41" s="89"/>
      <c r="N41" s="89"/>
      <c r="O41" s="97">
        <v>40</v>
      </c>
      <c r="P41" s="98">
        <f t="shared" si="2"/>
        <v>41814.541666666664</v>
      </c>
      <c r="Q41" s="106">
        <v>41814.541666666664</v>
      </c>
      <c r="R41" s="100">
        <f t="shared" si="3"/>
        <v>41814.708333333328</v>
      </c>
    </row>
    <row r="42" spans="1:35" ht="15" customHeight="1">
      <c r="I42" s="89">
        <v>41</v>
      </c>
      <c r="J42" s="93" t="s">
        <v>345</v>
      </c>
      <c r="K42" s="93">
        <v>9</v>
      </c>
      <c r="L42" s="94">
        <v>0.375</v>
      </c>
      <c r="M42" s="89"/>
      <c r="N42" s="89"/>
      <c r="O42" s="97">
        <v>41</v>
      </c>
      <c r="P42" s="98">
        <f t="shared" si="2"/>
        <v>41815.708333333336</v>
      </c>
      <c r="Q42" s="106">
        <v>41815.708333333336</v>
      </c>
      <c r="R42" s="100">
        <f t="shared" si="3"/>
        <v>41815.875</v>
      </c>
    </row>
    <row r="43" spans="1:35" ht="15" customHeight="1">
      <c r="I43" s="89">
        <v>42</v>
      </c>
      <c r="J43" s="93" t="s">
        <v>346</v>
      </c>
      <c r="K43" s="93">
        <v>7</v>
      </c>
      <c r="L43" s="94">
        <v>0.29166666666666669</v>
      </c>
      <c r="M43" s="89"/>
      <c r="N43" s="89"/>
      <c r="O43" s="97">
        <v>42</v>
      </c>
      <c r="P43" s="98">
        <f t="shared" si="2"/>
        <v>41815.708333333336</v>
      </c>
      <c r="Q43" s="106">
        <v>41815.708333333336</v>
      </c>
      <c r="R43" s="100">
        <f t="shared" si="3"/>
        <v>41815.875</v>
      </c>
    </row>
    <row r="44" spans="1:35" ht="15" customHeight="1">
      <c r="I44" s="89">
        <v>43</v>
      </c>
      <c r="J44" s="93" t="s">
        <v>347</v>
      </c>
      <c r="K44" s="93">
        <v>4</v>
      </c>
      <c r="L44" s="94">
        <v>0.16666666666666666</v>
      </c>
      <c r="M44" s="89"/>
      <c r="N44" s="89"/>
      <c r="O44" s="97">
        <v>43</v>
      </c>
      <c r="P44" s="98">
        <f t="shared" si="2"/>
        <v>41815.541666666664</v>
      </c>
      <c r="Q44" s="106">
        <v>41815.541666666664</v>
      </c>
      <c r="R44" s="100">
        <f t="shared" si="3"/>
        <v>41815.708333333328</v>
      </c>
    </row>
    <row r="45" spans="1:35" ht="15" customHeight="1">
      <c r="I45" s="89">
        <v>44</v>
      </c>
      <c r="J45" s="93" t="s">
        <v>348</v>
      </c>
      <c r="K45" s="93">
        <v>-3</v>
      </c>
      <c r="L45" s="94">
        <v>0.125</v>
      </c>
      <c r="M45" s="89"/>
      <c r="N45" s="89"/>
      <c r="O45" s="97">
        <v>44</v>
      </c>
      <c r="P45" s="98">
        <f t="shared" si="2"/>
        <v>41815.541666666664</v>
      </c>
      <c r="Q45" s="106">
        <v>41815.541666666664</v>
      </c>
      <c r="R45" s="100">
        <f t="shared" si="3"/>
        <v>41815.708333333328</v>
      </c>
    </row>
    <row r="46" spans="1:35" ht="15" customHeight="1">
      <c r="I46" s="89">
        <v>45</v>
      </c>
      <c r="J46" s="93" t="s">
        <v>349</v>
      </c>
      <c r="K46" s="93">
        <v>5</v>
      </c>
      <c r="L46" s="94">
        <v>0.20833333333333334</v>
      </c>
      <c r="M46" s="89"/>
      <c r="N46" s="89"/>
      <c r="O46" s="97">
        <v>45</v>
      </c>
      <c r="P46" s="98">
        <f t="shared" si="2"/>
        <v>41816.541666666664</v>
      </c>
      <c r="Q46" s="106">
        <v>41816.541666666664</v>
      </c>
      <c r="R46" s="100">
        <f t="shared" si="3"/>
        <v>41816.708333333328</v>
      </c>
    </row>
    <row r="47" spans="1:35" ht="15" customHeight="1">
      <c r="I47" s="89">
        <v>46</v>
      </c>
      <c r="J47" s="93" t="s">
        <v>350</v>
      </c>
      <c r="K47" s="93">
        <v>5</v>
      </c>
      <c r="L47" s="94">
        <v>0.20833333333333334</v>
      </c>
      <c r="M47" s="89"/>
      <c r="N47" s="89"/>
      <c r="O47" s="97">
        <v>46</v>
      </c>
      <c r="P47" s="98">
        <f t="shared" si="2"/>
        <v>41816.541666666664</v>
      </c>
      <c r="Q47" s="106">
        <v>41816.541666666664</v>
      </c>
      <c r="R47" s="100">
        <f t="shared" si="3"/>
        <v>41816.708333333328</v>
      </c>
    </row>
    <row r="48" spans="1:35" ht="15" customHeight="1">
      <c r="I48" s="89">
        <v>47</v>
      </c>
      <c r="J48" s="93" t="s">
        <v>351</v>
      </c>
      <c r="K48" s="93">
        <v>-3</v>
      </c>
      <c r="L48" s="94">
        <v>0.125</v>
      </c>
      <c r="M48" s="89"/>
      <c r="N48" s="89"/>
      <c r="O48" s="97">
        <v>47</v>
      </c>
      <c r="P48" s="98">
        <f t="shared" si="2"/>
        <v>41816.708333333336</v>
      </c>
      <c r="Q48" s="106">
        <v>41816.708333333336</v>
      </c>
      <c r="R48" s="100">
        <f t="shared" si="3"/>
        <v>41816.875</v>
      </c>
    </row>
    <row r="49" spans="9:29" ht="15" customHeight="1">
      <c r="I49" s="89">
        <v>48</v>
      </c>
      <c r="J49" s="93" t="s">
        <v>352</v>
      </c>
      <c r="K49" s="93">
        <v>0</v>
      </c>
      <c r="L49" s="94">
        <v>0</v>
      </c>
      <c r="M49" s="89"/>
      <c r="N49" s="89"/>
      <c r="O49" s="97">
        <v>48</v>
      </c>
      <c r="P49" s="98">
        <f t="shared" si="2"/>
        <v>41816.708333333336</v>
      </c>
      <c r="Q49" s="106">
        <v>41816.708333333336</v>
      </c>
      <c r="R49" s="100">
        <f t="shared" si="3"/>
        <v>41816.875</v>
      </c>
    </row>
    <row r="50" spans="9:29" ht="15" customHeight="1">
      <c r="I50" s="89">
        <v>49</v>
      </c>
      <c r="J50" s="93" t="s">
        <v>353</v>
      </c>
      <c r="K50" s="93">
        <v>10</v>
      </c>
      <c r="L50" s="94">
        <v>0.41666666666666669</v>
      </c>
      <c r="M50" s="89"/>
      <c r="N50" s="89"/>
      <c r="O50" s="97">
        <v>49</v>
      </c>
      <c r="P50" s="98">
        <f t="shared" si="2"/>
        <v>41818.541666666664</v>
      </c>
      <c r="Q50" s="106">
        <v>41818.541666666664</v>
      </c>
      <c r="R50" s="100">
        <f t="shared" si="3"/>
        <v>41818.708333333328</v>
      </c>
    </row>
    <row r="51" spans="9:29" ht="15" customHeight="1">
      <c r="I51" s="89">
        <v>50</v>
      </c>
      <c r="J51" s="93" t="s">
        <v>354</v>
      </c>
      <c r="K51" s="93">
        <v>5</v>
      </c>
      <c r="L51" s="94">
        <v>0.20833333333333334</v>
      </c>
      <c r="M51" s="89"/>
      <c r="N51" s="89"/>
      <c r="O51" s="97">
        <v>50</v>
      </c>
      <c r="P51" s="98">
        <f t="shared" si="2"/>
        <v>41818.708333333336</v>
      </c>
      <c r="Q51" s="106">
        <v>41818.708333333336</v>
      </c>
      <c r="R51" s="100">
        <f t="shared" si="3"/>
        <v>41818.875</v>
      </c>
    </row>
    <row r="52" spans="9:29" ht="15" customHeight="1">
      <c r="I52" s="89">
        <v>51</v>
      </c>
      <c r="J52" s="93" t="s">
        <v>355</v>
      </c>
      <c r="K52" s="93">
        <v>-1</v>
      </c>
      <c r="L52" s="94">
        <v>4.1666666666666664E-2</v>
      </c>
      <c r="M52" s="89"/>
      <c r="N52" s="89"/>
      <c r="O52" s="97">
        <v>51</v>
      </c>
      <c r="P52" s="98">
        <f t="shared" si="2"/>
        <v>41819.541666666664</v>
      </c>
      <c r="Q52" s="106">
        <v>41819.541666666664</v>
      </c>
      <c r="R52" s="100">
        <f t="shared" si="3"/>
        <v>41819.708333333328</v>
      </c>
    </row>
    <row r="53" spans="9:29" ht="15" customHeight="1">
      <c r="I53" s="89">
        <v>52</v>
      </c>
      <c r="J53" s="93" t="s">
        <v>356</v>
      </c>
      <c r="K53" s="93">
        <v>6</v>
      </c>
      <c r="L53" s="94">
        <v>0.25</v>
      </c>
      <c r="M53" s="89"/>
      <c r="N53" s="89"/>
      <c r="O53" s="97">
        <v>52</v>
      </c>
      <c r="P53" s="98">
        <f t="shared" si="2"/>
        <v>41819.708333333336</v>
      </c>
      <c r="Q53" s="106">
        <v>41819.708333333336</v>
      </c>
      <c r="R53" s="100">
        <f t="shared" si="3"/>
        <v>41819.875</v>
      </c>
      <c r="T53" s="107"/>
      <c r="U53" s="107"/>
      <c r="V53" s="107"/>
      <c r="W53" s="107"/>
      <c r="X53" s="107"/>
      <c r="Y53" s="107"/>
      <c r="Z53" s="107"/>
      <c r="AA53" s="107"/>
      <c r="AB53" s="107"/>
      <c r="AC53" s="107"/>
    </row>
    <row r="54" spans="9:29" ht="15" customHeight="1">
      <c r="I54" s="89">
        <v>53</v>
      </c>
      <c r="J54" s="93" t="s">
        <v>357</v>
      </c>
      <c r="K54" s="93">
        <v>11</v>
      </c>
      <c r="L54" s="94">
        <v>0.45833333333333331</v>
      </c>
      <c r="M54" s="89"/>
      <c r="N54" s="89"/>
      <c r="O54" s="97">
        <v>53</v>
      </c>
      <c r="P54" s="98">
        <f t="shared" si="2"/>
        <v>41820.541666666664</v>
      </c>
      <c r="Q54" s="106">
        <v>41820.541666666664</v>
      </c>
      <c r="R54" s="100">
        <f t="shared" si="3"/>
        <v>41820.708333333328</v>
      </c>
    </row>
    <row r="55" spans="9:29" ht="15" customHeight="1">
      <c r="I55" s="89">
        <v>54</v>
      </c>
      <c r="J55" s="93" t="s">
        <v>358</v>
      </c>
      <c r="K55" s="93">
        <v>-7</v>
      </c>
      <c r="L55" s="94">
        <v>0.29166666666666669</v>
      </c>
      <c r="M55" s="89"/>
      <c r="N55" s="89"/>
      <c r="O55" s="97">
        <v>54</v>
      </c>
      <c r="P55" s="98">
        <f t="shared" si="2"/>
        <v>41820.708333333336</v>
      </c>
      <c r="Q55" s="106">
        <v>41820.708333333336</v>
      </c>
      <c r="R55" s="100">
        <f t="shared" si="3"/>
        <v>41820.875</v>
      </c>
    </row>
    <row r="56" spans="9:29" ht="15" customHeight="1">
      <c r="I56" s="89">
        <v>55</v>
      </c>
      <c r="J56" s="93" t="s">
        <v>359</v>
      </c>
      <c r="K56" s="93">
        <v>-2</v>
      </c>
      <c r="L56" s="94">
        <v>8.3333333333333329E-2</v>
      </c>
      <c r="M56" s="89"/>
      <c r="N56" s="89"/>
      <c r="O56" s="97">
        <v>55</v>
      </c>
      <c r="P56" s="98">
        <f t="shared" si="2"/>
        <v>41821.541666666664</v>
      </c>
      <c r="Q56" s="106">
        <v>41821.541666666664</v>
      </c>
      <c r="R56" s="100">
        <f t="shared" si="3"/>
        <v>41821.708333333328</v>
      </c>
    </row>
    <row r="57" spans="9:29" ht="15" customHeight="1">
      <c r="I57" s="89">
        <v>56</v>
      </c>
      <c r="J57" s="93" t="s">
        <v>360</v>
      </c>
      <c r="K57" s="93">
        <v>-1</v>
      </c>
      <c r="L57" s="94">
        <v>4.1666666666666664E-2</v>
      </c>
      <c r="M57" s="89"/>
      <c r="N57" s="89"/>
      <c r="O57" s="97">
        <v>56</v>
      </c>
      <c r="P57" s="98">
        <f t="shared" si="2"/>
        <v>41821.708333333336</v>
      </c>
      <c r="Q57" s="106">
        <v>41821.708333333336</v>
      </c>
      <c r="R57" s="100">
        <f t="shared" si="3"/>
        <v>41821.875</v>
      </c>
    </row>
    <row r="58" spans="9:29" ht="15" customHeight="1">
      <c r="I58" s="89">
        <v>57</v>
      </c>
      <c r="J58" s="93" t="s">
        <v>361</v>
      </c>
      <c r="K58" s="93">
        <v>8</v>
      </c>
      <c r="L58" s="94">
        <v>0.33333333333333331</v>
      </c>
      <c r="M58" s="89"/>
      <c r="N58" s="89"/>
      <c r="O58" s="97">
        <v>57</v>
      </c>
      <c r="P58" s="98">
        <f t="shared" si="2"/>
        <v>41824.708333333336</v>
      </c>
      <c r="Q58" s="106">
        <v>41824.708333333336</v>
      </c>
      <c r="R58" s="100">
        <f t="shared" si="3"/>
        <v>41824.875</v>
      </c>
    </row>
    <row r="59" spans="9:29" ht="15" customHeight="1">
      <c r="I59" s="89">
        <v>58</v>
      </c>
      <c r="J59" s="93" t="s">
        <v>362</v>
      </c>
      <c r="K59" s="93">
        <v>6</v>
      </c>
      <c r="L59" s="94">
        <v>0.25</v>
      </c>
      <c r="M59" s="89"/>
      <c r="N59" s="89"/>
      <c r="O59" s="97">
        <v>58</v>
      </c>
      <c r="P59" s="98">
        <f t="shared" si="2"/>
        <v>41824.541666666664</v>
      </c>
      <c r="Q59" s="106">
        <v>41824.541666666664</v>
      </c>
      <c r="R59" s="100">
        <f t="shared" si="3"/>
        <v>41824.708333333328</v>
      </c>
    </row>
    <row r="60" spans="9:29" ht="15" customHeight="1">
      <c r="I60" s="89">
        <v>59</v>
      </c>
      <c r="J60" s="93" t="s">
        <v>363</v>
      </c>
      <c r="K60" s="93">
        <v>10</v>
      </c>
      <c r="L60" s="94">
        <v>0.41666666666666669</v>
      </c>
      <c r="M60" s="89"/>
      <c r="N60" s="89"/>
      <c r="O60" s="97">
        <v>59</v>
      </c>
      <c r="P60" s="98">
        <f t="shared" si="2"/>
        <v>41825.708333333336</v>
      </c>
      <c r="Q60" s="106">
        <v>41825.708333333336</v>
      </c>
      <c r="R60" s="100">
        <f t="shared" si="3"/>
        <v>41825.875</v>
      </c>
    </row>
    <row r="61" spans="9:29" ht="15" customHeight="1">
      <c r="I61" s="89">
        <v>60</v>
      </c>
      <c r="J61" s="93" t="s">
        <v>364</v>
      </c>
      <c r="K61" s="93">
        <v>6</v>
      </c>
      <c r="L61" s="94">
        <v>0.25</v>
      </c>
      <c r="M61" s="89"/>
      <c r="N61" s="89"/>
      <c r="O61" s="97">
        <v>60</v>
      </c>
      <c r="P61" s="98">
        <f t="shared" si="2"/>
        <v>41825.541666666664</v>
      </c>
      <c r="Q61" s="106">
        <v>41825.541666666664</v>
      </c>
      <c r="R61" s="100">
        <f t="shared" si="3"/>
        <v>41825.708333333328</v>
      </c>
    </row>
    <row r="62" spans="9:29" ht="15" customHeight="1">
      <c r="I62" s="89">
        <v>61</v>
      </c>
      <c r="J62" s="93" t="s">
        <v>365</v>
      </c>
      <c r="K62" s="93">
        <v>5</v>
      </c>
      <c r="L62" s="94">
        <v>0.20833333333333334</v>
      </c>
      <c r="M62" s="89"/>
      <c r="N62" s="89"/>
      <c r="O62" s="97">
        <v>61</v>
      </c>
      <c r="P62" s="98">
        <f t="shared" si="2"/>
        <v>41828.708333333336</v>
      </c>
      <c r="Q62" s="106">
        <v>41828.708333333336</v>
      </c>
      <c r="R62" s="100">
        <f t="shared" si="3"/>
        <v>41828.875</v>
      </c>
    </row>
    <row r="63" spans="9:29" ht="15" customHeight="1">
      <c r="I63" s="89">
        <v>62</v>
      </c>
      <c r="J63" s="93" t="s">
        <v>366</v>
      </c>
      <c r="K63" s="93">
        <v>7.5</v>
      </c>
      <c r="L63" s="94">
        <v>0.3125</v>
      </c>
      <c r="M63" s="89"/>
      <c r="N63" s="89"/>
      <c r="O63" s="97">
        <v>62</v>
      </c>
      <c r="P63" s="98">
        <f t="shared" si="2"/>
        <v>41829.708333333336</v>
      </c>
      <c r="Q63" s="106">
        <v>41829.708333333336</v>
      </c>
      <c r="R63" s="100">
        <f t="shared" si="3"/>
        <v>41829.875</v>
      </c>
    </row>
    <row r="64" spans="9:29" ht="15" customHeight="1">
      <c r="I64" s="89">
        <v>63</v>
      </c>
      <c r="J64" s="93" t="s">
        <v>367</v>
      </c>
      <c r="K64" s="93">
        <v>16</v>
      </c>
      <c r="L64" s="94">
        <v>0.66666666666666663</v>
      </c>
      <c r="M64" s="89"/>
      <c r="N64" s="89"/>
      <c r="O64" s="97">
        <v>63</v>
      </c>
      <c r="P64" s="98">
        <f t="shared" si="2"/>
        <v>41832.708333333336</v>
      </c>
      <c r="Q64" s="106">
        <v>41832.708333333336</v>
      </c>
      <c r="R64" s="100">
        <f t="shared" si="3"/>
        <v>41832.875</v>
      </c>
    </row>
    <row r="65" spans="9:18" ht="15" customHeight="1">
      <c r="I65" s="89">
        <v>64</v>
      </c>
      <c r="J65" s="93" t="s">
        <v>368</v>
      </c>
      <c r="K65" s="93">
        <v>8</v>
      </c>
      <c r="L65" s="94">
        <v>0.33333333333333331</v>
      </c>
      <c r="M65" s="89"/>
      <c r="N65" s="89"/>
      <c r="O65" s="97">
        <v>64</v>
      </c>
      <c r="P65" s="98">
        <f t="shared" si="2"/>
        <v>41833.666666666664</v>
      </c>
      <c r="Q65" s="106">
        <v>41833.666666666664</v>
      </c>
      <c r="R65" s="100">
        <f t="shared" si="3"/>
        <v>41833.833333333328</v>
      </c>
    </row>
    <row r="66" spans="9:18" ht="15" customHeight="1">
      <c r="I66" s="89">
        <v>65</v>
      </c>
      <c r="J66" s="93" t="s">
        <v>369</v>
      </c>
      <c r="K66" s="93">
        <v>6</v>
      </c>
      <c r="L66" s="94">
        <v>0.25</v>
      </c>
      <c r="M66" s="89"/>
      <c r="N66" s="89"/>
      <c r="O66" s="89"/>
      <c r="P66" s="89"/>
      <c r="Q66" s="91"/>
      <c r="R66" s="89"/>
    </row>
    <row r="67" spans="9:18" ht="15" customHeight="1">
      <c r="I67" s="89">
        <v>66</v>
      </c>
      <c r="J67" s="93" t="s">
        <v>370</v>
      </c>
      <c r="K67" s="93">
        <v>-2</v>
      </c>
      <c r="L67" s="94">
        <v>8.3333333333333329E-2</v>
      </c>
      <c r="M67" s="89"/>
      <c r="N67" s="89"/>
      <c r="O67" s="89"/>
      <c r="P67" s="89"/>
      <c r="Q67" s="91"/>
      <c r="R67" s="89"/>
    </row>
    <row r="68" spans="9:18" ht="15" customHeight="1">
      <c r="I68" s="89">
        <v>67</v>
      </c>
      <c r="J68" s="93" t="s">
        <v>371</v>
      </c>
      <c r="K68" s="105">
        <v>17</v>
      </c>
      <c r="L68" s="94">
        <v>0.70833333333333337</v>
      </c>
      <c r="M68" s="89"/>
      <c r="N68" s="89"/>
      <c r="O68" s="89"/>
      <c r="P68" s="89"/>
      <c r="Q68" s="91"/>
      <c r="R68" s="89"/>
    </row>
    <row r="69" spans="9:18" ht="15" customHeight="1">
      <c r="I69" s="89">
        <v>68</v>
      </c>
      <c r="J69" s="93" t="s">
        <v>372</v>
      </c>
      <c r="K69" s="93">
        <v>8.5</v>
      </c>
      <c r="L69" s="94">
        <v>0.36805555555555558</v>
      </c>
      <c r="M69" s="89"/>
      <c r="N69" s="89"/>
      <c r="O69" s="89"/>
      <c r="P69" s="89"/>
      <c r="Q69" s="91"/>
      <c r="R69" s="89"/>
    </row>
    <row r="70" spans="9:18" ht="15" customHeight="1">
      <c r="I70" s="89">
        <v>69</v>
      </c>
      <c r="J70" s="93" t="s">
        <v>373</v>
      </c>
      <c r="K70" s="93">
        <v>11</v>
      </c>
      <c r="L70" s="94">
        <v>0.45833333333333331</v>
      </c>
      <c r="M70" s="89"/>
      <c r="N70" s="89"/>
      <c r="O70" s="89"/>
      <c r="P70" s="89"/>
      <c r="Q70" s="91"/>
      <c r="R70" s="89"/>
    </row>
    <row r="71" spans="9:18" ht="15" customHeight="1">
      <c r="I71" s="89">
        <v>70</v>
      </c>
      <c r="J71" s="93" t="s">
        <v>374</v>
      </c>
      <c r="K71" s="93">
        <v>6</v>
      </c>
      <c r="L71" s="94">
        <v>0.25</v>
      </c>
      <c r="M71" s="89"/>
      <c r="N71" s="89"/>
      <c r="O71" s="89"/>
      <c r="P71" s="89"/>
      <c r="Q71" s="91"/>
      <c r="R71" s="89"/>
    </row>
    <row r="72" spans="9:18" ht="15" customHeight="1">
      <c r="I72" s="89">
        <v>71</v>
      </c>
      <c r="J72" s="93" t="s">
        <v>375</v>
      </c>
      <c r="K72" s="93">
        <v>6</v>
      </c>
      <c r="L72" s="94">
        <v>0.25</v>
      </c>
      <c r="M72" s="89"/>
      <c r="N72" s="89"/>
      <c r="O72" s="89"/>
      <c r="P72" s="89"/>
      <c r="Q72" s="91"/>
      <c r="R72" s="89"/>
    </row>
    <row r="73" spans="9:18" ht="15" customHeight="1">
      <c r="I73" s="89">
        <v>72</v>
      </c>
      <c r="J73" s="93" t="s">
        <v>376</v>
      </c>
      <c r="K73" s="93">
        <v>-1</v>
      </c>
      <c r="L73" s="94">
        <v>4.1666666666666664E-2</v>
      </c>
      <c r="M73" s="89"/>
      <c r="N73" s="89"/>
      <c r="O73" s="89"/>
      <c r="P73" s="89"/>
      <c r="Q73" s="91"/>
      <c r="R73" s="89"/>
    </row>
    <row r="74" spans="9:18" ht="15" customHeight="1">
      <c r="I74" s="89">
        <v>73</v>
      </c>
      <c r="J74" s="93" t="s">
        <v>377</v>
      </c>
      <c r="K74" s="93">
        <v>4</v>
      </c>
      <c r="L74" s="94">
        <v>0.16666666666666666</v>
      </c>
      <c r="M74" s="89"/>
      <c r="N74" s="89"/>
      <c r="O74" s="89"/>
      <c r="P74" s="89"/>
      <c r="Q74" s="91"/>
      <c r="R74" s="89"/>
    </row>
    <row r="75" spans="9:18" ht="15" customHeight="1">
      <c r="I75" s="89">
        <v>74</v>
      </c>
      <c r="J75" s="93" t="s">
        <v>378</v>
      </c>
      <c r="K75" s="93">
        <v>8</v>
      </c>
      <c r="L75" s="94">
        <v>0.33333333333333331</v>
      </c>
      <c r="M75" s="89"/>
      <c r="N75" s="89"/>
      <c r="O75" s="89"/>
      <c r="P75" s="89"/>
      <c r="Q75" s="91"/>
      <c r="R75" s="89"/>
    </row>
    <row r="76" spans="9:18" ht="15" customHeight="1">
      <c r="I76" s="89">
        <v>75</v>
      </c>
      <c r="J76" s="93" t="s">
        <v>379</v>
      </c>
      <c r="K76" s="93">
        <v>-2</v>
      </c>
      <c r="L76" s="94">
        <v>8.3333333333333329E-2</v>
      </c>
      <c r="M76" s="89"/>
      <c r="N76" s="89"/>
      <c r="O76" s="89"/>
      <c r="P76" s="89"/>
      <c r="Q76" s="91"/>
      <c r="R76" s="89"/>
    </row>
    <row r="77" spans="9:18" ht="15" customHeight="1">
      <c r="I77" s="89">
        <v>76</v>
      </c>
      <c r="J77" s="93" t="s">
        <v>380</v>
      </c>
      <c r="K77" s="93">
        <v>4</v>
      </c>
      <c r="L77" s="94">
        <v>0.16666666666666666</v>
      </c>
      <c r="M77" s="89"/>
      <c r="N77" s="89"/>
      <c r="O77" s="89"/>
      <c r="P77" s="89"/>
      <c r="Q77" s="91"/>
      <c r="R77" s="89"/>
    </row>
    <row r="78" spans="9:18" ht="15" customHeight="1">
      <c r="I78" s="89">
        <v>77</v>
      </c>
      <c r="J78" s="93" t="s">
        <v>381</v>
      </c>
      <c r="K78" s="93">
        <v>4</v>
      </c>
      <c r="L78" s="94">
        <v>0.16666666666666666</v>
      </c>
      <c r="M78" s="89"/>
      <c r="N78" s="89"/>
      <c r="O78" s="89"/>
      <c r="P78" s="89"/>
      <c r="Q78" s="91"/>
      <c r="R78" s="89"/>
    </row>
    <row r="79" spans="9:18" ht="15" customHeight="1">
      <c r="I79" s="89">
        <v>78</v>
      </c>
      <c r="J79" s="93" t="s">
        <v>382</v>
      </c>
      <c r="K79" s="93">
        <v>-4</v>
      </c>
      <c r="L79" s="94">
        <v>0.16666666666666666</v>
      </c>
      <c r="M79" s="89"/>
      <c r="N79" s="89"/>
      <c r="O79" s="89"/>
      <c r="P79" s="89"/>
      <c r="Q79" s="106"/>
      <c r="R79" s="89"/>
    </row>
    <row r="80" spans="9:18" ht="15" customHeight="1">
      <c r="I80" s="89">
        <v>79</v>
      </c>
      <c r="J80" s="93" t="s">
        <v>383</v>
      </c>
      <c r="K80" s="93">
        <v>5</v>
      </c>
      <c r="L80" s="94">
        <v>0.20833333333333334</v>
      </c>
      <c r="M80" s="89"/>
      <c r="N80" s="89"/>
      <c r="O80" s="89"/>
      <c r="P80" s="89"/>
      <c r="Q80" s="91"/>
      <c r="R80" s="89"/>
    </row>
    <row r="81" spans="9:18" ht="15" customHeight="1">
      <c r="I81" s="89">
        <v>80</v>
      </c>
      <c r="J81" s="93" t="s">
        <v>384</v>
      </c>
      <c r="K81" s="93">
        <v>-3</v>
      </c>
      <c r="L81" s="94">
        <v>0.125</v>
      </c>
      <c r="M81" s="89"/>
      <c r="N81" s="89"/>
      <c r="O81" s="89"/>
      <c r="P81" s="89"/>
      <c r="Q81" s="91"/>
      <c r="R81" s="89"/>
    </row>
    <row r="82" spans="9:18" ht="15" customHeight="1">
      <c r="I82" s="89">
        <v>81</v>
      </c>
      <c r="J82" s="93" t="s">
        <v>385</v>
      </c>
      <c r="K82" s="93">
        <v>11</v>
      </c>
      <c r="L82" s="94">
        <v>0.45833333333333331</v>
      </c>
      <c r="M82" s="89"/>
      <c r="N82" s="89"/>
      <c r="O82" s="89"/>
      <c r="P82" s="89"/>
      <c r="Q82" s="91"/>
      <c r="R82" s="89"/>
    </row>
    <row r="83" spans="9:18" ht="15" customHeight="1">
      <c r="I83" s="89">
        <v>82</v>
      </c>
      <c r="J83" s="93" t="s">
        <v>386</v>
      </c>
      <c r="K83" s="93">
        <v>13</v>
      </c>
      <c r="L83" s="94">
        <v>0.54166666666666663</v>
      </c>
      <c r="M83" s="89"/>
      <c r="N83" s="89"/>
      <c r="O83" s="89"/>
      <c r="P83" s="89"/>
      <c r="Q83" s="91"/>
      <c r="R83" s="89"/>
    </row>
    <row r="84" spans="9:18" ht="15" customHeight="1">
      <c r="I84" s="89">
        <v>83</v>
      </c>
      <c r="J84" s="93" t="s">
        <v>387</v>
      </c>
      <c r="K84" s="93">
        <v>-2</v>
      </c>
      <c r="L84" s="94">
        <v>8.3333333333333329E-2</v>
      </c>
      <c r="M84" s="89"/>
      <c r="N84" s="89"/>
      <c r="O84" s="89"/>
      <c r="P84" s="89"/>
      <c r="Q84" s="91"/>
      <c r="R84" s="89"/>
    </row>
    <row r="85" spans="9:18" ht="15" customHeight="1">
      <c r="I85" s="89">
        <v>84</v>
      </c>
      <c r="J85" s="93" t="s">
        <v>388</v>
      </c>
      <c r="K85" s="93">
        <v>-1</v>
      </c>
      <c r="L85" s="94">
        <v>4.1666666666666664E-2</v>
      </c>
      <c r="M85" s="89"/>
      <c r="N85" s="89"/>
      <c r="O85" s="89"/>
      <c r="P85" s="89"/>
      <c r="Q85" s="106"/>
      <c r="R85" s="89"/>
    </row>
    <row r="86" spans="9:18" ht="15" customHeight="1">
      <c r="I86" s="89">
        <v>85</v>
      </c>
      <c r="J86" s="93" t="s">
        <v>3790</v>
      </c>
      <c r="K86" s="93">
        <v>-2</v>
      </c>
      <c r="L86" s="94">
        <v>8.3333333333333329E-2</v>
      </c>
      <c r="M86" s="89"/>
      <c r="N86" s="89"/>
      <c r="O86" s="89"/>
      <c r="P86" s="89"/>
      <c r="Q86" s="91"/>
      <c r="R86" s="89"/>
    </row>
    <row r="87" spans="9:18" ht="15" customHeight="1">
      <c r="I87" s="89">
        <v>86</v>
      </c>
      <c r="J87" s="93" t="s">
        <v>3791</v>
      </c>
      <c r="K87" s="93">
        <v>6</v>
      </c>
      <c r="L87" s="94">
        <v>0.25</v>
      </c>
      <c r="M87" s="89"/>
      <c r="N87" s="89"/>
      <c r="O87" s="89"/>
      <c r="P87" s="89"/>
      <c r="Q87" s="91"/>
      <c r="R87" s="89"/>
    </row>
    <row r="88" spans="9:18" ht="15" customHeight="1">
      <c r="I88" s="89">
        <v>87</v>
      </c>
      <c r="J88" s="93" t="s">
        <v>3792</v>
      </c>
      <c r="K88" s="93">
        <v>0</v>
      </c>
      <c r="L88" s="94">
        <v>0</v>
      </c>
      <c r="M88" s="89"/>
      <c r="N88" s="89"/>
      <c r="O88" s="89"/>
      <c r="P88" s="89"/>
      <c r="Q88" s="91"/>
      <c r="R88" s="89"/>
    </row>
    <row r="89" spans="9:18" ht="15" customHeight="1">
      <c r="I89" s="89">
        <v>88</v>
      </c>
      <c r="J89" s="93" t="s">
        <v>3793</v>
      </c>
      <c r="K89" s="93">
        <v>-2</v>
      </c>
      <c r="L89" s="94">
        <v>8.3333333333333329E-2</v>
      </c>
      <c r="M89" s="89"/>
      <c r="N89" s="89"/>
      <c r="O89" s="89"/>
      <c r="P89" s="89"/>
      <c r="Q89" s="91"/>
      <c r="R89" s="89"/>
    </row>
    <row r="90" spans="9:18" ht="15" customHeight="1">
      <c r="I90" s="89">
        <v>89</v>
      </c>
      <c r="J90" s="93" t="s">
        <v>3794</v>
      </c>
      <c r="K90" s="93">
        <v>-1</v>
      </c>
      <c r="L90" s="94">
        <v>4.1666666666666664E-2</v>
      </c>
      <c r="M90" s="89"/>
      <c r="N90" s="89"/>
      <c r="O90" s="89"/>
      <c r="P90" s="89"/>
      <c r="Q90" s="91"/>
      <c r="R90" s="89"/>
    </row>
    <row r="91" spans="9:18" ht="15" customHeight="1">
      <c r="I91" s="89">
        <v>90</v>
      </c>
      <c r="J91" s="93" t="s">
        <v>3795</v>
      </c>
      <c r="K91" s="93">
        <v>7</v>
      </c>
      <c r="L91" s="94">
        <v>0.29166666666666669</v>
      </c>
      <c r="M91" s="89"/>
      <c r="N91" s="89"/>
      <c r="O91" s="89"/>
      <c r="P91" s="89"/>
      <c r="Q91" s="106"/>
      <c r="R91" s="89"/>
    </row>
    <row r="92" spans="9:18" ht="15" customHeight="1">
      <c r="I92" s="89">
        <v>91</v>
      </c>
      <c r="J92" s="93" t="s">
        <v>3796</v>
      </c>
      <c r="K92" s="93">
        <v>8.5</v>
      </c>
      <c r="L92" s="94">
        <v>0.36805555555555558</v>
      </c>
      <c r="M92" s="89"/>
      <c r="N92" s="89"/>
      <c r="O92" s="89"/>
      <c r="P92" s="89"/>
      <c r="Q92" s="91"/>
      <c r="R92" s="89"/>
    </row>
    <row r="93" spans="9:18" ht="15" customHeight="1">
      <c r="I93" s="89">
        <v>92</v>
      </c>
      <c r="J93" s="93" t="s">
        <v>3797</v>
      </c>
      <c r="K93" s="93">
        <v>6</v>
      </c>
      <c r="L93" s="94">
        <v>0.25</v>
      </c>
      <c r="M93" s="89"/>
      <c r="N93" s="89"/>
      <c r="O93" s="89"/>
      <c r="P93" s="89"/>
      <c r="Q93" s="91"/>
      <c r="R93" s="89"/>
    </row>
    <row r="94" spans="9:18" ht="15" customHeight="1">
      <c r="I94" s="89">
        <v>93</v>
      </c>
      <c r="J94" s="93" t="s">
        <v>3798</v>
      </c>
      <c r="K94" s="93">
        <v>-1</v>
      </c>
      <c r="L94" s="94">
        <v>4.1666666666666664E-2</v>
      </c>
      <c r="M94" s="89"/>
      <c r="N94" s="89"/>
      <c r="O94" s="89"/>
      <c r="P94" s="89"/>
      <c r="Q94" s="91"/>
      <c r="R94" s="89"/>
    </row>
    <row r="95" spans="9:18" ht="15" customHeight="1">
      <c r="I95" s="89">
        <v>94</v>
      </c>
      <c r="J95" s="93" t="s">
        <v>3799</v>
      </c>
      <c r="K95" s="93">
        <v>8.5</v>
      </c>
      <c r="L95" s="94">
        <v>0.36805555555555558</v>
      </c>
      <c r="M95" s="89"/>
      <c r="N95" s="89"/>
      <c r="O95" s="89"/>
      <c r="P95" s="89"/>
      <c r="Q95" s="91"/>
      <c r="R95" s="89"/>
    </row>
    <row r="96" spans="9:18" ht="15" customHeight="1">
      <c r="I96" s="89">
        <v>95</v>
      </c>
      <c r="J96" s="93" t="s">
        <v>3800</v>
      </c>
      <c r="K96" s="93">
        <v>-2</v>
      </c>
      <c r="L96" s="94">
        <v>8.3333333333333329E-2</v>
      </c>
      <c r="M96" s="89"/>
      <c r="N96" s="89"/>
      <c r="O96" s="89"/>
      <c r="P96" s="89"/>
      <c r="Q96" s="91"/>
      <c r="R96" s="89"/>
    </row>
    <row r="97" spans="9:18" ht="15" customHeight="1">
      <c r="I97" s="89">
        <v>96</v>
      </c>
      <c r="J97" s="93" t="s">
        <v>3801</v>
      </c>
      <c r="K97" s="93">
        <v>-1</v>
      </c>
      <c r="L97" s="94">
        <v>4.1666666666666664E-2</v>
      </c>
      <c r="M97" s="89"/>
      <c r="N97" s="89"/>
      <c r="O97" s="89"/>
      <c r="P97" s="89"/>
      <c r="Q97" s="106"/>
      <c r="R97" s="89"/>
    </row>
    <row r="98" spans="9:18" ht="15" customHeight="1">
      <c r="I98" s="89">
        <v>97</v>
      </c>
      <c r="J98" s="93" t="s">
        <v>3802</v>
      </c>
      <c r="K98" s="93">
        <v>5</v>
      </c>
      <c r="L98" s="94">
        <v>0.20833333333333334</v>
      </c>
      <c r="M98" s="89"/>
      <c r="N98" s="89"/>
      <c r="O98" s="89"/>
      <c r="P98" s="89"/>
      <c r="Q98" s="106"/>
      <c r="R98" s="89"/>
    </row>
    <row r="99" spans="9:18" ht="15" customHeight="1">
      <c r="I99" s="89">
        <v>98</v>
      </c>
      <c r="J99" s="93" t="s">
        <v>3803</v>
      </c>
      <c r="K99" s="93">
        <v>-1</v>
      </c>
      <c r="L99" s="94">
        <v>4.1666666666666664E-2</v>
      </c>
      <c r="M99" s="89"/>
      <c r="N99" s="89"/>
      <c r="O99" s="89"/>
      <c r="P99" s="89"/>
      <c r="Q99" s="106"/>
      <c r="R99" s="89"/>
    </row>
    <row r="100" spans="9:18" ht="15" customHeight="1">
      <c r="I100" s="89">
        <v>99</v>
      </c>
      <c r="J100" s="93" t="s">
        <v>3804</v>
      </c>
      <c r="K100" s="93">
        <v>5</v>
      </c>
      <c r="L100" s="94">
        <v>0.20833333333333334</v>
      </c>
      <c r="M100" s="89"/>
      <c r="N100" s="89"/>
      <c r="O100" s="89"/>
      <c r="P100" s="89"/>
      <c r="Q100" s="106"/>
      <c r="R100" s="89"/>
    </row>
    <row r="101" spans="9:18" ht="15" customHeight="1">
      <c r="I101" s="89">
        <v>100</v>
      </c>
      <c r="J101" s="93" t="s">
        <v>3805</v>
      </c>
      <c r="K101" s="93">
        <v>11</v>
      </c>
      <c r="L101" s="94">
        <v>0.45833333333333331</v>
      </c>
      <c r="M101" s="89"/>
      <c r="N101" s="89"/>
      <c r="O101" s="89"/>
      <c r="P101" s="89"/>
      <c r="Q101" s="106"/>
      <c r="R101" s="89"/>
    </row>
    <row r="102" spans="9:18" ht="15" customHeight="1">
      <c r="I102" s="89">
        <v>101</v>
      </c>
      <c r="J102" s="93" t="s">
        <v>3806</v>
      </c>
      <c r="K102" s="93">
        <v>-1</v>
      </c>
      <c r="L102" s="94">
        <v>4.1666666666666664E-2</v>
      </c>
      <c r="M102" s="89"/>
      <c r="N102" s="89"/>
      <c r="O102" s="89"/>
      <c r="P102" s="89"/>
      <c r="Q102" s="106"/>
      <c r="R102" s="89"/>
    </row>
    <row r="103" spans="9:18" ht="15" customHeight="1">
      <c r="I103" s="89">
        <v>102</v>
      </c>
      <c r="J103" s="93" t="s">
        <v>3807</v>
      </c>
      <c r="K103" s="93">
        <v>-4</v>
      </c>
      <c r="L103" s="94">
        <v>0.16666666666666666</v>
      </c>
      <c r="M103" s="89"/>
      <c r="N103" s="89"/>
      <c r="O103" s="89"/>
      <c r="P103" s="89"/>
      <c r="Q103" s="106"/>
      <c r="R103" s="89"/>
    </row>
    <row r="104" spans="9:18" ht="15" customHeight="1">
      <c r="I104" s="89">
        <v>103</v>
      </c>
      <c r="J104" s="93" t="s">
        <v>3808</v>
      </c>
      <c r="K104" s="93">
        <v>5</v>
      </c>
      <c r="L104" s="94">
        <v>0.20833333333333334</v>
      </c>
      <c r="M104" s="89"/>
      <c r="N104" s="89"/>
      <c r="O104" s="89"/>
      <c r="P104" s="89"/>
      <c r="Q104" s="106"/>
      <c r="R104" s="89"/>
    </row>
    <row r="105" spans="9:18" ht="15" customHeight="1">
      <c r="I105" s="89">
        <v>104</v>
      </c>
      <c r="J105" s="93" t="s">
        <v>3809</v>
      </c>
      <c r="K105" s="93">
        <v>3</v>
      </c>
      <c r="L105" s="94">
        <v>0.125</v>
      </c>
      <c r="M105" s="89"/>
      <c r="N105" s="89"/>
      <c r="O105" s="89"/>
      <c r="P105" s="89"/>
      <c r="Q105" s="106"/>
      <c r="R105" s="89"/>
    </row>
    <row r="106" spans="9:18" ht="15" customHeight="1">
      <c r="I106" s="89">
        <v>105</v>
      </c>
      <c r="J106" s="93" t="s">
        <v>3810</v>
      </c>
      <c r="K106" s="93">
        <v>0</v>
      </c>
      <c r="L106" s="94">
        <v>0</v>
      </c>
      <c r="M106" s="89"/>
      <c r="N106" s="89"/>
      <c r="O106" s="89"/>
      <c r="P106" s="89"/>
      <c r="Q106" s="106"/>
      <c r="R106" s="89"/>
    </row>
    <row r="107" spans="9:18" ht="15" customHeight="1">
      <c r="I107" s="89">
        <v>106</v>
      </c>
      <c r="J107" s="93" t="s">
        <v>3811</v>
      </c>
      <c r="K107" s="93">
        <v>6</v>
      </c>
      <c r="L107" s="94">
        <v>0.25</v>
      </c>
      <c r="M107" s="89"/>
      <c r="N107" s="89"/>
      <c r="O107" s="89"/>
      <c r="P107" s="89"/>
      <c r="Q107" s="106"/>
      <c r="R107" s="89"/>
    </row>
    <row r="108" spans="9:18" ht="15" customHeight="1">
      <c r="I108" s="89">
        <v>107</v>
      </c>
      <c r="J108" s="93" t="s">
        <v>3812</v>
      </c>
      <c r="K108" s="93">
        <v>5</v>
      </c>
      <c r="L108" s="94">
        <v>0.20833333333333334</v>
      </c>
      <c r="M108" s="89"/>
      <c r="N108" s="89"/>
      <c r="O108" s="89"/>
      <c r="P108" s="89"/>
      <c r="Q108" s="106"/>
      <c r="R108" s="89"/>
    </row>
    <row r="109" spans="9:18" ht="15" customHeight="1">
      <c r="I109" s="89">
        <v>108</v>
      </c>
      <c r="J109" s="93" t="s">
        <v>3813</v>
      </c>
      <c r="K109" s="93">
        <v>-4</v>
      </c>
      <c r="L109" s="94">
        <v>0.16666666666666666</v>
      </c>
      <c r="M109" s="89"/>
      <c r="N109" s="89"/>
      <c r="O109" s="89"/>
      <c r="P109" s="89"/>
      <c r="Q109" s="106"/>
      <c r="R109" s="89"/>
    </row>
    <row r="110" spans="9:18" ht="15" customHeight="1">
      <c r="I110" s="89">
        <v>109</v>
      </c>
      <c r="J110" s="93" t="s">
        <v>3814</v>
      </c>
      <c r="K110" s="93">
        <v>-1</v>
      </c>
      <c r="L110" s="94">
        <v>4.1666666666666664E-2</v>
      </c>
      <c r="M110" s="89"/>
      <c r="N110" s="89"/>
      <c r="O110" s="89"/>
      <c r="P110" s="89"/>
      <c r="Q110" s="106"/>
      <c r="R110" s="89"/>
    </row>
    <row r="111" spans="9:18" ht="15" customHeight="1">
      <c r="I111" s="89">
        <v>110</v>
      </c>
      <c r="J111" s="93" t="s">
        <v>3815</v>
      </c>
      <c r="K111" s="93">
        <v>-3</v>
      </c>
      <c r="L111" s="94">
        <v>0.125</v>
      </c>
      <c r="M111" s="89"/>
      <c r="N111" s="89"/>
      <c r="O111" s="89"/>
      <c r="P111" s="89"/>
      <c r="Q111" s="106"/>
      <c r="R111" s="89"/>
    </row>
    <row r="112" spans="9:18" ht="15" customHeight="1">
      <c r="I112" s="89">
        <v>111</v>
      </c>
      <c r="J112" s="93" t="s">
        <v>3816</v>
      </c>
      <c r="K112" s="93">
        <v>-1</v>
      </c>
      <c r="L112" s="94">
        <v>4.1666666666666664E-2</v>
      </c>
      <c r="M112" s="89"/>
      <c r="N112" s="89"/>
      <c r="O112" s="89"/>
      <c r="P112" s="89"/>
      <c r="Q112" s="106"/>
      <c r="R112" s="89"/>
    </row>
    <row r="113" spans="9:18" ht="15" customHeight="1">
      <c r="I113" s="89">
        <v>112</v>
      </c>
      <c r="J113" s="93" t="s">
        <v>3817</v>
      </c>
      <c r="K113" s="93">
        <v>-1</v>
      </c>
      <c r="L113" s="94">
        <v>4.1666666666666664E-2</v>
      </c>
      <c r="M113" s="89"/>
      <c r="N113" s="89"/>
      <c r="O113" s="89"/>
      <c r="P113" s="89"/>
      <c r="Q113" s="106"/>
      <c r="R113" s="89"/>
    </row>
    <row r="114" spans="9:18" ht="15" customHeight="1">
      <c r="I114" s="89">
        <v>113</v>
      </c>
      <c r="J114" s="93" t="s">
        <v>3818</v>
      </c>
      <c r="K114" s="93">
        <v>0</v>
      </c>
      <c r="L114" s="94">
        <v>0</v>
      </c>
      <c r="M114" s="89"/>
      <c r="N114" s="89"/>
      <c r="O114" s="89"/>
      <c r="P114" s="89"/>
      <c r="Q114" s="106"/>
      <c r="R114" s="89"/>
    </row>
    <row r="115" spans="9:18" ht="15" customHeight="1">
      <c r="I115" s="89">
        <v>114</v>
      </c>
      <c r="J115" s="93" t="s">
        <v>3819</v>
      </c>
      <c r="K115" s="93">
        <v>-4</v>
      </c>
      <c r="L115" s="94">
        <v>0.16666666666666666</v>
      </c>
      <c r="M115" s="89"/>
      <c r="N115" s="89"/>
      <c r="O115" s="89"/>
      <c r="P115" s="89"/>
      <c r="Q115" s="106"/>
      <c r="R115" s="89"/>
    </row>
    <row r="116" spans="9:18" ht="15" customHeight="1">
      <c r="I116" s="89">
        <v>115</v>
      </c>
      <c r="J116" s="93" t="s">
        <v>3820</v>
      </c>
      <c r="K116" s="93">
        <v>12</v>
      </c>
      <c r="L116" s="94">
        <v>0.5</v>
      </c>
      <c r="M116" s="89"/>
      <c r="N116" s="89"/>
      <c r="O116" s="89"/>
      <c r="P116" s="89"/>
      <c r="Q116" s="106"/>
      <c r="R116" s="89"/>
    </row>
    <row r="117" spans="9:18" ht="15" customHeight="1">
      <c r="I117" s="89">
        <v>116</v>
      </c>
      <c r="J117" s="93" t="s">
        <v>3821</v>
      </c>
      <c r="K117" s="93">
        <v>11</v>
      </c>
      <c r="L117" s="94">
        <v>0.45833333333333331</v>
      </c>
      <c r="M117" s="89"/>
      <c r="N117" s="89"/>
      <c r="O117" s="89"/>
      <c r="P117" s="89"/>
      <c r="Q117" s="106"/>
      <c r="R117" s="89"/>
    </row>
    <row r="118" spans="9:18" ht="15" customHeight="1">
      <c r="I118" s="89">
        <v>117</v>
      </c>
      <c r="J118" s="93" t="s">
        <v>3822</v>
      </c>
      <c r="K118" s="93">
        <v>11</v>
      </c>
      <c r="L118" s="94">
        <v>0.45833333333333331</v>
      </c>
      <c r="M118" s="89"/>
      <c r="N118" s="89"/>
      <c r="O118" s="89"/>
      <c r="P118" s="89"/>
      <c r="Q118" s="106"/>
      <c r="R118" s="89"/>
    </row>
    <row r="119" spans="9:18" ht="15" customHeight="1">
      <c r="I119" s="89">
        <v>118</v>
      </c>
      <c r="J119" s="93" t="s">
        <v>3823</v>
      </c>
      <c r="K119" s="93">
        <v>6</v>
      </c>
      <c r="L119" s="94">
        <v>0.25</v>
      </c>
      <c r="M119" s="89"/>
      <c r="N119" s="89"/>
      <c r="O119" s="89"/>
      <c r="P119" s="89"/>
      <c r="Q119" s="106"/>
      <c r="R119" s="89"/>
    </row>
    <row r="120" spans="9:18" ht="15" customHeight="1">
      <c r="I120" s="89">
        <v>119</v>
      </c>
      <c r="J120" s="93" t="s">
        <v>3824</v>
      </c>
      <c r="K120" s="93">
        <v>1</v>
      </c>
      <c r="L120" s="94">
        <v>4.1666666666666664E-2</v>
      </c>
      <c r="M120" s="89"/>
      <c r="N120" s="89"/>
      <c r="O120" s="89"/>
      <c r="P120" s="89"/>
      <c r="Q120" s="106"/>
      <c r="R120" s="89"/>
    </row>
    <row r="121" spans="9:18" ht="15" customHeight="1">
      <c r="I121" s="89">
        <v>120</v>
      </c>
      <c r="J121" s="93" t="s">
        <v>3825</v>
      </c>
      <c r="K121" s="93">
        <v>-2</v>
      </c>
      <c r="L121" s="94">
        <v>8.3333333333333329E-2</v>
      </c>
      <c r="M121" s="89"/>
      <c r="N121" s="89"/>
      <c r="O121" s="89"/>
      <c r="P121" s="89"/>
      <c r="Q121" s="106"/>
      <c r="R121" s="89"/>
    </row>
    <row r="122" spans="9:18" ht="15" customHeight="1">
      <c r="I122" s="89">
        <v>121</v>
      </c>
      <c r="J122" s="93" t="s">
        <v>3826</v>
      </c>
      <c r="K122" s="93">
        <v>5</v>
      </c>
      <c r="L122" s="94">
        <v>0.20833333333333334</v>
      </c>
      <c r="M122" s="89"/>
      <c r="N122" s="89"/>
      <c r="O122" s="89"/>
      <c r="P122" s="89"/>
      <c r="Q122" s="106"/>
      <c r="R122" s="89"/>
    </row>
    <row r="123" spans="9:18" ht="15" customHeight="1">
      <c r="I123" s="89">
        <v>122</v>
      </c>
      <c r="J123" s="93" t="s">
        <v>3827</v>
      </c>
      <c r="K123" s="93">
        <v>15</v>
      </c>
      <c r="L123" s="94">
        <v>0.625</v>
      </c>
      <c r="M123" s="89"/>
      <c r="N123" s="89"/>
      <c r="O123" s="89"/>
      <c r="P123" s="89"/>
      <c r="Q123" s="91"/>
      <c r="R123" s="89"/>
    </row>
    <row r="124" spans="9:18" ht="15" customHeight="1">
      <c r="I124" s="89">
        <v>123</v>
      </c>
      <c r="J124" s="93" t="s">
        <v>3828</v>
      </c>
      <c r="K124" s="93">
        <v>13</v>
      </c>
      <c r="L124" s="94">
        <v>0.54166666666666663</v>
      </c>
      <c r="M124" s="89"/>
      <c r="N124" s="89"/>
      <c r="O124" s="89"/>
      <c r="P124" s="89"/>
      <c r="Q124" s="91"/>
      <c r="R124" s="89"/>
    </row>
    <row r="125" spans="9:18" ht="15" customHeight="1">
      <c r="I125" s="89">
        <v>124</v>
      </c>
      <c r="J125" s="93" t="s">
        <v>3829</v>
      </c>
      <c r="K125" s="93">
        <v>11</v>
      </c>
      <c r="L125" s="94">
        <v>0.45833333333333331</v>
      </c>
      <c r="M125" s="89"/>
      <c r="N125" s="89"/>
      <c r="O125" s="89"/>
      <c r="P125" s="89"/>
      <c r="Q125" s="91"/>
      <c r="R125" s="89"/>
    </row>
    <row r="126" spans="9:18" ht="15" customHeight="1">
      <c r="I126" s="89">
        <v>125</v>
      </c>
      <c r="J126" s="93" t="s">
        <v>3830</v>
      </c>
      <c r="K126" s="93">
        <v>6</v>
      </c>
      <c r="L126" s="94">
        <v>0.25</v>
      </c>
      <c r="M126" s="89"/>
      <c r="N126" s="89"/>
      <c r="O126" s="89"/>
      <c r="P126" s="89"/>
      <c r="Q126" s="91"/>
      <c r="R126" s="89"/>
    </row>
    <row r="127" spans="9:18" ht="15" customHeight="1">
      <c r="I127" s="89">
        <v>126</v>
      </c>
      <c r="J127" s="93" t="s">
        <v>3831</v>
      </c>
      <c r="K127" s="93">
        <v>8</v>
      </c>
      <c r="L127" s="94">
        <v>0.33333333333333331</v>
      </c>
      <c r="M127" s="89"/>
      <c r="N127" s="89"/>
      <c r="O127" s="89"/>
      <c r="P127" s="89"/>
      <c r="Q127" s="91"/>
      <c r="R127" s="89"/>
    </row>
    <row r="128" spans="9:18" ht="15" customHeight="1">
      <c r="I128" s="89">
        <v>127</v>
      </c>
      <c r="J128" s="93" t="s">
        <v>3832</v>
      </c>
      <c r="K128" s="93">
        <v>-3</v>
      </c>
      <c r="L128" s="94">
        <v>0.125</v>
      </c>
      <c r="M128" s="89"/>
      <c r="N128" s="89"/>
      <c r="O128" s="89"/>
      <c r="P128" s="89"/>
      <c r="Q128" s="91"/>
      <c r="R128" s="89"/>
    </row>
    <row r="129" spans="8:18" ht="15" customHeight="1">
      <c r="I129" s="89">
        <v>128</v>
      </c>
      <c r="J129" s="93" t="s">
        <v>3833</v>
      </c>
      <c r="K129" s="93">
        <v>7.5</v>
      </c>
      <c r="L129" s="94">
        <v>0.3125</v>
      </c>
      <c r="M129" s="89"/>
      <c r="N129" s="89"/>
      <c r="O129" s="89"/>
      <c r="P129" s="89"/>
      <c r="Q129" s="91"/>
      <c r="R129" s="89"/>
    </row>
    <row r="130" spans="8:18" ht="15" customHeight="1">
      <c r="I130" s="89">
        <v>129</v>
      </c>
      <c r="J130" s="93" t="s">
        <v>3834</v>
      </c>
      <c r="K130" s="93">
        <v>12</v>
      </c>
      <c r="L130" s="94">
        <v>0.5</v>
      </c>
      <c r="M130" s="89"/>
      <c r="N130" s="89"/>
      <c r="O130" s="89"/>
      <c r="P130" s="89"/>
      <c r="Q130" s="91"/>
      <c r="R130" s="89"/>
    </row>
    <row r="131" spans="8:18" ht="15" customHeight="1">
      <c r="I131" s="89">
        <v>130</v>
      </c>
      <c r="J131" s="93" t="s">
        <v>3835</v>
      </c>
      <c r="K131" s="93">
        <v>-1</v>
      </c>
      <c r="L131" s="94">
        <v>4.1666666666666664E-2</v>
      </c>
      <c r="M131" s="89"/>
      <c r="N131" s="89"/>
      <c r="O131" s="89"/>
      <c r="P131" s="89"/>
      <c r="Q131" s="91"/>
      <c r="R131" s="89"/>
    </row>
    <row r="132" spans="8:18" ht="15" customHeight="1">
      <c r="I132" s="89">
        <v>131</v>
      </c>
      <c r="J132" s="93" t="s">
        <v>3836</v>
      </c>
      <c r="K132" s="93">
        <v>-4</v>
      </c>
      <c r="L132" s="94">
        <v>0.16666666666666666</v>
      </c>
      <c r="M132" s="89"/>
      <c r="N132" s="89"/>
      <c r="O132" s="89"/>
      <c r="P132" s="89"/>
      <c r="Q132" s="91"/>
      <c r="R132" s="89"/>
    </row>
    <row r="133" spans="8:18" ht="15" customHeight="1">
      <c r="I133" s="89">
        <v>132</v>
      </c>
      <c r="J133" s="93" t="s">
        <v>3837</v>
      </c>
      <c r="K133" s="93">
        <v>5</v>
      </c>
      <c r="L133" s="94">
        <v>0.20833333333333334</v>
      </c>
      <c r="M133" s="89"/>
      <c r="N133" s="89"/>
      <c r="O133" s="89"/>
      <c r="P133" s="89"/>
      <c r="Q133" s="91"/>
      <c r="R133" s="89"/>
    </row>
    <row r="134" spans="8:18" ht="15" customHeight="1">
      <c r="I134" s="89">
        <v>133</v>
      </c>
      <c r="J134" s="93" t="s">
        <v>3838</v>
      </c>
      <c r="K134" s="93">
        <v>14</v>
      </c>
      <c r="L134" s="94">
        <v>0.58333333333333337</v>
      </c>
      <c r="M134" s="89"/>
      <c r="N134" s="89"/>
      <c r="O134" s="89"/>
      <c r="P134" s="89"/>
      <c r="Q134" s="91"/>
      <c r="R134" s="89"/>
    </row>
    <row r="135" spans="8:18" ht="15" customHeight="1">
      <c r="I135" s="89">
        <v>134</v>
      </c>
      <c r="J135" s="93" t="s">
        <v>3839</v>
      </c>
      <c r="K135" s="93">
        <v>5</v>
      </c>
      <c r="L135" s="94">
        <v>0.20833333333333334</v>
      </c>
      <c r="M135" s="89"/>
      <c r="N135" s="89"/>
      <c r="O135" s="89"/>
      <c r="P135" s="89"/>
      <c r="Q135" s="91"/>
      <c r="R135" s="89"/>
    </row>
    <row r="136" spans="8:18" ht="15" customHeight="1">
      <c r="I136" s="89">
        <v>135</v>
      </c>
      <c r="J136" s="93" t="s">
        <v>3840</v>
      </c>
      <c r="K136" s="93">
        <v>-1</v>
      </c>
      <c r="L136" s="94">
        <v>4.1666666666666664E-2</v>
      </c>
      <c r="M136" s="89"/>
      <c r="N136" s="89"/>
      <c r="O136" s="89"/>
      <c r="P136" s="89"/>
      <c r="Q136" s="91"/>
      <c r="R136" s="89"/>
    </row>
    <row r="137" spans="8:18" ht="15" customHeight="1">
      <c r="I137" s="89">
        <v>136</v>
      </c>
      <c r="J137" s="93" t="s">
        <v>3841</v>
      </c>
      <c r="K137" s="93">
        <v>-2</v>
      </c>
      <c r="L137" s="94">
        <v>8.3333333333333329E-2</v>
      </c>
      <c r="M137" s="89"/>
      <c r="N137" s="89"/>
      <c r="O137" s="89"/>
      <c r="P137" s="89"/>
      <c r="Q137" s="91"/>
      <c r="R137" s="89"/>
    </row>
    <row r="138" spans="8:18" ht="15" customHeight="1">
      <c r="I138" s="89">
        <v>137</v>
      </c>
      <c r="J138" s="93" t="s">
        <v>3842</v>
      </c>
      <c r="K138" s="93">
        <v>9.5</v>
      </c>
      <c r="L138" s="94">
        <v>0.39583333333333331</v>
      </c>
      <c r="M138" s="89"/>
      <c r="N138" s="89"/>
      <c r="O138" s="89"/>
      <c r="P138" s="89"/>
      <c r="Q138" s="91"/>
      <c r="R138" s="89"/>
    </row>
    <row r="139" spans="8:18" ht="15" customHeight="1">
      <c r="I139" s="89">
        <v>138</v>
      </c>
      <c r="J139" s="93" t="s">
        <v>3843</v>
      </c>
      <c r="K139" s="93">
        <v>5</v>
      </c>
      <c r="L139" s="94">
        <v>0.20833333333333334</v>
      </c>
      <c r="M139" s="89"/>
      <c r="N139" s="89"/>
      <c r="O139" s="89"/>
      <c r="P139" s="89"/>
      <c r="Q139" s="91"/>
      <c r="R139" s="89"/>
    </row>
    <row r="140" spans="8:18" ht="15" customHeight="1">
      <c r="H140" s="82" t="s">
        <v>773</v>
      </c>
      <c r="I140" s="89">
        <v>139</v>
      </c>
      <c r="J140" s="93" t="s">
        <v>3844</v>
      </c>
      <c r="K140" s="93">
        <v>5</v>
      </c>
      <c r="L140" s="94">
        <v>0.20833333333333334</v>
      </c>
      <c r="M140" s="89"/>
      <c r="N140" s="89"/>
      <c r="O140" s="89"/>
      <c r="P140" s="89"/>
      <c r="Q140" s="91"/>
      <c r="R140" s="89"/>
    </row>
    <row r="141" spans="8:18" ht="15" customHeight="1">
      <c r="I141" s="89"/>
      <c r="J141" s="89"/>
      <c r="K141" s="90"/>
      <c r="L141" s="89"/>
      <c r="M141" s="89"/>
      <c r="N141" s="89"/>
      <c r="O141" s="89"/>
      <c r="P141" s="89"/>
      <c r="Q141" s="91"/>
      <c r="R141" s="89"/>
    </row>
    <row r="142" spans="8:18" ht="15" customHeight="1">
      <c r="I142" s="89"/>
      <c r="J142" s="89"/>
      <c r="K142" s="90"/>
      <c r="L142" s="89"/>
      <c r="M142" s="89"/>
      <c r="N142" s="89"/>
      <c r="O142" s="89"/>
      <c r="P142" s="89"/>
      <c r="Q142" s="91"/>
      <c r="R142" s="89"/>
    </row>
    <row r="143" spans="8:18" ht="15" customHeight="1">
      <c r="I143" s="89"/>
      <c r="J143" s="89"/>
      <c r="K143" s="90"/>
      <c r="L143" s="89"/>
      <c r="M143" s="89"/>
      <c r="N143" s="89"/>
      <c r="O143" s="89"/>
      <c r="P143" s="89"/>
      <c r="Q143" s="91"/>
      <c r="R143" s="89"/>
    </row>
    <row r="144" spans="8:18" ht="15" customHeight="1">
      <c r="I144" s="89"/>
      <c r="J144" s="89"/>
      <c r="K144" s="90"/>
      <c r="L144" s="89"/>
      <c r="M144" s="89"/>
      <c r="N144" s="89"/>
      <c r="O144" s="89"/>
      <c r="P144" s="89"/>
      <c r="Q144" s="91"/>
      <c r="R144" s="89"/>
    </row>
    <row r="145" spans="9:18" ht="15" customHeight="1">
      <c r="I145" s="89"/>
      <c r="J145" s="89"/>
      <c r="K145" s="90"/>
      <c r="L145" s="89"/>
      <c r="M145" s="89"/>
      <c r="N145" s="89"/>
      <c r="O145" s="89"/>
      <c r="P145" s="89"/>
      <c r="Q145" s="91"/>
      <c r="R145" s="89"/>
    </row>
  </sheetData>
  <sheetProtection password="CEE2" sheet="1" objects="1" scenarios="1" selectLockedCells="1" selectUnlockedCells="1"/>
  <mergeCells count="8">
    <mergeCell ref="A35:A38"/>
    <mergeCell ref="A7:A10"/>
    <mergeCell ref="A11:A14"/>
    <mergeCell ref="A15:A18"/>
    <mergeCell ref="A19:A22"/>
    <mergeCell ref="A23:A26"/>
    <mergeCell ref="A27:A30"/>
    <mergeCell ref="A31:A34"/>
  </mergeCells>
  <phoneticPr fontId="1" type="noConversion"/>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56"/>
  <sheetViews>
    <sheetView showGridLines="0" workbookViewId="0">
      <selection activeCell="P2" sqref="P2"/>
    </sheetView>
  </sheetViews>
  <sheetFormatPr defaultColWidth="9.109375" defaultRowHeight="12.6"/>
  <cols>
    <col min="1" max="1" width="5.33203125" style="92" customWidth="1"/>
    <col min="2" max="2" width="9.44140625" style="92" bestFit="1" customWidth="1"/>
    <col min="3" max="3" width="3.33203125" style="92" bestFit="1" customWidth="1"/>
    <col min="4" max="4" width="2.6640625" style="92" bestFit="1" customWidth="1"/>
    <col min="5" max="5" width="2.44140625" style="92" bestFit="1" customWidth="1"/>
    <col min="6" max="7" width="3.33203125" style="92" bestFit="1" customWidth="1"/>
    <col min="8" max="8" width="4.6640625" style="92" bestFit="1" customWidth="1"/>
    <col min="9" max="9" width="3.44140625" style="92" bestFit="1" customWidth="1"/>
    <col min="10" max="10" width="3.33203125" style="92" bestFit="1" customWidth="1"/>
    <col min="11" max="11" width="2.109375" style="92" bestFit="1" customWidth="1"/>
    <col min="12" max="12" width="2.6640625" style="92" customWidth="1"/>
    <col min="13" max="14" width="2.109375" style="92" bestFit="1" customWidth="1"/>
    <col min="15" max="15" width="5.88671875" style="92" bestFit="1" customWidth="1"/>
    <col min="16" max="16" width="9.88671875" style="92" bestFit="1" customWidth="1"/>
    <col min="17" max="17" width="3.33203125" style="92" bestFit="1" customWidth="1"/>
    <col min="18" max="18" width="4.6640625" style="92" bestFit="1" customWidth="1"/>
    <col min="19" max="20" width="2.5546875" style="92" bestFit="1" customWidth="1"/>
    <col min="21" max="21" width="2.6640625" style="92" bestFit="1" customWidth="1"/>
    <col min="22" max="22" width="4.6640625" style="92" bestFit="1" customWidth="1"/>
    <col min="23" max="23" width="9.109375" style="92"/>
    <col min="24" max="24" width="6.5546875" style="92" customWidth="1"/>
    <col min="25" max="25" width="9.109375" style="92"/>
    <col min="26" max="26" width="3.33203125" style="92" bestFit="1" customWidth="1"/>
    <col min="27" max="27" width="2.6640625" style="92" bestFit="1" customWidth="1"/>
    <col min="28" max="28" width="2.44140625" style="92" bestFit="1" customWidth="1"/>
    <col min="29" max="29" width="2.5546875" style="92" bestFit="1" customWidth="1"/>
    <col min="30" max="30" width="2.6640625" style="92" bestFit="1" customWidth="1"/>
    <col min="31" max="31" width="4.6640625" style="92" bestFit="1" customWidth="1"/>
    <col min="32" max="32" width="3.44140625" style="92" bestFit="1" customWidth="1"/>
    <col min="33" max="35" width="2.109375" style="92" bestFit="1" customWidth="1"/>
    <col min="36" max="37" width="5.88671875" style="92" bestFit="1" customWidth="1"/>
    <col min="38" max="39" width="2.109375" style="92" bestFit="1" customWidth="1"/>
    <col min="40" max="40" width="11.88671875" style="92" bestFit="1" customWidth="1"/>
    <col min="41" max="41" width="9.109375" style="92"/>
    <col min="42" max="42" width="8.88671875" style="92" bestFit="1" customWidth="1"/>
    <col min="43" max="43" width="10.109375" style="92" bestFit="1" customWidth="1"/>
    <col min="44" max="44" width="9.6640625" style="92" bestFit="1" customWidth="1"/>
    <col min="45" max="45" width="9.6640625" style="92" customWidth="1"/>
    <col min="46" max="46" width="9.88671875" style="92" bestFit="1" customWidth="1"/>
    <col min="47" max="47" width="11.109375" style="92" bestFit="1" customWidth="1"/>
    <col min="48" max="48" width="10.6640625" style="92" bestFit="1" customWidth="1"/>
    <col min="49" max="49" width="10.6640625" style="92" customWidth="1"/>
    <col min="50" max="16384" width="9.109375" style="92"/>
  </cols>
  <sheetData>
    <row r="1" spans="1:61">
      <c r="A1" s="127"/>
      <c r="B1" s="127"/>
      <c r="C1" s="127"/>
      <c r="D1" s="127"/>
      <c r="E1" s="127"/>
      <c r="F1" s="127"/>
      <c r="G1" s="127"/>
      <c r="H1" s="127"/>
      <c r="P1" s="127"/>
      <c r="Q1" s="127"/>
      <c r="R1" s="127"/>
      <c r="S1" s="127"/>
      <c r="T1" s="127"/>
      <c r="U1" s="127"/>
      <c r="V1" s="127"/>
      <c r="W1" s="127"/>
      <c r="X1" s="127"/>
      <c r="Y1" s="127"/>
      <c r="Z1" s="127"/>
      <c r="AA1" s="127"/>
      <c r="AB1" s="127"/>
      <c r="AC1" s="127"/>
      <c r="AD1" s="127"/>
      <c r="AE1" s="127"/>
      <c r="AF1" s="127"/>
      <c r="AG1" s="127"/>
      <c r="AH1" s="127"/>
      <c r="AI1" s="127"/>
      <c r="AJ1" s="127"/>
      <c r="AK1" s="127"/>
      <c r="AL1" s="127"/>
      <c r="AM1" s="127"/>
      <c r="AO1" s="127"/>
      <c r="AY1" s="127"/>
      <c r="BE1" s="127"/>
    </row>
    <row r="2" spans="1:61">
      <c r="A2" s="127"/>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c r="AF2" s="127"/>
      <c r="AG2" s="127"/>
      <c r="AH2" s="127"/>
      <c r="AI2" s="127"/>
      <c r="AJ2" s="127"/>
      <c r="AK2" s="127"/>
      <c r="AL2" s="127"/>
      <c r="AM2" s="127"/>
      <c r="AN2" s="127"/>
      <c r="AO2" s="127"/>
      <c r="AP2" s="127"/>
      <c r="AQ2" s="127"/>
      <c r="AR2" s="127"/>
      <c r="AS2" s="127"/>
      <c r="AT2" s="127"/>
      <c r="AU2" s="127"/>
      <c r="AV2" s="127"/>
      <c r="AW2" s="127"/>
      <c r="AX2" s="127"/>
      <c r="AY2" s="127"/>
      <c r="AZ2" s="127"/>
      <c r="BA2" s="127"/>
      <c r="BB2" s="127"/>
      <c r="BC2" s="127"/>
      <c r="BD2" s="127"/>
      <c r="BE2" s="127"/>
    </row>
    <row r="3" spans="1:61">
      <c r="I3" s="127"/>
      <c r="K3" s="127"/>
      <c r="L3" s="127"/>
      <c r="M3" s="127"/>
      <c r="N3" s="127"/>
      <c r="AO3" s="127"/>
      <c r="BE3" s="92">
        <v>1</v>
      </c>
      <c r="BF3" s="92" t="str">
        <f>Tournament!H14</f>
        <v>Brazil</v>
      </c>
      <c r="BG3" s="92" t="str">
        <f ca="1">IF(AND(Tournament!J14&lt;&gt;"",Tournament!L14&lt;&gt;""),Tournament!J14,"")</f>
        <v/>
      </c>
      <c r="BH3" s="92" t="str">
        <f ca="1">IF(AND(Tournament!L14&lt;&gt;"",Tournament!J14&lt;&gt;""),Tournament!L14,"")</f>
        <v/>
      </c>
      <c r="BI3" s="92" t="str">
        <f>Tournament!N14</f>
        <v>Croatia</v>
      </c>
    </row>
    <row r="4" spans="1:61">
      <c r="A4" s="92">
        <f ca="1">K4+L4+M4+N4</f>
        <v>1</v>
      </c>
      <c r="B4" s="92" t="str">
        <f>Tournament!H14</f>
        <v>Brazil</v>
      </c>
      <c r="C4" s="92">
        <f ca="1">SUMIF(AP$4:AP$60,B4,AX$4:AX$60)+SUMIF(AT$4:AT$60,B4,AX$4:AX$60)</f>
        <v>0</v>
      </c>
      <c r="D4" s="92">
        <f ca="1">SUMIF(AQ$4:AQ$60,B4,AX$4:AX$60)+SUMIF(AU$4:AU$60,B4,AX$4:AX$60)</f>
        <v>0</v>
      </c>
      <c r="E4" s="92">
        <f ca="1">SUMIF(AR$4:AR$60,B4,AX$4:AX$60)+SUMIF(AV$4:AV$60,B4,AX$4:AX$60)</f>
        <v>0</v>
      </c>
      <c r="F4" s="92">
        <f ca="1">SUMIF($BF$3:$BF$60,B4,$BG$3:$BG$60)+SUMIF($BI$3:$BI$60,B4,$BH$3:$BH$60)</f>
        <v>0</v>
      </c>
      <c r="G4" s="92">
        <f ca="1">SUMIF($BI$3:$BI$60,B4,$BG$3:$BG$60)+SUMIF($BF$3:$BF$60,B4,$BH$3:$BH$60)</f>
        <v>0</v>
      </c>
      <c r="H4" s="92">
        <f ca="1">F4-G4+100</f>
        <v>100</v>
      </c>
      <c r="I4" s="127">
        <f ca="1">C4*3+D4</f>
        <v>0</v>
      </c>
      <c r="J4" s="92">
        <v>11</v>
      </c>
      <c r="K4" s="92">
        <f ca="1">RANK(I4,I$4:I$7)</f>
        <v>1</v>
      </c>
      <c r="L4" s="92">
        <f ca="1">SUMPRODUCT((I$4:I$7=I4)*(H$4:H$7&gt;H4))</f>
        <v>0</v>
      </c>
      <c r="M4" s="92">
        <f ca="1">SUMPRODUCT((I$4:I$7=I4)*(H$4:H$7=H4)*(F$4:F$7&gt;F4))</f>
        <v>0</v>
      </c>
      <c r="N4" s="92">
        <f ca="1">SUMPRODUCT((I$4:I$7=I4)*(H$4:H$7=H4)*(F$4:F$7=F4)*(J$4:J$7&lt;J4))</f>
        <v>0</v>
      </c>
      <c r="O4" s="92">
        <f ca="1">IF(SUM(AG4:AI7)=0,IF(COUNTIF(AJ4:AJ7,0)&gt;1,1,AJ4+1),X4)</f>
        <v>1</v>
      </c>
      <c r="P4" s="92" t="str">
        <f ca="1">VLOOKUP(1,A$4:B$7,2,FALSE)</f>
        <v>Brazil</v>
      </c>
      <c r="Q4" s="92">
        <f ca="1">SUMIF(B$4:B$60,P4,F$4:F$60)</f>
        <v>0</v>
      </c>
      <c r="R4" s="92">
        <f ca="1">SUMIF(B$4:B$60,P4,H$4:H$60)</f>
        <v>100</v>
      </c>
      <c r="S4" s="127">
        <f ca="1">SUMIF($B$4:$B$60,$P4,I$4:I$60)</f>
        <v>0</v>
      </c>
      <c r="T4" s="92">
        <f ca="1">SUMIF($B$4:$B$60,$P4,A$4:A$60)</f>
        <v>1</v>
      </c>
      <c r="U4" s="92">
        <f t="shared" ref="U4:V7" ca="1" si="0">SUMIF($B$4:$B$60,$P4,L$4:L$60)</f>
        <v>0</v>
      </c>
      <c r="V4" s="92">
        <f t="shared" ca="1" si="0"/>
        <v>0</v>
      </c>
      <c r="W4" s="92">
        <f ca="1">SUMIF($B$4:$B$60,$P4,J$4:J$60)</f>
        <v>11</v>
      </c>
      <c r="X4" s="92">
        <f ca="1">IF(Y4=0,T4,T4+AG4+AH4+AI4+AJ4)</f>
        <v>1</v>
      </c>
      <c r="Y4" s="92" t="str">
        <f ca="1">IF(AND(S4=S5,R4=R5,Q4=Q5),P4,0)</f>
        <v>Brazil</v>
      </c>
      <c r="Z4" s="92">
        <f ca="1">SUMIF($AY$4:$AY$60,$Y4,$AX$4:$AX$60)+SUMIF($BB$4:$BB$60,$Y4,$AX$4:$AX$60)</f>
        <v>0</v>
      </c>
      <c r="AA4" s="92">
        <f ca="1">SUMIF($AZ$4:$AZ$60,$Y4,$AX$4:$AX$60)+SUMIF($BC$4:$BC$60,$Y4,$AX$4:$AX$60)</f>
        <v>0</v>
      </c>
      <c r="AB4" s="92">
        <f ca="1">SUMIF($BA$4:$BA$60,$Y4,$AX$4:$AX$60)+SUMIF($BD$4:$BD$60,$Y4,$AX$4:$AX$60)</f>
        <v>0</v>
      </c>
      <c r="AC4" s="92">
        <f ca="1">SUMIF(AY$4:AY$60,Y4,AS$4:AS$60)+SUMIF(BB$4:BB$60,Y4,AW$4:AW$60)+SUMIF(AZ$4:AZ$60,Y4,AS$4:AS$60)+SUMIF(BC$4:BC$60,Y4,AW$4:AW$60)</f>
        <v>0</v>
      </c>
      <c r="AD4" s="92">
        <f ca="1">SUMIF(BA$4:BA$60,Y4,AS$4:AS$60)+SUMIF(BD$4:BD$60,Y4,AW$4:AW$60)+SUMIF(AZ$4:AZ$60,Y4,AS$4:AS$60)+SUMIF(BC$4:BC$60,Y4,AW$4:AW$60)</f>
        <v>0</v>
      </c>
      <c r="AE4" s="92">
        <f ca="1">AC4-AD4+100</f>
        <v>100</v>
      </c>
      <c r="AF4" s="127">
        <f ca="1">IF(Y4&lt;&gt;0,Z4*3+AA4,"")</f>
        <v>0</v>
      </c>
      <c r="AG4" s="92">
        <f ca="1">IF(Y4&lt;&gt;0,RANK(AF4,AF$4:AF$7)-1,5)</f>
        <v>0</v>
      </c>
      <c r="AH4" s="92">
        <f ca="1">IF(Y4&lt;&gt;0,SUMPRODUCT((AF$4:AF$7=AF4)*(AE$4:AE$7&gt;AE4)),5)</f>
        <v>0</v>
      </c>
      <c r="AI4" s="92">
        <f ca="1">IF(Y4&lt;&gt;0,SUMPRODUCT(($AF$4:$AF$7=AF4)*($AE$4:$AE$7=AE4)*($AC$4:$AC$7&gt;AC4)),5)</f>
        <v>0</v>
      </c>
      <c r="AJ4" s="92">
        <f ca="1">IF(Y4&lt;&gt;0,SUMPRODUCT(($AF4:$AF7=AF4)*($AE4:$AE7=AE4)*($AC4:$AC7=AC4)*($AK4:$AK7&lt;AK4)),5)</f>
        <v>0</v>
      </c>
      <c r="AK4" s="92">
        <f ca="1">IF(AL4=0,0,VLOOKUP(Y4,Tournament!AJ$13:AK$16,2,FALSE))</f>
        <v>0</v>
      </c>
      <c r="AL4" s="92">
        <f ca="1">IF(Y4&lt;&gt;0,IF(SUM(AG4:AI4)=SUM(AG5:AI5),1,0),0)</f>
        <v>1</v>
      </c>
      <c r="AM4" s="92">
        <f ca="1">IF(AN4&lt;&gt;0,1,0)</f>
        <v>1</v>
      </c>
      <c r="AN4" s="92" t="str">
        <f ca="1">IF(AL4=1,Y4,0)</f>
        <v>Brazil</v>
      </c>
      <c r="AO4" s="92">
        <v>1</v>
      </c>
      <c r="AP4" s="92" t="str">
        <f ca="1">IF(AND(Tournament!J14&lt;&gt;"",Tournament!L14&lt;&gt;""),IF(Tournament!J14&gt;Tournament!L14,Tournament!H14,""),"")</f>
        <v/>
      </c>
      <c r="AQ4" s="92" t="str">
        <f ca="1">IF(AND(Tournament!J14&lt;&gt;"",Tournament!L14&lt;&gt;""),IF(Tournament!J14=Tournament!L14,Tournament!H14,""),"")</f>
        <v/>
      </c>
      <c r="AR4" s="92" t="str">
        <f ca="1">IF(AND(Tournament!J14&lt;&gt;"",Tournament!L14&lt;&gt;""),IF(Tournament!J14&gt;Tournament!L14,Tournament!N14,""),"")</f>
        <v/>
      </c>
      <c r="AS4" s="92">
        <f ca="1">IF(AND(Tournament!J14&lt;&gt;"",Tournament!L14&lt;&gt;""),Tournament!J14,0)</f>
        <v>0</v>
      </c>
      <c r="AT4" s="92" t="str">
        <f ca="1">IF(AND(Tournament!J14&lt;&gt;"",Tournament!L14&lt;&gt;""),IF(Tournament!J14&lt;Tournament!L14,Tournament!N14,""),"")</f>
        <v/>
      </c>
      <c r="AU4" s="92" t="str">
        <f ca="1">IF(AND(Tournament!J14&lt;&gt;"",Tournament!L14&lt;&gt;""),IF(Tournament!J14=Tournament!L14,Tournament!N14,""),"")</f>
        <v/>
      </c>
      <c r="AV4" s="92" t="str">
        <f ca="1">IF(AND(Tournament!J14&lt;&gt;"",Tournament!L14&lt;&gt;""),IF(Tournament!J14&lt;Tournament!L14,Tournament!H14,""),"")</f>
        <v/>
      </c>
      <c r="AW4" s="92">
        <f ca="1">IF(AND(Tournament!J14&lt;&gt;"",Tournament!L14&lt;&gt;""),Tournament!L14,0)</f>
        <v>0</v>
      </c>
      <c r="AX4" s="92">
        <v>1</v>
      </c>
      <c r="AY4" s="92" t="str">
        <f ca="1">IF(AND(COUNTIF($Y$4:$Y$60,AP4)=1,COUNTIF($Y$4:$Y$60,AR4)=1),AP4,"")</f>
        <v/>
      </c>
      <c r="AZ4" s="92" t="str">
        <f ca="1">IF(AND(COUNTIF($Y$4:$Y$60,AQ4)=1,COUNTIF($Y$4:$Y$60,AU4)=1),AQ4,"")</f>
        <v/>
      </c>
      <c r="BA4" s="92" t="str">
        <f ca="1">IF(AND(COUNTIF($Y$4:$Y$60,AR4)=1,COUNTIF($Y$4:$Y$60,AP4)=1),AR4,"")</f>
        <v/>
      </c>
      <c r="BB4" s="92" t="str">
        <f ca="1">IF(AND(COUNTIF($Y$4:$Y$60,AT4)=1,COUNTIF($Y$4:$Y$60,AV4)=1),AT4,"")</f>
        <v/>
      </c>
      <c r="BC4" s="92" t="str">
        <f ca="1">IF(AND(COUNTIF($Y$4:$Y$60,AU4)=1,COUNTIF($Y$4:$Y$60,AQ4)=1),AU4,"")</f>
        <v/>
      </c>
      <c r="BD4" s="92" t="str">
        <f ca="1">IF(AND(COUNTIF($Y$4:$Y$60,AV4)=1,COUNTIF($Y$4:$Y$60,AT4)=1),AV4,"")</f>
        <v/>
      </c>
      <c r="BE4" s="92">
        <v>2</v>
      </c>
      <c r="BF4" s="92" t="str">
        <f>Tournament!H15</f>
        <v>Mexico</v>
      </c>
      <c r="BG4" s="92" t="str">
        <f ca="1">IF(AND(Tournament!J15&lt;&gt;"",Tournament!L15&lt;&gt;""),Tournament!J15,"")</f>
        <v/>
      </c>
      <c r="BH4" s="92" t="str">
        <f ca="1">IF(AND(Tournament!L15&lt;&gt;"",Tournament!J15&lt;&gt;""),Tournament!L15,"")</f>
        <v/>
      </c>
      <c r="BI4" s="92" t="str">
        <f>Tournament!N15</f>
        <v>Cameroon</v>
      </c>
    </row>
    <row r="5" spans="1:61">
      <c r="A5" s="92">
        <f ca="1">K5+L5+M5+N5</f>
        <v>2</v>
      </c>
      <c r="B5" s="92" t="str">
        <f>Tournament!N14</f>
        <v>Croatia</v>
      </c>
      <c r="C5" s="92">
        <f ca="1">SUMIF(AP$4:AP$60,B5,AX$4:AX$60)+SUMIF(AT$4:AT$60,B5,AX$4:AX$60)</f>
        <v>0</v>
      </c>
      <c r="D5" s="92">
        <f ca="1">SUMIF(AQ$4:AQ$60,B5,AX$4:AX$60)+SUMIF(AU$4:AU$60,B5,AX$4:AX$60)</f>
        <v>0</v>
      </c>
      <c r="E5" s="92">
        <f ca="1">SUMIF(AR$4:AR$60,B5,AX$4:AX$60)+SUMIF(AV$4:AV$60,B5,AX$4:AX$60)</f>
        <v>0</v>
      </c>
      <c r="F5" s="92">
        <f ca="1">SUMIF($BF$3:$BF$60,B5,$BG$3:$BG$60)+SUMIF($BI$3:$BI$60,B5,$BH$3:$BH$60)</f>
        <v>0</v>
      </c>
      <c r="G5" s="92">
        <f ca="1">SUMIF($BI$3:$BI$60,B5,$BG$3:$BG$60)+SUMIF($BF$3:$BF$60,B5,$BH$3:$BH$60)</f>
        <v>0</v>
      </c>
      <c r="H5" s="92">
        <f ca="1">F5-G5+100</f>
        <v>100</v>
      </c>
      <c r="I5" s="127">
        <f ca="1">C5*3+D5</f>
        <v>0</v>
      </c>
      <c r="J5" s="92">
        <v>18</v>
      </c>
      <c r="K5" s="92">
        <f ca="1">RANK(I5,I$4:I$7)</f>
        <v>1</v>
      </c>
      <c r="L5" s="92">
        <f ca="1">SUMPRODUCT((I$4:I$7=I5)*(H$4:H$7&gt;H5))</f>
        <v>0</v>
      </c>
      <c r="M5" s="92">
        <f ca="1">SUMPRODUCT((I$4:I$7=I5)*(H$4:H$7=H5)*(F$4:F$7&gt;F5))</f>
        <v>0</v>
      </c>
      <c r="N5" s="92">
        <f ca="1">SUMPRODUCT((I$4:I$7=I5)*(H$4:H$7=H5)*(F$4:F$7=F5)*(J$4:J$7&lt;J5))</f>
        <v>1</v>
      </c>
      <c r="O5" s="92">
        <f ca="1">IF(SUM(AG4:AI7)=0,IF(COUNTIF(AJ4:AJ7,0)&gt;1,2,AJ5+1),IF(AND(X4=1,X5=3,Y4&lt;&gt;0,Y5&lt;&gt;0,Y6=0,Y7=0),2,IF(AND(X4=2,X5=2,Y4&lt;&gt;0,Y5&lt;&gt;0,Y6=0,Y7=0),1,IF(AND(X5=4,AI5=2),3,X5))))</f>
        <v>2</v>
      </c>
      <c r="P5" s="92" t="str">
        <f ca="1">VLOOKUP(2,A$4:B$7,2,FALSE)</f>
        <v>Croatia</v>
      </c>
      <c r="Q5" s="92">
        <f ca="1">SUMIF(B$4:B$60,P5,F$4:F$60)</f>
        <v>0</v>
      </c>
      <c r="R5" s="92">
        <f ca="1">SUMIF(B$4:B$60,P5,H$4:H$60)</f>
        <v>100</v>
      </c>
      <c r="S5" s="127">
        <f ca="1">SUMIF($B$4:$B$60,$P5,I$4:I$60)</f>
        <v>0</v>
      </c>
      <c r="T5" s="92">
        <f ca="1">SUMIF($B$4:$B$60,$P5,A$4:A$60)</f>
        <v>2</v>
      </c>
      <c r="U5" s="92">
        <f t="shared" ca="1" si="0"/>
        <v>0</v>
      </c>
      <c r="V5" s="92">
        <f t="shared" ca="1" si="0"/>
        <v>0</v>
      </c>
      <c r="W5" s="92">
        <f ca="1">SUMIF($B$4:$B$60,$P5,J$4:J$60)</f>
        <v>18</v>
      </c>
      <c r="X5" s="92">
        <f ca="1">IF(Y5=0,T5,T5+AG5+AH5+AI5+AJ5)</f>
        <v>2</v>
      </c>
      <c r="Y5" s="92" t="str">
        <f ca="1">IF(OR(AND(S4=S5,R4=R5,Q4=Q5),AND(S6=S5,R6=R5,Q6=Q5)),P5,0)</f>
        <v>Croatia</v>
      </c>
      <c r="Z5" s="92">
        <f ca="1">SUMIF($AY$4:$AY$60,$Y5,$AX$4:$AX$60)+SUMIF($BB$4:$BB$60,$Y5,$AX$4:$AX$60)</f>
        <v>0</v>
      </c>
      <c r="AA5" s="92">
        <f ca="1">SUMIF($AZ$4:$AZ$60,$Y5,$AX$4:$AX$60)+SUMIF($BC$4:$BC$60,$Y5,$AX$4:$AX$60)</f>
        <v>0</v>
      </c>
      <c r="AB5" s="92">
        <f ca="1">SUMIF($BA$4:$BA$60,$Y5,$AX$4:$AX$60)+SUMIF($BD$4:$BD$60,$Y5,$AX$4:$AX$60)</f>
        <v>0</v>
      </c>
      <c r="AC5" s="92">
        <f ca="1">SUMIF(AY$4:AY$60,Y5,AS$4:AS$60)+SUMIF(BB$4:BB$60,Y5,AW$4:AW$60)+SUMIF(AZ$4:AZ$60,Y5,AS$4:AS$60)+SUMIF(BC$4:BC$60,Y5,AW$4:AW$60)</f>
        <v>0</v>
      </c>
      <c r="AD5" s="92">
        <f ca="1">SUMIF(BA$4:BA$60,Y5,AS$4:AS$60)+SUMIF(BD$4:BD$60,Y5,AW$4:AW$60)+SUMIF(AZ$4:AZ$60,Y5,AS$4:AS$60)+SUMIF(BC$4:BC$60,Y5,AW$4:AW$60)</f>
        <v>0</v>
      </c>
      <c r="AE5" s="92">
        <f ca="1">AC5-AD5+100</f>
        <v>100</v>
      </c>
      <c r="AF5" s="127">
        <f ca="1">IF(Y5&lt;&gt;0,Z5*3+AA5,"")</f>
        <v>0</v>
      </c>
      <c r="AG5" s="92">
        <f ca="1">IF(Y5&lt;&gt;0,RANK(AF5,AF$4:AF$7)-1,5)</f>
        <v>0</v>
      </c>
      <c r="AH5" s="92">
        <f ca="1">IF(Y5&lt;&gt;0,SUMPRODUCT((AF$4:AF$7=AF5)*(AE$4:AE$7&gt;AE5)),5)</f>
        <v>0</v>
      </c>
      <c r="AI5" s="92">
        <f ca="1">IF(Y5&lt;&gt;0,SUMPRODUCT(($AF$4:$AF$7=AF5)*($AE$4:$AE$7=AE5)*($AC$4:$AC$7&gt;AC5)),5)</f>
        <v>0</v>
      </c>
      <c r="AJ5" s="92">
        <f ca="1">IF(Y5&lt;&gt;0,SUMPRODUCT(($AF4:$AF7=AF5)*($AE4:$AE7=AE5)*($AC4:$AC7=AC5)*($AK4:$AK7&lt;AK5)),5)</f>
        <v>0</v>
      </c>
      <c r="AK5" s="92">
        <f ca="1">IF(AL5=0,0,VLOOKUP(Y5,Tournament!AJ$13:AK$16,2,FALSE))</f>
        <v>0</v>
      </c>
      <c r="AL5" s="92">
        <f ca="1">IF(Y5&lt;&gt;0,IF(OR(SUM(AG5:AI5)=SUM(AG4:AI4),SUM(AG5:AI5)=SUM(AG6:AI6)),1,0),0)</f>
        <v>1</v>
      </c>
      <c r="AM5" s="92">
        <f ca="1">IF(AN5&lt;&gt;0,AM4+1,AM4)</f>
        <v>2</v>
      </c>
      <c r="AN5" s="92" t="str">
        <f ca="1">IF(AL5=1,Y5,0)</f>
        <v>Croatia</v>
      </c>
      <c r="AO5" s="92">
        <v>2</v>
      </c>
      <c r="AP5" s="92" t="str">
        <f ca="1">IF(AND(Tournament!J15&lt;&gt;"",Tournament!L15&lt;&gt;""),IF(Tournament!J15&gt;Tournament!L15,Tournament!H15,""),"")</f>
        <v/>
      </c>
      <c r="AQ5" s="92" t="str">
        <f ca="1">IF(AND(Tournament!J15&lt;&gt;"",Tournament!L15&lt;&gt;""),IF(Tournament!J15=Tournament!L15,Tournament!H15,""),"")</f>
        <v/>
      </c>
      <c r="AR5" s="92" t="str">
        <f ca="1">IF(AND(Tournament!J15&lt;&gt;"",Tournament!L15&lt;&gt;""),IF(Tournament!J15&gt;Tournament!L15,Tournament!N15,""),"")</f>
        <v/>
      </c>
      <c r="AS5" s="92">
        <f ca="1">IF(AND(Tournament!J15&lt;&gt;"",Tournament!L15&lt;&gt;""),Tournament!J15,0)</f>
        <v>0</v>
      </c>
      <c r="AT5" s="92" t="str">
        <f ca="1">IF(AND(Tournament!J15&lt;&gt;"",Tournament!L15&lt;&gt;""),IF(Tournament!J15&lt;Tournament!L15,Tournament!N15,""),"")</f>
        <v/>
      </c>
      <c r="AU5" s="92" t="str">
        <f ca="1">IF(AND(Tournament!J15&lt;&gt;"",Tournament!L15&lt;&gt;""),IF(Tournament!J15=Tournament!L15,Tournament!N15,""),"")</f>
        <v/>
      </c>
      <c r="AV5" s="92" t="str">
        <f ca="1">IF(AND(Tournament!J15&lt;&gt;"",Tournament!L15&lt;&gt;""),IF(Tournament!J15&lt;Tournament!L15,Tournament!H15,""),"")</f>
        <v/>
      </c>
      <c r="AW5" s="92">
        <f ca="1">IF(AND(Tournament!J15&lt;&gt;"",Tournament!L15&lt;&gt;""),Tournament!L15,0)</f>
        <v>0</v>
      </c>
      <c r="AX5" s="92">
        <v>1</v>
      </c>
      <c r="AY5" s="92" t="str">
        <f t="shared" ref="AY5:AY51" ca="1" si="1">IF(AND(COUNTIF($Y$4:$Y$60,AP5)=1,COUNTIF($Y$4:$Y$60,AR5)=1),AP5,"")</f>
        <v/>
      </c>
      <c r="AZ5" s="92" t="str">
        <f t="shared" ref="AZ5:AZ51" ca="1" si="2">IF(AND(COUNTIF($Y$4:$Y$60,AQ5)=1,COUNTIF($Y$4:$Y$60,AU5)=1),AQ5,"")</f>
        <v/>
      </c>
      <c r="BA5" s="92" t="str">
        <f t="shared" ref="BA5:BA51" ca="1" si="3">IF(AND(COUNTIF($Y$4:$Y$60,AR5)=1,COUNTIF($Y$4:$Y$60,AP5)=1),AR5,"")</f>
        <v/>
      </c>
      <c r="BB5" s="92" t="str">
        <f t="shared" ref="BB5:BB51" ca="1" si="4">IF(AND(COUNTIF($Y$4:$Y$60,AT5)=1,COUNTIF($Y$4:$Y$60,AV5)=1),AT5,"")</f>
        <v/>
      </c>
      <c r="BC5" s="92" t="str">
        <f t="shared" ref="BC5:BC51" ca="1" si="5">IF(AND(COUNTIF($Y$4:$Y$60,AU5)=1,COUNTIF($Y$4:$Y$60,AQ5)=1),AU5,"")</f>
        <v/>
      </c>
      <c r="BD5" s="92" t="str">
        <f t="shared" ref="BD5:BD51" ca="1" si="6">IF(AND(COUNTIF($Y$4:$Y$60,AV5)=1,COUNTIF($Y$4:$Y$60,AT5)=1),AV5,"")</f>
        <v/>
      </c>
      <c r="BE5" s="92">
        <v>3</v>
      </c>
      <c r="BF5" s="92" t="str">
        <f>Tournament!H16</f>
        <v>Spain</v>
      </c>
      <c r="BG5" s="92" t="str">
        <f ca="1">IF(AND(Tournament!J16&lt;&gt;"",Tournament!L16&lt;&gt;""),Tournament!J16,"")</f>
        <v/>
      </c>
      <c r="BH5" s="92" t="str">
        <f ca="1">IF(AND(Tournament!L16&lt;&gt;"",Tournament!J16&lt;&gt;""),Tournament!L16,"")</f>
        <v/>
      </c>
      <c r="BI5" s="92" t="str">
        <f>Tournament!N16</f>
        <v>Netherlands</v>
      </c>
    </row>
    <row r="6" spans="1:61">
      <c r="A6" s="92">
        <f ca="1">K6+L6+M6+N6</f>
        <v>3</v>
      </c>
      <c r="B6" s="92" t="str">
        <f>Tournament!H15</f>
        <v>Mexico</v>
      </c>
      <c r="C6" s="92">
        <f ca="1">SUMIF(AP$4:AP$60,B6,AX$4:AX$60)+SUMIF(AT$4:AT$60,B6,AX$4:AX$60)</f>
        <v>0</v>
      </c>
      <c r="D6" s="92">
        <f ca="1">SUMIF(AQ$4:AQ$60,B6,AX$4:AX$60)+SUMIF(AU$4:AU$60,B6,AX$4:AX$60)</f>
        <v>0</v>
      </c>
      <c r="E6" s="92">
        <f ca="1">SUMIF(AR$4:AR$60,B6,AX$4:AX$60)+SUMIF(AV$4:AV$60,B6,AX$4:AX$60)</f>
        <v>0</v>
      </c>
      <c r="F6" s="92">
        <f ca="1">SUMIF($BF$3:$BF$60,B6,$BG$3:$BG$60)+SUMIF($BI$3:$BI$60,B6,$BH$3:$BH$60)</f>
        <v>0</v>
      </c>
      <c r="G6" s="92">
        <f ca="1">SUMIF($BI$3:$BI$60,B6,$BG$3:$BG$60)+SUMIF($BF$3:$BF$60,B6,$BH$3:$BH$60)</f>
        <v>0</v>
      </c>
      <c r="H6" s="92">
        <f ca="1">F6-G6+100</f>
        <v>100</v>
      </c>
      <c r="I6" s="127">
        <f ca="1">C6*3+D6</f>
        <v>0</v>
      </c>
      <c r="J6" s="92">
        <v>23</v>
      </c>
      <c r="K6" s="92">
        <f ca="1">RANK(I6,I$4:I$7)</f>
        <v>1</v>
      </c>
      <c r="L6" s="92">
        <f ca="1">SUMPRODUCT((I$4:I$7=I6)*(H$4:H$7&gt;H6))</f>
        <v>0</v>
      </c>
      <c r="M6" s="92">
        <f ca="1">SUMPRODUCT((I$4:I$7=I6)*(H$4:H$7=H6)*(F$4:F$7&gt;F6))</f>
        <v>0</v>
      </c>
      <c r="N6" s="92">
        <f ca="1">SUMPRODUCT((I$4:I$7=I6)*(H$4:H$7=H6)*(F$4:F$7=F6)*(J$4:J$7&lt;J6))</f>
        <v>2</v>
      </c>
      <c r="O6" s="92">
        <f ca="1">IF(SUM(AG4:AI7)=0,IF(COUNTIF(AJ4:AJ7,0)&gt;1,3,AJ6+1),IF(AND(X5=3,X6=3,Y4=0,Y5&lt;&gt;0,Y6&lt;&gt;0),2,IF(OR(X6=5,X6=4),3,IF(X6=6,4,IF(AND(X5=4,X4=1,Y6&lt;&gt;""),2,IF(AND(AI6=0,AI5=1,AI4=1,Y6&lt;&gt;""),1,X6))))))</f>
        <v>3</v>
      </c>
      <c r="P6" s="92" t="str">
        <f ca="1">VLOOKUP(3,A$4:B$7,2,FALSE)</f>
        <v>Mexico</v>
      </c>
      <c r="Q6" s="92">
        <f ca="1">SUMIF(B$4:B$60,P6,F$4:F$60)</f>
        <v>0</v>
      </c>
      <c r="R6" s="92">
        <f ca="1">SUMIF(B$4:B$60,P6,H$4:H$60)</f>
        <v>100</v>
      </c>
      <c r="S6" s="127">
        <f ca="1">SUMIF($B$4:$B$60,$P6,I$4:I$60)</f>
        <v>0</v>
      </c>
      <c r="T6" s="92">
        <f ca="1">SUMIF($B$4:$B$60,$P6,A$4:A$60)</f>
        <v>3</v>
      </c>
      <c r="U6" s="92">
        <f t="shared" ca="1" si="0"/>
        <v>0</v>
      </c>
      <c r="V6" s="92">
        <f t="shared" ca="1" si="0"/>
        <v>0</v>
      </c>
      <c r="W6" s="92">
        <f ca="1">SUMIF($B$4:$B$60,$P6,J$4:J$60)</f>
        <v>23</v>
      </c>
      <c r="X6" s="92">
        <f ca="1">IF(Y6=0,T6,T6+AG6+AH6+AI6+AJ6)</f>
        <v>3</v>
      </c>
      <c r="Y6" s="92" t="str">
        <f ca="1">IF(OR(AND(S5=S6,R5=R6,Q5=Q6),AND(S7=S6,S6=S5,R7=R6,R6=R5,Q7=Q6,Q6=Q5)),P6,0)</f>
        <v>Mexico</v>
      </c>
      <c r="Z6" s="92">
        <f ca="1">SUMIF($AY$4:$AY$60,$Y6,$AX$4:$AX$60)+SUMIF($BB$4:$BB$60,$Y6,$AX$4:$AX$60)</f>
        <v>0</v>
      </c>
      <c r="AA6" s="92">
        <f ca="1">SUMIF($AZ$4:$AZ$60,$Y6,$AX$4:$AX$60)+SUMIF($BC$4:$BC$60,$Y6,$AX$4:$AX$60)</f>
        <v>0</v>
      </c>
      <c r="AB6" s="92">
        <f ca="1">SUMIF($BA$4:$BA$60,$Y6,$AX$4:$AX$60)+SUMIF($BD$4:$BD$60,$Y6,$AX$4:$AX$60)</f>
        <v>0</v>
      </c>
      <c r="AC6" s="92">
        <f ca="1">SUMIF(AY$4:AY$60,Y6,AS$4:AS$60)+SUMIF(BB$4:BB$60,Y6,AW$4:AW$60)+SUMIF(AZ$4:AZ$60,Y6,AS$4:AS$60)+SUMIF(BC$4:BC$60,Y6,AW$4:AW$60)</f>
        <v>0</v>
      </c>
      <c r="AD6" s="92">
        <f ca="1">SUMIF(BA$4:BA$60,Y6,AS$4:AS$60)+SUMIF(BD$4:BD$60,Y6,AW$4:AW$60)+SUMIF(AZ$4:AZ$60,Y6,AS$4:AS$60)+SUMIF(BC$4:BC$60,Y6,AW$4:AW$60)</f>
        <v>0</v>
      </c>
      <c r="AE6" s="92">
        <f ca="1">AC6-AD6+100</f>
        <v>100</v>
      </c>
      <c r="AF6" s="127">
        <f ca="1">IF(Y6&lt;&gt;0,Z6*3+AA6,"")</f>
        <v>0</v>
      </c>
      <c r="AG6" s="92">
        <f ca="1">IF(Y6&lt;&gt;0,RANK(AF6,AF$4:AF$7)-1,5)</f>
        <v>0</v>
      </c>
      <c r="AH6" s="92">
        <f ca="1">IF(Y6&lt;&gt;0,SUMPRODUCT((AF$4:AF$7=AF6)*(AE$4:AE$7&gt;AE6)),5)</f>
        <v>0</v>
      </c>
      <c r="AI6" s="92">
        <f ca="1">IF(Y6&lt;&gt;0,SUMPRODUCT(($AF$4:$AF$7=AF6)*($AE$4:$AE$7=AE6)*($AC$4:$AC$7&gt;AC6)),5)</f>
        <v>0</v>
      </c>
      <c r="AJ6" s="92">
        <f ca="1">IF(Y6&lt;&gt;0,SUMPRODUCT(($AF4:$AF7=AF6)*($AE4:$AE7=AE6)*($AC4:$AC7=AC6)*($AK4:$AK7&lt;AK6)),5)</f>
        <v>0</v>
      </c>
      <c r="AK6" s="92">
        <f ca="1">IF(AL6=0,0,VLOOKUP(Y6,Tournament!AJ$13:AK$16,2,FALSE))</f>
        <v>0</v>
      </c>
      <c r="AL6" s="92">
        <f ca="1">IF(Y6&lt;&gt;0,IF(OR(SUM(AG6:AI6)=SUM(AG5:AI5),SUM(AG6:AI6)=SUM(AG7:AI7)),1,0),0)</f>
        <v>1</v>
      </c>
      <c r="AM6" s="92">
        <f ca="1">IF(AN6&lt;&gt;0,AM5+1,AM5)</f>
        <v>3</v>
      </c>
      <c r="AN6" s="92" t="str">
        <f ca="1">IF(AL6=1,Y6,0)</f>
        <v>Mexico</v>
      </c>
      <c r="AO6" s="92">
        <v>3</v>
      </c>
      <c r="AP6" s="92" t="str">
        <f ca="1">IF(AND(Tournament!J16&lt;&gt;"",Tournament!L16&lt;&gt;""),IF(Tournament!J16&gt;Tournament!L16,Tournament!H16,""),"")</f>
        <v/>
      </c>
      <c r="AQ6" s="92" t="str">
        <f ca="1">IF(AND(Tournament!J16&lt;&gt;"",Tournament!L16&lt;&gt;""),IF(Tournament!J16=Tournament!L16,Tournament!H16,""),"")</f>
        <v/>
      </c>
      <c r="AR6" s="92" t="str">
        <f ca="1">IF(AND(Tournament!J16&lt;&gt;"",Tournament!L16&lt;&gt;""),IF(Tournament!J16&gt;Tournament!L16,Tournament!N16,""),"")</f>
        <v/>
      </c>
      <c r="AS6" s="92">
        <f ca="1">IF(AND(Tournament!J16&lt;&gt;"",Tournament!L16&lt;&gt;""),Tournament!J16,0)</f>
        <v>0</v>
      </c>
      <c r="AT6" s="92" t="str">
        <f ca="1">IF(AND(Tournament!J16&lt;&gt;"",Tournament!L16&lt;&gt;""),IF(Tournament!J16&lt;Tournament!L16,Tournament!N16,""),"")</f>
        <v/>
      </c>
      <c r="AU6" s="92" t="str">
        <f ca="1">IF(AND(Tournament!J16&lt;&gt;"",Tournament!L16&lt;&gt;""),IF(Tournament!J16=Tournament!L16,Tournament!N16,""),"")</f>
        <v/>
      </c>
      <c r="AV6" s="92" t="str">
        <f ca="1">IF(AND(Tournament!J16&lt;&gt;"",Tournament!L16&lt;&gt;""),IF(Tournament!J16&lt;Tournament!L16,Tournament!H16,""),"")</f>
        <v/>
      </c>
      <c r="AW6" s="92">
        <f ca="1">IF(AND(Tournament!J16&lt;&gt;"",Tournament!L16&lt;&gt;""),Tournament!L16,0)</f>
        <v>0</v>
      </c>
      <c r="AX6" s="92">
        <v>1</v>
      </c>
      <c r="AY6" s="92" t="str">
        <f t="shared" ca="1" si="1"/>
        <v/>
      </c>
      <c r="AZ6" s="92" t="str">
        <f t="shared" ca="1" si="2"/>
        <v/>
      </c>
      <c r="BA6" s="92" t="str">
        <f t="shared" ca="1" si="3"/>
        <v/>
      </c>
      <c r="BB6" s="92" t="str">
        <f t="shared" ca="1" si="4"/>
        <v/>
      </c>
      <c r="BC6" s="92" t="str">
        <f t="shared" ca="1" si="5"/>
        <v/>
      </c>
      <c r="BD6" s="92" t="str">
        <f t="shared" ca="1" si="6"/>
        <v/>
      </c>
      <c r="BE6" s="92">
        <v>4</v>
      </c>
      <c r="BF6" s="92" t="str">
        <f>Tournament!H17</f>
        <v>Chile</v>
      </c>
      <c r="BG6" s="92" t="str">
        <f ca="1">IF(AND(Tournament!J17&lt;&gt;"",Tournament!L17&lt;&gt;""),Tournament!J17,"")</f>
        <v/>
      </c>
      <c r="BH6" s="92" t="str">
        <f ca="1">IF(AND(Tournament!L17&lt;&gt;"",Tournament!J17&lt;&gt;""),Tournament!L17,"")</f>
        <v/>
      </c>
      <c r="BI6" s="92" t="str">
        <f>Tournament!N17</f>
        <v>Australia</v>
      </c>
    </row>
    <row r="7" spans="1:61">
      <c r="A7" s="92">
        <f ca="1">K7+L7+M7+N7</f>
        <v>4</v>
      </c>
      <c r="B7" s="92" t="str">
        <f>Tournament!N15</f>
        <v>Cameroon</v>
      </c>
      <c r="C7" s="92">
        <f ca="1">SUMIF(AP$4:AP$60,B7,AX$4:AX$60)+SUMIF(AT$4:AT$60,B7,AX$4:AX$60)</f>
        <v>0</v>
      </c>
      <c r="D7" s="92">
        <f ca="1">SUMIF(AQ$4:AQ$60,B7,AX$4:AX$60)+SUMIF(AU$4:AU$60,B7,AX$4:AX$60)</f>
        <v>0</v>
      </c>
      <c r="E7" s="92">
        <f ca="1">SUMIF(AR$4:AR$60,B7,AX$4:AX$60)+SUMIF(AV$4:AV$60,B7,AX$4:AX$60)</f>
        <v>0</v>
      </c>
      <c r="F7" s="92">
        <f ca="1">SUMIF($BF$3:$BF$60,B7,$BG$3:$BG$60)+SUMIF($BI$3:$BI$60,B7,$BH$3:$BH$60)</f>
        <v>0</v>
      </c>
      <c r="G7" s="92">
        <f ca="1">SUMIF($BI$3:$BI$60,B7,$BG$3:$BG$60)+SUMIF($BF$3:$BF$60,B7,$BH$3:$BH$60)</f>
        <v>0</v>
      </c>
      <c r="H7" s="92">
        <f ca="1">F7-G7+100</f>
        <v>100</v>
      </c>
      <c r="I7" s="127">
        <f ca="1">C7*3+D7</f>
        <v>0</v>
      </c>
      <c r="J7" s="92">
        <v>32</v>
      </c>
      <c r="K7" s="92">
        <f ca="1">RANK(I7,I$4:I$7)</f>
        <v>1</v>
      </c>
      <c r="L7" s="92">
        <f ca="1">SUMPRODUCT((I$4:I$7=I7)*(H$4:H$7&gt;H7))</f>
        <v>0</v>
      </c>
      <c r="M7" s="92">
        <f ca="1">SUMPRODUCT((I$4:I$7=I7)*(H$4:H$7=H7)*(F$4:F$7&gt;F7))</f>
        <v>0</v>
      </c>
      <c r="N7" s="92">
        <f ca="1">SUMPRODUCT((I$4:I$7=I7)*(H$4:H$7=H7)*(F$4:F$7=F7)*(J$4:J$7&lt;J7))</f>
        <v>3</v>
      </c>
      <c r="O7" s="92">
        <f ca="1">IF(SUM(AG4:AI7)=0,IF(COUNTIF(AJ4:AJ7,0)&gt;1,4,AJ7+1),IF(X7=X6,IF(X7=3,4,X7),IF(X7=5,3,IF(X7=6,4,X7))))</f>
        <v>4</v>
      </c>
      <c r="P7" s="92" t="str">
        <f ca="1">VLOOKUP(4,A$4:B$7,2,FALSE)</f>
        <v>Cameroon</v>
      </c>
      <c r="Q7" s="92">
        <f ca="1">SUMIF(B$4:B$60,P7,F$4:F$60)</f>
        <v>0</v>
      </c>
      <c r="R7" s="92">
        <f ca="1">SUMIF(B$4:B$60,P7,H$4:H$60)</f>
        <v>100</v>
      </c>
      <c r="S7" s="127">
        <f ca="1">SUMIF($B$4:$B$60,$P7,I$4:I$60)</f>
        <v>0</v>
      </c>
      <c r="T7" s="92">
        <f ca="1">SUMIF($B$4:$B$60,$P7,A$4:A$60)</f>
        <v>4</v>
      </c>
      <c r="U7" s="92">
        <f t="shared" ca="1" si="0"/>
        <v>0</v>
      </c>
      <c r="V7" s="92">
        <f t="shared" ca="1" si="0"/>
        <v>0</v>
      </c>
      <c r="W7" s="92">
        <f ca="1">SUMIF($B$4:$B$60,$P7,J$4:J$60)</f>
        <v>32</v>
      </c>
      <c r="X7" s="92">
        <f ca="1">IF(Y7=0,T7,T7+AG7+AH7+AI7+AJ7)</f>
        <v>4</v>
      </c>
      <c r="Y7" s="92" t="str">
        <f ca="1">IF(AND(S6=S7,S6=S5,R6=R7,R6=R5,Q6=Q7,Q6=Q5),P7,0)</f>
        <v>Cameroon</v>
      </c>
      <c r="Z7" s="92">
        <f ca="1">SUMIF($AY$4:$AY$60,$Y7,$AX$4:$AX$60)+SUMIF($BB$4:$BB$60,$Y7,$AX$4:$AX$60)</f>
        <v>0</v>
      </c>
      <c r="AA7" s="92">
        <f ca="1">SUMIF($AZ$4:$AZ$60,$Y7,$AX$4:$AX$60)+SUMIF($BC$4:$BC$60,$Y7,$AX$4:$AX$60)</f>
        <v>0</v>
      </c>
      <c r="AB7" s="92">
        <f ca="1">SUMIF($BA$4:$BA$60,$Y7,$AX$4:$AX$60)+SUMIF($BD$4:$BD$60,$Y7,$AX$4:$AX$60)</f>
        <v>0</v>
      </c>
      <c r="AC7" s="92">
        <f ca="1">SUMIF(AY$4:AY$60,Y7,AS$4:AS$60)+SUMIF(BB$4:BB$60,Y7,AW$4:AW$60)+SUMIF(AZ$4:AZ$60,Y7,AS$4:AS$60)+SUMIF(BC$4:BC$60,Y7,AW$4:AW$60)</f>
        <v>0</v>
      </c>
      <c r="AD7" s="92">
        <f ca="1">SUMIF(BA$4:BA$60,Y7,AS$4:AS$60)+SUMIF(BD$4:BD$60,Y7,AW$4:AW$60)+SUMIF(AZ$4:AZ$60,Y7,AS$4:AS$60)+SUMIF(BC$4:BC$60,Y7,AW$4:AW$60)</f>
        <v>0</v>
      </c>
      <c r="AE7" s="92">
        <f ca="1">AC7-AD7+100</f>
        <v>100</v>
      </c>
      <c r="AF7" s="127">
        <f ca="1">IF(Y7&lt;&gt;0,Z7*3+AA7,"")</f>
        <v>0</v>
      </c>
      <c r="AG7" s="92">
        <f ca="1">IF(Y7&lt;&gt;0,RANK(AF7,AF$4:AF$7)-1,5)</f>
        <v>0</v>
      </c>
      <c r="AH7" s="92">
        <f ca="1">IF(Y7&lt;&gt;0,SUMPRODUCT((AF$4:AF$7=AF7)*(AE$4:AE$7&gt;AE7)),5)</f>
        <v>0</v>
      </c>
      <c r="AI7" s="92">
        <f ca="1">IF(Y7&lt;&gt;0,SUMPRODUCT(($AF$4:$AF$7=AF7)*($AE$4:$AE$7=AE7)*($AC$4:$AC$7&gt;AC7)),5)</f>
        <v>0</v>
      </c>
      <c r="AJ7" s="92">
        <f ca="1">IF(Y7&lt;&gt;0,SUMPRODUCT(($AF4:$AF7=AF7)*($AE4:$AE7=AE7)*($AC4:$AC7=AC7)*($AK4:$AK7&lt;AK7)),5)</f>
        <v>0</v>
      </c>
      <c r="AK7" s="92">
        <f ca="1">IF(AL7=0,0,VLOOKUP(Y7,Tournament!AJ$13:AK$16,2,FALSE))</f>
        <v>0</v>
      </c>
      <c r="AL7" s="92">
        <f ca="1">IF(Y7&lt;&gt;0,IF(SUM(AG7:AI7)=SUM(AG6:AI6),1,0),0)</f>
        <v>1</v>
      </c>
      <c r="AM7" s="92">
        <f ca="1">IF(AN7&lt;&gt;0,AM6+1,AM6)</f>
        <v>4</v>
      </c>
      <c r="AN7" s="92" t="str">
        <f ca="1">IF(AL7=1,Y7,0)</f>
        <v>Cameroon</v>
      </c>
      <c r="AO7" s="92">
        <v>4</v>
      </c>
      <c r="AP7" s="92" t="str">
        <f ca="1">IF(AND(Tournament!J17&lt;&gt;"",Tournament!L17&lt;&gt;""),IF(Tournament!J17&gt;Tournament!L17,Tournament!H17,""),"")</f>
        <v/>
      </c>
      <c r="AQ7" s="92" t="str">
        <f ca="1">IF(AND(Tournament!J17&lt;&gt;"",Tournament!L17&lt;&gt;""),IF(Tournament!J17=Tournament!L17,Tournament!H17,""),"")</f>
        <v/>
      </c>
      <c r="AR7" s="92" t="str">
        <f ca="1">IF(AND(Tournament!J17&lt;&gt;"",Tournament!L17&lt;&gt;""),IF(Tournament!J17&gt;Tournament!L17,Tournament!N17,""),"")</f>
        <v/>
      </c>
      <c r="AS7" s="92">
        <f ca="1">IF(AND(Tournament!J17&lt;&gt;"",Tournament!L17&lt;&gt;""),Tournament!J17,0)</f>
        <v>0</v>
      </c>
      <c r="AT7" s="92" t="str">
        <f ca="1">IF(AND(Tournament!J17&lt;&gt;"",Tournament!L17&lt;&gt;""),IF(Tournament!J17&lt;Tournament!L17,Tournament!N17,""),"")</f>
        <v/>
      </c>
      <c r="AU7" s="92" t="str">
        <f ca="1">IF(AND(Tournament!J17&lt;&gt;"",Tournament!L17&lt;&gt;""),IF(Tournament!J17=Tournament!L17,Tournament!N17,""),"")</f>
        <v/>
      </c>
      <c r="AV7" s="92" t="str">
        <f ca="1">IF(AND(Tournament!J17&lt;&gt;"",Tournament!L17&lt;&gt;""),IF(Tournament!J17&lt;Tournament!L17,Tournament!H17,""),"")</f>
        <v/>
      </c>
      <c r="AW7" s="92">
        <f ca="1">IF(AND(Tournament!J17&lt;&gt;"",Tournament!L17&lt;&gt;""),Tournament!L17,0)</f>
        <v>0</v>
      </c>
      <c r="AX7" s="92">
        <v>1</v>
      </c>
      <c r="AY7" s="92" t="str">
        <f t="shared" ca="1" si="1"/>
        <v/>
      </c>
      <c r="AZ7" s="92" t="str">
        <f t="shared" ca="1" si="2"/>
        <v/>
      </c>
      <c r="BA7" s="92" t="str">
        <f t="shared" ca="1" si="3"/>
        <v/>
      </c>
      <c r="BB7" s="92" t="str">
        <f t="shared" ca="1" si="4"/>
        <v/>
      </c>
      <c r="BC7" s="92" t="str">
        <f t="shared" ca="1" si="5"/>
        <v/>
      </c>
      <c r="BD7" s="92" t="str">
        <f t="shared" ca="1" si="6"/>
        <v/>
      </c>
      <c r="BE7" s="92">
        <v>5</v>
      </c>
      <c r="BF7" s="92" t="str">
        <f>Tournament!H18</f>
        <v>Colombia</v>
      </c>
      <c r="BG7" s="92" t="str">
        <f ca="1">IF(AND(Tournament!J18&lt;&gt;"",Tournament!L18&lt;&gt;""),Tournament!J18,"")</f>
        <v/>
      </c>
      <c r="BH7" s="92" t="str">
        <f ca="1">IF(AND(Tournament!L18&lt;&gt;"",Tournament!J18&lt;&gt;""),Tournament!L18,"")</f>
        <v/>
      </c>
      <c r="BI7" s="92" t="str">
        <f>Tournament!N18</f>
        <v>Greece</v>
      </c>
    </row>
    <row r="8" spans="1:61">
      <c r="I8" s="127"/>
      <c r="S8" s="127"/>
      <c r="AF8" s="127"/>
      <c r="AO8" s="92">
        <v>5</v>
      </c>
      <c r="AP8" s="92" t="str">
        <f ca="1">IF(AND(Tournament!J18&lt;&gt;"",Tournament!L18&lt;&gt;""),IF(Tournament!J18&gt;Tournament!L18,Tournament!H18,""),"")</f>
        <v/>
      </c>
      <c r="AQ8" s="92" t="str">
        <f ca="1">IF(AND(Tournament!J18&lt;&gt;"",Tournament!L18&lt;&gt;""),IF(Tournament!J18=Tournament!L18,Tournament!H18,""),"")</f>
        <v/>
      </c>
      <c r="AR8" s="92" t="str">
        <f ca="1">IF(AND(Tournament!J18&lt;&gt;"",Tournament!L18&lt;&gt;""),IF(Tournament!J18&gt;Tournament!L18,Tournament!N18,""),"")</f>
        <v/>
      </c>
      <c r="AS8" s="92">
        <f ca="1">IF(AND(Tournament!J18&lt;&gt;"",Tournament!L18&lt;&gt;""),Tournament!J18,0)</f>
        <v>0</v>
      </c>
      <c r="AT8" s="92" t="str">
        <f ca="1">IF(AND(Tournament!J18&lt;&gt;"",Tournament!L18&lt;&gt;""),IF(Tournament!J18&lt;Tournament!L18,Tournament!N18,""),"")</f>
        <v/>
      </c>
      <c r="AU8" s="92" t="str">
        <f ca="1">IF(AND(Tournament!J18&lt;&gt;"",Tournament!L18&lt;&gt;""),IF(Tournament!J18=Tournament!L18,Tournament!N18,""),"")</f>
        <v/>
      </c>
      <c r="AV8" s="92" t="str">
        <f ca="1">IF(AND(Tournament!J18&lt;&gt;"",Tournament!L18&lt;&gt;""),IF(Tournament!J18&lt;Tournament!L18,Tournament!H18,""),"")</f>
        <v/>
      </c>
      <c r="AW8" s="92">
        <f ca="1">IF(AND(Tournament!J18&lt;&gt;"",Tournament!L18&lt;&gt;""),Tournament!L18,0)</f>
        <v>0</v>
      </c>
      <c r="AX8" s="92">
        <v>1</v>
      </c>
      <c r="AY8" s="92" t="str">
        <f t="shared" ca="1" si="1"/>
        <v/>
      </c>
      <c r="AZ8" s="92" t="str">
        <f t="shared" ca="1" si="2"/>
        <v/>
      </c>
      <c r="BA8" s="92" t="str">
        <f t="shared" ca="1" si="3"/>
        <v/>
      </c>
      <c r="BB8" s="92" t="str">
        <f t="shared" ca="1" si="4"/>
        <v/>
      </c>
      <c r="BC8" s="92" t="str">
        <f t="shared" ca="1" si="5"/>
        <v/>
      </c>
      <c r="BD8" s="92" t="str">
        <f t="shared" ca="1" si="6"/>
        <v/>
      </c>
      <c r="BE8" s="92">
        <v>6</v>
      </c>
      <c r="BF8" s="92" t="str">
        <f>Tournament!H19</f>
        <v>Ivory Coast</v>
      </c>
      <c r="BG8" s="92" t="str">
        <f ca="1">IF(AND(Tournament!J19&lt;&gt;"",Tournament!L19&lt;&gt;""),Tournament!J19,"")</f>
        <v/>
      </c>
      <c r="BH8" s="92" t="str">
        <f ca="1">IF(AND(Tournament!L19&lt;&gt;"",Tournament!J19&lt;&gt;""),Tournament!L19,"")</f>
        <v/>
      </c>
      <c r="BI8" s="92" t="str">
        <f>Tournament!N19</f>
        <v>Japan</v>
      </c>
    </row>
    <row r="9" spans="1:61">
      <c r="I9" s="127"/>
      <c r="S9" s="127"/>
      <c r="AF9" s="127"/>
      <c r="AO9" s="92">
        <v>6</v>
      </c>
      <c r="AP9" s="92" t="str">
        <f ca="1">IF(AND(Tournament!J19&lt;&gt;"",Tournament!L19&lt;&gt;""),IF(Tournament!J19&gt;Tournament!L19,Tournament!H19,""),"")</f>
        <v/>
      </c>
      <c r="AQ9" s="92" t="str">
        <f ca="1">IF(AND(Tournament!J19&lt;&gt;"",Tournament!L19&lt;&gt;""),IF(Tournament!J19=Tournament!L19,Tournament!H19,""),"")</f>
        <v/>
      </c>
      <c r="AR9" s="92" t="str">
        <f ca="1">IF(AND(Tournament!J19&lt;&gt;"",Tournament!L19&lt;&gt;""),IF(Tournament!J19&gt;Tournament!L19,Tournament!N19,""),"")</f>
        <v/>
      </c>
      <c r="AS9" s="92">
        <f ca="1">IF(AND(Tournament!J19&lt;&gt;"",Tournament!L19&lt;&gt;""),Tournament!J19,0)</f>
        <v>0</v>
      </c>
      <c r="AT9" s="92" t="str">
        <f ca="1">IF(AND(Tournament!J19&lt;&gt;"",Tournament!L19&lt;&gt;""),IF(Tournament!J19&lt;Tournament!L19,Tournament!N19,""),"")</f>
        <v/>
      </c>
      <c r="AU9" s="92" t="str">
        <f ca="1">IF(AND(Tournament!J19&lt;&gt;"",Tournament!L19&lt;&gt;""),IF(Tournament!J19=Tournament!L19,Tournament!N19,""),"")</f>
        <v/>
      </c>
      <c r="AV9" s="92" t="str">
        <f ca="1">IF(AND(Tournament!J19&lt;&gt;"",Tournament!L19&lt;&gt;""),IF(Tournament!J19&lt;Tournament!L19,Tournament!H19,""),"")</f>
        <v/>
      </c>
      <c r="AW9" s="92">
        <f ca="1">IF(AND(Tournament!J19&lt;&gt;"",Tournament!L19&lt;&gt;""),Tournament!L19,0)</f>
        <v>0</v>
      </c>
      <c r="AX9" s="92">
        <v>1</v>
      </c>
      <c r="AY9" s="92" t="str">
        <f t="shared" ca="1" si="1"/>
        <v/>
      </c>
      <c r="AZ9" s="92" t="str">
        <f t="shared" ca="1" si="2"/>
        <v/>
      </c>
      <c r="BA9" s="92" t="str">
        <f t="shared" ca="1" si="3"/>
        <v/>
      </c>
      <c r="BB9" s="92" t="str">
        <f t="shared" ca="1" si="4"/>
        <v/>
      </c>
      <c r="BC9" s="92" t="str">
        <f t="shared" ca="1" si="5"/>
        <v/>
      </c>
      <c r="BD9" s="92" t="str">
        <f t="shared" ca="1" si="6"/>
        <v/>
      </c>
      <c r="BE9" s="92">
        <v>7</v>
      </c>
      <c r="BF9" s="92" t="str">
        <f>Tournament!H20</f>
        <v>Uruguay</v>
      </c>
      <c r="BG9" s="92" t="str">
        <f ca="1">IF(AND(Tournament!J20&lt;&gt;"",Tournament!L20&lt;&gt;""),Tournament!J20,"")</f>
        <v/>
      </c>
      <c r="BH9" s="92" t="str">
        <f ca="1">IF(AND(Tournament!L20&lt;&gt;"",Tournament!J20&lt;&gt;""),Tournament!L20,"")</f>
        <v/>
      </c>
      <c r="BI9" s="92" t="str">
        <f>Tournament!N20</f>
        <v>Costa Rica</v>
      </c>
    </row>
    <row r="10" spans="1:61">
      <c r="I10" s="127"/>
      <c r="S10" s="127"/>
      <c r="AF10" s="127"/>
      <c r="AO10" s="92">
        <v>7</v>
      </c>
      <c r="AP10" s="92" t="str">
        <f ca="1">IF(AND(Tournament!J20&lt;&gt;"",Tournament!L20&lt;&gt;""),IF(Tournament!J20&gt;Tournament!L20,Tournament!H20,""),"")</f>
        <v/>
      </c>
      <c r="AQ10" s="92" t="str">
        <f ca="1">IF(AND(Tournament!J20&lt;&gt;"",Tournament!L20&lt;&gt;""),IF(Tournament!J20=Tournament!L20,Tournament!H20,""),"")</f>
        <v/>
      </c>
      <c r="AR10" s="92" t="str">
        <f ca="1">IF(AND(Tournament!J20&lt;&gt;"",Tournament!L20&lt;&gt;""),IF(Tournament!J20&gt;Tournament!L20,Tournament!N20,""),"")</f>
        <v/>
      </c>
      <c r="AS10" s="92">
        <f ca="1">IF(AND(Tournament!J20&lt;&gt;"",Tournament!L20&lt;&gt;""),Tournament!J20,0)</f>
        <v>0</v>
      </c>
      <c r="AT10" s="92" t="str">
        <f ca="1">IF(AND(Tournament!J20&lt;&gt;"",Tournament!L20&lt;&gt;""),IF(Tournament!J20&lt;Tournament!L20,Tournament!N20,""),"")</f>
        <v/>
      </c>
      <c r="AU10" s="92" t="str">
        <f ca="1">IF(AND(Tournament!J20&lt;&gt;"",Tournament!L20&lt;&gt;""),IF(Tournament!J20=Tournament!L20,Tournament!N20,""),"")</f>
        <v/>
      </c>
      <c r="AV10" s="92" t="str">
        <f ca="1">IF(AND(Tournament!J20&lt;&gt;"",Tournament!L20&lt;&gt;""),IF(Tournament!J20&lt;Tournament!L20,Tournament!H20,""),"")</f>
        <v/>
      </c>
      <c r="AW10" s="92">
        <f ca="1">IF(AND(Tournament!J20&lt;&gt;"",Tournament!L20&lt;&gt;""),Tournament!L20,0)</f>
        <v>0</v>
      </c>
      <c r="AX10" s="92">
        <v>1</v>
      </c>
      <c r="AY10" s="92" t="str">
        <f t="shared" ca="1" si="1"/>
        <v/>
      </c>
      <c r="AZ10" s="92" t="str">
        <f t="shared" ca="1" si="2"/>
        <v/>
      </c>
      <c r="BA10" s="92" t="str">
        <f t="shared" ca="1" si="3"/>
        <v/>
      </c>
      <c r="BB10" s="92" t="str">
        <f t="shared" ca="1" si="4"/>
        <v/>
      </c>
      <c r="BC10" s="92" t="str">
        <f t="shared" ca="1" si="5"/>
        <v/>
      </c>
      <c r="BD10" s="92" t="str">
        <f t="shared" ca="1" si="6"/>
        <v/>
      </c>
      <c r="BE10" s="92">
        <v>8</v>
      </c>
      <c r="BF10" s="92" t="str">
        <f>Tournament!H21</f>
        <v>England</v>
      </c>
      <c r="BG10" s="92" t="str">
        <f ca="1">IF(AND(Tournament!J21&lt;&gt;"",Tournament!L21&lt;&gt;""),Tournament!J21,"")</f>
        <v/>
      </c>
      <c r="BH10" s="92" t="str">
        <f ca="1">IF(AND(Tournament!L21&lt;&gt;"",Tournament!J21&lt;&gt;""),Tournament!L21,"")</f>
        <v/>
      </c>
      <c r="BI10" s="92" t="str">
        <f>Tournament!N21</f>
        <v>Italy</v>
      </c>
    </row>
    <row r="11" spans="1:61">
      <c r="A11" s="92">
        <f ca="1">K11+L11+M11+N11</f>
        <v>1</v>
      </c>
      <c r="B11" s="92" t="str">
        <f>Tournament!H16</f>
        <v>Spain</v>
      </c>
      <c r="C11" s="92">
        <f ca="1">SUMIF(AP$4:AP$60,B11,AX$4:AX$60)+SUMIF(AT$4:AT$60,B11,AX$4:AX$60)</f>
        <v>0</v>
      </c>
      <c r="D11" s="92">
        <f ca="1">SUMIF(AQ$4:AQ$60,B11,AX$4:AX$60)+SUMIF(AU$4:AU$60,B11,AX$4:AX$60)</f>
        <v>0</v>
      </c>
      <c r="E11" s="92">
        <f ca="1">SUMIF(AR$4:AR$60,B11,AX$4:AX$60)+SUMIF(AV$4:AV$60,B11,AX$4:AX$60)</f>
        <v>0</v>
      </c>
      <c r="F11" s="92">
        <f ca="1">SUMIF($BF$3:$BF$60,B11,$BG$3:$BG$60)+SUMIF($BI$3:$BI$60,B11,$BH$3:$BH$60)</f>
        <v>0</v>
      </c>
      <c r="G11" s="92">
        <f ca="1">SUMIF($BI$3:$BI$60,B11,$BG$3:$BG$60)+SUMIF($BF$3:$BF$60,B11,$BH$3:$BH$60)</f>
        <v>0</v>
      </c>
      <c r="H11" s="92">
        <f ca="1">F11-G11+100</f>
        <v>100</v>
      </c>
      <c r="I11" s="127">
        <f ca="1">C11*3+D11</f>
        <v>0</v>
      </c>
      <c r="J11" s="92">
        <v>1</v>
      </c>
      <c r="K11" s="92">
        <f ca="1">RANK(I11,I$11:I$14)</f>
        <v>1</v>
      </c>
      <c r="L11" s="92">
        <f ca="1">SUMPRODUCT((I$11:I$14=I11)*(H$11:H$14&gt;H11))</f>
        <v>0</v>
      </c>
      <c r="M11" s="92">
        <f ca="1">SUMPRODUCT((I$11:I$14=I11)*(H$11:H$14=H11)*(F$11:F$14&gt;F11))</f>
        <v>0</v>
      </c>
      <c r="N11" s="92">
        <f ca="1">SUMPRODUCT((I$11:I$14=I11)*(H$11:H$14=H11)*(F$11:F$14=F11)*(J$11:J$14&lt;J11))</f>
        <v>0</v>
      </c>
      <c r="O11" s="92">
        <f ca="1">IF(SUM(AG11:AI14)=0,IF(COUNTIF(AJ11:AJ14,0)&gt;1,1,AJ11+1),X11)</f>
        <v>1</v>
      </c>
      <c r="P11" s="92" t="str">
        <f ca="1">VLOOKUP(1,A$11:B$14,2,FALSE)</f>
        <v>Spain</v>
      </c>
      <c r="Q11" s="92">
        <f ca="1">SUMIF(B$4:B$60,P11,F$4:F$60)</f>
        <v>0</v>
      </c>
      <c r="R11" s="92">
        <f ca="1">SUMIF(B$4:B$60,P11,H$4:H$60)</f>
        <v>100</v>
      </c>
      <c r="S11" s="127">
        <f ca="1">SUMIF($B$4:$B$60,$P11,I$4:I$60)</f>
        <v>0</v>
      </c>
      <c r="T11" s="92">
        <f ca="1">SUMIF($B$4:$B$60,$P11,A$4:A$60)</f>
        <v>1</v>
      </c>
      <c r="U11" s="92">
        <f t="shared" ref="U11:V14" ca="1" si="7">SUMIF($B$4:$B$60,$P11,L$4:L$60)</f>
        <v>0</v>
      </c>
      <c r="V11" s="92">
        <f t="shared" ca="1" si="7"/>
        <v>0</v>
      </c>
      <c r="W11" s="92">
        <f ca="1">SUMIF($B$4:$B$60,$P11,J$4:J$60)</f>
        <v>1</v>
      </c>
      <c r="X11" s="92">
        <f ca="1">IF(Y11=0,T11,T11+AG11+AH11+AI11)</f>
        <v>1</v>
      </c>
      <c r="Y11" s="92" t="str">
        <f ca="1">IF(AND(S11=S12,R11=R12,Q11=Q12),P11,0)</f>
        <v>Spain</v>
      </c>
      <c r="Z11" s="92">
        <f ca="1">SUMIF($AY$4:$AY$60,$Y11,$AX$4:$AX$60)+SUMIF($BB$4:$BB$60,$Y11,$AX$4:$AX$60)</f>
        <v>0</v>
      </c>
      <c r="AA11" s="92">
        <f ca="1">SUMIF($AZ$4:$AZ$60,$Y11,$AX$4:$AX$60)+SUMIF($BC$4:$BC$60,$Y11,$AX$4:$AX$60)</f>
        <v>0</v>
      </c>
      <c r="AB11" s="92">
        <f ca="1">SUMIF($BA$4:$BA$60,$Y11,$AX$4:$AX$60)+SUMIF($BD$4:$BD$60,$Y11,$AX$4:$AX$60)</f>
        <v>0</v>
      </c>
      <c r="AC11" s="92">
        <f ca="1">SUMIF(AY$4:AY$60,Y11,AS$4:AS$60)+SUMIF(BB$4:BB$60,Y11,AW$4:AW$60)+SUMIF(AZ$4:AZ$60,Y11,AS$4:AS$60)+SUMIF(BC$4:BC$60,Y11,AW$4:AW$60)</f>
        <v>0</v>
      </c>
      <c r="AD11" s="92">
        <f ca="1">SUMIF(BA$4:BA$60,Y11,AS$4:AS$60)+SUMIF(BD$4:BD$60,Y11,AW$4:AW$60)+SUMIF(AZ$4:AZ$60,Y11,AS$4:AS$60)+SUMIF(BC$4:BC$60,Y11,AW$4:AW$60)</f>
        <v>0</v>
      </c>
      <c r="AE11" s="92">
        <f ca="1">AC11-AD11+100</f>
        <v>100</v>
      </c>
      <c r="AF11" s="127">
        <f ca="1">IF(Y11&lt;&gt;0,Z11*3+AA11,"")</f>
        <v>0</v>
      </c>
      <c r="AG11" s="92">
        <f ca="1">IF(Y11&lt;&gt;0,RANK(AF11,AF$11:AF$14)-1,5)</f>
        <v>0</v>
      </c>
      <c r="AH11" s="92">
        <f ca="1">IF(Y11&lt;&gt;0,SUMPRODUCT((AF$11:AF$14=AF11)*(AE$11:AE$14&gt;AE11)),5)</f>
        <v>0</v>
      </c>
      <c r="AI11" s="92">
        <f ca="1">IF(Y11&lt;&gt;0,SUMPRODUCT((AF$11:AF$14=AF11)*(AE$11:AE$14=AE11)*(AC$11:AC$14&gt;AC11)),5)</f>
        <v>0</v>
      </c>
      <c r="AJ11" s="92">
        <f ca="1">IF(Y11&lt;&gt;0,SUMPRODUCT(($AF11:$AF14=AF11)*($AE11:$AE14=AE11)*($AC11:$AC14=AC11)*($AK11:$AK14&lt;AK11)),5)</f>
        <v>0</v>
      </c>
      <c r="AK11" s="92">
        <f ca="1">IF(AL11=0,0,VLOOKUP(Y11,Tournament!AJ$18:AK$22,2,FALSE))</f>
        <v>0</v>
      </c>
      <c r="AL11" s="92">
        <f ca="1">IF(Y11&lt;&gt;0,IF(SUM(AG11:AI11)=SUM(AG12:AI12),1,0),0)</f>
        <v>1</v>
      </c>
      <c r="AM11" s="92">
        <f ca="1">IF(AN11&lt;&gt;0,1,0)</f>
        <v>1</v>
      </c>
      <c r="AN11" s="92" t="str">
        <f ca="1">IF(AL11=1,Y11,0)</f>
        <v>Spain</v>
      </c>
      <c r="AO11" s="92">
        <v>8</v>
      </c>
      <c r="AP11" s="92" t="str">
        <f ca="1">IF(AND(Tournament!J21&lt;&gt;"",Tournament!L21&lt;&gt;""),IF(Tournament!J21&gt;Tournament!L21,Tournament!H21,""),"")</f>
        <v/>
      </c>
      <c r="AQ11" s="92" t="str">
        <f ca="1">IF(AND(Tournament!J21&lt;&gt;"",Tournament!L21&lt;&gt;""),IF(Tournament!J21=Tournament!L21,Tournament!H21,""),"")</f>
        <v/>
      </c>
      <c r="AR11" s="92" t="str">
        <f ca="1">IF(AND(Tournament!J21&lt;&gt;"",Tournament!L21&lt;&gt;""),IF(Tournament!J21&gt;Tournament!L21,Tournament!N21,""),"")</f>
        <v/>
      </c>
      <c r="AS11" s="92">
        <f ca="1">IF(AND(Tournament!J21&lt;&gt;"",Tournament!L21&lt;&gt;""),Tournament!J21,0)</f>
        <v>0</v>
      </c>
      <c r="AT11" s="92" t="str">
        <f ca="1">IF(AND(Tournament!J21&lt;&gt;"",Tournament!L21&lt;&gt;""),IF(Tournament!J21&lt;Tournament!L21,Tournament!N21,""),"")</f>
        <v/>
      </c>
      <c r="AU11" s="92" t="str">
        <f ca="1">IF(AND(Tournament!J21&lt;&gt;"",Tournament!L21&lt;&gt;""),IF(Tournament!J21=Tournament!L21,Tournament!N21,""),"")</f>
        <v/>
      </c>
      <c r="AV11" s="92" t="str">
        <f ca="1">IF(AND(Tournament!J21&lt;&gt;"",Tournament!L21&lt;&gt;""),IF(Tournament!J21&lt;Tournament!L21,Tournament!H21,""),"")</f>
        <v/>
      </c>
      <c r="AW11" s="92">
        <f ca="1">IF(AND(Tournament!J21&lt;&gt;"",Tournament!L21&lt;&gt;""),Tournament!L21,0)</f>
        <v>0</v>
      </c>
      <c r="AX11" s="92">
        <v>1</v>
      </c>
      <c r="AY11" s="92" t="str">
        <f t="shared" ca="1" si="1"/>
        <v/>
      </c>
      <c r="AZ11" s="92" t="str">
        <f t="shared" ca="1" si="2"/>
        <v/>
      </c>
      <c r="BA11" s="92" t="str">
        <f t="shared" ca="1" si="3"/>
        <v/>
      </c>
      <c r="BB11" s="92" t="str">
        <f t="shared" ca="1" si="4"/>
        <v/>
      </c>
      <c r="BC11" s="92" t="str">
        <f t="shared" ca="1" si="5"/>
        <v/>
      </c>
      <c r="BD11" s="92" t="str">
        <f t="shared" ca="1" si="6"/>
        <v/>
      </c>
      <c r="BE11" s="92">
        <v>9</v>
      </c>
      <c r="BF11" s="92" t="str">
        <f>Tournament!H22</f>
        <v>Switzerland</v>
      </c>
      <c r="BG11" s="92" t="str">
        <f ca="1">IF(AND(Tournament!J22&lt;&gt;"",Tournament!L22&lt;&gt;""),Tournament!J22,"")</f>
        <v/>
      </c>
      <c r="BH11" s="92" t="str">
        <f ca="1">IF(AND(Tournament!L22&lt;&gt;"",Tournament!J22&lt;&gt;""),Tournament!L22,"")</f>
        <v/>
      </c>
      <c r="BI11" s="92" t="str">
        <f>Tournament!N22</f>
        <v>Ecuador</v>
      </c>
    </row>
    <row r="12" spans="1:61">
      <c r="A12" s="92">
        <f ca="1">K12+L12+M12+N12</f>
        <v>2</v>
      </c>
      <c r="B12" s="92" t="str">
        <f>Tournament!N16</f>
        <v>Netherlands</v>
      </c>
      <c r="C12" s="92">
        <f ca="1">SUMIF(AP$4:AP$60,B12,AX$4:AX$60)+SUMIF(AT$4:AT$60,B12,AX$4:AX$60)</f>
        <v>0</v>
      </c>
      <c r="D12" s="92">
        <f ca="1">SUMIF(AQ$4:AQ$60,B12,AX$4:AX$60)+SUMIF(AU$4:AU$60,B12,AX$4:AX$60)</f>
        <v>0</v>
      </c>
      <c r="E12" s="92">
        <f ca="1">SUMIF(AR$4:AR$60,B12,AX$4:AX$60)+SUMIF(AV$4:AV$60,B12,AX$4:AX$60)</f>
        <v>0</v>
      </c>
      <c r="F12" s="92">
        <f ca="1">SUMIF($BF$3:$BF$60,B12,$BG$3:$BG$60)+SUMIF($BI$3:$BI$60,B12,$BH$3:$BH$60)</f>
        <v>0</v>
      </c>
      <c r="G12" s="92">
        <f ca="1">SUMIF($BI$3:$BI$60,B12,$BG$3:$BG$60)+SUMIF($BF$3:$BF$60,B12,$BH$3:$BH$60)</f>
        <v>0</v>
      </c>
      <c r="H12" s="92">
        <f ca="1">F12-G12+100</f>
        <v>100</v>
      </c>
      <c r="I12" s="127">
        <f ca="1">C12*3+D12</f>
        <v>0</v>
      </c>
      <c r="J12" s="92">
        <v>8</v>
      </c>
      <c r="K12" s="92">
        <f ca="1">RANK(I12,I$11:I$14)</f>
        <v>1</v>
      </c>
      <c r="L12" s="92">
        <f ca="1">SUMPRODUCT((I$11:I$14=I12)*(H$11:H$14&gt;H12))</f>
        <v>0</v>
      </c>
      <c r="M12" s="92">
        <f ca="1">SUMPRODUCT((I$11:I$14=I12)*(H$11:H$14=H12)*(F$11:F$14&gt;F12))</f>
        <v>0</v>
      </c>
      <c r="N12" s="92">
        <f ca="1">SUMPRODUCT((I$11:I$14=I12)*(H$11:H$14=H12)*(F$11:F$14=F12)*(J$11:J$14&lt;J12))</f>
        <v>1</v>
      </c>
      <c r="O12" s="92">
        <f ca="1">IF(SUM(AG11:AI14)=0,IF(COUNTIF(AJ11:AJ14,0)&gt;1,2,AJ12+1),IF(AND(X11=1,X12=3,Y11&lt;&gt;0,Y12&lt;&gt;0,Y13=0,Y14=0),2,IF(AND(X11=2,X12=2,Y11&lt;&gt;0,Y12&lt;&gt;0,Y13=0,Y14=0),1,IF(AND(X12=4,AI12=2),3,X12))))</f>
        <v>2</v>
      </c>
      <c r="P12" s="92" t="str">
        <f ca="1">VLOOKUP(2,A$11:B$14,2,FALSE)</f>
        <v>Netherlands</v>
      </c>
      <c r="Q12" s="92">
        <f ca="1">SUMIF(B$4:B$60,P12,F$4:F$60)</f>
        <v>0</v>
      </c>
      <c r="R12" s="92">
        <f ca="1">SUMIF(B$4:B$60,P12,H$4:H$60)</f>
        <v>100</v>
      </c>
      <c r="S12" s="127">
        <f ca="1">SUMIF($B$4:$B$60,$P12,I$4:I$60)</f>
        <v>0</v>
      </c>
      <c r="T12" s="92">
        <f ca="1">SUMIF($B$4:$B$60,$P12,A$4:A$60)</f>
        <v>2</v>
      </c>
      <c r="U12" s="92">
        <f t="shared" ca="1" si="7"/>
        <v>0</v>
      </c>
      <c r="V12" s="92">
        <f t="shared" ca="1" si="7"/>
        <v>0</v>
      </c>
      <c r="W12" s="92">
        <f ca="1">SUMIF($B$4:$B$60,$P12,J$4:J$60)</f>
        <v>8</v>
      </c>
      <c r="X12" s="92">
        <f ca="1">IF(Y12=0,T12,T12+AG12+AH12+AI12)</f>
        <v>2</v>
      </c>
      <c r="Y12" s="92" t="str">
        <f ca="1">IF(OR(AND(S11=S12,R11=R12,Q11=Q12),AND(S13=S12,R13=R12,Q13=Q12)),P12,0)</f>
        <v>Netherlands</v>
      </c>
      <c r="Z12" s="92">
        <f ca="1">SUMIF($AY$4:$AY$60,$Y12,$AX$4:$AX$60)+SUMIF($BB$4:$BB$60,$Y12,$AX$4:$AX$60)</f>
        <v>0</v>
      </c>
      <c r="AA12" s="92">
        <f ca="1">SUMIF($AZ$4:$AZ$60,$Y12,$AX$4:$AX$60)+SUMIF($BC$4:$BC$60,$Y12,$AX$4:$AX$60)</f>
        <v>0</v>
      </c>
      <c r="AB12" s="92">
        <f ca="1">SUMIF($BA$4:$BA$60,$Y12,$AX$4:$AX$60)+SUMIF($BD$4:$BD$60,$Y12,$AX$4:$AX$60)</f>
        <v>0</v>
      </c>
      <c r="AC12" s="92">
        <f ca="1">SUMIF(AY$4:AY$60,Y12,AS$4:AS$60)+SUMIF(BB$4:BB$60,Y12,AW$4:AW$60)+SUMIF(AZ$4:AZ$60,Y12,AS$4:AS$60)+SUMIF(BC$4:BC$60,Y12,AW$4:AW$60)</f>
        <v>0</v>
      </c>
      <c r="AD12" s="92">
        <f ca="1">SUMIF(BA$4:BA$60,Y12,AS$4:AS$60)+SUMIF(BD$4:BD$60,Y12,AW$4:AW$60)+SUMIF(AZ$4:AZ$60,Y12,AS$4:AS$60)+SUMIF(BC$4:BC$60,Y12,AW$4:AW$60)</f>
        <v>0</v>
      </c>
      <c r="AE12" s="92">
        <f ca="1">AC12-AD12+100</f>
        <v>100</v>
      </c>
      <c r="AF12" s="127">
        <f ca="1">IF(Y12&lt;&gt;0,Z12*3+AA12,"")</f>
        <v>0</v>
      </c>
      <c r="AG12" s="92">
        <f ca="1">IF(Y12&lt;&gt;0,RANK(AF12,AF$11:AF$14)-1,5)</f>
        <v>0</v>
      </c>
      <c r="AH12" s="92">
        <f ca="1">IF(Y12&lt;&gt;0,SUMPRODUCT((AF$11:AF$14=AF12)*(AE$11:AE$14&gt;AE12)),5)</f>
        <v>0</v>
      </c>
      <c r="AI12" s="92">
        <f ca="1">IF(Y12&lt;&gt;0,SUMPRODUCT((AF$11:AF$14=AF12)*(AE$11:AE$14=AE12)*(AC$11:AC$14&gt;AC12)),5)</f>
        <v>0</v>
      </c>
      <c r="AJ12" s="92">
        <f ca="1">IF(Y12&lt;&gt;0,SUMPRODUCT(($AF11:$AF14=AF12)*($AE11:$AE14=AE12)*($AC11:$AC14=AC12)*($AK11:$AK14&lt;AK12)),5)</f>
        <v>0</v>
      </c>
      <c r="AK12" s="92">
        <f ca="1">IF(AL12=0,0,VLOOKUP(Y12,Tournament!AJ$18:AK$22,2,FALSE))</f>
        <v>0</v>
      </c>
      <c r="AL12" s="92">
        <f ca="1">IF(Y12&lt;&gt;0,IF(OR(SUM(AG12:AI12)=SUM(AG11:AI11),SUM(AG12:AI12)=SUM(AG13:AI13)),1,0),0)</f>
        <v>1</v>
      </c>
      <c r="AM12" s="92">
        <f ca="1">IF(AN12&lt;&gt;0,AM11+1,AM11)</f>
        <v>2</v>
      </c>
      <c r="AN12" s="92" t="str">
        <f ca="1">IF(AL12=1,Y12,0)</f>
        <v>Netherlands</v>
      </c>
      <c r="AO12" s="92">
        <v>9</v>
      </c>
      <c r="AP12" s="92" t="str">
        <f ca="1">IF(AND(Tournament!J22&lt;&gt;"",Tournament!L22&lt;&gt;""),IF(Tournament!J22&gt;Tournament!L22,Tournament!H22,""),"")</f>
        <v/>
      </c>
      <c r="AQ12" s="92" t="str">
        <f ca="1">IF(AND(Tournament!J22&lt;&gt;"",Tournament!L22&lt;&gt;""),IF(Tournament!J22=Tournament!L22,Tournament!H22,""),"")</f>
        <v/>
      </c>
      <c r="AR12" s="92" t="str">
        <f ca="1">IF(AND(Tournament!J22&lt;&gt;"",Tournament!L22&lt;&gt;""),IF(Tournament!J22&gt;Tournament!L22,Tournament!N22,""),"")</f>
        <v/>
      </c>
      <c r="AS12" s="92">
        <f ca="1">IF(AND(Tournament!J22&lt;&gt;"",Tournament!L22&lt;&gt;""),Tournament!J22,0)</f>
        <v>0</v>
      </c>
      <c r="AT12" s="92" t="str">
        <f ca="1">IF(AND(Tournament!J22&lt;&gt;"",Tournament!L22&lt;&gt;""),IF(Tournament!J22&lt;Tournament!L22,Tournament!N22,""),"")</f>
        <v/>
      </c>
      <c r="AU12" s="92" t="str">
        <f ca="1">IF(AND(Tournament!J22&lt;&gt;"",Tournament!L22&lt;&gt;""),IF(Tournament!J22=Tournament!L22,Tournament!N22,""),"")</f>
        <v/>
      </c>
      <c r="AV12" s="92" t="str">
        <f ca="1">IF(AND(Tournament!J22&lt;&gt;"",Tournament!L22&lt;&gt;""),IF(Tournament!J22&lt;Tournament!L22,Tournament!H22,""),"")</f>
        <v/>
      </c>
      <c r="AW12" s="92">
        <f ca="1">IF(AND(Tournament!J22&lt;&gt;"",Tournament!L22&lt;&gt;""),Tournament!L22,0)</f>
        <v>0</v>
      </c>
      <c r="AX12" s="92">
        <v>1</v>
      </c>
      <c r="AY12" s="92" t="str">
        <f t="shared" ca="1" si="1"/>
        <v/>
      </c>
      <c r="AZ12" s="92" t="str">
        <f t="shared" ca="1" si="2"/>
        <v/>
      </c>
      <c r="BA12" s="92" t="str">
        <f t="shared" ca="1" si="3"/>
        <v/>
      </c>
      <c r="BB12" s="92" t="str">
        <f t="shared" ca="1" si="4"/>
        <v/>
      </c>
      <c r="BC12" s="92" t="str">
        <f t="shared" ca="1" si="5"/>
        <v/>
      </c>
      <c r="BD12" s="92" t="str">
        <f t="shared" ca="1" si="6"/>
        <v/>
      </c>
      <c r="BE12" s="92">
        <v>10</v>
      </c>
      <c r="BF12" s="92" t="str">
        <f>Tournament!H23</f>
        <v>France</v>
      </c>
      <c r="BG12" s="92" t="str">
        <f ca="1">IF(AND(Tournament!J23&lt;&gt;"",Tournament!L23&lt;&gt;""),Tournament!J23,"")</f>
        <v/>
      </c>
      <c r="BH12" s="92" t="str">
        <f ca="1">IF(AND(Tournament!L23&lt;&gt;"",Tournament!J23&lt;&gt;""),Tournament!L23,"")</f>
        <v/>
      </c>
      <c r="BI12" s="92" t="str">
        <f>Tournament!N23</f>
        <v>Honduras</v>
      </c>
    </row>
    <row r="13" spans="1:61">
      <c r="A13" s="92">
        <f ca="1">K13+L13+M13+N13</f>
        <v>3</v>
      </c>
      <c r="B13" s="92" t="str">
        <f>Tournament!H17</f>
        <v>Chile</v>
      </c>
      <c r="C13" s="92">
        <f ca="1">SUMIF(AP$4:AP$60,B13,AX$4:AX$60)+SUMIF(AT$4:AT$60,B13,AX$4:AX$60)</f>
        <v>0</v>
      </c>
      <c r="D13" s="92">
        <f ca="1">SUMIF(AQ$4:AQ$60,B13,AX$4:AX$60)+SUMIF(AU$4:AU$60,B13,AX$4:AX$60)</f>
        <v>0</v>
      </c>
      <c r="E13" s="92">
        <f ca="1">SUMIF(AR$4:AR$60,B13,AX$4:AX$60)+SUMIF(AV$4:AV$60,B13,AX$4:AX$60)</f>
        <v>0</v>
      </c>
      <c r="F13" s="92">
        <f ca="1">SUMIF($BF$3:$BF$60,B13,$BG$3:$BG$60)+SUMIF($BI$3:$BI$60,B13,$BH$3:$BH$60)</f>
        <v>0</v>
      </c>
      <c r="G13" s="92">
        <f ca="1">SUMIF($BI$3:$BI$60,B13,$BG$3:$BG$60)+SUMIF($BF$3:$BF$60,B13,$BH$3:$BH$60)</f>
        <v>0</v>
      </c>
      <c r="H13" s="92">
        <f ca="1">F13-G13+100</f>
        <v>100</v>
      </c>
      <c r="I13" s="127">
        <f ca="1">C13*3+D13</f>
        <v>0</v>
      </c>
      <c r="J13" s="92">
        <v>12</v>
      </c>
      <c r="K13" s="92">
        <f ca="1">RANK(I13,I$11:I$14)</f>
        <v>1</v>
      </c>
      <c r="L13" s="92">
        <f ca="1">SUMPRODUCT((I$11:I$14=I13)*(H$11:H$14&gt;H13))</f>
        <v>0</v>
      </c>
      <c r="M13" s="92">
        <f ca="1">SUMPRODUCT((I$11:I$14=I13)*(H$11:H$14=H13)*(F$11:F$14&gt;F13))</f>
        <v>0</v>
      </c>
      <c r="N13" s="92">
        <f ca="1">SUMPRODUCT((I$11:I$14=I13)*(H$11:H$14=H13)*(F$11:F$14=F13)*(J$11:J$14&lt;J13))</f>
        <v>2</v>
      </c>
      <c r="O13" s="92">
        <f ca="1">IF(SUM(AG11:AI14)=0,IF(COUNTIF(AJ11:AJ14,0)&gt;1,3,AJ13+1),IF(AND(X12=3,X13=3,Y11=0,Y12&lt;&gt;0,Y13&lt;&gt;0),2,IF(OR(X13=5,X13=4),3,IF(X13=6,4,IF(AND(X12=4,X11=1,Y13&lt;&gt;""),2,IF(AND(AI13=0,AI12=1,AI11=1,Y13&lt;&gt;""),1,X13))))))</f>
        <v>3</v>
      </c>
      <c r="P13" s="92" t="str">
        <f ca="1">VLOOKUP(3,A$11:B$14,2,FALSE)</f>
        <v>Chile</v>
      </c>
      <c r="Q13" s="92">
        <f ca="1">SUMIF(B$4:B$60,P13,F$4:F$60)</f>
        <v>0</v>
      </c>
      <c r="R13" s="92">
        <f ca="1">SUMIF(B$4:B$60,P13,H$4:H$60)</f>
        <v>100</v>
      </c>
      <c r="S13" s="127">
        <f ca="1">SUMIF($B$4:$B$60,$P13,I$4:I$60)</f>
        <v>0</v>
      </c>
      <c r="T13" s="92">
        <f ca="1">SUMIF($B$4:$B$60,$P13,A$4:A$60)</f>
        <v>3</v>
      </c>
      <c r="U13" s="92">
        <f t="shared" ca="1" si="7"/>
        <v>0</v>
      </c>
      <c r="V13" s="92">
        <f t="shared" ca="1" si="7"/>
        <v>0</v>
      </c>
      <c r="W13" s="92">
        <f ca="1">SUMIF($B$4:$B$60,$P13,J$4:J$60)</f>
        <v>12</v>
      </c>
      <c r="X13" s="92">
        <f ca="1">IF(Y13=0,T13,T13+AG13+AH13+AI13)</f>
        <v>3</v>
      </c>
      <c r="Y13" s="92" t="str">
        <f ca="1">IF(OR(AND(S12=S13,R12=R13,Q12=Q13),AND(S14=S13,S13=S12,R14=R13,R13=R12,Q14=Q13,Q13=Q12)),P13,0)</f>
        <v>Chile</v>
      </c>
      <c r="Z13" s="92">
        <f ca="1">SUMIF($AY$4:$AY$60,$Y13,$AX$4:$AX$60)+SUMIF($BB$4:$BB$60,$Y13,$AX$4:$AX$60)</f>
        <v>0</v>
      </c>
      <c r="AA13" s="92">
        <f ca="1">SUMIF($AZ$4:$AZ$60,$Y13,$AX$4:$AX$60)+SUMIF($BC$4:$BC$60,$Y13,$AX$4:$AX$60)</f>
        <v>0</v>
      </c>
      <c r="AB13" s="92">
        <f ca="1">SUMIF($BA$4:$BA$60,$Y13,$AX$4:$AX$60)+SUMIF($BD$4:$BD$60,$Y13,$AX$4:$AX$60)</f>
        <v>0</v>
      </c>
      <c r="AC13" s="92">
        <f ca="1">SUMIF(AY$4:AY$60,Y13,AS$4:AS$60)+SUMIF(BB$4:BB$60,Y13,AW$4:AW$60)+SUMIF(AZ$4:AZ$60,Y13,AS$4:AS$60)+SUMIF(BC$4:BC$60,Y13,AW$4:AW$60)</f>
        <v>0</v>
      </c>
      <c r="AD13" s="92">
        <f ca="1">SUMIF(BA$4:BA$60,Y13,AS$4:AS$60)+SUMIF(BD$4:BD$60,Y13,AW$4:AW$60)+SUMIF(AZ$4:AZ$60,Y13,AS$4:AS$60)+SUMIF(BC$4:BC$60,Y13,AW$4:AW$60)</f>
        <v>0</v>
      </c>
      <c r="AE13" s="92">
        <f ca="1">AC13-AD13+100</f>
        <v>100</v>
      </c>
      <c r="AF13" s="127">
        <f ca="1">IF(Y13&lt;&gt;0,Z13*3+AA13,"")</f>
        <v>0</v>
      </c>
      <c r="AG13" s="92">
        <f ca="1">IF(Y13&lt;&gt;0,RANK(AF13,AF$11:AF$14)-1,5)</f>
        <v>0</v>
      </c>
      <c r="AH13" s="92">
        <f ca="1">IF(Y13&lt;&gt;0,SUMPRODUCT((AF$11:AF$14=AF13)*(AE$11:AE$14&gt;AE13)),5)</f>
        <v>0</v>
      </c>
      <c r="AI13" s="92">
        <f ca="1">IF(Y13&lt;&gt;0,SUMPRODUCT((AF$11:AF$14=AF13)*(AE$11:AE$14=AE13)*(AC$11:AC$14&gt;AC13)),5)</f>
        <v>0</v>
      </c>
      <c r="AJ13" s="92">
        <f ca="1">IF(Y13&lt;&gt;0,SUMPRODUCT(($AF11:$AF14=AF13)*($AE11:$AE14=AE13)*($AC11:$AC14=AC13)*($AK11:$AK14&lt;AK13)),5)</f>
        <v>0</v>
      </c>
      <c r="AK13" s="92">
        <f ca="1">IF(AL13=0,0,VLOOKUP(Y13,Tournament!AJ$18:AK$22,2,FALSE))</f>
        <v>0</v>
      </c>
      <c r="AL13" s="92">
        <f ca="1">IF(Y13&lt;&gt;0,IF(OR(SUM(AG13:AI13)=SUM(AG12:AI12),SUM(AG13:AI13)=SUM(AG14:AI14)),1,0),0)</f>
        <v>1</v>
      </c>
      <c r="AM13" s="92">
        <f ca="1">IF(AN13&lt;&gt;0,AM12+1,AM12)</f>
        <v>3</v>
      </c>
      <c r="AN13" s="92" t="str">
        <f ca="1">IF(AL13=1,Y13,0)</f>
        <v>Chile</v>
      </c>
      <c r="AO13" s="92">
        <v>10</v>
      </c>
      <c r="AP13" s="92" t="str">
        <f ca="1">IF(AND(Tournament!J23&lt;&gt;"",Tournament!L23&lt;&gt;""),IF(Tournament!J23&gt;Tournament!L23,Tournament!H23,""),"")</f>
        <v/>
      </c>
      <c r="AQ13" s="92" t="str">
        <f ca="1">IF(AND(Tournament!J23&lt;&gt;"",Tournament!L23&lt;&gt;""),IF(Tournament!J23=Tournament!L23,Tournament!H23,""),"")</f>
        <v/>
      </c>
      <c r="AR13" s="92" t="str">
        <f ca="1">IF(AND(Tournament!J23&lt;&gt;"",Tournament!L23&lt;&gt;""),IF(Tournament!J23&gt;Tournament!L23,Tournament!N23,""),"")</f>
        <v/>
      </c>
      <c r="AS13" s="92">
        <f ca="1">IF(AND(Tournament!J23&lt;&gt;"",Tournament!L23&lt;&gt;""),Tournament!J23,0)</f>
        <v>0</v>
      </c>
      <c r="AT13" s="92" t="str">
        <f ca="1">IF(AND(Tournament!J23&lt;&gt;"",Tournament!L23&lt;&gt;""),IF(Tournament!J23&lt;Tournament!L23,Tournament!N23,""),"")</f>
        <v/>
      </c>
      <c r="AU13" s="92" t="str">
        <f ca="1">IF(AND(Tournament!J23&lt;&gt;"",Tournament!L23&lt;&gt;""),IF(Tournament!J23=Tournament!L23,Tournament!N23,""),"")</f>
        <v/>
      </c>
      <c r="AV13" s="92" t="str">
        <f ca="1">IF(AND(Tournament!J23&lt;&gt;"",Tournament!L23&lt;&gt;""),IF(Tournament!J23&lt;Tournament!L23,Tournament!H23,""),"")</f>
        <v/>
      </c>
      <c r="AW13" s="92">
        <f ca="1">IF(AND(Tournament!J23&lt;&gt;"",Tournament!L23&lt;&gt;""),Tournament!L23,0)</f>
        <v>0</v>
      </c>
      <c r="AX13" s="92">
        <v>1</v>
      </c>
      <c r="AY13" s="92" t="str">
        <f t="shared" ca="1" si="1"/>
        <v/>
      </c>
      <c r="AZ13" s="92" t="str">
        <f t="shared" ca="1" si="2"/>
        <v/>
      </c>
      <c r="BA13" s="92" t="str">
        <f t="shared" ca="1" si="3"/>
        <v/>
      </c>
      <c r="BB13" s="92" t="str">
        <f t="shared" ca="1" si="4"/>
        <v/>
      </c>
      <c r="BC13" s="92" t="str">
        <f t="shared" ca="1" si="5"/>
        <v/>
      </c>
      <c r="BD13" s="92" t="str">
        <f t="shared" ca="1" si="6"/>
        <v/>
      </c>
      <c r="BE13" s="92">
        <v>11</v>
      </c>
      <c r="BF13" s="92" t="str">
        <f>Tournament!H24</f>
        <v>Argentina</v>
      </c>
      <c r="BG13" s="92" t="str">
        <f ca="1">IF(AND(Tournament!J24&lt;&gt;"",Tournament!L24&lt;&gt;""),Tournament!J24,"")</f>
        <v/>
      </c>
      <c r="BH13" s="92" t="str">
        <f ca="1">IF(AND(Tournament!L24&lt;&gt;"",Tournament!J24&lt;&gt;""),Tournament!L24,"")</f>
        <v/>
      </c>
      <c r="BI13" s="92" t="str">
        <f>Tournament!N24</f>
        <v>Bosnia-Herzegovina</v>
      </c>
    </row>
    <row r="14" spans="1:61">
      <c r="A14" s="92">
        <f ca="1">K14+L14+M14+N14</f>
        <v>4</v>
      </c>
      <c r="B14" s="92" t="str">
        <f>Tournament!N17</f>
        <v>Australia</v>
      </c>
      <c r="C14" s="92">
        <f ca="1">SUMIF(AP$4:AP$60,B14,AX$4:AX$60)+SUMIF(AT$4:AT$60,B14,AX$4:AX$60)</f>
        <v>0</v>
      </c>
      <c r="D14" s="92">
        <f ca="1">SUMIF(AQ$4:AQ$60,B14,AX$4:AX$60)+SUMIF(AU$4:AU$60,B14,AX$4:AX$60)</f>
        <v>0</v>
      </c>
      <c r="E14" s="92">
        <f ca="1">SUMIF(AR$4:AR$60,B14,AX$4:AX$60)+SUMIF(AV$4:AV$60,B14,AX$4:AX$60)</f>
        <v>0</v>
      </c>
      <c r="F14" s="92">
        <f ca="1">SUMIF($BF$3:$BF$60,B14,$BG$3:$BG$60)+SUMIF($BI$3:$BI$60,B14,$BH$3:$BH$60)</f>
        <v>0</v>
      </c>
      <c r="G14" s="92">
        <f ca="1">SUMIF($BI$3:$BI$60,B14,$BG$3:$BG$60)+SUMIF($BF$3:$BF$60,B14,$BH$3:$BH$60)</f>
        <v>0</v>
      </c>
      <c r="H14" s="92">
        <f ca="1">F14-G14+100</f>
        <v>100</v>
      </c>
      <c r="I14" s="127">
        <f ca="1">C14*3+D14</f>
        <v>0</v>
      </c>
      <c r="J14" s="92">
        <v>31</v>
      </c>
      <c r="K14" s="92">
        <f ca="1">RANK(I14,I$11:I$14)</f>
        <v>1</v>
      </c>
      <c r="L14" s="92">
        <f ca="1">SUMPRODUCT((I$11:I$14=I14)*(H$11:H$14&gt;H14))</f>
        <v>0</v>
      </c>
      <c r="M14" s="92">
        <f ca="1">SUMPRODUCT((I$11:I$14=I14)*(H$11:H$14=H14)*(F$11:F$14&gt;F14))</f>
        <v>0</v>
      </c>
      <c r="N14" s="92">
        <f ca="1">SUMPRODUCT((I$11:I$14=I14)*(H$11:H$14=H14)*(F$11:F$14=F14)*(J$11:J$14&lt;J14))</f>
        <v>3</v>
      </c>
      <c r="O14" s="92">
        <f ca="1">IF(SUM(AG11:AI14)=0,IF(COUNTIF(AJ11:AJ14,0)&gt;1,4,AJ14+1),IF(X14=X13,IF(X14=3,4,X14),IF(X14=5,3,IF(X14=6,4,X14))))</f>
        <v>4</v>
      </c>
      <c r="P14" s="92" t="str">
        <f ca="1">VLOOKUP(4,A$11:B$14,2,FALSE)</f>
        <v>Australia</v>
      </c>
      <c r="Q14" s="92">
        <f ca="1">SUMIF(B$4:B$60,P14,F$4:F$60)</f>
        <v>0</v>
      </c>
      <c r="R14" s="92">
        <f ca="1">SUMIF(B$4:B$60,P14,H$4:H$60)</f>
        <v>100</v>
      </c>
      <c r="S14" s="127">
        <f ca="1">SUMIF($B$4:$B$60,$P14,I$4:I$60)</f>
        <v>0</v>
      </c>
      <c r="T14" s="92">
        <f ca="1">SUMIF($B$4:$B$60,$P14,A$4:A$60)</f>
        <v>4</v>
      </c>
      <c r="U14" s="92">
        <f t="shared" ca="1" si="7"/>
        <v>0</v>
      </c>
      <c r="V14" s="92">
        <f t="shared" ca="1" si="7"/>
        <v>0</v>
      </c>
      <c r="W14" s="92">
        <f ca="1">SUMIF($B$4:$B$60,$P14,J$4:J$60)</f>
        <v>31</v>
      </c>
      <c r="X14" s="92">
        <f ca="1">IF(Y14=0,T14,T14+AG14+AH14+AI14)</f>
        <v>4</v>
      </c>
      <c r="Y14" s="92" t="str">
        <f ca="1">IF(AND(S13=S14,S13=S12,R13=R14,R13=R12,Q13=Q14,Q13=Q12),P14,0)</f>
        <v>Australia</v>
      </c>
      <c r="Z14" s="92">
        <f ca="1">SUMIF($AY$4:$AY$60,$Y14,$AX$4:$AX$60)+SUMIF($BB$4:$BB$60,$Y14,$AX$4:$AX$60)</f>
        <v>0</v>
      </c>
      <c r="AA14" s="92">
        <f ca="1">SUMIF($AZ$4:$AZ$60,$Y14,$AX$4:$AX$60)+SUMIF($BC$4:$BC$60,$Y14,$AX$4:$AX$60)</f>
        <v>0</v>
      </c>
      <c r="AB14" s="92">
        <f ca="1">SUMIF($BA$4:$BA$60,$Y14,$AX$4:$AX$60)+SUMIF($BD$4:$BD$60,$Y14,$AX$4:$AX$60)</f>
        <v>0</v>
      </c>
      <c r="AC14" s="92">
        <f ca="1">SUMIF(AY$4:AY$60,Y14,AS$4:AS$60)+SUMIF(BB$4:BB$60,Y14,AW$4:AW$60)+SUMIF(AZ$4:AZ$60,Y14,AS$4:AS$60)+SUMIF(BC$4:BC$60,Y14,AW$4:AW$60)</f>
        <v>0</v>
      </c>
      <c r="AD14" s="92">
        <f ca="1">SUMIF(BA$4:BA$60,Y14,AS$4:AS$60)+SUMIF(BD$4:BD$60,Y14,AW$4:AW$60)+SUMIF(AZ$4:AZ$60,Y14,AS$4:AS$60)+SUMIF(BC$4:BC$60,Y14,AW$4:AW$60)</f>
        <v>0</v>
      </c>
      <c r="AE14" s="92">
        <f ca="1">AC14-AD14+100</f>
        <v>100</v>
      </c>
      <c r="AF14" s="127">
        <f ca="1">IF(Y14&lt;&gt;0,Z14*3+AA14,"")</f>
        <v>0</v>
      </c>
      <c r="AG14" s="92">
        <f ca="1">IF(Y14&lt;&gt;0,RANK(AF14,AF$11:AF$14)-1,5)</f>
        <v>0</v>
      </c>
      <c r="AH14" s="92">
        <f ca="1">IF(Y14&lt;&gt;0,SUMPRODUCT((AF$11:AF$14=AF14)*(AE$11:AE$14&gt;AE14)),5)</f>
        <v>0</v>
      </c>
      <c r="AI14" s="92">
        <f ca="1">IF(Y14&lt;&gt;0,SUMPRODUCT((AF$11:AF$14=AF14)*(AE$11:AE$14=AE14)*(AC$11:AC$14&gt;AC14)),5)</f>
        <v>0</v>
      </c>
      <c r="AJ14" s="92">
        <f ca="1">IF(Y14&lt;&gt;0,SUMPRODUCT(($AF11:$AF14=AF14)*($AE11:$AE14=AE14)*($AC11:$AC14=AC14)*($AK11:$AK14&lt;AK14)),5)</f>
        <v>0</v>
      </c>
      <c r="AK14" s="92">
        <f ca="1">IF(AL14=0,0,VLOOKUP(Y14,Tournament!AJ$18:AK$22,2,FALSE))</f>
        <v>0</v>
      </c>
      <c r="AL14" s="92">
        <f ca="1">IF(Y14&lt;&gt;0,IF(SUM(AG14:AI14)=SUM(AG13:AI13),1,0),0)</f>
        <v>1</v>
      </c>
      <c r="AM14" s="92">
        <f ca="1">IF(AN14&lt;&gt;0,AM13+1,AM13)</f>
        <v>4</v>
      </c>
      <c r="AN14" s="92" t="str">
        <f ca="1">IF(AL14=1,Y14,0)</f>
        <v>Australia</v>
      </c>
      <c r="AO14" s="92">
        <v>11</v>
      </c>
      <c r="AP14" s="92" t="str">
        <f ca="1">IF(AND(Tournament!J24&lt;&gt;"",Tournament!L24&lt;&gt;""),IF(Tournament!J24&gt;Tournament!L24,Tournament!H24,""),"")</f>
        <v/>
      </c>
      <c r="AQ14" s="92" t="str">
        <f ca="1">IF(AND(Tournament!J24&lt;&gt;"",Tournament!L24&lt;&gt;""),IF(Tournament!J24=Tournament!L24,Tournament!H24,""),"")</f>
        <v/>
      </c>
      <c r="AR14" s="92" t="str">
        <f ca="1">IF(AND(Tournament!J24&lt;&gt;"",Tournament!L24&lt;&gt;""),IF(Tournament!J24&gt;Tournament!L24,Tournament!N24,""),"")</f>
        <v/>
      </c>
      <c r="AS14" s="92">
        <f ca="1">IF(AND(Tournament!J24&lt;&gt;"",Tournament!L24&lt;&gt;""),Tournament!J24,0)</f>
        <v>0</v>
      </c>
      <c r="AT14" s="92" t="str">
        <f ca="1">IF(AND(Tournament!J24&lt;&gt;"",Tournament!L24&lt;&gt;""),IF(Tournament!J24&lt;Tournament!L24,Tournament!N24,""),"")</f>
        <v/>
      </c>
      <c r="AU14" s="92" t="str">
        <f ca="1">IF(AND(Tournament!J24&lt;&gt;"",Tournament!L24&lt;&gt;""),IF(Tournament!J24=Tournament!L24,Tournament!N24,""),"")</f>
        <v/>
      </c>
      <c r="AV14" s="92" t="str">
        <f ca="1">IF(AND(Tournament!J24&lt;&gt;"",Tournament!L24&lt;&gt;""),IF(Tournament!J24&lt;Tournament!L24,Tournament!H24,""),"")</f>
        <v/>
      </c>
      <c r="AW14" s="92">
        <f ca="1">IF(AND(Tournament!J24&lt;&gt;"",Tournament!L24&lt;&gt;""),Tournament!L24,0)</f>
        <v>0</v>
      </c>
      <c r="AX14" s="92">
        <v>1</v>
      </c>
      <c r="AY14" s="92" t="str">
        <f t="shared" ca="1" si="1"/>
        <v/>
      </c>
      <c r="AZ14" s="92" t="str">
        <f t="shared" ca="1" si="2"/>
        <v/>
      </c>
      <c r="BA14" s="92" t="str">
        <f t="shared" ca="1" si="3"/>
        <v/>
      </c>
      <c r="BB14" s="92" t="str">
        <f t="shared" ca="1" si="4"/>
        <v/>
      </c>
      <c r="BC14" s="92" t="str">
        <f t="shared" ca="1" si="5"/>
        <v/>
      </c>
      <c r="BD14" s="92" t="str">
        <f t="shared" ca="1" si="6"/>
        <v/>
      </c>
      <c r="BE14" s="92">
        <v>12</v>
      </c>
      <c r="BF14" s="92" t="str">
        <f>Tournament!H25</f>
        <v>Iran</v>
      </c>
      <c r="BG14" s="92" t="str">
        <f ca="1">IF(AND(Tournament!J25&lt;&gt;"",Tournament!L25&lt;&gt;""),Tournament!J25,"")</f>
        <v/>
      </c>
      <c r="BH14" s="92" t="str">
        <f ca="1">IF(AND(Tournament!L25&lt;&gt;"",Tournament!J25&lt;&gt;""),Tournament!L25,"")</f>
        <v/>
      </c>
      <c r="BI14" s="92" t="str">
        <f>Tournament!N25</f>
        <v>Nigeria</v>
      </c>
    </row>
    <row r="15" spans="1:61">
      <c r="I15" s="127"/>
      <c r="S15" s="127"/>
      <c r="AF15" s="127"/>
      <c r="AO15" s="92">
        <v>12</v>
      </c>
      <c r="AP15" s="92" t="str">
        <f ca="1">IF(AND(Tournament!J25&lt;&gt;"",Tournament!L25&lt;&gt;""),IF(Tournament!J25&gt;Tournament!L25,Tournament!H25,""),"")</f>
        <v/>
      </c>
      <c r="AQ15" s="92" t="str">
        <f ca="1">IF(AND(Tournament!J25&lt;&gt;"",Tournament!L25&lt;&gt;""),IF(Tournament!J25=Tournament!L25,Tournament!H25,""),"")</f>
        <v/>
      </c>
      <c r="AR15" s="92" t="str">
        <f ca="1">IF(AND(Tournament!J25&lt;&gt;"",Tournament!L25&lt;&gt;""),IF(Tournament!J25&gt;Tournament!L25,Tournament!N25,""),"")</f>
        <v/>
      </c>
      <c r="AS15" s="92">
        <f ca="1">IF(AND(Tournament!J25&lt;&gt;"",Tournament!L25&lt;&gt;""),Tournament!J25,0)</f>
        <v>0</v>
      </c>
      <c r="AT15" s="92" t="str">
        <f ca="1">IF(AND(Tournament!J25&lt;&gt;"",Tournament!L25&lt;&gt;""),IF(Tournament!J25&lt;Tournament!L25,Tournament!N25,""),"")</f>
        <v/>
      </c>
      <c r="AU15" s="92" t="str">
        <f ca="1">IF(AND(Tournament!J25&lt;&gt;"",Tournament!L25&lt;&gt;""),IF(Tournament!J25=Tournament!L25,Tournament!N25,""),"")</f>
        <v/>
      </c>
      <c r="AV15" s="92" t="str">
        <f ca="1">IF(AND(Tournament!J25&lt;&gt;"",Tournament!L25&lt;&gt;""),IF(Tournament!J25&lt;Tournament!L25,Tournament!H25,""),"")</f>
        <v/>
      </c>
      <c r="AW15" s="92">
        <f ca="1">IF(AND(Tournament!J25&lt;&gt;"",Tournament!L25&lt;&gt;""),Tournament!L25,0)</f>
        <v>0</v>
      </c>
      <c r="AX15" s="92">
        <v>1</v>
      </c>
      <c r="AY15" s="92" t="str">
        <f t="shared" ca="1" si="1"/>
        <v/>
      </c>
      <c r="AZ15" s="92" t="str">
        <f t="shared" ca="1" si="2"/>
        <v/>
      </c>
      <c r="BA15" s="92" t="str">
        <f t="shared" ca="1" si="3"/>
        <v/>
      </c>
      <c r="BB15" s="92" t="str">
        <f t="shared" ca="1" si="4"/>
        <v/>
      </c>
      <c r="BC15" s="92" t="str">
        <f t="shared" ca="1" si="5"/>
        <v/>
      </c>
      <c r="BD15" s="92" t="str">
        <f t="shared" ca="1" si="6"/>
        <v/>
      </c>
      <c r="BE15" s="92">
        <v>13</v>
      </c>
      <c r="BF15" s="92" t="str">
        <f>Tournament!H26</f>
        <v>Germany</v>
      </c>
      <c r="BG15" s="92" t="str">
        <f ca="1">IF(AND(Tournament!J26&lt;&gt;"",Tournament!L26&lt;&gt;""),Tournament!J26,"")</f>
        <v/>
      </c>
      <c r="BH15" s="92" t="str">
        <f ca="1">IF(AND(Tournament!L26&lt;&gt;"",Tournament!J26&lt;&gt;""),Tournament!L26,"")</f>
        <v/>
      </c>
      <c r="BI15" s="92" t="str">
        <f>Tournament!N26</f>
        <v>Portugal</v>
      </c>
    </row>
    <row r="16" spans="1:61">
      <c r="I16" s="127"/>
      <c r="S16" s="127"/>
      <c r="AF16" s="127"/>
      <c r="AO16" s="92">
        <v>13</v>
      </c>
      <c r="AP16" s="92" t="str">
        <f ca="1">IF(AND(Tournament!J26&lt;&gt;"",Tournament!L26&lt;&gt;""),IF(Tournament!J26&gt;Tournament!L26,Tournament!H26,""),"")</f>
        <v/>
      </c>
      <c r="AQ16" s="92" t="str">
        <f ca="1">IF(AND(Tournament!J26&lt;&gt;"",Tournament!L26&lt;&gt;""),IF(Tournament!J26=Tournament!L26,Tournament!H26,""),"")</f>
        <v/>
      </c>
      <c r="AR16" s="92" t="str">
        <f ca="1">IF(AND(Tournament!J26&lt;&gt;"",Tournament!L26&lt;&gt;""),IF(Tournament!J26&gt;Tournament!L26,Tournament!N26,""),"")</f>
        <v/>
      </c>
      <c r="AS16" s="92">
        <f ca="1">IF(AND(Tournament!J26&lt;&gt;"",Tournament!L26&lt;&gt;""),Tournament!J26,0)</f>
        <v>0</v>
      </c>
      <c r="AT16" s="92" t="str">
        <f ca="1">IF(AND(Tournament!J26&lt;&gt;"",Tournament!L26&lt;&gt;""),IF(Tournament!J26&lt;Tournament!L26,Tournament!N26,""),"")</f>
        <v/>
      </c>
      <c r="AU16" s="92" t="str">
        <f ca="1">IF(AND(Tournament!J26&lt;&gt;"",Tournament!L26&lt;&gt;""),IF(Tournament!J26=Tournament!L26,Tournament!N26,""),"")</f>
        <v/>
      </c>
      <c r="AV16" s="92" t="str">
        <f ca="1">IF(AND(Tournament!J26&lt;&gt;"",Tournament!L26&lt;&gt;""),IF(Tournament!J26&lt;Tournament!L26,Tournament!H26,""),"")</f>
        <v/>
      </c>
      <c r="AW16" s="92">
        <f ca="1">IF(AND(Tournament!J26&lt;&gt;"",Tournament!L26&lt;&gt;""),Tournament!L26,0)</f>
        <v>0</v>
      </c>
      <c r="AX16" s="92">
        <v>1</v>
      </c>
      <c r="AY16" s="92" t="str">
        <f t="shared" ca="1" si="1"/>
        <v/>
      </c>
      <c r="AZ16" s="92" t="str">
        <f t="shared" ca="1" si="2"/>
        <v/>
      </c>
      <c r="BA16" s="92" t="str">
        <f t="shared" ca="1" si="3"/>
        <v/>
      </c>
      <c r="BB16" s="92" t="str">
        <f t="shared" ca="1" si="4"/>
        <v/>
      </c>
      <c r="BC16" s="92" t="str">
        <f t="shared" ca="1" si="5"/>
        <v/>
      </c>
      <c r="BD16" s="92" t="str">
        <f t="shared" ca="1" si="6"/>
        <v/>
      </c>
      <c r="BE16" s="92">
        <v>14</v>
      </c>
      <c r="BF16" s="92" t="str">
        <f>Tournament!H27</f>
        <v>Ghana</v>
      </c>
      <c r="BG16" s="92" t="str">
        <f ca="1">IF(AND(Tournament!J27&lt;&gt;"",Tournament!L27&lt;&gt;""),Tournament!J27,"")</f>
        <v/>
      </c>
      <c r="BH16" s="92" t="str">
        <f ca="1">IF(AND(Tournament!L27&lt;&gt;"",Tournament!J27&lt;&gt;""),Tournament!L27,"")</f>
        <v/>
      </c>
      <c r="BI16" s="92" t="str">
        <f>Tournament!N27</f>
        <v>USA</v>
      </c>
    </row>
    <row r="17" spans="1:61">
      <c r="I17" s="127"/>
      <c r="S17" s="127"/>
      <c r="AF17" s="127"/>
      <c r="AO17" s="92">
        <v>14</v>
      </c>
      <c r="AP17" s="92" t="str">
        <f ca="1">IF(AND(Tournament!J27&lt;&gt;"",Tournament!L27&lt;&gt;""),IF(Tournament!J27&gt;Tournament!L27,Tournament!H27,""),"")</f>
        <v/>
      </c>
      <c r="AQ17" s="92" t="str">
        <f ca="1">IF(AND(Tournament!J27&lt;&gt;"",Tournament!L27&lt;&gt;""),IF(Tournament!J27=Tournament!L27,Tournament!H27,""),"")</f>
        <v/>
      </c>
      <c r="AR17" s="92" t="str">
        <f ca="1">IF(AND(Tournament!J27&lt;&gt;"",Tournament!L27&lt;&gt;""),IF(Tournament!J27&gt;Tournament!L27,Tournament!N27,""),"")</f>
        <v/>
      </c>
      <c r="AS17" s="92">
        <f ca="1">IF(AND(Tournament!J27&lt;&gt;"",Tournament!L27&lt;&gt;""),Tournament!J27,0)</f>
        <v>0</v>
      </c>
      <c r="AT17" s="92" t="str">
        <f ca="1">IF(AND(Tournament!J27&lt;&gt;"",Tournament!L27&lt;&gt;""),IF(Tournament!J27&lt;Tournament!L27,Tournament!N27,""),"")</f>
        <v/>
      </c>
      <c r="AU17" s="92" t="str">
        <f ca="1">IF(AND(Tournament!J27&lt;&gt;"",Tournament!L27&lt;&gt;""),IF(Tournament!J27=Tournament!L27,Tournament!N27,""),"")</f>
        <v/>
      </c>
      <c r="AV17" s="92" t="str">
        <f ca="1">IF(AND(Tournament!J27&lt;&gt;"",Tournament!L27&lt;&gt;""),IF(Tournament!J27&lt;Tournament!L27,Tournament!H27,""),"")</f>
        <v/>
      </c>
      <c r="AW17" s="92">
        <f ca="1">IF(AND(Tournament!J27&lt;&gt;"",Tournament!L27&lt;&gt;""),Tournament!L27,0)</f>
        <v>0</v>
      </c>
      <c r="AX17" s="92">
        <v>1</v>
      </c>
      <c r="AY17" s="92" t="str">
        <f t="shared" ca="1" si="1"/>
        <v/>
      </c>
      <c r="AZ17" s="92" t="str">
        <f t="shared" ca="1" si="2"/>
        <v/>
      </c>
      <c r="BA17" s="92" t="str">
        <f t="shared" ca="1" si="3"/>
        <v/>
      </c>
      <c r="BB17" s="92" t="str">
        <f t="shared" ca="1" si="4"/>
        <v/>
      </c>
      <c r="BC17" s="92" t="str">
        <f t="shared" ca="1" si="5"/>
        <v/>
      </c>
      <c r="BD17" s="92" t="str">
        <f t="shared" ca="1" si="6"/>
        <v/>
      </c>
      <c r="BE17" s="92">
        <v>15</v>
      </c>
      <c r="BF17" s="92" t="str">
        <f>Tournament!H28</f>
        <v>Belgium</v>
      </c>
      <c r="BG17" s="92" t="str">
        <f ca="1">IF(AND(Tournament!J28&lt;&gt;"",Tournament!L28&lt;&gt;""),Tournament!J28,"")</f>
        <v/>
      </c>
      <c r="BH17" s="92" t="str">
        <f ca="1">IF(AND(Tournament!L28&lt;&gt;"",Tournament!J28&lt;&gt;""),Tournament!L28,"")</f>
        <v/>
      </c>
      <c r="BI17" s="92" t="str">
        <f>Tournament!N28</f>
        <v>Algeria</v>
      </c>
    </row>
    <row r="18" spans="1:61">
      <c r="A18" s="92">
        <f ca="1">K18+L18+M18+N18</f>
        <v>1</v>
      </c>
      <c r="B18" s="92" t="str">
        <f>Tournament!H18</f>
        <v>Colombia</v>
      </c>
      <c r="C18" s="92">
        <f ca="1">SUMIF(AP$4:AP$60,B18,AX$4:AX$60)+SUMIF(AT$4:AT$60,B18,AX$4:AX$60)</f>
        <v>0</v>
      </c>
      <c r="D18" s="92">
        <f ca="1">SUMIF(AQ$4:AQ$60,B18,AX$4:AX$60)+SUMIF(AU$4:AU$60,B18,AX$4:AX$60)</f>
        <v>0</v>
      </c>
      <c r="E18" s="92">
        <f ca="1">SUMIF(AR$4:AR$60,B18,AX$4:AX$60)+SUMIF(AV$4:AV$60,B18,AX$4:AX$60)</f>
        <v>0</v>
      </c>
      <c r="F18" s="92">
        <f ca="1">SUMIF($BF$3:$BF$60,B18,$BG$3:$BG$60)+SUMIF($BI$3:$BI$60,B18,$BH$3:$BH$60)</f>
        <v>0</v>
      </c>
      <c r="G18" s="92">
        <f ca="1">SUMIF($BI$3:$BI$60,B18,$BG$3:$BG$60)+SUMIF($BF$3:$BF$60,B18,$BH$3:$BH$60)</f>
        <v>0</v>
      </c>
      <c r="H18" s="92">
        <f ca="1">F18-G18+100</f>
        <v>100</v>
      </c>
      <c r="I18" s="127">
        <f ca="1">C18*3+D18</f>
        <v>0</v>
      </c>
      <c r="J18" s="92">
        <v>4</v>
      </c>
      <c r="K18" s="92">
        <f ca="1">RANK(I18,I$18:I$21)</f>
        <v>1</v>
      </c>
      <c r="L18" s="92">
        <f ca="1">SUMPRODUCT((I$18:I$21=I18)*(H$18:H$21&gt;H18))</f>
        <v>0</v>
      </c>
      <c r="M18" s="92">
        <f ca="1">SUMPRODUCT((I$18:I$21=I18)*(H$18:H$21=H18)*(F$18:F$21&gt;F18))</f>
        <v>0</v>
      </c>
      <c r="N18" s="92">
        <f ca="1">SUMPRODUCT((I$18:I$21=I18)*(H$18:H$21=H18)*(F$18:F$21=F18)*(J$18:J$21&lt;J18))</f>
        <v>0</v>
      </c>
      <c r="O18" s="92">
        <f ca="1">IF(SUM(AG18:AI21)=0,IF(COUNTIF(AJ18:AJ21,0)&gt;1,1,AJ18+1),X18)</f>
        <v>1</v>
      </c>
      <c r="P18" s="92" t="str">
        <f ca="1">VLOOKUP(1,A$18:B$21,2,FALSE)</f>
        <v>Colombia</v>
      </c>
      <c r="Q18" s="92">
        <f ca="1">SUMIF(B$4:B$60,P18,F$4:F$60)</f>
        <v>0</v>
      </c>
      <c r="R18" s="92">
        <f ca="1">SUMIF(B$4:B$60,P18,H$4:H$60)</f>
        <v>100</v>
      </c>
      <c r="S18" s="127">
        <f ca="1">SUMIF($B$4:$B$60,$P18,I$4:I$60)</f>
        <v>0</v>
      </c>
      <c r="T18" s="92">
        <f ca="1">SUMIF($B$4:$B$60,$P18,A$4:A$60)</f>
        <v>1</v>
      </c>
      <c r="U18" s="92">
        <f t="shared" ref="U18:V21" ca="1" si="8">SUMIF($B$4:$B$60,$P18,L$4:L$60)</f>
        <v>0</v>
      </c>
      <c r="V18" s="92">
        <f t="shared" ca="1" si="8"/>
        <v>0</v>
      </c>
      <c r="W18" s="92">
        <f ca="1">SUMIF($B$4:$B$60,$P18,J$4:J$60)</f>
        <v>4</v>
      </c>
      <c r="X18" s="92">
        <f ca="1">IF(Y18=0,T18,T18+AG18+AH18+AI18)</f>
        <v>1</v>
      </c>
      <c r="Y18" s="92" t="str">
        <f ca="1">IF(AND(S18=S19,R18=R19,Q18=Q19),P18,0)</f>
        <v>Colombia</v>
      </c>
      <c r="Z18" s="92">
        <f ca="1">SUMIF($AY$4:$AY$60,$Y18,$AX$4:$AX$60)+SUMIF($BB$4:$BB$60,$Y18,$AX$4:$AX$60)</f>
        <v>0</v>
      </c>
      <c r="AA18" s="92">
        <f ca="1">SUMIF($AZ$4:$AZ$60,$Y18,$AX$4:$AX$60)+SUMIF($BC$4:$BC$60,$Y18,$AX$4:$AX$60)</f>
        <v>0</v>
      </c>
      <c r="AB18" s="92">
        <f ca="1">SUMIF($BA$4:$BA$60,$Y18,$AX$4:$AX$60)+SUMIF($BD$4:$BD$60,$Y18,$AX$4:$AX$60)</f>
        <v>0</v>
      </c>
      <c r="AC18" s="92">
        <f ca="1">SUMIF(AY$4:AY$60,Y18,AS$4:AS$60)+SUMIF(BB$4:BB$60,Y18,AW$4:AW$60)+SUMIF(AZ$4:AZ$60,Y18,AS$4:AS$60)+SUMIF(BC$4:BC$60,Y18,AW$4:AW$60)</f>
        <v>0</v>
      </c>
      <c r="AD18" s="92">
        <f ca="1">SUMIF(BA$4:BA$60,Y18,AS$4:AS$60)+SUMIF(BD$4:BD$60,Y18,AW$4:AW$60)+SUMIF(AZ$4:AZ$60,Y18,AS$4:AS$60)+SUMIF(BC$4:BC$60,Y18,AW$4:AW$60)</f>
        <v>0</v>
      </c>
      <c r="AE18" s="92">
        <f ca="1">AC18-AD18+100</f>
        <v>100</v>
      </c>
      <c r="AF18" s="127">
        <f ca="1">IF(Y18&lt;&gt;0,Z18*3+AA18,"")</f>
        <v>0</v>
      </c>
      <c r="AG18" s="92">
        <f ca="1">IF(Y18&lt;&gt;0,RANK(AF18,AF$18:AF$21)-1,5)</f>
        <v>0</v>
      </c>
      <c r="AH18" s="92">
        <f ca="1">IF(Y18&lt;&gt;0,SUMPRODUCT((AF$18:AF$21=AF18)*(AE$18:AE$21&gt;AE18)),5)</f>
        <v>0</v>
      </c>
      <c r="AI18" s="92">
        <f ca="1">IF(Y18&lt;&gt;0,SUMPRODUCT((AF$18:AF$21=AF18)*(AE$18:AE$21=AE18)*(AC$18:AC$21&gt;AC18)),5)</f>
        <v>0</v>
      </c>
      <c r="AJ18" s="92">
        <f ca="1">IF(Y18&lt;&gt;0,SUMPRODUCT(($AF18:$AF21=AF18)*($AE18:$AE21=AE18)*($AC18:$AC21=AC18)*($AK18:$AK21&lt;AK18)),5)</f>
        <v>0</v>
      </c>
      <c r="AK18" s="92">
        <f ca="1">IF(AL18=0,0,VLOOKUP(Y18,Tournament!AJ$25:AK$28,2,FALSE))</f>
        <v>0</v>
      </c>
      <c r="AL18" s="92">
        <f ca="1">IF(Y18&lt;&gt;0,IF(SUM(AG18:AI18)=SUM(AG19:AI19),1,0),0)</f>
        <v>1</v>
      </c>
      <c r="AM18" s="92">
        <f ca="1">IF(AN18&lt;&gt;0,1,0)</f>
        <v>1</v>
      </c>
      <c r="AN18" s="92" t="str">
        <f ca="1">IF(AL18=1,Y18,0)</f>
        <v>Colombia</v>
      </c>
      <c r="AO18" s="92">
        <v>15</v>
      </c>
      <c r="AP18" s="92" t="str">
        <f ca="1">IF(AND(Tournament!J28&lt;&gt;"",Tournament!L28&lt;&gt;""),IF(Tournament!J28&gt;Tournament!L28,Tournament!H28,""),"")</f>
        <v/>
      </c>
      <c r="AQ18" s="92" t="str">
        <f ca="1">IF(AND(Tournament!J28&lt;&gt;"",Tournament!L28&lt;&gt;""),IF(Tournament!J28=Tournament!L28,Tournament!H28,""),"")</f>
        <v/>
      </c>
      <c r="AR18" s="92" t="str">
        <f ca="1">IF(AND(Tournament!J28&lt;&gt;"",Tournament!L28&lt;&gt;""),IF(Tournament!J28&gt;Tournament!L28,Tournament!N28,""),"")</f>
        <v/>
      </c>
      <c r="AS18" s="92">
        <f ca="1">IF(AND(Tournament!J28&lt;&gt;"",Tournament!L28&lt;&gt;""),Tournament!J28,0)</f>
        <v>0</v>
      </c>
      <c r="AT18" s="92" t="str">
        <f ca="1">IF(AND(Tournament!J28&lt;&gt;"",Tournament!L28&lt;&gt;""),IF(Tournament!J28&lt;Tournament!L28,Tournament!N28,""),"")</f>
        <v/>
      </c>
      <c r="AU18" s="92" t="str">
        <f ca="1">IF(AND(Tournament!J28&lt;&gt;"",Tournament!L28&lt;&gt;""),IF(Tournament!J28=Tournament!L28,Tournament!N28,""),"")</f>
        <v/>
      </c>
      <c r="AV18" s="92" t="str">
        <f ca="1">IF(AND(Tournament!J28&lt;&gt;"",Tournament!L28&lt;&gt;""),IF(Tournament!J28&lt;Tournament!L28,Tournament!H28,""),"")</f>
        <v/>
      </c>
      <c r="AW18" s="92">
        <f ca="1">IF(AND(Tournament!J28&lt;&gt;"",Tournament!L28&lt;&gt;""),Tournament!L28,0)</f>
        <v>0</v>
      </c>
      <c r="AX18" s="92">
        <v>1</v>
      </c>
      <c r="AY18" s="92" t="str">
        <f t="shared" ca="1" si="1"/>
        <v/>
      </c>
      <c r="AZ18" s="92" t="str">
        <f t="shared" ca="1" si="2"/>
        <v/>
      </c>
      <c r="BA18" s="92" t="str">
        <f t="shared" ca="1" si="3"/>
        <v/>
      </c>
      <c r="BB18" s="92" t="str">
        <f t="shared" ca="1" si="4"/>
        <v/>
      </c>
      <c r="BC18" s="92" t="str">
        <f t="shared" ca="1" si="5"/>
        <v/>
      </c>
      <c r="BD18" s="92" t="str">
        <f t="shared" ca="1" si="6"/>
        <v/>
      </c>
      <c r="BE18" s="92">
        <v>16</v>
      </c>
      <c r="BF18" s="92" t="str">
        <f>Tournament!H29</f>
        <v>Russia</v>
      </c>
      <c r="BG18" s="92" t="str">
        <f ca="1">IF(AND(Tournament!J29&lt;&gt;"",Tournament!L29&lt;&gt;""),Tournament!J29,"")</f>
        <v/>
      </c>
      <c r="BH18" s="92" t="str">
        <f ca="1">IF(AND(Tournament!L29&lt;&gt;"",Tournament!J29&lt;&gt;""),Tournament!L29,"")</f>
        <v/>
      </c>
      <c r="BI18" s="92" t="str">
        <f>Tournament!N29</f>
        <v>South Korea</v>
      </c>
    </row>
    <row r="19" spans="1:61">
      <c r="A19" s="92">
        <f ca="1">K19+L19+M19+N19</f>
        <v>2</v>
      </c>
      <c r="B19" s="92" t="str">
        <f>Tournament!N18</f>
        <v>Greece</v>
      </c>
      <c r="C19" s="92">
        <f ca="1">SUMIF(AP$4:AP$60,B19,AX$4:AX$60)+SUMIF(AT$4:AT$60,B19,AX$4:AX$60)</f>
        <v>0</v>
      </c>
      <c r="D19" s="92">
        <f ca="1">SUMIF(AQ$4:AQ$60,B19,AX$4:AX$60)+SUMIF(AU$4:AU$60,B19,AX$4:AX$60)</f>
        <v>0</v>
      </c>
      <c r="E19" s="92">
        <f ca="1">SUMIF(AR$4:AR$60,B19,AX$4:AX$60)+SUMIF(AV$4:AV$60,B19,AX$4:AX$60)</f>
        <v>0</v>
      </c>
      <c r="F19" s="92">
        <f ca="1">SUMIF($BF$3:$BF$60,B19,$BG$3:$BG$60)+SUMIF($BI$3:$BI$60,B19,$BH$3:$BH$60)</f>
        <v>0</v>
      </c>
      <c r="G19" s="92">
        <f ca="1">SUMIF($BI$3:$BI$60,B19,$BG$3:$BG$60)+SUMIF($BF$3:$BF$60,B19,$BH$3:$BH$60)</f>
        <v>0</v>
      </c>
      <c r="H19" s="92">
        <f ca="1">F19-G19+100</f>
        <v>100</v>
      </c>
      <c r="I19" s="127">
        <f ca="1">C19*3+D19</f>
        <v>0</v>
      </c>
      <c r="J19" s="92">
        <v>15</v>
      </c>
      <c r="K19" s="92">
        <f ca="1">RANK(I19,I$18:I$21)</f>
        <v>1</v>
      </c>
      <c r="L19" s="92">
        <f ca="1">SUMPRODUCT((I$18:I$21=I19)*(H$18:H$21&gt;H19))</f>
        <v>0</v>
      </c>
      <c r="M19" s="92">
        <f ca="1">SUMPRODUCT((I$18:I$21=I19)*(H$18:H$21=H19)*(F$18:F$21&gt;F19))</f>
        <v>0</v>
      </c>
      <c r="N19" s="92">
        <f ca="1">SUMPRODUCT((I$18:I$21=I19)*(H$18:H$21=H19)*(F$18:F$21=F19)*(J$18:J$21&lt;J19))</f>
        <v>1</v>
      </c>
      <c r="O19" s="92">
        <f ca="1">IF(SUM(AG18:AI21)=0,IF(COUNTIF(AJ18:AJ21,0)&gt;1,2,AJ19+1),IF(AND(X18=1,X19=3,Y18&lt;&gt;0,Y19&lt;&gt;0,Y20=0,Y21=0),2,IF(AND(X18=2,X19=2,Y18&lt;&gt;0,Y19&lt;&gt;0,Y20=0,Y21=0),1,IF(AND(X19=4,AI19=2),3,X19))))</f>
        <v>2</v>
      </c>
      <c r="P19" s="92" t="str">
        <f ca="1">VLOOKUP(2,A$18:B$21,2,FALSE)</f>
        <v>Greece</v>
      </c>
      <c r="Q19" s="92">
        <f ca="1">SUMIF(B$4:B$60,P19,F$4:F$60)</f>
        <v>0</v>
      </c>
      <c r="R19" s="92">
        <f ca="1">SUMIF(B$4:B$60,P19,H$4:H$60)</f>
        <v>100</v>
      </c>
      <c r="S19" s="127">
        <f ca="1">SUMIF($B$4:$B$60,$P19,I$4:I$60)</f>
        <v>0</v>
      </c>
      <c r="T19" s="92">
        <f ca="1">SUMIF($B$4:$B$60,$P19,A$4:A$60)</f>
        <v>2</v>
      </c>
      <c r="U19" s="92">
        <f t="shared" ca="1" si="8"/>
        <v>0</v>
      </c>
      <c r="V19" s="92">
        <f t="shared" ca="1" si="8"/>
        <v>0</v>
      </c>
      <c r="W19" s="92">
        <f ca="1">SUMIF($B$4:$B$60,$P19,J$4:J$60)</f>
        <v>15</v>
      </c>
      <c r="X19" s="92">
        <f ca="1">IF(Y19=0,T19,T19+AG19+AH19+AI19)</f>
        <v>2</v>
      </c>
      <c r="Y19" s="92" t="str">
        <f ca="1">IF(OR(AND(S18=S19,R18=R19,Q18=Q19),AND(S20=S19,R20=R19,Q20=Q19)),P19,0)</f>
        <v>Greece</v>
      </c>
      <c r="Z19" s="92">
        <f ca="1">SUMIF($AY$4:$AY$60,$Y19,$AX$4:$AX$60)+SUMIF($BB$4:$BB$60,$Y19,$AX$4:$AX$60)</f>
        <v>0</v>
      </c>
      <c r="AA19" s="92">
        <f ca="1">SUMIF($AZ$4:$AZ$60,$Y19,$AX$4:$AX$60)+SUMIF($BC$4:$BC$60,$Y19,$AX$4:$AX$60)</f>
        <v>0</v>
      </c>
      <c r="AB19" s="92">
        <f ca="1">SUMIF($BA$4:$BA$60,$Y19,$AX$4:$AX$60)+SUMIF($BD$4:$BD$60,$Y19,$AX$4:$AX$60)</f>
        <v>0</v>
      </c>
      <c r="AC19" s="92">
        <f ca="1">SUMIF(AY$4:AY$60,Y19,AS$4:AS$60)+SUMIF(BB$4:BB$60,Y19,AW$4:AW$60)+SUMIF(AZ$4:AZ$60,Y19,AS$4:AS$60)+SUMIF(BC$4:BC$60,Y19,AW$4:AW$60)</f>
        <v>0</v>
      </c>
      <c r="AD19" s="92">
        <f ca="1">SUMIF(BA$4:BA$60,Y19,AS$4:AS$60)+SUMIF(BD$4:BD$60,Y19,AW$4:AW$60)+SUMIF(AZ$4:AZ$60,Y19,AS$4:AS$60)+SUMIF(BC$4:BC$60,Y19,AW$4:AW$60)</f>
        <v>0</v>
      </c>
      <c r="AE19" s="92">
        <f ca="1">AC19-AD19+100</f>
        <v>100</v>
      </c>
      <c r="AF19" s="127">
        <f ca="1">IF(Y19&lt;&gt;0,Z19*3+AA19,"")</f>
        <v>0</v>
      </c>
      <c r="AG19" s="92">
        <f ca="1">IF(Y19&lt;&gt;0,RANK(AF19,AF$18:AF$21)-1,5)</f>
        <v>0</v>
      </c>
      <c r="AH19" s="92">
        <f ca="1">IF(Y19&lt;&gt;0,SUMPRODUCT((AF$18:AF$21=AF19)*(AE$18:AE$21&gt;AE19)),5)</f>
        <v>0</v>
      </c>
      <c r="AI19" s="92">
        <f ca="1">IF(Y19&lt;&gt;0,SUMPRODUCT((AF$18:AF$21=AF19)*(AE$18:AE$21=AE19)*(AC$18:AC$21&gt;AC19)),5)</f>
        <v>0</v>
      </c>
      <c r="AJ19" s="92">
        <f ca="1">IF(Y19&lt;&gt;0,SUMPRODUCT(($AF18:$AF21=AF19)*($AE18:$AE21=AE19)*($AC18:$AC21=AC19)*($AK18:$AK21&lt;AK19)),5)</f>
        <v>0</v>
      </c>
      <c r="AK19" s="92">
        <f ca="1">IF(AL19=0,0,VLOOKUP(Y19,Tournament!AJ$25:AK$28,2,FALSE))</f>
        <v>0</v>
      </c>
      <c r="AL19" s="92">
        <f ca="1">IF(Y19&lt;&gt;0,IF(OR(SUM(AG19:AI19)=SUM(AG18:AI18),SUM(AG19:AI19)=SUM(AG20:AI20)),1,0),0)</f>
        <v>1</v>
      </c>
      <c r="AM19" s="92">
        <f ca="1">IF(AN19&lt;&gt;0,AM18+1,AM18)</f>
        <v>2</v>
      </c>
      <c r="AN19" s="92" t="str">
        <f ca="1">IF(AL19=1,Y19,0)</f>
        <v>Greece</v>
      </c>
      <c r="AO19" s="92">
        <v>16</v>
      </c>
      <c r="AP19" s="92" t="str">
        <f ca="1">IF(AND(Tournament!J29&lt;&gt;"",Tournament!L29&lt;&gt;""),IF(Tournament!J29&gt;Tournament!L29,Tournament!H29,""),"")</f>
        <v/>
      </c>
      <c r="AQ19" s="92" t="str">
        <f ca="1">IF(AND(Tournament!J29&lt;&gt;"",Tournament!L29&lt;&gt;""),IF(Tournament!J29=Tournament!L29,Tournament!H29,""),"")</f>
        <v/>
      </c>
      <c r="AR19" s="92" t="str">
        <f ca="1">IF(AND(Tournament!J29&lt;&gt;"",Tournament!L29&lt;&gt;""),IF(Tournament!J29&gt;Tournament!L29,Tournament!N29,""),"")</f>
        <v/>
      </c>
      <c r="AS19" s="92">
        <f ca="1">IF(AND(Tournament!J29&lt;&gt;"",Tournament!L29&lt;&gt;""),Tournament!J29,0)</f>
        <v>0</v>
      </c>
      <c r="AT19" s="92" t="str">
        <f ca="1">IF(AND(Tournament!J29&lt;&gt;"",Tournament!L29&lt;&gt;""),IF(Tournament!J29&lt;Tournament!L29,Tournament!N29,""),"")</f>
        <v/>
      </c>
      <c r="AU19" s="92" t="str">
        <f ca="1">IF(AND(Tournament!J29&lt;&gt;"",Tournament!L29&lt;&gt;""),IF(Tournament!J29=Tournament!L29,Tournament!N29,""),"")</f>
        <v/>
      </c>
      <c r="AV19" s="92" t="str">
        <f ca="1">IF(AND(Tournament!J29&lt;&gt;"",Tournament!L29&lt;&gt;""),IF(Tournament!J29&lt;Tournament!L29,Tournament!H29,""),"")</f>
        <v/>
      </c>
      <c r="AW19" s="92">
        <f ca="1">IF(AND(Tournament!J29&lt;&gt;"",Tournament!L29&lt;&gt;""),Tournament!L29,0)</f>
        <v>0</v>
      </c>
      <c r="AX19" s="92">
        <v>1</v>
      </c>
      <c r="AY19" s="92" t="str">
        <f t="shared" ca="1" si="1"/>
        <v/>
      </c>
      <c r="AZ19" s="92" t="str">
        <f t="shared" ca="1" si="2"/>
        <v/>
      </c>
      <c r="BA19" s="92" t="str">
        <f t="shared" ca="1" si="3"/>
        <v/>
      </c>
      <c r="BB19" s="92" t="str">
        <f t="shared" ca="1" si="4"/>
        <v/>
      </c>
      <c r="BC19" s="92" t="str">
        <f t="shared" ca="1" si="5"/>
        <v/>
      </c>
      <c r="BD19" s="92" t="str">
        <f t="shared" ca="1" si="6"/>
        <v/>
      </c>
      <c r="BE19" s="92">
        <v>17</v>
      </c>
      <c r="BF19" s="92" t="str">
        <f>Tournament!H30</f>
        <v>Brazil</v>
      </c>
      <c r="BG19" s="92" t="str">
        <f ca="1">IF(AND(Tournament!J30&lt;&gt;"",Tournament!L30&lt;&gt;""),Tournament!J30,"")</f>
        <v/>
      </c>
      <c r="BH19" s="92" t="str">
        <f ca="1">IF(AND(Tournament!L30&lt;&gt;"",Tournament!J30&lt;&gt;""),Tournament!L30,"")</f>
        <v/>
      </c>
      <c r="BI19" s="92" t="str">
        <f>Tournament!N30</f>
        <v>Mexico</v>
      </c>
    </row>
    <row r="20" spans="1:61">
      <c r="A20" s="92">
        <f ca="1">K20+L20+M20+N20</f>
        <v>3</v>
      </c>
      <c r="B20" s="92" t="str">
        <f>Tournament!H19</f>
        <v>Ivory Coast</v>
      </c>
      <c r="C20" s="92">
        <f ca="1">SUMIF(AP$4:AP$60,B20,AX$4:AX$60)+SUMIF(AT$4:AT$60,B20,AX$4:AX$60)</f>
        <v>0</v>
      </c>
      <c r="D20" s="92">
        <f ca="1">SUMIF(AQ$4:AQ$60,B20,AX$4:AX$60)+SUMIF(AU$4:AU$60,B20,AX$4:AX$60)</f>
        <v>0</v>
      </c>
      <c r="E20" s="92">
        <f ca="1">SUMIF(AR$4:AR$60,B20,AX$4:AX$60)+SUMIF(AV$4:AV$60,B20,AX$4:AX$60)</f>
        <v>0</v>
      </c>
      <c r="F20" s="92">
        <f ca="1">SUMIF($BF$3:$BF$60,B20,$BG$3:$BG$60)+SUMIF($BI$3:$BI$60,B20,$BH$3:$BH$60)</f>
        <v>0</v>
      </c>
      <c r="G20" s="92">
        <f ca="1">SUMIF($BI$3:$BI$60,B20,$BG$3:$BG$60)+SUMIF($BF$3:$BF$60,B20,$BH$3:$BH$60)</f>
        <v>0</v>
      </c>
      <c r="H20" s="92">
        <f ca="1">F20-G20+100</f>
        <v>100</v>
      </c>
      <c r="I20" s="127">
        <f ca="1">C20*3+D20</f>
        <v>0</v>
      </c>
      <c r="J20" s="92">
        <v>17</v>
      </c>
      <c r="K20" s="92">
        <f ca="1">RANK(I20,I$18:I$21)</f>
        <v>1</v>
      </c>
      <c r="L20" s="92">
        <f ca="1">SUMPRODUCT((I$18:I$21=I20)*(H$18:H$21&gt;H20))</f>
        <v>0</v>
      </c>
      <c r="M20" s="92">
        <f ca="1">SUMPRODUCT((I$18:I$21=I20)*(H$18:H$21=H20)*(F$18:F$21&gt;F20))</f>
        <v>0</v>
      </c>
      <c r="N20" s="92">
        <f ca="1">SUMPRODUCT((I$18:I$21=I20)*(H$18:H$21=H20)*(F$18:F$21=F20)*(J$18:J$21&lt;J20))</f>
        <v>2</v>
      </c>
      <c r="O20" s="92">
        <f ca="1">IF(SUM(AG18:AI21)=0,IF(COUNTIF(AJ18:AJ21,0)&gt;1,3,AJ20+1),IF(AND(X19=3,X20=3,Y18=0,Y19&lt;&gt;0,Y20&lt;&gt;0),2,IF(OR(X20=5,X20=4),3,IF(X20=6,4,IF(AND(X19=4,X18=1,Y20&lt;&gt;""),2,IF(AND(AI20=0,AI19=1,AI18=1,Y20&lt;&gt;""),1,X20))))))</f>
        <v>3</v>
      </c>
      <c r="P20" s="92" t="str">
        <f ca="1">VLOOKUP(3,A$18:B$21,2,FALSE)</f>
        <v>Ivory Coast</v>
      </c>
      <c r="Q20" s="92">
        <f ca="1">SUMIF(B$4:B$60,P20,F$4:F$60)</f>
        <v>0</v>
      </c>
      <c r="R20" s="92">
        <f ca="1">SUMIF(B$4:B$60,P20,H$4:H$60)</f>
        <v>100</v>
      </c>
      <c r="S20" s="127">
        <f ca="1">SUMIF($B$4:$B$60,$P20,I$4:I$60)</f>
        <v>0</v>
      </c>
      <c r="T20" s="92">
        <f ca="1">SUMIF($B$4:$B$60,$P20,A$4:A$60)</f>
        <v>3</v>
      </c>
      <c r="U20" s="92">
        <f t="shared" ca="1" si="8"/>
        <v>0</v>
      </c>
      <c r="V20" s="92">
        <f t="shared" ca="1" si="8"/>
        <v>0</v>
      </c>
      <c r="W20" s="92">
        <f ca="1">SUMIF($B$4:$B$60,$P20,J$4:J$60)</f>
        <v>17</v>
      </c>
      <c r="X20" s="92">
        <f ca="1">IF(Y20=0,T20,T20+AG20+AH20+AI20)</f>
        <v>3</v>
      </c>
      <c r="Y20" s="92" t="str">
        <f ca="1">IF(OR(AND(S19=S20,R19=R20,Q19=Q20),AND(S21=S20,S20=S19,R21=R20,R20=R19,Q21=Q20,Q20=Q19)),P20,0)</f>
        <v>Ivory Coast</v>
      </c>
      <c r="Z20" s="92">
        <f ca="1">SUMIF($AY$4:$AY$60,$Y20,$AX$4:$AX$60)+SUMIF($BB$4:$BB$60,$Y20,$AX$4:$AX$60)</f>
        <v>0</v>
      </c>
      <c r="AA20" s="92">
        <f ca="1">SUMIF($AZ$4:$AZ$60,$Y20,$AX$4:$AX$60)+SUMIF($BC$4:$BC$60,$Y20,$AX$4:$AX$60)</f>
        <v>0</v>
      </c>
      <c r="AB20" s="92">
        <f ca="1">SUMIF($BA$4:$BA$60,$Y20,$AX$4:$AX$60)+SUMIF($BD$4:$BD$60,$Y20,$AX$4:$AX$60)</f>
        <v>0</v>
      </c>
      <c r="AC20" s="92">
        <f ca="1">SUMIF(AY$4:AY$60,Y20,AS$4:AS$60)+SUMIF(BB$4:BB$60,Y20,AW$4:AW$60)+SUMIF(AZ$4:AZ$60,Y20,AS$4:AS$60)+SUMIF(BC$4:BC$60,Y20,AW$4:AW$60)</f>
        <v>0</v>
      </c>
      <c r="AD20" s="92">
        <f ca="1">SUMIF(BA$4:BA$60,Y20,AS$4:AS$60)+SUMIF(BD$4:BD$60,Y20,AW$4:AW$60)+SUMIF(AZ$4:AZ$60,Y20,AS$4:AS$60)+SUMIF(BC$4:BC$60,Y20,AW$4:AW$60)</f>
        <v>0</v>
      </c>
      <c r="AE20" s="92">
        <f ca="1">AC20-AD20+100</f>
        <v>100</v>
      </c>
      <c r="AF20" s="127">
        <f ca="1">IF(Y20&lt;&gt;0,Z20*3+AA20,"")</f>
        <v>0</v>
      </c>
      <c r="AG20" s="92">
        <f ca="1">IF(Y20&lt;&gt;0,RANK(AF20,AF$18:AF$21)-1,5)</f>
        <v>0</v>
      </c>
      <c r="AH20" s="92">
        <f ca="1">IF(Y20&lt;&gt;0,SUMPRODUCT((AF$18:AF$21=AF20)*(AE$18:AE$21&gt;AE20)),5)</f>
        <v>0</v>
      </c>
      <c r="AI20" s="92">
        <f ca="1">IF(Y20&lt;&gt;0,SUMPRODUCT((AF$18:AF$21=AF20)*(AE$18:AE$21=AE20)*(AC$18:AC$21&gt;AC20)),5)</f>
        <v>0</v>
      </c>
      <c r="AJ20" s="92">
        <f ca="1">IF(Y20&lt;&gt;0,SUMPRODUCT(($AF18:$AF21=AF20)*($AE18:$AE21=AE20)*($AC18:$AC21=AC20)*($AK18:$AK21&lt;AK20)),5)</f>
        <v>0</v>
      </c>
      <c r="AK20" s="92">
        <f ca="1">IF(AL20=0,0,VLOOKUP(Y20,Tournament!AJ$25:AK$28,2,FALSE))</f>
        <v>0</v>
      </c>
      <c r="AL20" s="92">
        <f ca="1">IF(Y20&lt;&gt;0,IF(OR(SUM(AG20:AI20)=SUM(AG19:AI19),SUM(AG20:AI20)=SUM(AG21:AI21)),1,0),0)</f>
        <v>1</v>
      </c>
      <c r="AM20" s="92">
        <f ca="1">IF(AN20&lt;&gt;0,AM19+1,AM19)</f>
        <v>3</v>
      </c>
      <c r="AN20" s="92" t="str">
        <f ca="1">IF(AL20=1,Y20,0)</f>
        <v>Ivory Coast</v>
      </c>
      <c r="AO20" s="92">
        <v>17</v>
      </c>
      <c r="AP20" s="92" t="str">
        <f ca="1">IF(AND(Tournament!J30&lt;&gt;"",Tournament!L30&lt;&gt;""),IF(Tournament!J30&gt;Tournament!L30,Tournament!H30,""),"")</f>
        <v/>
      </c>
      <c r="AQ20" s="92" t="str">
        <f ca="1">IF(AND(Tournament!J30&lt;&gt;"",Tournament!L30&lt;&gt;""),IF(Tournament!J30=Tournament!L30,Tournament!H30,""),"")</f>
        <v/>
      </c>
      <c r="AR20" s="92" t="str">
        <f ca="1">IF(AND(Tournament!J30&lt;&gt;"",Tournament!L30&lt;&gt;""),IF(Tournament!J30&gt;Tournament!L30,Tournament!N30,""),"")</f>
        <v/>
      </c>
      <c r="AS20" s="92">
        <f ca="1">IF(AND(Tournament!J30&lt;&gt;"",Tournament!L30&lt;&gt;""),Tournament!J30,0)</f>
        <v>0</v>
      </c>
      <c r="AT20" s="92" t="str">
        <f ca="1">IF(AND(Tournament!J30&lt;&gt;"",Tournament!L30&lt;&gt;""),IF(Tournament!J30&lt;Tournament!L30,Tournament!N30,""),"")</f>
        <v/>
      </c>
      <c r="AU20" s="92" t="str">
        <f ca="1">IF(AND(Tournament!J30&lt;&gt;"",Tournament!L30&lt;&gt;""),IF(Tournament!J30=Tournament!L30,Tournament!N30,""),"")</f>
        <v/>
      </c>
      <c r="AV20" s="92" t="str">
        <f ca="1">IF(AND(Tournament!J30&lt;&gt;"",Tournament!L30&lt;&gt;""),IF(Tournament!J30&lt;Tournament!L30,Tournament!H30,""),"")</f>
        <v/>
      </c>
      <c r="AW20" s="92">
        <f ca="1">IF(AND(Tournament!J30&lt;&gt;"",Tournament!L30&lt;&gt;""),Tournament!L30,0)</f>
        <v>0</v>
      </c>
      <c r="AX20" s="92">
        <v>1</v>
      </c>
      <c r="AY20" s="92" t="str">
        <f t="shared" ca="1" si="1"/>
        <v/>
      </c>
      <c r="AZ20" s="92" t="str">
        <f t="shared" ca="1" si="2"/>
        <v/>
      </c>
      <c r="BA20" s="92" t="str">
        <f t="shared" ca="1" si="3"/>
        <v/>
      </c>
      <c r="BB20" s="92" t="str">
        <f t="shared" ca="1" si="4"/>
        <v/>
      </c>
      <c r="BC20" s="92" t="str">
        <f t="shared" ca="1" si="5"/>
        <v/>
      </c>
      <c r="BD20" s="92" t="str">
        <f t="shared" ca="1" si="6"/>
        <v/>
      </c>
      <c r="BE20" s="92">
        <v>18</v>
      </c>
      <c r="BF20" s="92" t="str">
        <f>Tournament!H31</f>
        <v>Cameroon</v>
      </c>
      <c r="BG20" s="92" t="str">
        <f ca="1">IF(AND(Tournament!J31&lt;&gt;"",Tournament!L31&lt;&gt;""),Tournament!J31,"")</f>
        <v/>
      </c>
      <c r="BH20" s="92" t="str">
        <f ca="1">IF(AND(Tournament!L31&lt;&gt;"",Tournament!J31&lt;&gt;""),Tournament!L31,"")</f>
        <v/>
      </c>
      <c r="BI20" s="92" t="str">
        <f>Tournament!N31</f>
        <v>Croatia</v>
      </c>
    </row>
    <row r="21" spans="1:61">
      <c r="A21" s="92">
        <f ca="1">K21+L21+M21+N21</f>
        <v>4</v>
      </c>
      <c r="B21" s="92" t="str">
        <f>Tournament!N19</f>
        <v>Japan</v>
      </c>
      <c r="C21" s="92">
        <f ca="1">SUMIF(AP$4:AP$60,B21,AX$4:AX$60)+SUMIF(AT$4:AT$60,B21,AX$4:AX$60)</f>
        <v>0</v>
      </c>
      <c r="D21" s="92">
        <f ca="1">SUMIF(AQ$4:AQ$60,B21,AX$4:AX$60)+SUMIF(AU$4:AU$60,B21,AX$4:AX$60)</f>
        <v>0</v>
      </c>
      <c r="E21" s="92">
        <f ca="1">SUMIF(AR$4:AR$60,B21,AX$4:AX$60)+SUMIF(AV$4:AV$60,B21,AX$4:AX$60)</f>
        <v>0</v>
      </c>
      <c r="F21" s="92">
        <f ca="1">SUMIF($BF$3:$BF$60,B21,$BG$3:$BG$60)+SUMIF($BI$3:$BI$60,B21,$BH$3:$BH$60)</f>
        <v>0</v>
      </c>
      <c r="G21" s="92">
        <f ca="1">SUMIF($BI$3:$BI$60,B21,$BG$3:$BG$60)+SUMIF($BF$3:$BF$60,B21,$BH$3:$BH$60)</f>
        <v>0</v>
      </c>
      <c r="H21" s="92">
        <f ca="1">F21-G21+100</f>
        <v>100</v>
      </c>
      <c r="I21" s="127">
        <f ca="1">C21*3+D21</f>
        <v>0</v>
      </c>
      <c r="J21" s="92">
        <v>28</v>
      </c>
      <c r="K21" s="92">
        <f ca="1">RANK(I21,I$18:I$21)</f>
        <v>1</v>
      </c>
      <c r="L21" s="92">
        <f ca="1">SUMPRODUCT((I$18:I$21=I21)*(H$18:H$21&gt;H21))</f>
        <v>0</v>
      </c>
      <c r="M21" s="92">
        <f ca="1">SUMPRODUCT((I$18:I$21=I21)*(H$18:H$21=H21)*(F$18:F$21&gt;F21))</f>
        <v>0</v>
      </c>
      <c r="N21" s="92">
        <f ca="1">SUMPRODUCT((I$18:I$21=I21)*(H$18:H$21=H21)*(F$18:F$21=F21)*(J$18:J$21&lt;J21))</f>
        <v>3</v>
      </c>
      <c r="O21" s="92">
        <f ca="1">IF(SUM(AG18:AI21)=0,IF(COUNTIF(AJ18:AJ21,0)&gt;1,4,AJ21+1),IF(X21=X20,IF(X21=3,4,X21),IF(X21=5,3,IF(X21=6,4,X21))))</f>
        <v>4</v>
      </c>
      <c r="P21" s="92" t="str">
        <f ca="1">VLOOKUP(4,A$18:B$21,2,FALSE)</f>
        <v>Japan</v>
      </c>
      <c r="Q21" s="92">
        <f ca="1">SUMIF(B$4:B$60,P21,F$4:F$60)</f>
        <v>0</v>
      </c>
      <c r="R21" s="92">
        <f ca="1">SUMIF(B$4:B$60,P21,H$4:H$60)</f>
        <v>100</v>
      </c>
      <c r="S21" s="127">
        <f ca="1">SUMIF($B$4:$B$60,$P21,I$4:I$60)</f>
        <v>0</v>
      </c>
      <c r="T21" s="92">
        <f ca="1">SUMIF($B$4:$B$60,$P21,A$4:A$60)</f>
        <v>4</v>
      </c>
      <c r="U21" s="92">
        <f t="shared" ca="1" si="8"/>
        <v>0</v>
      </c>
      <c r="V21" s="92">
        <f t="shared" ca="1" si="8"/>
        <v>0</v>
      </c>
      <c r="W21" s="92">
        <f ca="1">SUMIF($B$4:$B$60,$P21,J$4:J$60)</f>
        <v>28</v>
      </c>
      <c r="X21" s="92">
        <f ca="1">IF(Y21=0,T21,T21+AG21+AH21+AI21)</f>
        <v>4</v>
      </c>
      <c r="Y21" s="92" t="str">
        <f ca="1">IF(AND(S20=S21,S20=S19,R20=R21,R20=R19,Q20=Q21,Q20=Q19),P21,0)</f>
        <v>Japan</v>
      </c>
      <c r="Z21" s="92">
        <f ca="1">SUMIF($AY$4:$AY$60,$Y21,$AX$4:$AX$60)+SUMIF($BB$4:$BB$60,$Y21,$AX$4:$AX$60)</f>
        <v>0</v>
      </c>
      <c r="AA21" s="92">
        <f ca="1">SUMIF($AZ$4:$AZ$60,$Y21,$AX$4:$AX$60)+SUMIF($BC$4:$BC$60,$Y21,$AX$4:$AX$60)</f>
        <v>0</v>
      </c>
      <c r="AB21" s="92">
        <f ca="1">SUMIF($BA$4:$BA$60,$Y21,$AX$4:$AX$60)+SUMIF($BD$4:$BD$60,$Y21,$AX$4:$AX$60)</f>
        <v>0</v>
      </c>
      <c r="AC21" s="92">
        <f ca="1">SUMIF(AY$4:AY$60,Y21,AS$4:AS$60)+SUMIF(BB$4:BB$60,Y21,AW$4:AW$60)+SUMIF(AZ$4:AZ$60,Y21,AS$4:AS$60)+SUMIF(BC$4:BC$60,Y21,AW$4:AW$60)</f>
        <v>0</v>
      </c>
      <c r="AD21" s="92">
        <f ca="1">SUMIF(BA$4:BA$60,Y21,AS$4:AS$60)+SUMIF(BD$4:BD$60,Y21,AW$4:AW$60)+SUMIF(AZ$4:AZ$60,Y21,AS$4:AS$60)+SUMIF(BC$4:BC$60,Y21,AW$4:AW$60)</f>
        <v>0</v>
      </c>
      <c r="AE21" s="92">
        <f ca="1">AC21-AD21+100</f>
        <v>100</v>
      </c>
      <c r="AF21" s="127">
        <f ca="1">IF(Y21&lt;&gt;0,Z21*3+AA21,"")</f>
        <v>0</v>
      </c>
      <c r="AG21" s="92">
        <f ca="1">IF(Y21&lt;&gt;0,RANK(AF21,AF$18:AF$21)-1,5)</f>
        <v>0</v>
      </c>
      <c r="AH21" s="92">
        <f ca="1">IF(Y21&lt;&gt;0,SUMPRODUCT((AF$18:AF$21=AF21)*(AE$18:AE$21&gt;AE21)),5)</f>
        <v>0</v>
      </c>
      <c r="AI21" s="92">
        <f ca="1">IF(Y21&lt;&gt;0,SUMPRODUCT((AF$18:AF$21=AF21)*(AE$18:AE$21=AE21)*(AC$18:AC$21&gt;AC21)),5)</f>
        <v>0</v>
      </c>
      <c r="AJ21" s="92">
        <f ca="1">IF(Y21&lt;&gt;0,SUMPRODUCT(($AF18:$AF21=AF21)*($AE18:$AE21=AE21)*($AC18:$AC21=AC21)*($AK18:$AK21&lt;AK21)),5)</f>
        <v>0</v>
      </c>
      <c r="AK21" s="92">
        <f ca="1">IF(AL21=0,0,VLOOKUP(Y21,Tournament!AJ$25:AK$28,2,FALSE))</f>
        <v>0</v>
      </c>
      <c r="AL21" s="92">
        <f ca="1">IF(Y21&lt;&gt;0,IF(SUM(AG21:AI21)=SUM(AG20:AI20),1,0),0)</f>
        <v>1</v>
      </c>
      <c r="AM21" s="92">
        <f ca="1">IF(AN21&lt;&gt;0,AM20+1,AM20)</f>
        <v>4</v>
      </c>
      <c r="AN21" s="92" t="str">
        <f ca="1">IF(AL21=1,Y21,0)</f>
        <v>Japan</v>
      </c>
      <c r="AO21" s="92">
        <v>18</v>
      </c>
      <c r="AP21" s="92" t="str">
        <f ca="1">IF(AND(Tournament!J31&lt;&gt;"",Tournament!L31&lt;&gt;""),IF(Tournament!J31&gt;Tournament!L31,Tournament!H31,""),"")</f>
        <v/>
      </c>
      <c r="AQ21" s="92" t="str">
        <f ca="1">IF(AND(Tournament!J31&lt;&gt;"",Tournament!L31&lt;&gt;""),IF(Tournament!J31=Tournament!L31,Tournament!H31,""),"")</f>
        <v/>
      </c>
      <c r="AR21" s="92" t="str">
        <f ca="1">IF(AND(Tournament!J31&lt;&gt;"",Tournament!L31&lt;&gt;""),IF(Tournament!J31&gt;Tournament!L31,Tournament!N31,""),"")</f>
        <v/>
      </c>
      <c r="AS21" s="92">
        <f ca="1">IF(AND(Tournament!J31&lt;&gt;"",Tournament!L31&lt;&gt;""),Tournament!J31,0)</f>
        <v>0</v>
      </c>
      <c r="AT21" s="92" t="str">
        <f ca="1">IF(AND(Tournament!J31&lt;&gt;"",Tournament!L31&lt;&gt;""),IF(Tournament!J31&lt;Tournament!L31,Tournament!N31,""),"")</f>
        <v/>
      </c>
      <c r="AU21" s="92" t="str">
        <f ca="1">IF(AND(Tournament!J31&lt;&gt;"",Tournament!L31&lt;&gt;""),IF(Tournament!J31=Tournament!L31,Tournament!N31,""),"")</f>
        <v/>
      </c>
      <c r="AV21" s="92" t="str">
        <f ca="1">IF(AND(Tournament!J31&lt;&gt;"",Tournament!L31&lt;&gt;""),IF(Tournament!J31&lt;Tournament!L31,Tournament!H31,""),"")</f>
        <v/>
      </c>
      <c r="AW21" s="92">
        <f ca="1">IF(AND(Tournament!J31&lt;&gt;"",Tournament!L31&lt;&gt;""),Tournament!L31,0)</f>
        <v>0</v>
      </c>
      <c r="AX21" s="92">
        <v>1</v>
      </c>
      <c r="AY21" s="92" t="str">
        <f t="shared" ca="1" si="1"/>
        <v/>
      </c>
      <c r="AZ21" s="92" t="str">
        <f t="shared" ca="1" si="2"/>
        <v/>
      </c>
      <c r="BA21" s="92" t="str">
        <f t="shared" ca="1" si="3"/>
        <v/>
      </c>
      <c r="BB21" s="92" t="str">
        <f t="shared" ca="1" si="4"/>
        <v/>
      </c>
      <c r="BC21" s="92" t="str">
        <f t="shared" ca="1" si="5"/>
        <v/>
      </c>
      <c r="BD21" s="92" t="str">
        <f t="shared" ca="1" si="6"/>
        <v/>
      </c>
      <c r="BE21" s="92">
        <v>19</v>
      </c>
      <c r="BF21" s="92" t="str">
        <f>Tournament!H32</f>
        <v>Spain</v>
      </c>
      <c r="BG21" s="92" t="str">
        <f ca="1">IF(AND(Tournament!J32&lt;&gt;"",Tournament!L32&lt;&gt;""),Tournament!J32,"")</f>
        <v/>
      </c>
      <c r="BH21" s="92" t="str">
        <f ca="1">IF(AND(Tournament!L32&lt;&gt;"",Tournament!J32&lt;&gt;""),Tournament!L32,"")</f>
        <v/>
      </c>
      <c r="BI21" s="92" t="str">
        <f>Tournament!N32</f>
        <v>Chile</v>
      </c>
    </row>
    <row r="22" spans="1:61">
      <c r="I22" s="127"/>
      <c r="S22" s="127"/>
      <c r="AF22" s="127"/>
      <c r="AO22" s="92">
        <v>19</v>
      </c>
      <c r="AP22" s="92" t="str">
        <f ca="1">IF(AND(Tournament!J32&lt;&gt;"",Tournament!L32&lt;&gt;""),IF(Tournament!J32&gt;Tournament!L32,Tournament!H32,""),"")</f>
        <v/>
      </c>
      <c r="AQ22" s="92" t="str">
        <f ca="1">IF(AND(Tournament!J32&lt;&gt;"",Tournament!L32&lt;&gt;""),IF(Tournament!J32=Tournament!L32,Tournament!H32,""),"")</f>
        <v/>
      </c>
      <c r="AR22" s="92" t="str">
        <f ca="1">IF(AND(Tournament!J32&lt;&gt;"",Tournament!L32&lt;&gt;""),IF(Tournament!J32&gt;Tournament!L32,Tournament!N32,""),"")</f>
        <v/>
      </c>
      <c r="AS22" s="92">
        <f ca="1">IF(AND(Tournament!J32&lt;&gt;"",Tournament!L32&lt;&gt;""),Tournament!J32,0)</f>
        <v>0</v>
      </c>
      <c r="AT22" s="92" t="str">
        <f ca="1">IF(AND(Tournament!J32&lt;&gt;"",Tournament!L32&lt;&gt;""),IF(Tournament!J32&lt;Tournament!L32,Tournament!N32,""),"")</f>
        <v/>
      </c>
      <c r="AU22" s="92" t="str">
        <f ca="1">IF(AND(Tournament!J32&lt;&gt;"",Tournament!L32&lt;&gt;""),IF(Tournament!J32=Tournament!L32,Tournament!N32,""),"")</f>
        <v/>
      </c>
      <c r="AV22" s="92" t="str">
        <f ca="1">IF(AND(Tournament!J32&lt;&gt;"",Tournament!L32&lt;&gt;""),IF(Tournament!J32&lt;Tournament!L32,Tournament!H32,""),"")</f>
        <v/>
      </c>
      <c r="AW22" s="92">
        <f ca="1">IF(AND(Tournament!J32&lt;&gt;"",Tournament!L32&lt;&gt;""),Tournament!L32,0)</f>
        <v>0</v>
      </c>
      <c r="AX22" s="92">
        <v>1</v>
      </c>
      <c r="AY22" s="92" t="str">
        <f t="shared" ca="1" si="1"/>
        <v/>
      </c>
      <c r="AZ22" s="92" t="str">
        <f t="shared" ca="1" si="2"/>
        <v/>
      </c>
      <c r="BA22" s="92" t="str">
        <f t="shared" ca="1" si="3"/>
        <v/>
      </c>
      <c r="BB22" s="92" t="str">
        <f t="shared" ca="1" si="4"/>
        <v/>
      </c>
      <c r="BC22" s="92" t="str">
        <f t="shared" ca="1" si="5"/>
        <v/>
      </c>
      <c r="BD22" s="92" t="str">
        <f t="shared" ca="1" si="6"/>
        <v/>
      </c>
      <c r="BE22" s="92">
        <v>20</v>
      </c>
      <c r="BF22" s="92" t="str">
        <f>Tournament!H33</f>
        <v>Australia</v>
      </c>
      <c r="BG22" s="92" t="str">
        <f ca="1">IF(AND(Tournament!J33&lt;&gt;"",Tournament!L33&lt;&gt;""),Tournament!J33,"")</f>
        <v/>
      </c>
      <c r="BH22" s="92" t="str">
        <f ca="1">IF(AND(Tournament!L33&lt;&gt;"",Tournament!J33&lt;&gt;""),Tournament!L33,"")</f>
        <v/>
      </c>
      <c r="BI22" s="92" t="str">
        <f>Tournament!N33</f>
        <v>Netherlands</v>
      </c>
    </row>
    <row r="23" spans="1:61">
      <c r="I23" s="127"/>
      <c r="S23" s="127"/>
      <c r="AF23" s="127"/>
      <c r="AO23" s="92">
        <v>20</v>
      </c>
      <c r="AP23" s="92" t="str">
        <f ca="1">IF(AND(Tournament!J33&lt;&gt;"",Tournament!L33&lt;&gt;""),IF(Tournament!J33&gt;Tournament!L33,Tournament!H33,""),"")</f>
        <v/>
      </c>
      <c r="AQ23" s="92" t="str">
        <f ca="1">IF(AND(Tournament!J33&lt;&gt;"",Tournament!L33&lt;&gt;""),IF(Tournament!J33=Tournament!L33,Tournament!H33,""),"")</f>
        <v/>
      </c>
      <c r="AR23" s="92" t="str">
        <f ca="1">IF(AND(Tournament!J33&lt;&gt;"",Tournament!L33&lt;&gt;""),IF(Tournament!J33&gt;Tournament!L33,Tournament!N33,""),"")</f>
        <v/>
      </c>
      <c r="AS23" s="92">
        <f ca="1">IF(AND(Tournament!J33&lt;&gt;"",Tournament!L33&lt;&gt;""),Tournament!J33,0)</f>
        <v>0</v>
      </c>
      <c r="AT23" s="92" t="str">
        <f ca="1">IF(AND(Tournament!J33&lt;&gt;"",Tournament!L33&lt;&gt;""),IF(Tournament!J33&lt;Tournament!L33,Tournament!N33,""),"")</f>
        <v/>
      </c>
      <c r="AU23" s="92" t="str">
        <f ca="1">IF(AND(Tournament!J33&lt;&gt;"",Tournament!L33&lt;&gt;""),IF(Tournament!J33=Tournament!L33,Tournament!N33,""),"")</f>
        <v/>
      </c>
      <c r="AV23" s="92" t="str">
        <f ca="1">IF(AND(Tournament!J33&lt;&gt;"",Tournament!L33&lt;&gt;""),IF(Tournament!J33&lt;Tournament!L33,Tournament!H33,""),"")</f>
        <v/>
      </c>
      <c r="AW23" s="92">
        <f ca="1">IF(AND(Tournament!J33&lt;&gt;"",Tournament!L33&lt;&gt;""),Tournament!L33,0)</f>
        <v>0</v>
      </c>
      <c r="AX23" s="92">
        <v>1</v>
      </c>
      <c r="AY23" s="92" t="str">
        <f t="shared" ca="1" si="1"/>
        <v/>
      </c>
      <c r="AZ23" s="92" t="str">
        <f t="shared" ca="1" si="2"/>
        <v/>
      </c>
      <c r="BA23" s="92" t="str">
        <f t="shared" ca="1" si="3"/>
        <v/>
      </c>
      <c r="BB23" s="92" t="str">
        <f t="shared" ca="1" si="4"/>
        <v/>
      </c>
      <c r="BC23" s="92" t="str">
        <f t="shared" ca="1" si="5"/>
        <v/>
      </c>
      <c r="BD23" s="92" t="str">
        <f t="shared" ca="1" si="6"/>
        <v/>
      </c>
      <c r="BE23" s="92">
        <v>21</v>
      </c>
      <c r="BF23" s="92" t="str">
        <f>Tournament!H34</f>
        <v>Colombia</v>
      </c>
      <c r="BG23" s="92" t="str">
        <f ca="1">IF(AND(Tournament!J34&lt;&gt;"",Tournament!L34&lt;&gt;""),Tournament!J34,"")</f>
        <v/>
      </c>
      <c r="BH23" s="92" t="str">
        <f ca="1">IF(AND(Tournament!L34&lt;&gt;"",Tournament!J34&lt;&gt;""),Tournament!L34,"")</f>
        <v/>
      </c>
      <c r="BI23" s="92" t="str">
        <f>Tournament!N34</f>
        <v>Ivory Coast</v>
      </c>
    </row>
    <row r="24" spans="1:61">
      <c r="I24" s="127"/>
      <c r="S24" s="127"/>
      <c r="AF24" s="127"/>
      <c r="AO24" s="92">
        <v>21</v>
      </c>
      <c r="AP24" s="92" t="str">
        <f ca="1">IF(AND(Tournament!J34&lt;&gt;"",Tournament!L34&lt;&gt;""),IF(Tournament!J34&gt;Tournament!L34,Tournament!H34,""),"")</f>
        <v/>
      </c>
      <c r="AQ24" s="92" t="str">
        <f ca="1">IF(AND(Tournament!J34&lt;&gt;"",Tournament!L34&lt;&gt;""),IF(Tournament!J34=Tournament!L34,Tournament!H34,""),"")</f>
        <v/>
      </c>
      <c r="AR24" s="92" t="str">
        <f ca="1">IF(AND(Tournament!J34&lt;&gt;"",Tournament!L34&lt;&gt;""),IF(Tournament!J34&gt;Tournament!L34,Tournament!N34,""),"")</f>
        <v/>
      </c>
      <c r="AS24" s="92">
        <f ca="1">IF(AND(Tournament!J34&lt;&gt;"",Tournament!L34&lt;&gt;""),Tournament!J34,0)</f>
        <v>0</v>
      </c>
      <c r="AT24" s="92" t="str">
        <f ca="1">IF(AND(Tournament!J34&lt;&gt;"",Tournament!L34&lt;&gt;""),IF(Tournament!J34&lt;Tournament!L34,Tournament!N34,""),"")</f>
        <v/>
      </c>
      <c r="AU24" s="92" t="str">
        <f ca="1">IF(AND(Tournament!J34&lt;&gt;"",Tournament!L34&lt;&gt;""),IF(Tournament!J34=Tournament!L34,Tournament!N34,""),"")</f>
        <v/>
      </c>
      <c r="AV24" s="92" t="str">
        <f ca="1">IF(AND(Tournament!J34&lt;&gt;"",Tournament!L34&lt;&gt;""),IF(Tournament!J34&lt;Tournament!L34,Tournament!H34,""),"")</f>
        <v/>
      </c>
      <c r="AW24" s="92">
        <f ca="1">IF(AND(Tournament!J34&lt;&gt;"",Tournament!L34&lt;&gt;""),Tournament!L34,0)</f>
        <v>0</v>
      </c>
      <c r="AX24" s="92">
        <v>1</v>
      </c>
      <c r="AY24" s="92" t="str">
        <f t="shared" ca="1" si="1"/>
        <v/>
      </c>
      <c r="AZ24" s="92" t="str">
        <f t="shared" ca="1" si="2"/>
        <v/>
      </c>
      <c r="BA24" s="92" t="str">
        <f t="shared" ca="1" si="3"/>
        <v/>
      </c>
      <c r="BB24" s="92" t="str">
        <f t="shared" ca="1" si="4"/>
        <v/>
      </c>
      <c r="BC24" s="92" t="str">
        <f t="shared" ca="1" si="5"/>
        <v/>
      </c>
      <c r="BD24" s="92" t="str">
        <f t="shared" ca="1" si="6"/>
        <v/>
      </c>
      <c r="BE24" s="92">
        <v>22</v>
      </c>
      <c r="BF24" s="92" t="str">
        <f>Tournament!H35</f>
        <v>Japan</v>
      </c>
      <c r="BG24" s="92" t="str">
        <f ca="1">IF(AND(Tournament!J35&lt;&gt;"",Tournament!L35&lt;&gt;""),Tournament!J35,"")</f>
        <v/>
      </c>
      <c r="BH24" s="92" t="str">
        <f ca="1">IF(AND(Tournament!L35&lt;&gt;"",Tournament!J35&lt;&gt;""),Tournament!L35,"")</f>
        <v/>
      </c>
      <c r="BI24" s="92" t="str">
        <f>Tournament!N35</f>
        <v>Greece</v>
      </c>
    </row>
    <row r="25" spans="1:61">
      <c r="A25" s="92">
        <f ca="1">K25+L25+M25+N25</f>
        <v>1</v>
      </c>
      <c r="B25" s="92" t="str">
        <f>Tournament!H20</f>
        <v>Uruguay</v>
      </c>
      <c r="C25" s="92">
        <f ca="1">SUMIF(AP$4:AP$60,B25,AX$4:AX$60)+SUMIF(AT$4:AT$60,B25,AX$4:AX$60)</f>
        <v>0</v>
      </c>
      <c r="D25" s="92">
        <f ca="1">SUMIF(AQ$4:AQ$60,B25,AX$4:AX$60)+SUMIF(AU$4:AU$60,B25,AX$4:AX$60)</f>
        <v>0</v>
      </c>
      <c r="E25" s="92">
        <f ca="1">SUMIF(AR$4:AR$60,B25,AX$4:AX$60)+SUMIF(AV$4:AV$60,B25,AX$4:AX$60)</f>
        <v>0</v>
      </c>
      <c r="F25" s="92">
        <f ca="1">SUMIF($BF$3:$BF$60,B25,$BG$3:$BG$60)+SUMIF($BI$3:$BI$60,B25,$BH$3:$BH$60)</f>
        <v>0</v>
      </c>
      <c r="G25" s="92">
        <f ca="1">SUMIF($BI$3:$BI$60,B25,$BG$3:$BG$60)+SUMIF($BF$3:$BF$60,B25,$BH$3:$BH$60)</f>
        <v>0</v>
      </c>
      <c r="H25" s="92">
        <f ca="1">F25-G25+100</f>
        <v>100</v>
      </c>
      <c r="I25" s="127">
        <f ca="1">C25*3+D25</f>
        <v>0</v>
      </c>
      <c r="J25" s="92">
        <v>6</v>
      </c>
      <c r="K25" s="92">
        <f ca="1">RANK(I25,I$25:I$28)</f>
        <v>1</v>
      </c>
      <c r="L25" s="92">
        <f ca="1">SUMPRODUCT((I$25:I$28=I25)*(H$25:H$28&gt;H25))</f>
        <v>0</v>
      </c>
      <c r="M25" s="92">
        <f ca="1">SUMPRODUCT((I$25:I$28=I25)*(H$25:H$28=H25)*(F$25:F$28&gt;F25))</f>
        <v>0</v>
      </c>
      <c r="N25" s="92">
        <f ca="1">SUMPRODUCT((I$25:I$28=I25)*(H$25:H$28=H25)*(F$25:F$28=F25)*(J$25:J$28&lt;J25))</f>
        <v>0</v>
      </c>
      <c r="O25" s="92">
        <f ca="1">IF(SUM(AG25:AI28)=0,IF(COUNTIF(AJ25:AJ28,0)&gt;1,1,AJ25+1),X25)</f>
        <v>1</v>
      </c>
      <c r="P25" s="92" t="str">
        <f ca="1">VLOOKUP(1,A$25:B$28,2,FALSE)</f>
        <v>Uruguay</v>
      </c>
      <c r="Q25" s="92">
        <f ca="1">SUMIF(B$4:B$60,P25,F$4:F$60)</f>
        <v>0</v>
      </c>
      <c r="R25" s="92">
        <f ca="1">SUMIF(B$4:B$60,P25,H$4:H$60)</f>
        <v>100</v>
      </c>
      <c r="S25" s="127">
        <f ca="1">SUMIF($B$4:$B$60,$P25,I$4:I$60)</f>
        <v>0</v>
      </c>
      <c r="T25" s="92">
        <f ca="1">SUMIF($B$4:$B$60,$P25,A$4:A$60)</f>
        <v>1</v>
      </c>
      <c r="U25" s="92">
        <f t="shared" ref="U25:V28" ca="1" si="9">SUMIF($B$4:$B$60,$P25,L$4:L$60)</f>
        <v>0</v>
      </c>
      <c r="V25" s="92">
        <f t="shared" ca="1" si="9"/>
        <v>0</v>
      </c>
      <c r="W25" s="92">
        <f ca="1">SUMIF($B$4:$B$60,$P25,J$4:J$60)</f>
        <v>6</v>
      </c>
      <c r="X25" s="92">
        <f ca="1">IF(Y25=0,T25,T25+AG25+AH25+AI25)</f>
        <v>1</v>
      </c>
      <c r="Y25" s="92" t="str">
        <f ca="1">IF(AND(S25=S26,R25=R26,Q25=Q26),P25,0)</f>
        <v>Uruguay</v>
      </c>
      <c r="Z25" s="92">
        <f ca="1">SUMIF($AY$4:$AY$60,$Y25,$AX$4:$AX$60)+SUMIF($BB$4:$BB$60,$Y25,$AX$4:$AX$60)</f>
        <v>0</v>
      </c>
      <c r="AA25" s="92">
        <f ca="1">SUMIF($AZ$4:$AZ$60,$Y25,$AX$4:$AX$60)+SUMIF($BC$4:$BC$60,$Y25,$AX$4:$AX$60)</f>
        <v>0</v>
      </c>
      <c r="AB25" s="92">
        <f ca="1">SUMIF($BA$4:$BA$60,$Y25,$AX$4:$AX$60)+SUMIF($BD$4:$BD$60,$Y25,$AX$4:$AX$60)</f>
        <v>0</v>
      </c>
      <c r="AC25" s="92">
        <f ca="1">SUMIF(AY$4:AY$60,Y25,AS$4:AS$60)+SUMIF(BB$4:BB$60,Y25,AW$4:AW$60)+SUMIF(AZ$4:AZ$60,Y25,AS$4:AS$60)+SUMIF(BC$4:BC$60,Y25,AW$4:AW$60)</f>
        <v>0</v>
      </c>
      <c r="AD25" s="92">
        <f ca="1">SUMIF(BA$4:BA$60,Y25,AS$4:AS$60)+SUMIF(BD$4:BD$60,Y25,AW$4:AW$60)+SUMIF(AZ$4:AZ$60,Y25,AS$4:AS$60)+SUMIF(BC$4:BC$60,Y25,AW$4:AW$60)</f>
        <v>0</v>
      </c>
      <c r="AE25" s="92">
        <f ca="1">AC25-AD25+100</f>
        <v>100</v>
      </c>
      <c r="AF25" s="127">
        <f ca="1">IF(Y25&lt;&gt;0,Z25*3+AA25,"")</f>
        <v>0</v>
      </c>
      <c r="AG25" s="92">
        <f ca="1">IF(Y25&lt;&gt;0,RANK(AF25,AF$25:AF$28)-1,5)</f>
        <v>0</v>
      </c>
      <c r="AH25" s="92">
        <f ca="1">IF(Y25&lt;&gt;0,SUMPRODUCT((AF$25:AF$28=AF25)*(AE$25:AE$28&gt;AE25)),5)</f>
        <v>0</v>
      </c>
      <c r="AI25" s="92">
        <f ca="1">IF(Y25&lt;&gt;0,SUMPRODUCT((AF$25:AF$28=AF25)*(AE$25:AE$28=AE25)*(AC$25:AC$28&gt;AC25)),5)</f>
        <v>0</v>
      </c>
      <c r="AJ25" s="92">
        <f ca="1">IF(Y25&lt;&gt;0,SUMPRODUCT(($AF25:$AF28=AF25)*($AE25:$AE28=AE25)*($AC25:$AC28=AC25)*($AK25:$AK28&lt;AK25)),5)</f>
        <v>0</v>
      </c>
      <c r="AK25" s="92">
        <f ca="1">IF(AL25=0,0,VLOOKUP(Y25,Tournament!AJ$31:AK$34,2,FALSE))</f>
        <v>0</v>
      </c>
      <c r="AL25" s="92">
        <f ca="1">IF(Y25&lt;&gt;0,IF(SUM(AG25:AI25)=SUM(AG26:AI26),1,0),0)</f>
        <v>1</v>
      </c>
      <c r="AM25" s="92">
        <f ca="1">IF(AN25&lt;&gt;0,1,0)</f>
        <v>1</v>
      </c>
      <c r="AN25" s="92" t="str">
        <f ca="1">IF(AL25=1,Y25,0)</f>
        <v>Uruguay</v>
      </c>
      <c r="AO25" s="92">
        <v>22</v>
      </c>
      <c r="AP25" s="92" t="str">
        <f ca="1">IF(AND(Tournament!J35&lt;&gt;"",Tournament!L35&lt;&gt;""),IF(Tournament!J35&gt;Tournament!L35,Tournament!H35,""),"")</f>
        <v/>
      </c>
      <c r="AQ25" s="92" t="str">
        <f ca="1">IF(AND(Tournament!J35&lt;&gt;"",Tournament!L35&lt;&gt;""),IF(Tournament!J35=Tournament!L35,Tournament!H35,""),"")</f>
        <v/>
      </c>
      <c r="AR25" s="92" t="str">
        <f ca="1">IF(AND(Tournament!J35&lt;&gt;"",Tournament!L35&lt;&gt;""),IF(Tournament!J35&gt;Tournament!L35,Tournament!N35,""),"")</f>
        <v/>
      </c>
      <c r="AS25" s="92">
        <f ca="1">IF(AND(Tournament!J35&lt;&gt;"",Tournament!L35&lt;&gt;""),Tournament!J35,0)</f>
        <v>0</v>
      </c>
      <c r="AT25" s="92" t="str">
        <f ca="1">IF(AND(Tournament!J35&lt;&gt;"",Tournament!L35&lt;&gt;""),IF(Tournament!J35&lt;Tournament!L35,Tournament!N35,""),"")</f>
        <v/>
      </c>
      <c r="AU25" s="92" t="str">
        <f ca="1">IF(AND(Tournament!J35&lt;&gt;"",Tournament!L35&lt;&gt;""),IF(Tournament!J35=Tournament!L35,Tournament!N35,""),"")</f>
        <v/>
      </c>
      <c r="AV25" s="92" t="str">
        <f ca="1">IF(AND(Tournament!J35&lt;&gt;"",Tournament!L35&lt;&gt;""),IF(Tournament!J35&lt;Tournament!L35,Tournament!H35,""),"")</f>
        <v/>
      </c>
      <c r="AW25" s="92">
        <f ca="1">IF(AND(Tournament!J35&lt;&gt;"",Tournament!L35&lt;&gt;""),Tournament!L35,0)</f>
        <v>0</v>
      </c>
      <c r="AX25" s="92">
        <v>1</v>
      </c>
      <c r="AY25" s="92" t="str">
        <f t="shared" ca="1" si="1"/>
        <v/>
      </c>
      <c r="AZ25" s="92" t="str">
        <f t="shared" ca="1" si="2"/>
        <v/>
      </c>
      <c r="BA25" s="92" t="str">
        <f t="shared" ca="1" si="3"/>
        <v/>
      </c>
      <c r="BB25" s="92" t="str">
        <f t="shared" ca="1" si="4"/>
        <v/>
      </c>
      <c r="BC25" s="92" t="str">
        <f t="shared" ca="1" si="5"/>
        <v/>
      </c>
      <c r="BD25" s="92" t="str">
        <f t="shared" ca="1" si="6"/>
        <v/>
      </c>
      <c r="BE25" s="92">
        <v>23</v>
      </c>
      <c r="BF25" s="92" t="str">
        <f>Tournament!H36</f>
        <v>Uruguay</v>
      </c>
      <c r="BG25" s="92" t="str">
        <f ca="1">IF(AND(Tournament!J36&lt;&gt;"",Tournament!L36&lt;&gt;""),Tournament!J36,"")</f>
        <v/>
      </c>
      <c r="BH25" s="92" t="str">
        <f ca="1">IF(AND(Tournament!L36&lt;&gt;"",Tournament!J36&lt;&gt;""),Tournament!L36,"")</f>
        <v/>
      </c>
      <c r="BI25" s="92" t="str">
        <f>Tournament!N36</f>
        <v>England</v>
      </c>
    </row>
    <row r="26" spans="1:61">
      <c r="A26" s="92">
        <f ca="1">K26+L26+M26+N26</f>
        <v>4</v>
      </c>
      <c r="B26" s="92" t="str">
        <f>Tournament!N20</f>
        <v>Costa Rica</v>
      </c>
      <c r="C26" s="92">
        <f ca="1">SUMIF(AP$4:AP$60,B26,AX$4:AX$60)+SUMIF(AT$4:AT$60,B26,AX$4:AX$60)</f>
        <v>0</v>
      </c>
      <c r="D26" s="92">
        <f ca="1">SUMIF(AQ$4:AQ$60,B26,AX$4:AX$60)+SUMIF(AU$4:AU$60,B26,AX$4:AX$60)</f>
        <v>0</v>
      </c>
      <c r="E26" s="92">
        <f ca="1">SUMIF(AR$4:AR$60,B26,AX$4:AX$60)+SUMIF(AV$4:AV$60,B26,AX$4:AX$60)</f>
        <v>0</v>
      </c>
      <c r="F26" s="92">
        <f ca="1">SUMIF($BF$3:$BF$60,B26,$BG$3:$BG$60)+SUMIF($BI$3:$BI$60,B26,$BH$3:$BH$60)</f>
        <v>0</v>
      </c>
      <c r="G26" s="92">
        <f ca="1">SUMIF($BI$3:$BI$60,B26,$BG$3:$BG$60)+SUMIF($BF$3:$BF$60,B26,$BH$3:$BH$60)</f>
        <v>0</v>
      </c>
      <c r="H26" s="92">
        <f ca="1">F26-G26+100</f>
        <v>100</v>
      </c>
      <c r="I26" s="127">
        <f ca="1">C26*3+D26</f>
        <v>0</v>
      </c>
      <c r="J26" s="92">
        <v>24</v>
      </c>
      <c r="K26" s="92">
        <f ca="1">RANK(I26,I$25:I$28)</f>
        <v>1</v>
      </c>
      <c r="L26" s="92">
        <f ca="1">SUMPRODUCT((I$25:I$28=I26)*(H$25:H$28&gt;H26))</f>
        <v>0</v>
      </c>
      <c r="M26" s="92">
        <f ca="1">SUMPRODUCT((I$25:I$28=I26)*(H$25:H$28=H26)*(F$25:F$28&gt;F26))</f>
        <v>0</v>
      </c>
      <c r="N26" s="92">
        <f ca="1">SUMPRODUCT((I$25:I$28=I26)*(H$25:H$28=H26)*(F$25:F$28=F26)*(J$25:J$28&lt;J26))</f>
        <v>3</v>
      </c>
      <c r="O26" s="92">
        <f ca="1">IF(SUM(AG25:AI28)=0,IF(COUNTIF(AJ25:AJ28,0)&gt;1,2,AJ26+1),IF(AND(X25=1,X26=3,Y25&lt;&gt;0,Y26&lt;&gt;0,Y27=0,Y28=0),2,IF(AND(X25=2,X26=2,Y25&lt;&gt;0,Y26&lt;&gt;0,Y27=0,Y28=0),1,IF(AND(X26=4,AI26=2),3,X26))))</f>
        <v>2</v>
      </c>
      <c r="P26" s="92" t="str">
        <f ca="1">VLOOKUP(2,A$25:B$28,2,FALSE)</f>
        <v>Italy</v>
      </c>
      <c r="Q26" s="92">
        <f ca="1">SUMIF(B$4:B$60,P26,F$4:F$60)</f>
        <v>0</v>
      </c>
      <c r="R26" s="92">
        <f ca="1">SUMIF(B$4:B$60,P26,H$4:H$60)</f>
        <v>100</v>
      </c>
      <c r="S26" s="127">
        <f ca="1">SUMIF($B$4:$B$60,$P26,I$4:I$60)</f>
        <v>0</v>
      </c>
      <c r="T26" s="92">
        <f ca="1">SUMIF($B$4:$B$60,$P26,A$4:A$60)</f>
        <v>2</v>
      </c>
      <c r="U26" s="92">
        <f t="shared" ca="1" si="9"/>
        <v>0</v>
      </c>
      <c r="V26" s="92">
        <f t="shared" ca="1" si="9"/>
        <v>0</v>
      </c>
      <c r="W26" s="92">
        <f ca="1">SUMIF($B$4:$B$60,$P26,J$4:J$60)</f>
        <v>9</v>
      </c>
      <c r="X26" s="92">
        <f ca="1">IF(Y26=0,T26,T26+AG26+AH26+AI26)</f>
        <v>2</v>
      </c>
      <c r="Y26" s="92" t="str">
        <f ca="1">IF(OR(AND(S25=S26,R25=R26,Q25=Q26),AND(S27=S26,R27=R26,Q27=Q26)),P26,0)</f>
        <v>Italy</v>
      </c>
      <c r="Z26" s="92">
        <f ca="1">SUMIF($AY$4:$AY$60,$Y26,$AX$4:$AX$60)+SUMIF($BB$4:$BB$60,$Y26,$AX$4:$AX$60)</f>
        <v>0</v>
      </c>
      <c r="AA26" s="92">
        <f ca="1">SUMIF($AZ$4:$AZ$60,$Y26,$AX$4:$AX$60)+SUMIF($BC$4:$BC$60,$Y26,$AX$4:$AX$60)</f>
        <v>0</v>
      </c>
      <c r="AB26" s="92">
        <f ca="1">SUMIF($BA$4:$BA$60,$Y26,$AX$4:$AX$60)+SUMIF($BD$4:$BD$60,$Y26,$AX$4:$AX$60)</f>
        <v>0</v>
      </c>
      <c r="AC26" s="92">
        <f ca="1">SUMIF(AY$4:AY$60,Y26,AS$4:AS$60)+SUMIF(BB$4:BB$60,Y26,AW$4:AW$60)+SUMIF(AZ$4:AZ$60,Y26,AS$4:AS$60)+SUMIF(BC$4:BC$60,Y26,AW$4:AW$60)</f>
        <v>0</v>
      </c>
      <c r="AD26" s="92">
        <f ca="1">SUMIF(BA$4:BA$60,Y26,AS$4:AS$60)+SUMIF(BD$4:BD$60,Y26,AW$4:AW$60)+SUMIF(AZ$4:AZ$60,Y26,AS$4:AS$60)+SUMIF(BC$4:BC$60,Y26,AW$4:AW$60)</f>
        <v>0</v>
      </c>
      <c r="AE26" s="92">
        <f ca="1">AC26-AD26+100</f>
        <v>100</v>
      </c>
      <c r="AF26" s="127">
        <f ca="1">IF(Y26&lt;&gt;0,Z26*3+AA26,"")</f>
        <v>0</v>
      </c>
      <c r="AG26" s="92">
        <f ca="1">IF(Y26&lt;&gt;0,RANK(AF26,AF$25:AF$28)-1,5)</f>
        <v>0</v>
      </c>
      <c r="AH26" s="92">
        <f ca="1">IF(Y26&lt;&gt;0,SUMPRODUCT((AF$25:AF$28=AF26)*(AE$25:AE$28&gt;AE26)),5)</f>
        <v>0</v>
      </c>
      <c r="AI26" s="92">
        <f ca="1">IF(Y26&lt;&gt;0,SUMPRODUCT((AF$25:AF$28=AF26)*(AE$25:AE$28=AE26)*(AC$25:AC$28&gt;AC26)),5)</f>
        <v>0</v>
      </c>
      <c r="AJ26" s="92">
        <f ca="1">IF(Y26&lt;&gt;0,SUMPRODUCT(($AF25:$AF28=AF26)*($AE25:$AE28=AE26)*($AC25:$AC28=AC26)*($AK25:$AK28&lt;AK26)),5)</f>
        <v>0</v>
      </c>
      <c r="AK26" s="92">
        <f ca="1">IF(AL26=0,0,VLOOKUP(Y26,Tournament!AJ$31:AK$34,2,FALSE))</f>
        <v>0</v>
      </c>
      <c r="AL26" s="92">
        <f ca="1">IF(Y26&lt;&gt;0,IF(OR(SUM(AG26:AI26)=SUM(AG25:AI25),SUM(AG26:AI26)=SUM(AG27:AI27)),1,0),0)</f>
        <v>1</v>
      </c>
      <c r="AM26" s="92">
        <f ca="1">IF(AN26&lt;&gt;0,AM25+1,AM25)</f>
        <v>2</v>
      </c>
      <c r="AN26" s="92" t="str">
        <f ca="1">IF(AL26=1,Y26,0)</f>
        <v>Italy</v>
      </c>
      <c r="AO26" s="92">
        <v>23</v>
      </c>
      <c r="AP26" s="92" t="str">
        <f ca="1">IF(AND(Tournament!J36&lt;&gt;"",Tournament!L36&lt;&gt;""),IF(Tournament!J36&gt;Tournament!L36,Tournament!H36,""),"")</f>
        <v/>
      </c>
      <c r="AQ26" s="92" t="str">
        <f ca="1">IF(AND(Tournament!J36&lt;&gt;"",Tournament!L36&lt;&gt;""),IF(Tournament!J36=Tournament!L36,Tournament!H36,""),"")</f>
        <v/>
      </c>
      <c r="AR26" s="92" t="str">
        <f ca="1">IF(AND(Tournament!J36&lt;&gt;"",Tournament!L36&lt;&gt;""),IF(Tournament!J36&gt;Tournament!L36,Tournament!N36,""),"")</f>
        <v/>
      </c>
      <c r="AS26" s="92">
        <f ca="1">IF(AND(Tournament!J36&lt;&gt;"",Tournament!L36&lt;&gt;""),Tournament!J36,0)</f>
        <v>0</v>
      </c>
      <c r="AT26" s="92" t="str">
        <f ca="1">IF(AND(Tournament!J36&lt;&gt;"",Tournament!L36&lt;&gt;""),IF(Tournament!J36&lt;Tournament!L36,Tournament!N36,""),"")</f>
        <v/>
      </c>
      <c r="AU26" s="92" t="str">
        <f ca="1">IF(AND(Tournament!J36&lt;&gt;"",Tournament!L36&lt;&gt;""),IF(Tournament!J36=Tournament!L36,Tournament!N36,""),"")</f>
        <v/>
      </c>
      <c r="AV26" s="92" t="str">
        <f ca="1">IF(AND(Tournament!J36&lt;&gt;"",Tournament!L36&lt;&gt;""),IF(Tournament!J36&lt;Tournament!L36,Tournament!H36,""),"")</f>
        <v/>
      </c>
      <c r="AW26" s="92">
        <f ca="1">IF(AND(Tournament!J36&lt;&gt;"",Tournament!L36&lt;&gt;""),Tournament!L36,0)</f>
        <v>0</v>
      </c>
      <c r="AX26" s="92">
        <v>1</v>
      </c>
      <c r="AY26" s="92" t="str">
        <f t="shared" ca="1" si="1"/>
        <v/>
      </c>
      <c r="AZ26" s="92" t="str">
        <f t="shared" ca="1" si="2"/>
        <v/>
      </c>
      <c r="BA26" s="92" t="str">
        <f t="shared" ca="1" si="3"/>
        <v/>
      </c>
      <c r="BB26" s="92" t="str">
        <f t="shared" ca="1" si="4"/>
        <v/>
      </c>
      <c r="BC26" s="92" t="str">
        <f t="shared" ca="1" si="5"/>
        <v/>
      </c>
      <c r="BD26" s="92" t="str">
        <f t="shared" ca="1" si="6"/>
        <v/>
      </c>
      <c r="BE26" s="92">
        <v>24</v>
      </c>
      <c r="BF26" s="92" t="str">
        <f>Tournament!H37</f>
        <v>Italy</v>
      </c>
      <c r="BG26" s="92" t="str">
        <f ca="1">IF(AND(Tournament!J37&lt;&gt;"",Tournament!L37&lt;&gt;""),Tournament!J37,"")</f>
        <v/>
      </c>
      <c r="BH26" s="92" t="str">
        <f ca="1">IF(AND(Tournament!L37&lt;&gt;"",Tournament!J37&lt;&gt;""),Tournament!L37,"")</f>
        <v/>
      </c>
      <c r="BI26" s="92" t="str">
        <f>Tournament!N37</f>
        <v>Costa Rica</v>
      </c>
    </row>
    <row r="27" spans="1:61">
      <c r="A27" s="92">
        <f ca="1">K27+L27+M27+N27</f>
        <v>3</v>
      </c>
      <c r="B27" s="92" t="str">
        <f>Tournament!H21</f>
        <v>England</v>
      </c>
      <c r="C27" s="92">
        <f ca="1">SUMIF(AP$4:AP$60,B27,AX$4:AX$60)+SUMIF(AT$4:AT$60,B27,AX$4:AX$60)</f>
        <v>0</v>
      </c>
      <c r="D27" s="92">
        <f ca="1">SUMIF(AQ$4:AQ$60,B27,AX$4:AX$60)+SUMIF(AU$4:AU$60,B27,AX$4:AX$60)</f>
        <v>0</v>
      </c>
      <c r="E27" s="92">
        <f ca="1">SUMIF(AR$4:AR$60,B27,AX$4:AX$60)+SUMIF(AV$4:AV$60,B27,AX$4:AX$60)</f>
        <v>0</v>
      </c>
      <c r="F27" s="92">
        <f ca="1">SUMIF($BF$3:$BF$60,B27,$BG$3:$BG$60)+SUMIF($BI$3:$BI$60,B27,$BH$3:$BH$60)</f>
        <v>0</v>
      </c>
      <c r="G27" s="92">
        <f ca="1">SUMIF($BI$3:$BI$60,B27,$BG$3:$BG$60)+SUMIF($BF$3:$BF$60,B27,$BH$3:$BH$60)</f>
        <v>0</v>
      </c>
      <c r="H27" s="92">
        <f ca="1">F27-G27+100</f>
        <v>100</v>
      </c>
      <c r="I27" s="127">
        <f ca="1">C27*3+D27</f>
        <v>0</v>
      </c>
      <c r="J27" s="92">
        <v>10</v>
      </c>
      <c r="K27" s="92">
        <f ca="1">RANK(I27,I$25:I$28)</f>
        <v>1</v>
      </c>
      <c r="L27" s="92">
        <f ca="1">SUMPRODUCT((I$25:I$28=I27)*(H$25:H$28&gt;H27))</f>
        <v>0</v>
      </c>
      <c r="M27" s="92">
        <f ca="1">SUMPRODUCT((I$25:I$28=I27)*(H$25:H$28=H27)*(F$25:F$28&gt;F27))</f>
        <v>0</v>
      </c>
      <c r="N27" s="92">
        <f ca="1">SUMPRODUCT((I$25:I$28=I27)*(H$25:H$28=H27)*(F$25:F$28=F27)*(J$25:J$28&lt;J27))</f>
        <v>2</v>
      </c>
      <c r="O27" s="92">
        <f ca="1">IF(SUM(AG25:AI28)=0,IF(COUNTIF(AJ25:AJ28,0)&gt;1,3,AJ27+1),IF(AND(X26=3,X27=3,Y25=0,Y26&lt;&gt;0,Y27&lt;&gt;0),2,IF(OR(X27=5,X27=4),3,IF(X27=6,4,IF(AND(X26=4,X25=1,Y27&lt;&gt;""),2,IF(AND(AI27=0,AI26=1,AI25=1,Y27&lt;&gt;""),1,X27))))))</f>
        <v>3</v>
      </c>
      <c r="P27" s="92" t="str">
        <f ca="1">VLOOKUP(3,A$25:B$28,2,FALSE)</f>
        <v>England</v>
      </c>
      <c r="Q27" s="92">
        <f ca="1">SUMIF(B$4:B$60,P27,F$4:F$60)</f>
        <v>0</v>
      </c>
      <c r="R27" s="92">
        <f ca="1">SUMIF(B$4:B$60,P27,H$4:H$60)</f>
        <v>100</v>
      </c>
      <c r="S27" s="127">
        <f ca="1">SUMIF($B$4:$B$60,$P27,I$4:I$60)</f>
        <v>0</v>
      </c>
      <c r="T27" s="92">
        <f ca="1">SUMIF($B$4:$B$60,$P27,A$4:A$60)</f>
        <v>3</v>
      </c>
      <c r="U27" s="92">
        <f t="shared" ca="1" si="9"/>
        <v>0</v>
      </c>
      <c r="V27" s="92">
        <f t="shared" ca="1" si="9"/>
        <v>0</v>
      </c>
      <c r="W27" s="92">
        <f ca="1">SUMIF($B$4:$B$60,$P27,J$4:J$60)</f>
        <v>10</v>
      </c>
      <c r="X27" s="92">
        <f ca="1">IF(Y27=0,T27,T27+AG27+AH27+AI27)</f>
        <v>3</v>
      </c>
      <c r="Y27" s="92" t="str">
        <f ca="1">IF(OR(AND(S26=S27,R26=R27,Q26=Q27),AND(S28=S27,S27=S26,R28=R27,R27=R26,Q28=Q27,Q27=Q26)),P27,0)</f>
        <v>England</v>
      </c>
      <c r="Z27" s="92">
        <f ca="1">SUMIF($AY$4:$AY$60,$Y27,$AX$4:$AX$60)+SUMIF($BB$4:$BB$60,$Y27,$AX$4:$AX$60)</f>
        <v>0</v>
      </c>
      <c r="AA27" s="92">
        <f ca="1">SUMIF($AZ$4:$AZ$60,$Y27,$AX$4:$AX$60)+SUMIF($BC$4:$BC$60,$Y27,$AX$4:$AX$60)</f>
        <v>0</v>
      </c>
      <c r="AB27" s="92">
        <f ca="1">SUMIF($BA$4:$BA$60,$Y27,$AX$4:$AX$60)+SUMIF($BD$4:$BD$60,$Y27,$AX$4:$AX$60)</f>
        <v>0</v>
      </c>
      <c r="AC27" s="92">
        <f ca="1">SUMIF(AY$4:AY$60,Y27,AS$4:AS$60)+SUMIF(BB$4:BB$60,Y27,AW$4:AW$60)+SUMIF(AZ$4:AZ$60,Y27,AS$4:AS$60)+SUMIF(BC$4:BC$60,Y27,AW$4:AW$60)</f>
        <v>0</v>
      </c>
      <c r="AD27" s="92">
        <f ca="1">SUMIF(BA$4:BA$60,Y27,AS$4:AS$60)+SUMIF(BD$4:BD$60,Y27,AW$4:AW$60)+SUMIF(AZ$4:AZ$60,Y27,AS$4:AS$60)+SUMIF(BC$4:BC$60,Y27,AW$4:AW$60)</f>
        <v>0</v>
      </c>
      <c r="AE27" s="92">
        <f ca="1">AC27-AD27+100</f>
        <v>100</v>
      </c>
      <c r="AF27" s="127">
        <f ca="1">IF(Y27&lt;&gt;0,Z27*3+AA27,"")</f>
        <v>0</v>
      </c>
      <c r="AG27" s="92">
        <f ca="1">IF(Y27&lt;&gt;0,RANK(AF27,AF$25:AF$28)-1,5)</f>
        <v>0</v>
      </c>
      <c r="AH27" s="92">
        <f ca="1">IF(Y27&lt;&gt;0,SUMPRODUCT((AF$25:AF$28=AF27)*(AE$25:AE$28&gt;AE27)),5)</f>
        <v>0</v>
      </c>
      <c r="AI27" s="92">
        <f ca="1">IF(Y27&lt;&gt;0,SUMPRODUCT((AF$25:AF$28=AF27)*(AE$25:AE$28=AE27)*(AC$25:AC$28&gt;AC27)),5)</f>
        <v>0</v>
      </c>
      <c r="AJ27" s="92">
        <f ca="1">IF(Y27&lt;&gt;0,SUMPRODUCT(($AF25:$AF28=AF27)*($AE25:$AE28=AE27)*($AC25:$AC28=AC27)*($AK25:$AK28&lt;AK27)),5)</f>
        <v>0</v>
      </c>
      <c r="AK27" s="92">
        <f ca="1">IF(AL27=0,0,VLOOKUP(Y27,Tournament!AJ$31:AK$34,2,FALSE))</f>
        <v>0</v>
      </c>
      <c r="AL27" s="92">
        <f ca="1">IF(Y27&lt;&gt;0,IF(OR(SUM(AG27:AI27)=SUM(AG26:AI26),SUM(AG27:AI27)=SUM(AG28:AI28)),1,0),0)</f>
        <v>1</v>
      </c>
      <c r="AM27" s="92">
        <f ca="1">IF(AN27&lt;&gt;0,AM26+1,AM26)</f>
        <v>3</v>
      </c>
      <c r="AN27" s="92" t="str">
        <f ca="1">IF(AL27=1,Y27,0)</f>
        <v>England</v>
      </c>
      <c r="AO27" s="92">
        <v>24</v>
      </c>
      <c r="AP27" s="92" t="str">
        <f ca="1">IF(AND(Tournament!J37&lt;&gt;"",Tournament!L37&lt;&gt;""),IF(Tournament!J37&gt;Tournament!L37,Tournament!H37,""),"")</f>
        <v/>
      </c>
      <c r="AQ27" s="92" t="str">
        <f ca="1">IF(AND(Tournament!J37&lt;&gt;"",Tournament!L37&lt;&gt;""),IF(Tournament!J37=Tournament!L37,Tournament!H37,""),"")</f>
        <v/>
      </c>
      <c r="AR27" s="92" t="str">
        <f ca="1">IF(AND(Tournament!J37&lt;&gt;"",Tournament!L37&lt;&gt;""),IF(Tournament!J37&gt;Tournament!L37,Tournament!N37,""),"")</f>
        <v/>
      </c>
      <c r="AS27" s="92">
        <f ca="1">IF(AND(Tournament!J37&lt;&gt;"",Tournament!L37&lt;&gt;""),Tournament!J37,0)</f>
        <v>0</v>
      </c>
      <c r="AT27" s="92" t="str">
        <f ca="1">IF(AND(Tournament!J37&lt;&gt;"",Tournament!L37&lt;&gt;""),IF(Tournament!J37&lt;Tournament!L37,Tournament!N37,""),"")</f>
        <v/>
      </c>
      <c r="AU27" s="92" t="str">
        <f ca="1">IF(AND(Tournament!J37&lt;&gt;"",Tournament!L37&lt;&gt;""),IF(Tournament!J37=Tournament!L37,Tournament!N37,""),"")</f>
        <v/>
      </c>
      <c r="AV27" s="92" t="str">
        <f ca="1">IF(AND(Tournament!J37&lt;&gt;"",Tournament!L37&lt;&gt;""),IF(Tournament!J37&lt;Tournament!L37,Tournament!H37,""),"")</f>
        <v/>
      </c>
      <c r="AW27" s="92">
        <f ca="1">IF(AND(Tournament!J37&lt;&gt;"",Tournament!L37&lt;&gt;""),Tournament!L37,0)</f>
        <v>0</v>
      </c>
      <c r="AX27" s="92">
        <v>1</v>
      </c>
      <c r="AY27" s="92" t="str">
        <f t="shared" ca="1" si="1"/>
        <v/>
      </c>
      <c r="AZ27" s="92" t="str">
        <f t="shared" ca="1" si="2"/>
        <v/>
      </c>
      <c r="BA27" s="92" t="str">
        <f t="shared" ca="1" si="3"/>
        <v/>
      </c>
      <c r="BB27" s="92" t="str">
        <f t="shared" ca="1" si="4"/>
        <v/>
      </c>
      <c r="BC27" s="92" t="str">
        <f t="shared" ca="1" si="5"/>
        <v/>
      </c>
      <c r="BD27" s="92" t="str">
        <f t="shared" ca="1" si="6"/>
        <v/>
      </c>
      <c r="BE27" s="92">
        <v>25</v>
      </c>
      <c r="BF27" s="92" t="str">
        <f>Tournament!H38</f>
        <v>Switzerland</v>
      </c>
      <c r="BG27" s="92" t="str">
        <f ca="1">IF(AND(Tournament!J38&lt;&gt;"",Tournament!L38&lt;&gt;""),Tournament!J38,"")</f>
        <v/>
      </c>
      <c r="BH27" s="92" t="str">
        <f ca="1">IF(AND(Tournament!L38&lt;&gt;"",Tournament!J38&lt;&gt;""),Tournament!L38,"")</f>
        <v/>
      </c>
      <c r="BI27" s="92" t="str">
        <f>Tournament!N38</f>
        <v>France</v>
      </c>
    </row>
    <row r="28" spans="1:61">
      <c r="A28" s="92">
        <f ca="1">K28+L28+M28+N28</f>
        <v>2</v>
      </c>
      <c r="B28" s="92" t="str">
        <f>Tournament!N21</f>
        <v>Italy</v>
      </c>
      <c r="C28" s="92">
        <f ca="1">SUMIF(AP$4:AP$60,B28,AX$4:AX$60)+SUMIF(AT$4:AT$60,B28,AX$4:AX$60)</f>
        <v>0</v>
      </c>
      <c r="D28" s="92">
        <f ca="1">SUMIF(AQ$4:AQ$60,B28,AX$4:AX$60)+SUMIF(AU$4:AU$60,B28,AX$4:AX$60)</f>
        <v>0</v>
      </c>
      <c r="E28" s="92">
        <f ca="1">SUMIF(AR$4:AR$60,B28,AX$4:AX$60)+SUMIF(AV$4:AV$60,B28,AX$4:AX$60)</f>
        <v>0</v>
      </c>
      <c r="F28" s="92">
        <f ca="1">SUMIF($BF$3:$BF$60,B28,$BG$3:$BG$60)+SUMIF($BI$3:$BI$60,B28,$BH$3:$BH$60)</f>
        <v>0</v>
      </c>
      <c r="G28" s="92">
        <f ca="1">SUMIF($BI$3:$BI$60,B28,$BG$3:$BG$60)+SUMIF($BF$3:$BF$60,B28,$BH$3:$BH$60)</f>
        <v>0</v>
      </c>
      <c r="H28" s="92">
        <f ca="1">F28-G28+100</f>
        <v>100</v>
      </c>
      <c r="I28" s="127">
        <f ca="1">C28*3+D28</f>
        <v>0</v>
      </c>
      <c r="J28" s="92">
        <v>9</v>
      </c>
      <c r="K28" s="92">
        <f ca="1">RANK(I28,I$25:I$28)</f>
        <v>1</v>
      </c>
      <c r="L28" s="92">
        <f ca="1">SUMPRODUCT((I$25:I$28=I28)*(H$25:H$28&gt;H28))</f>
        <v>0</v>
      </c>
      <c r="M28" s="92">
        <f ca="1">SUMPRODUCT((I$25:I$28=I28)*(H$25:H$28=H28)*(F$25:F$28&gt;F28))</f>
        <v>0</v>
      </c>
      <c r="N28" s="92">
        <f ca="1">SUMPRODUCT((I$25:I$28=I28)*(H$25:H$28=H28)*(F$25:F$28=F28)*(J$25:J$28&lt;J28))</f>
        <v>1</v>
      </c>
      <c r="O28" s="92">
        <f ca="1">IF(SUM(AG25:AI28)=0,IF(COUNTIF(AJ25:AJ28,0)&gt;1,4,AJ28+1),IF(X28=X27,IF(X28=3,4,X28),IF(X28=5,3,IF(X28=6,4,X28))))</f>
        <v>4</v>
      </c>
      <c r="P28" s="92" t="str">
        <f ca="1">VLOOKUP(4,A$25:B$28,2,FALSE)</f>
        <v>Costa Rica</v>
      </c>
      <c r="Q28" s="92">
        <f ca="1">SUMIF(B$4:B$60,P28,F$4:F$60)</f>
        <v>0</v>
      </c>
      <c r="R28" s="92">
        <f ca="1">SUMIF(B$4:B$60,P28,H$4:H$60)</f>
        <v>100</v>
      </c>
      <c r="S28" s="127">
        <f ca="1">SUMIF($B$4:$B$60,$P28,I$4:I$60)</f>
        <v>0</v>
      </c>
      <c r="T28" s="92">
        <f ca="1">SUMIF($B$4:$B$60,$P28,A$4:A$60)</f>
        <v>4</v>
      </c>
      <c r="U28" s="92">
        <f t="shared" ca="1" si="9"/>
        <v>0</v>
      </c>
      <c r="V28" s="92">
        <f t="shared" ca="1" si="9"/>
        <v>0</v>
      </c>
      <c r="W28" s="92">
        <f ca="1">SUMIF($B$4:$B$60,$P28,J$4:J$60)</f>
        <v>24</v>
      </c>
      <c r="X28" s="92">
        <f ca="1">IF(Y28=0,T28,T28+AG28+AH28+AI28)</f>
        <v>4</v>
      </c>
      <c r="Y28" s="92" t="str">
        <f ca="1">IF(AND(S27=S28,S27=S26,R27=R28,R27=R26,Q27=Q28,Q27=Q26),P28,0)</f>
        <v>Costa Rica</v>
      </c>
      <c r="Z28" s="92">
        <f ca="1">SUMIF($AY$4:$AY$60,$Y28,$AX$4:$AX$60)+SUMIF($BB$4:$BB$60,$Y28,$AX$4:$AX$60)</f>
        <v>0</v>
      </c>
      <c r="AA28" s="92">
        <f ca="1">SUMIF($AZ$4:$AZ$60,$Y28,$AX$4:$AX$60)+SUMIF($BC$4:$BC$60,$Y28,$AX$4:$AX$60)</f>
        <v>0</v>
      </c>
      <c r="AB28" s="92">
        <f ca="1">SUMIF($BA$4:$BA$60,$Y28,$AX$4:$AX$60)+SUMIF($BD$4:$BD$60,$Y28,$AX$4:$AX$60)</f>
        <v>0</v>
      </c>
      <c r="AC28" s="92">
        <f ca="1">SUMIF(AY$4:AY$60,Y28,AS$4:AS$60)+SUMIF(BB$4:BB$60,Y28,AW$4:AW$60)+SUMIF(AZ$4:AZ$60,Y28,AS$4:AS$60)+SUMIF(BC$4:BC$60,Y28,AW$4:AW$60)</f>
        <v>0</v>
      </c>
      <c r="AD28" s="92">
        <f ca="1">SUMIF(BA$4:BA$60,Y28,AS$4:AS$60)+SUMIF(BD$4:BD$60,Y28,AW$4:AW$60)+SUMIF(AZ$4:AZ$60,Y28,AS$4:AS$60)+SUMIF(BC$4:BC$60,Y28,AW$4:AW$60)</f>
        <v>0</v>
      </c>
      <c r="AE28" s="92">
        <f ca="1">AC28-AD28+100</f>
        <v>100</v>
      </c>
      <c r="AF28" s="127">
        <f ca="1">IF(Y28&lt;&gt;0,Z28*3+AA28,"")</f>
        <v>0</v>
      </c>
      <c r="AG28" s="92">
        <f ca="1">IF(Y28&lt;&gt;0,RANK(AF28,AF$25:AF$28)-1,5)</f>
        <v>0</v>
      </c>
      <c r="AH28" s="92">
        <f ca="1">IF(Y28&lt;&gt;0,SUMPRODUCT((AF$25:AF$28=AF28)*(AE$25:AE$28&gt;AE28)),5)</f>
        <v>0</v>
      </c>
      <c r="AI28" s="92">
        <f ca="1">IF(Y28&lt;&gt;0,SUMPRODUCT((AF$25:AF$28=AF28)*(AE$25:AE$28=AE28)*(AC$25:AC$28&gt;AC28)),5)</f>
        <v>0</v>
      </c>
      <c r="AJ28" s="92">
        <f ca="1">IF(Y28&lt;&gt;0,SUMPRODUCT(($AF25:$AF28=AF28)*($AE25:$AE28=AE28)*($AC25:$AC28=AC28)*($AK25:$AK28&lt;AK28)),5)</f>
        <v>0</v>
      </c>
      <c r="AK28" s="92">
        <f ca="1">IF(AL28=0,0,VLOOKUP(Y28,Tournament!AJ$31:AK$34,2,FALSE))</f>
        <v>0</v>
      </c>
      <c r="AL28" s="92">
        <f ca="1">IF(Y28&lt;&gt;0,IF(SUM(AG28:AI28)=SUM(AG27:AI27),1,0),0)</f>
        <v>1</v>
      </c>
      <c r="AM28" s="92">
        <f ca="1">IF(AN28&lt;&gt;0,AM27+1,AM27)</f>
        <v>4</v>
      </c>
      <c r="AN28" s="92" t="str">
        <f ca="1">IF(AL28=1,Y28,0)</f>
        <v>Costa Rica</v>
      </c>
      <c r="AO28" s="92">
        <v>25</v>
      </c>
      <c r="AP28" s="92" t="str">
        <f ca="1">IF(AND(Tournament!J38&lt;&gt;"",Tournament!L38&lt;&gt;""),IF(Tournament!J38&gt;Tournament!L38,Tournament!H38,""),"")</f>
        <v/>
      </c>
      <c r="AQ28" s="92" t="str">
        <f ca="1">IF(AND(Tournament!J38&lt;&gt;"",Tournament!L38&lt;&gt;""),IF(Tournament!J38=Tournament!L38,Tournament!H38,""),"")</f>
        <v/>
      </c>
      <c r="AR28" s="92" t="str">
        <f ca="1">IF(AND(Tournament!J38&lt;&gt;"",Tournament!L38&lt;&gt;""),IF(Tournament!J38&gt;Tournament!L38,Tournament!N38,""),"")</f>
        <v/>
      </c>
      <c r="AS28" s="92">
        <f ca="1">IF(AND(Tournament!J38&lt;&gt;"",Tournament!L38&lt;&gt;""),Tournament!J38,0)</f>
        <v>0</v>
      </c>
      <c r="AT28" s="92" t="str">
        <f ca="1">IF(AND(Tournament!J38&lt;&gt;"",Tournament!L38&lt;&gt;""),IF(Tournament!J38&lt;Tournament!L38,Tournament!N38,""),"")</f>
        <v/>
      </c>
      <c r="AU28" s="92" t="str">
        <f ca="1">IF(AND(Tournament!J38&lt;&gt;"",Tournament!L38&lt;&gt;""),IF(Tournament!J38=Tournament!L38,Tournament!N38,""),"")</f>
        <v/>
      </c>
      <c r="AV28" s="92" t="str">
        <f ca="1">IF(AND(Tournament!J38&lt;&gt;"",Tournament!L38&lt;&gt;""),IF(Tournament!J38&lt;Tournament!L38,Tournament!H38,""),"")</f>
        <v/>
      </c>
      <c r="AW28" s="92">
        <f ca="1">IF(AND(Tournament!J38&lt;&gt;"",Tournament!L38&lt;&gt;""),Tournament!L38,0)</f>
        <v>0</v>
      </c>
      <c r="AX28" s="92">
        <v>1</v>
      </c>
      <c r="AY28" s="92" t="str">
        <f t="shared" ca="1" si="1"/>
        <v/>
      </c>
      <c r="AZ28" s="92" t="str">
        <f t="shared" ca="1" si="2"/>
        <v/>
      </c>
      <c r="BA28" s="92" t="str">
        <f t="shared" ca="1" si="3"/>
        <v/>
      </c>
      <c r="BB28" s="92" t="str">
        <f t="shared" ca="1" si="4"/>
        <v/>
      </c>
      <c r="BC28" s="92" t="str">
        <f t="shared" ca="1" si="5"/>
        <v/>
      </c>
      <c r="BD28" s="92" t="str">
        <f t="shared" ca="1" si="6"/>
        <v/>
      </c>
      <c r="BE28" s="92">
        <v>26</v>
      </c>
      <c r="BF28" s="92" t="str">
        <f>Tournament!H39</f>
        <v>Honduras</v>
      </c>
      <c r="BG28" s="92" t="str">
        <f ca="1">IF(AND(Tournament!J39&lt;&gt;"",Tournament!L39&lt;&gt;""),Tournament!J39,"")</f>
        <v/>
      </c>
      <c r="BH28" s="92" t="str">
        <f ca="1">IF(AND(Tournament!L39&lt;&gt;"",Tournament!J39&lt;&gt;""),Tournament!L39,"")</f>
        <v/>
      </c>
      <c r="BI28" s="92" t="str">
        <f>Tournament!N39</f>
        <v>Ecuador</v>
      </c>
    </row>
    <row r="29" spans="1:61">
      <c r="AO29" s="92">
        <v>26</v>
      </c>
      <c r="AP29" s="92" t="str">
        <f ca="1">IF(AND(Tournament!J39&lt;&gt;"",Tournament!L39&lt;&gt;""),IF(Tournament!J39&gt;Tournament!L39,Tournament!H39,""),"")</f>
        <v/>
      </c>
      <c r="AQ29" s="92" t="str">
        <f ca="1">IF(AND(Tournament!J39&lt;&gt;"",Tournament!L39&lt;&gt;""),IF(Tournament!J39=Tournament!L39,Tournament!H39,""),"")</f>
        <v/>
      </c>
      <c r="AR29" s="92" t="str">
        <f ca="1">IF(AND(Tournament!J39&lt;&gt;"",Tournament!L39&lt;&gt;""),IF(Tournament!J39&gt;Tournament!L39,Tournament!N39,""),"")</f>
        <v/>
      </c>
      <c r="AS29" s="92">
        <f ca="1">IF(AND(Tournament!J39&lt;&gt;"",Tournament!L39&lt;&gt;""),Tournament!J39,0)</f>
        <v>0</v>
      </c>
      <c r="AT29" s="92" t="str">
        <f ca="1">IF(AND(Tournament!J39&lt;&gt;"",Tournament!L39&lt;&gt;""),IF(Tournament!J39&lt;Tournament!L39,Tournament!N39,""),"")</f>
        <v/>
      </c>
      <c r="AU29" s="92" t="str">
        <f ca="1">IF(AND(Tournament!J39&lt;&gt;"",Tournament!L39&lt;&gt;""),IF(Tournament!J39=Tournament!L39,Tournament!N39,""),"")</f>
        <v/>
      </c>
      <c r="AV29" s="92" t="str">
        <f ca="1">IF(AND(Tournament!J39&lt;&gt;"",Tournament!L39&lt;&gt;""),IF(Tournament!J39&lt;Tournament!L39,Tournament!H39,""),"")</f>
        <v/>
      </c>
      <c r="AW29" s="92">
        <f ca="1">IF(AND(Tournament!J39&lt;&gt;"",Tournament!L39&lt;&gt;""),Tournament!L39,0)</f>
        <v>0</v>
      </c>
      <c r="AX29" s="92">
        <v>1</v>
      </c>
      <c r="AY29" s="92" t="str">
        <f t="shared" ca="1" si="1"/>
        <v/>
      </c>
      <c r="AZ29" s="92" t="str">
        <f t="shared" ca="1" si="2"/>
        <v/>
      </c>
      <c r="BA29" s="92" t="str">
        <f t="shared" ca="1" si="3"/>
        <v/>
      </c>
      <c r="BB29" s="92" t="str">
        <f t="shared" ca="1" si="4"/>
        <v/>
      </c>
      <c r="BC29" s="92" t="str">
        <f t="shared" ca="1" si="5"/>
        <v/>
      </c>
      <c r="BD29" s="92" t="str">
        <f t="shared" ca="1" si="6"/>
        <v/>
      </c>
      <c r="BE29" s="92">
        <v>27</v>
      </c>
      <c r="BF29" s="92" t="str">
        <f>Tournament!H40</f>
        <v>Argentina</v>
      </c>
      <c r="BG29" s="92" t="str">
        <f ca="1">IF(AND(Tournament!J40&lt;&gt;"",Tournament!L40&lt;&gt;""),Tournament!J40,"")</f>
        <v/>
      </c>
      <c r="BH29" s="92" t="str">
        <f ca="1">IF(AND(Tournament!L40&lt;&gt;"",Tournament!J40&lt;&gt;""),Tournament!L40,"")</f>
        <v/>
      </c>
      <c r="BI29" s="92" t="str">
        <f>Tournament!N40</f>
        <v>Iran</v>
      </c>
    </row>
    <row r="30" spans="1:61">
      <c r="I30" s="127"/>
      <c r="S30" s="127"/>
      <c r="AF30" s="127"/>
      <c r="AO30" s="92">
        <v>27</v>
      </c>
      <c r="AP30" s="92" t="str">
        <f ca="1">IF(AND(Tournament!J40&lt;&gt;"",Tournament!L40&lt;&gt;""),IF(Tournament!J40&gt;Tournament!L40,Tournament!H40,""),"")</f>
        <v/>
      </c>
      <c r="AQ30" s="92" t="str">
        <f ca="1">IF(AND(Tournament!J40&lt;&gt;"",Tournament!L40&lt;&gt;""),IF(Tournament!J40=Tournament!L40,Tournament!H40,""),"")</f>
        <v/>
      </c>
      <c r="AR30" s="92" t="str">
        <f ca="1">IF(AND(Tournament!J40&lt;&gt;"",Tournament!L40&lt;&gt;""),IF(Tournament!J40&gt;Tournament!L40,Tournament!N40,""),"")</f>
        <v/>
      </c>
      <c r="AS30" s="92">
        <f ca="1">IF(AND(Tournament!J40&lt;&gt;"",Tournament!L40&lt;&gt;""),Tournament!J40,0)</f>
        <v>0</v>
      </c>
      <c r="AT30" s="92" t="str">
        <f ca="1">IF(AND(Tournament!J40&lt;&gt;"",Tournament!L40&lt;&gt;""),IF(Tournament!J40&lt;Tournament!L40,Tournament!N40,""),"")</f>
        <v/>
      </c>
      <c r="AU30" s="92" t="str">
        <f ca="1">IF(AND(Tournament!J40&lt;&gt;"",Tournament!L40&lt;&gt;""),IF(Tournament!J40=Tournament!L40,Tournament!N40,""),"")</f>
        <v/>
      </c>
      <c r="AV30" s="92" t="str">
        <f ca="1">IF(AND(Tournament!J40&lt;&gt;"",Tournament!L40&lt;&gt;""),IF(Tournament!J40&lt;Tournament!L40,Tournament!H40,""),"")</f>
        <v/>
      </c>
      <c r="AW30" s="92">
        <f ca="1">IF(AND(Tournament!J40&lt;&gt;"",Tournament!L40&lt;&gt;""),Tournament!L40,0)</f>
        <v>0</v>
      </c>
      <c r="AX30" s="92">
        <v>1</v>
      </c>
      <c r="AY30" s="92" t="str">
        <f t="shared" ca="1" si="1"/>
        <v/>
      </c>
      <c r="AZ30" s="92" t="str">
        <f t="shared" ca="1" si="2"/>
        <v/>
      </c>
      <c r="BA30" s="92" t="str">
        <f t="shared" ca="1" si="3"/>
        <v/>
      </c>
      <c r="BB30" s="92" t="str">
        <f t="shared" ca="1" si="4"/>
        <v/>
      </c>
      <c r="BC30" s="92" t="str">
        <f t="shared" ca="1" si="5"/>
        <v/>
      </c>
      <c r="BD30" s="92" t="str">
        <f t="shared" ca="1" si="6"/>
        <v/>
      </c>
      <c r="BE30" s="92">
        <v>28</v>
      </c>
      <c r="BF30" s="92" t="str">
        <f>Tournament!H41</f>
        <v>Nigeria</v>
      </c>
      <c r="BG30" s="92" t="str">
        <f ca="1">IF(AND(Tournament!J41&lt;&gt;"",Tournament!L41&lt;&gt;""),Tournament!J41,"")</f>
        <v/>
      </c>
      <c r="BH30" s="92" t="str">
        <f ca="1">IF(AND(Tournament!L41&lt;&gt;"",Tournament!J41&lt;&gt;""),Tournament!L41,"")</f>
        <v/>
      </c>
      <c r="BI30" s="92" t="str">
        <f>Tournament!N41</f>
        <v>Bosnia-Herzegovina</v>
      </c>
    </row>
    <row r="31" spans="1:61">
      <c r="I31" s="127"/>
      <c r="P31" s="92" t="s">
        <v>773</v>
      </c>
      <c r="S31" s="127"/>
      <c r="AF31" s="127"/>
      <c r="AO31" s="92">
        <v>28</v>
      </c>
      <c r="AP31" s="92" t="str">
        <f ca="1">IF(AND(Tournament!J41&lt;&gt;"",Tournament!L41&lt;&gt;""),IF(Tournament!J41&gt;Tournament!L41,Tournament!H41,""),"")</f>
        <v/>
      </c>
      <c r="AQ31" s="92" t="str">
        <f ca="1">IF(AND(Tournament!J41&lt;&gt;"",Tournament!L41&lt;&gt;""),IF(Tournament!J41=Tournament!L41,Tournament!H41,""),"")</f>
        <v/>
      </c>
      <c r="AR31" s="92" t="str">
        <f ca="1">IF(AND(Tournament!J41&lt;&gt;"",Tournament!L41&lt;&gt;""),IF(Tournament!J41&gt;Tournament!L41,Tournament!N41,""),"")</f>
        <v/>
      </c>
      <c r="AS31" s="92">
        <f ca="1">IF(AND(Tournament!J41&lt;&gt;"",Tournament!L41&lt;&gt;""),Tournament!J41,0)</f>
        <v>0</v>
      </c>
      <c r="AT31" s="92" t="str">
        <f ca="1">IF(AND(Tournament!J41&lt;&gt;"",Tournament!L41&lt;&gt;""),IF(Tournament!J41&lt;Tournament!L41,Tournament!N41,""),"")</f>
        <v/>
      </c>
      <c r="AU31" s="92" t="str">
        <f ca="1">IF(AND(Tournament!J41&lt;&gt;"",Tournament!L41&lt;&gt;""),IF(Tournament!J41=Tournament!L41,Tournament!N41,""),"")</f>
        <v/>
      </c>
      <c r="AV31" s="92" t="str">
        <f ca="1">IF(AND(Tournament!J41&lt;&gt;"",Tournament!L41&lt;&gt;""),IF(Tournament!J41&lt;Tournament!L41,Tournament!H41,""),"")</f>
        <v/>
      </c>
      <c r="AW31" s="92">
        <f ca="1">IF(AND(Tournament!J41&lt;&gt;"",Tournament!L41&lt;&gt;""),Tournament!L41,0)</f>
        <v>0</v>
      </c>
      <c r="AX31" s="92">
        <v>1</v>
      </c>
      <c r="AY31" s="92" t="str">
        <f t="shared" ca="1" si="1"/>
        <v/>
      </c>
      <c r="AZ31" s="92" t="str">
        <f t="shared" ca="1" si="2"/>
        <v/>
      </c>
      <c r="BA31" s="92" t="str">
        <f t="shared" ca="1" si="3"/>
        <v/>
      </c>
      <c r="BB31" s="92" t="str">
        <f t="shared" ca="1" si="4"/>
        <v/>
      </c>
      <c r="BC31" s="92" t="str">
        <f t="shared" ca="1" si="5"/>
        <v/>
      </c>
      <c r="BD31" s="92" t="str">
        <f t="shared" ca="1" si="6"/>
        <v/>
      </c>
      <c r="BE31" s="92">
        <v>29</v>
      </c>
      <c r="BF31" s="92" t="str">
        <f>Tournament!H42</f>
        <v>Germany</v>
      </c>
      <c r="BG31" s="92" t="str">
        <f ca="1">IF(AND(Tournament!J42&lt;&gt;"",Tournament!L42&lt;&gt;""),Tournament!J42,"")</f>
        <v/>
      </c>
      <c r="BH31" s="92" t="str">
        <f ca="1">IF(AND(Tournament!L42&lt;&gt;"",Tournament!J42&lt;&gt;""),Tournament!L42,"")</f>
        <v/>
      </c>
      <c r="BI31" s="92" t="str">
        <f>Tournament!N42</f>
        <v>Ghana</v>
      </c>
    </row>
    <row r="32" spans="1:61">
      <c r="A32" s="92">
        <f ca="1">K32+L32+M32+N32</f>
        <v>1</v>
      </c>
      <c r="B32" s="92" t="str">
        <f>Tournament!H22</f>
        <v>Switzerland</v>
      </c>
      <c r="C32" s="92">
        <f ca="1">SUMIF(AP$4:AP$60,B32,AX$4:AX$60)+SUMIF(AT$4:AT$60,B32,AX$4:AX$60)</f>
        <v>0</v>
      </c>
      <c r="D32" s="92">
        <f ca="1">SUMIF(AQ$4:AQ$60,B32,AX$4:AX$60)+SUMIF(AU$4:AU$60,B32,AX$4:AX$60)</f>
        <v>0</v>
      </c>
      <c r="E32" s="92">
        <f ca="1">SUMIF(AR$4:AR$60,B32,AX$4:AX$60)+SUMIF(AV$4:AV$60,B32,AX$4:AX$60)</f>
        <v>0</v>
      </c>
      <c r="F32" s="92">
        <f ca="1">SUMIF($BF$3:$BF$60,B32,$BG$3:$BG$60)+SUMIF($BI$3:$BI$60,B32,$BH$3:$BH$60)</f>
        <v>0</v>
      </c>
      <c r="G32" s="92">
        <f ca="1">SUMIF($BI$3:$BI$60,B32,$BG$3:$BG$60)+SUMIF($BF$3:$BF$60,B32,$BH$3:$BH$60)</f>
        <v>0</v>
      </c>
      <c r="H32" s="92">
        <f ca="1">F32-G32+100</f>
        <v>100</v>
      </c>
      <c r="I32" s="127">
        <f ca="1">C32*3+D32</f>
        <v>0</v>
      </c>
      <c r="J32" s="92">
        <v>7</v>
      </c>
      <c r="K32" s="92">
        <f ca="1">RANK(I32,I$32:I$35)</f>
        <v>1</v>
      </c>
      <c r="L32" s="92">
        <f ca="1">SUMPRODUCT((I$32:I$35=I32)*(H$32:H$35&gt;H32))</f>
        <v>0</v>
      </c>
      <c r="M32" s="92">
        <f ca="1">SUMPRODUCT((I$32:I$35=I32)*(H$32:H$35=H32)*(F$32:F$35&gt;F32))</f>
        <v>0</v>
      </c>
      <c r="N32" s="92">
        <f ca="1">SUMPRODUCT((I$32:I$35=I32)*(H$32:H$35=H32)*(F$32:F$35=F32)*(J$32:J$35&lt;J32))</f>
        <v>0</v>
      </c>
      <c r="O32" s="92">
        <f ca="1">IF(SUM(AG32:AI35)=0,IF(COUNTIF(AJ32:AJ35,0)&gt;1,1,AJ32+1),X32)</f>
        <v>1</v>
      </c>
      <c r="P32" s="92" t="str">
        <f ca="1">VLOOKUP(1,A$32:B$35,2,FALSE)</f>
        <v>Switzerland</v>
      </c>
      <c r="Q32" s="92">
        <f ca="1">SUMIF(B$4:B$60,P32,F$4:F$60)</f>
        <v>0</v>
      </c>
      <c r="R32" s="92">
        <f ca="1">SUMIF(B$4:B$60,P32,H$4:H$60)</f>
        <v>100</v>
      </c>
      <c r="S32" s="127">
        <f ca="1">SUMIF($B$4:$B$60,$P32,I$4:I$60)</f>
        <v>0</v>
      </c>
      <c r="T32" s="92">
        <f ca="1">SUMIF($B$4:$B$60,$P32,A$4:A$60)</f>
        <v>1</v>
      </c>
      <c r="U32" s="92">
        <f t="shared" ref="U32:V35" ca="1" si="10">SUMIF($B$4:$B$60,$P32,L$4:L$60)</f>
        <v>0</v>
      </c>
      <c r="V32" s="92">
        <f t="shared" ca="1" si="10"/>
        <v>0</v>
      </c>
      <c r="W32" s="92">
        <f ca="1">SUMIF($B$4:$B$60,$P32,J$4:J$60)</f>
        <v>7</v>
      </c>
      <c r="X32" s="92">
        <f ca="1">IF(Y32=0,T32,T32+AG32+AH32+AI32)</f>
        <v>1</v>
      </c>
      <c r="Y32" s="92" t="str">
        <f ca="1">IF(AND(S32=S33,R32=R33,Q32=Q33),P32,0)</f>
        <v>Switzerland</v>
      </c>
      <c r="Z32" s="92">
        <f ca="1">SUMIF($AY$4:$AY$60,$Y32,$AX$4:$AX$60)+SUMIF($BB$4:$BB$60,$Y32,$AX$4:$AX$60)</f>
        <v>0</v>
      </c>
      <c r="AA32" s="92">
        <f ca="1">SUMIF($AZ$4:$AZ$60,$Y32,$AX$4:$AX$60)+SUMIF($BC$4:$BC$60,$Y32,$AX$4:$AX$60)</f>
        <v>0</v>
      </c>
      <c r="AB32" s="92">
        <f ca="1">SUMIF($BA$4:$BA$60,$Y32,$AX$4:$AX$60)+SUMIF($BD$4:$BD$60,$Y32,$AX$4:$AX$60)</f>
        <v>0</v>
      </c>
      <c r="AC32" s="92">
        <f ca="1">SUMIF(AY$4:AY$60,Y32,AS$4:AS$60)+SUMIF(BB$4:BB$60,Y32,AW$4:AW$60)+SUMIF(AZ$4:AZ$60,Y32,AS$4:AS$60)+SUMIF(BC$4:BC$60,Y32,AW$4:AW$60)</f>
        <v>0</v>
      </c>
      <c r="AD32" s="92">
        <f ca="1">SUMIF(BA$4:BA$60,Y32,AS$4:AS$60)+SUMIF(BD$4:BD$60,Y32,AW$4:AW$60)+SUMIF(AZ$4:AZ$60,Y32,AS$4:AS$60)+SUMIF(BC$4:BC$60,Y32,AW$4:AW$60)</f>
        <v>0</v>
      </c>
      <c r="AE32" s="92">
        <f ca="1">AC32-AD32+100</f>
        <v>100</v>
      </c>
      <c r="AF32" s="127">
        <f ca="1">IF(Y32&lt;&gt;0,Z32*3+AA32,"")</f>
        <v>0</v>
      </c>
      <c r="AG32" s="92">
        <f ca="1">IF(Y32&lt;&gt;0,RANK(AF32,AF$32:AF$35)-1,5)</f>
        <v>0</v>
      </c>
      <c r="AH32" s="92">
        <f ca="1">IF(Y32&lt;&gt;0,SUMPRODUCT((AF$32:AF$35=AF32)*(AE$32:AE$35&gt;AE32)),5)</f>
        <v>0</v>
      </c>
      <c r="AI32" s="92">
        <f ca="1">IF(Y32&lt;&gt;0,SUMPRODUCT((AF$32:AF$35=AF32)*(AE$32:AE$35=AE32)*(AC$32:AC$35&gt;AC32)),5)</f>
        <v>0</v>
      </c>
      <c r="AJ32" s="92">
        <f ca="1">IF(Y32&lt;&gt;0,SUMPRODUCT(($AF32:$AF35=AF32)*($AE32:$AE35=AE32)*($AC32:$AC35=AC32)*($AK32:$AK35&lt;AK32)),5)</f>
        <v>0</v>
      </c>
      <c r="AK32" s="92">
        <f ca="1">IF(AL32=0,0,VLOOKUP(Y32,Tournament!AJ$37:AK$40,2,FALSE))</f>
        <v>0</v>
      </c>
      <c r="AL32" s="92">
        <f ca="1">IF(Y32&lt;&gt;0,IF(SUM(AG32:AI32)=SUM(AG33:AI33),1,0),0)</f>
        <v>1</v>
      </c>
      <c r="AM32" s="92">
        <f ca="1">IF(AN32&lt;&gt;0,1,0)</f>
        <v>1</v>
      </c>
      <c r="AN32" s="92" t="str">
        <f ca="1">IF(AL32=1,Y32,0)</f>
        <v>Switzerland</v>
      </c>
      <c r="AO32" s="92">
        <v>29</v>
      </c>
      <c r="AP32" s="92" t="str">
        <f ca="1">IF(AND(Tournament!J42&lt;&gt;"",Tournament!L42&lt;&gt;""),IF(Tournament!J42&gt;Tournament!L42,Tournament!H42,""),"")</f>
        <v/>
      </c>
      <c r="AQ32" s="92" t="str">
        <f ca="1">IF(AND(Tournament!J42&lt;&gt;"",Tournament!L42&lt;&gt;""),IF(Tournament!J42=Tournament!L42,Tournament!H42,""),"")</f>
        <v/>
      </c>
      <c r="AR32" s="92" t="str">
        <f ca="1">IF(AND(Tournament!J42&lt;&gt;"",Tournament!L42&lt;&gt;""),IF(Tournament!J42&gt;Tournament!L42,Tournament!N42,""),"")</f>
        <v/>
      </c>
      <c r="AS32" s="92">
        <f ca="1">IF(AND(Tournament!J42&lt;&gt;"",Tournament!L42&lt;&gt;""),Tournament!J42,0)</f>
        <v>0</v>
      </c>
      <c r="AT32" s="92" t="str">
        <f ca="1">IF(AND(Tournament!J42&lt;&gt;"",Tournament!L42&lt;&gt;""),IF(Tournament!J42&lt;Tournament!L42,Tournament!N42,""),"")</f>
        <v/>
      </c>
      <c r="AU32" s="92" t="str">
        <f ca="1">IF(AND(Tournament!J42&lt;&gt;"",Tournament!L42&lt;&gt;""),IF(Tournament!J42=Tournament!L42,Tournament!N42,""),"")</f>
        <v/>
      </c>
      <c r="AV32" s="92" t="str">
        <f ca="1">IF(AND(Tournament!J42&lt;&gt;"",Tournament!L42&lt;&gt;""),IF(Tournament!J42&lt;Tournament!L42,Tournament!H42,""),"")</f>
        <v/>
      </c>
      <c r="AW32" s="92">
        <f ca="1">IF(AND(Tournament!J42&lt;&gt;"",Tournament!L42&lt;&gt;""),Tournament!L42,0)</f>
        <v>0</v>
      </c>
      <c r="AX32" s="92">
        <v>1</v>
      </c>
      <c r="AY32" s="92" t="str">
        <f t="shared" ca="1" si="1"/>
        <v/>
      </c>
      <c r="AZ32" s="92" t="str">
        <f t="shared" ca="1" si="2"/>
        <v/>
      </c>
      <c r="BA32" s="92" t="str">
        <f t="shared" ca="1" si="3"/>
        <v/>
      </c>
      <c r="BB32" s="92" t="str">
        <f t="shared" ca="1" si="4"/>
        <v/>
      </c>
      <c r="BC32" s="92" t="str">
        <f t="shared" ca="1" si="5"/>
        <v/>
      </c>
      <c r="BD32" s="92" t="str">
        <f t="shared" ca="1" si="6"/>
        <v/>
      </c>
      <c r="BE32" s="92">
        <v>30</v>
      </c>
      <c r="BF32" s="92" t="str">
        <f>Tournament!H43</f>
        <v>USA</v>
      </c>
      <c r="BG32" s="92" t="str">
        <f ca="1">IF(AND(Tournament!J43&lt;&gt;"",Tournament!L43&lt;&gt;""),Tournament!J43,"")</f>
        <v/>
      </c>
      <c r="BH32" s="92" t="str">
        <f ca="1">IF(AND(Tournament!L43&lt;&gt;"",Tournament!J43&lt;&gt;""),Tournament!L43,"")</f>
        <v/>
      </c>
      <c r="BI32" s="92" t="str">
        <f>Tournament!N43</f>
        <v>Portugal</v>
      </c>
    </row>
    <row r="33" spans="1:61">
      <c r="A33" s="92">
        <f ca="1">K33+L33+M33+N33</f>
        <v>3</v>
      </c>
      <c r="B33" s="92" t="str">
        <f>Tournament!N22</f>
        <v>Ecuador</v>
      </c>
      <c r="C33" s="92">
        <f ca="1">SUMIF(AP$4:AP$60,B33,AX$4:AX$60)+SUMIF(AT$4:AT$60,B33,AX$4:AX$60)</f>
        <v>0</v>
      </c>
      <c r="D33" s="92">
        <f ca="1">SUMIF(AQ$4:AQ$60,B33,AX$4:AX$60)+SUMIF(AU$4:AU$60,B33,AX$4:AX$60)</f>
        <v>0</v>
      </c>
      <c r="E33" s="92">
        <f ca="1">SUMIF(AR$4:AR$60,B33,AX$4:AX$60)+SUMIF(AV$4:AV$60,B33,AX$4:AX$60)</f>
        <v>0</v>
      </c>
      <c r="F33" s="92">
        <f ca="1">SUMIF($BF$3:$BF$60,B33,$BG$3:$BG$60)+SUMIF($BI$3:$BI$60,B33,$BH$3:$BH$60)</f>
        <v>0</v>
      </c>
      <c r="G33" s="92">
        <f ca="1">SUMIF($BI$3:$BI$60,B33,$BG$3:$BG$60)+SUMIF($BF$3:$BF$60,B33,$BH$3:$BH$60)</f>
        <v>0</v>
      </c>
      <c r="H33" s="92">
        <f ca="1">F33-G33+100</f>
        <v>100</v>
      </c>
      <c r="I33" s="127">
        <f ca="1">C33*3+D33</f>
        <v>0</v>
      </c>
      <c r="J33" s="92">
        <v>21</v>
      </c>
      <c r="K33" s="92">
        <f ca="1">RANK(I33,I$32:I$35)</f>
        <v>1</v>
      </c>
      <c r="L33" s="92">
        <f ca="1">SUMPRODUCT((I$32:I$35=I33)*(H$32:H$35&gt;H33))</f>
        <v>0</v>
      </c>
      <c r="M33" s="92">
        <f ca="1">SUMPRODUCT((I$32:I$35=I33)*(H$32:H$35=H33)*(F$32:F$35&gt;F33))</f>
        <v>0</v>
      </c>
      <c r="N33" s="92">
        <f ca="1">SUMPRODUCT((I$32:I$35=I33)*(H$32:H$35=H33)*(F$32:F$35=F33)*(J$32:J$35&lt;J33))</f>
        <v>2</v>
      </c>
      <c r="O33" s="92">
        <f ca="1">IF(SUM(AG32:AI35)=0,IF(COUNTIF(AJ32:AJ35,0)&gt;1,2,AJ33+1),IF(AND(X32=1,X33=3,Y32&lt;&gt;0,Y33&lt;&gt;0,Y34=0,Y35=0),2,IF(AND(X32=2,X33=2,Y32&lt;&gt;0,Y33&lt;&gt;0,Y34=0,Y35=0),1,IF(AND(X33=4,AI33=2),3,X33))))</f>
        <v>2</v>
      </c>
      <c r="P33" s="92" t="str">
        <f ca="1">VLOOKUP(2,A$32:B$35,2,FALSE)</f>
        <v>France</v>
      </c>
      <c r="Q33" s="92">
        <f ca="1">SUMIF(B$4:B$60,P33,F$4:F$60)</f>
        <v>0</v>
      </c>
      <c r="R33" s="92">
        <f ca="1">SUMIF(B$4:B$60,P33,H$4:H$60)</f>
        <v>100</v>
      </c>
      <c r="S33" s="127">
        <f ca="1">SUMIF($B$4:$B$60,$P33,I$4:I$60)</f>
        <v>0</v>
      </c>
      <c r="T33" s="92">
        <f ca="1">SUMIF($B$4:$B$60,$P33,A$4:A$60)</f>
        <v>2</v>
      </c>
      <c r="U33" s="92">
        <f t="shared" ca="1" si="10"/>
        <v>0</v>
      </c>
      <c r="V33" s="92">
        <f t="shared" ca="1" si="10"/>
        <v>0</v>
      </c>
      <c r="W33" s="92">
        <f ca="1">SUMIF($B$4:$B$60,$P33,J$4:J$60)</f>
        <v>20</v>
      </c>
      <c r="X33" s="92">
        <f ca="1">IF(Y33=0,T33,T33+AG33+AH33+AI33)</f>
        <v>2</v>
      </c>
      <c r="Y33" s="92" t="str">
        <f ca="1">IF(OR(AND(S32=S33,R32=R33,Q32=Q33),AND(S34=S33,R34=R33,Q34=Q33)),P33,0)</f>
        <v>France</v>
      </c>
      <c r="Z33" s="92">
        <f ca="1">SUMIF($AY$4:$AY$60,$Y33,$AX$4:$AX$60)+SUMIF($BB$4:$BB$60,$Y33,$AX$4:$AX$60)</f>
        <v>0</v>
      </c>
      <c r="AA33" s="92">
        <f ca="1">SUMIF($AZ$4:$AZ$60,$Y33,$AX$4:$AX$60)+SUMIF($BC$4:$BC$60,$Y33,$AX$4:$AX$60)</f>
        <v>0</v>
      </c>
      <c r="AB33" s="92">
        <f ca="1">SUMIF($BA$4:$BA$60,$Y33,$AX$4:$AX$60)+SUMIF($BD$4:$BD$60,$Y33,$AX$4:$AX$60)</f>
        <v>0</v>
      </c>
      <c r="AC33" s="92">
        <f ca="1">SUMIF(AY$4:AY$60,Y33,AS$4:AS$60)+SUMIF(BB$4:BB$60,Y33,AW$4:AW$60)+SUMIF(AZ$4:AZ$60,Y33,AS$4:AS$60)+SUMIF(BC$4:BC$60,Y33,AW$4:AW$60)</f>
        <v>0</v>
      </c>
      <c r="AD33" s="92">
        <f ca="1">SUMIF(BA$4:BA$60,Y33,AS$4:AS$60)+SUMIF(BD$4:BD$60,Y33,AW$4:AW$60)+SUMIF(AZ$4:AZ$60,Y33,AS$4:AS$60)+SUMIF(BC$4:BC$60,Y33,AW$4:AW$60)</f>
        <v>0</v>
      </c>
      <c r="AE33" s="92">
        <f ca="1">AC33-AD33+100</f>
        <v>100</v>
      </c>
      <c r="AF33" s="127">
        <f ca="1">IF(Y33&lt;&gt;0,Z33*3+AA33,"")</f>
        <v>0</v>
      </c>
      <c r="AG33" s="92">
        <f ca="1">IF(Y33&lt;&gt;0,RANK(AF33,AF$32:AF$35)-1,5)</f>
        <v>0</v>
      </c>
      <c r="AH33" s="92">
        <f ca="1">IF(Y33&lt;&gt;0,SUMPRODUCT((AF$32:AF$35=AF33)*(AE$32:AE$35&gt;AE33)),5)</f>
        <v>0</v>
      </c>
      <c r="AI33" s="92">
        <f ca="1">IF(Y33&lt;&gt;0,SUMPRODUCT((AF$32:AF$35=AF33)*(AE$32:AE$35=AE33)*(AC$32:AC$35&gt;AC33)),5)</f>
        <v>0</v>
      </c>
      <c r="AJ33" s="92">
        <f ca="1">IF(Y33&lt;&gt;0,SUMPRODUCT(($AF32:$AF35=AF33)*($AE32:$AE35=AE33)*($AC32:$AC35=AC33)*($AK32:$AK35&lt;AK33)),5)</f>
        <v>0</v>
      </c>
      <c r="AK33" s="92">
        <f ca="1">IF(AL33=0,0,VLOOKUP(Y33,Tournament!AJ$37:AK$40,2,FALSE))</f>
        <v>0</v>
      </c>
      <c r="AL33" s="92">
        <f ca="1">IF(Y33&lt;&gt;0,IF(OR(SUM(AG33:AI33)=SUM(AG32:AI32),SUM(AG33:AI33)=SUM(AG34:AI34)),1,0),0)</f>
        <v>1</v>
      </c>
      <c r="AM33" s="92">
        <f ca="1">IF(AN33&lt;&gt;0,AM32+1,AM32)</f>
        <v>2</v>
      </c>
      <c r="AN33" s="92" t="str">
        <f ca="1">IF(AL33=1,Y33,0)</f>
        <v>France</v>
      </c>
      <c r="AO33" s="92">
        <v>30</v>
      </c>
      <c r="AP33" s="92" t="str">
        <f ca="1">IF(AND(Tournament!J43&lt;&gt;"",Tournament!L43&lt;&gt;""),IF(Tournament!J43&gt;Tournament!L43,Tournament!H43,""),"")</f>
        <v/>
      </c>
      <c r="AQ33" s="92" t="str">
        <f ca="1">IF(AND(Tournament!J43&lt;&gt;"",Tournament!L43&lt;&gt;""),IF(Tournament!J43=Tournament!L43,Tournament!H43,""),"")</f>
        <v/>
      </c>
      <c r="AR33" s="92" t="str">
        <f ca="1">IF(AND(Tournament!J43&lt;&gt;"",Tournament!L43&lt;&gt;""),IF(Tournament!J43&gt;Tournament!L43,Tournament!N43,""),"")</f>
        <v/>
      </c>
      <c r="AS33" s="92">
        <f ca="1">IF(AND(Tournament!J43&lt;&gt;"",Tournament!L43&lt;&gt;""),Tournament!J43,0)</f>
        <v>0</v>
      </c>
      <c r="AT33" s="92" t="str">
        <f ca="1">IF(AND(Tournament!J43&lt;&gt;"",Tournament!L43&lt;&gt;""),IF(Tournament!J43&lt;Tournament!L43,Tournament!N43,""),"")</f>
        <v/>
      </c>
      <c r="AU33" s="92" t="str">
        <f ca="1">IF(AND(Tournament!J43&lt;&gt;"",Tournament!L43&lt;&gt;""),IF(Tournament!J43=Tournament!L43,Tournament!N43,""),"")</f>
        <v/>
      </c>
      <c r="AV33" s="92" t="str">
        <f ca="1">IF(AND(Tournament!J43&lt;&gt;"",Tournament!L43&lt;&gt;""),IF(Tournament!J43&lt;Tournament!L43,Tournament!H43,""),"")</f>
        <v/>
      </c>
      <c r="AW33" s="92">
        <f ca="1">IF(AND(Tournament!J43&lt;&gt;"",Tournament!L43&lt;&gt;""),Tournament!L43,0)</f>
        <v>0</v>
      </c>
      <c r="AX33" s="92">
        <v>1</v>
      </c>
      <c r="AY33" s="92" t="str">
        <f t="shared" ca="1" si="1"/>
        <v/>
      </c>
      <c r="AZ33" s="92" t="str">
        <f t="shared" ca="1" si="2"/>
        <v/>
      </c>
      <c r="BA33" s="92" t="str">
        <f t="shared" ca="1" si="3"/>
        <v/>
      </c>
      <c r="BB33" s="92" t="str">
        <f t="shared" ca="1" si="4"/>
        <v/>
      </c>
      <c r="BC33" s="92" t="str">
        <f t="shared" ca="1" si="5"/>
        <v/>
      </c>
      <c r="BD33" s="92" t="str">
        <f t="shared" ca="1" si="6"/>
        <v/>
      </c>
      <c r="BE33" s="92">
        <v>31</v>
      </c>
      <c r="BF33" s="92" t="str">
        <f>Tournament!H44</f>
        <v>Belgium</v>
      </c>
      <c r="BG33" s="92" t="str">
        <f ca="1">IF(AND(Tournament!J44&lt;&gt;"",Tournament!L44&lt;&gt;""),Tournament!J44,"")</f>
        <v/>
      </c>
      <c r="BH33" s="92" t="str">
        <f ca="1">IF(AND(Tournament!L44&lt;&gt;"",Tournament!J44&lt;&gt;""),Tournament!L44,"")</f>
        <v/>
      </c>
      <c r="BI33" s="92" t="str">
        <f>Tournament!N44</f>
        <v>Russia</v>
      </c>
    </row>
    <row r="34" spans="1:61">
      <c r="A34" s="92">
        <f ca="1">K34+L34+M34+N34</f>
        <v>2</v>
      </c>
      <c r="B34" s="92" t="str">
        <f>Tournament!H23</f>
        <v>France</v>
      </c>
      <c r="C34" s="92">
        <f ca="1">SUMIF(AP$4:AP$60,B34,AX$4:AX$60)+SUMIF(AT$4:AT$60,B34,AX$4:AX$60)</f>
        <v>0</v>
      </c>
      <c r="D34" s="92">
        <f ca="1">SUMIF(AQ$4:AQ$60,B34,AX$4:AX$60)+SUMIF(AU$4:AU$60,B34,AX$4:AX$60)</f>
        <v>0</v>
      </c>
      <c r="E34" s="92">
        <f ca="1">SUMIF(AR$4:AR$60,B34,AX$4:AX$60)+SUMIF(AV$4:AV$60,B34,AX$4:AX$60)</f>
        <v>0</v>
      </c>
      <c r="F34" s="92">
        <f ca="1">SUMIF($BF$3:$BF$60,B34,$BG$3:$BG$60)+SUMIF($BI$3:$BI$60,B34,$BH$3:$BH$60)</f>
        <v>0</v>
      </c>
      <c r="G34" s="92">
        <f ca="1">SUMIF($BI$3:$BI$60,B34,$BG$3:$BG$60)+SUMIF($BF$3:$BF$60,B34,$BH$3:$BH$60)</f>
        <v>0</v>
      </c>
      <c r="H34" s="92">
        <f ca="1">F34-G34+100</f>
        <v>100</v>
      </c>
      <c r="I34" s="127">
        <f ca="1">C34*3+D34</f>
        <v>0</v>
      </c>
      <c r="J34" s="92">
        <v>20</v>
      </c>
      <c r="K34" s="92">
        <f ca="1">RANK(I34,I$32:I$35)</f>
        <v>1</v>
      </c>
      <c r="L34" s="92">
        <f ca="1">SUMPRODUCT((I$32:I$35=I34)*(H$32:H$35&gt;H34))</f>
        <v>0</v>
      </c>
      <c r="M34" s="92">
        <f ca="1">SUMPRODUCT((I$32:I$35=I34)*(H$32:H$35=H34)*(F$32:F$35&gt;F34))</f>
        <v>0</v>
      </c>
      <c r="N34" s="92">
        <f ca="1">SUMPRODUCT((I$32:I$35=I34)*(H$32:H$35=H34)*(F$32:F$35=F34)*(J$32:J$35&lt;J34))</f>
        <v>1</v>
      </c>
      <c r="O34" s="92">
        <f ca="1">IF(SUM(AG32:AI35)=0,IF(COUNTIF(AJ32:AJ35,0)&gt;1,3,AJ34+1),IF(AND(X33=3,X34=3,Y32=0,Y33&lt;&gt;0,Y34&lt;&gt;0),2,IF(OR(X34=5,X34=4),3,IF(X34=6,4,IF(AND(X33=4,X32=1,Y34&lt;&gt;""),2,IF(AND(AI34=0,AI33=1,AI32=1,Y34&lt;&gt;""),1,X34))))))</f>
        <v>3</v>
      </c>
      <c r="P34" s="92" t="str">
        <f ca="1">VLOOKUP(3,A$32:B$35,2,FALSE)</f>
        <v>Ecuador</v>
      </c>
      <c r="Q34" s="92">
        <f ca="1">SUMIF(B$4:B$60,P34,F$4:F$60)</f>
        <v>0</v>
      </c>
      <c r="R34" s="92">
        <f ca="1">SUMIF(B$4:B$60,P34,H$4:H$60)</f>
        <v>100</v>
      </c>
      <c r="S34" s="127">
        <f ca="1">SUMIF($B$4:$B$60,$P34,I$4:I$60)</f>
        <v>0</v>
      </c>
      <c r="T34" s="92">
        <f ca="1">SUMIF($B$4:$B$60,$P34,A$4:A$60)</f>
        <v>3</v>
      </c>
      <c r="U34" s="92">
        <f t="shared" ca="1" si="10"/>
        <v>0</v>
      </c>
      <c r="V34" s="92">
        <f t="shared" ca="1" si="10"/>
        <v>0</v>
      </c>
      <c r="W34" s="92">
        <f ca="1">SUMIF($B$4:$B$60,$P34,J$4:J$60)</f>
        <v>21</v>
      </c>
      <c r="X34" s="92">
        <f ca="1">IF(Y34=0,T34,T34+AG34+AH34+AI34)</f>
        <v>3</v>
      </c>
      <c r="Y34" s="92" t="str">
        <f ca="1">IF(OR(AND(S33=S34,R33=R34,Q33=Q34),AND(S35=S34,S34=S33,R35=R34,R34=R33,Q35=Q34,Q34=Q33)),P34,0)</f>
        <v>Ecuador</v>
      </c>
      <c r="Z34" s="92">
        <f ca="1">SUMIF($AY$4:$AY$60,$Y34,$AX$4:$AX$60)+SUMIF($BB$4:$BB$60,$Y34,$AX$4:$AX$60)</f>
        <v>0</v>
      </c>
      <c r="AA34" s="92">
        <f ca="1">SUMIF($AZ$4:$AZ$60,$Y34,$AX$4:$AX$60)+SUMIF($BC$4:$BC$60,$Y34,$AX$4:$AX$60)</f>
        <v>0</v>
      </c>
      <c r="AB34" s="92">
        <f ca="1">SUMIF($BA$4:$BA$60,$Y34,$AX$4:$AX$60)+SUMIF($BD$4:$BD$60,$Y34,$AX$4:$AX$60)</f>
        <v>0</v>
      </c>
      <c r="AC34" s="92">
        <f ca="1">SUMIF(AY$4:AY$60,Y34,AS$4:AS$60)+SUMIF(BB$4:BB$60,Y34,AW$4:AW$60)+SUMIF(AZ$4:AZ$60,Y34,AS$4:AS$60)+SUMIF(BC$4:BC$60,Y34,AW$4:AW$60)</f>
        <v>0</v>
      </c>
      <c r="AD34" s="92">
        <f ca="1">SUMIF(BA$4:BA$60,Y34,AS$4:AS$60)+SUMIF(BD$4:BD$60,Y34,AW$4:AW$60)+SUMIF(AZ$4:AZ$60,Y34,AS$4:AS$60)+SUMIF(BC$4:BC$60,Y34,AW$4:AW$60)</f>
        <v>0</v>
      </c>
      <c r="AE34" s="92">
        <f ca="1">AC34-AD34+100</f>
        <v>100</v>
      </c>
      <c r="AF34" s="127">
        <f ca="1">IF(Y34&lt;&gt;0,Z34*3+AA34,"")</f>
        <v>0</v>
      </c>
      <c r="AG34" s="92">
        <f ca="1">IF(Y34&lt;&gt;0,RANK(AF34,AF$32:AF$35)-1,5)</f>
        <v>0</v>
      </c>
      <c r="AH34" s="92">
        <f ca="1">IF(Y34&lt;&gt;0,SUMPRODUCT((AF$32:AF$35=AF34)*(AE$32:AE$35&gt;AE34)),5)</f>
        <v>0</v>
      </c>
      <c r="AI34" s="92">
        <f ca="1">IF(Y34&lt;&gt;0,SUMPRODUCT((AF$32:AF$35=AF34)*(AE$32:AE$35=AE34)*(AC$32:AC$35&gt;AC34)),5)</f>
        <v>0</v>
      </c>
      <c r="AJ34" s="92">
        <f ca="1">IF(Y34&lt;&gt;0,SUMPRODUCT(($AF32:$AF35=AF34)*($AE32:$AE35=AE34)*($AC32:$AC35=AC34)*($AK32:$AK35&lt;AK34)),5)</f>
        <v>0</v>
      </c>
      <c r="AK34" s="92">
        <f ca="1">IF(AL34=0,0,VLOOKUP(Y34,Tournament!AJ$37:AK$40,2,FALSE))</f>
        <v>0</v>
      </c>
      <c r="AL34" s="92">
        <f ca="1">IF(Y34&lt;&gt;0,IF(OR(SUM(AG34:AI34)=SUM(AG33:AI33),SUM(AG34:AI34)=SUM(AG35:AI35)),1,0),0)</f>
        <v>1</v>
      </c>
      <c r="AM34" s="92">
        <f ca="1">IF(AN34&lt;&gt;0,AM33+1,AM33)</f>
        <v>3</v>
      </c>
      <c r="AN34" s="92" t="str">
        <f ca="1">IF(AL34=1,Y34,0)</f>
        <v>Ecuador</v>
      </c>
      <c r="AO34" s="92">
        <v>31</v>
      </c>
      <c r="AP34" s="92" t="str">
        <f ca="1">IF(AND(Tournament!J44&lt;&gt;"",Tournament!L44&lt;&gt;""),IF(Tournament!J44&gt;Tournament!L44,Tournament!H44,""),"")</f>
        <v/>
      </c>
      <c r="AQ34" s="92" t="str">
        <f ca="1">IF(AND(Tournament!J44&lt;&gt;"",Tournament!L44&lt;&gt;""),IF(Tournament!J44=Tournament!L44,Tournament!H44,""),"")</f>
        <v/>
      </c>
      <c r="AR34" s="92" t="str">
        <f ca="1">IF(AND(Tournament!J44&lt;&gt;"",Tournament!L44&lt;&gt;""),IF(Tournament!J44&gt;Tournament!L44,Tournament!N44,""),"")</f>
        <v/>
      </c>
      <c r="AS34" s="92">
        <f ca="1">IF(AND(Tournament!J44&lt;&gt;"",Tournament!L44&lt;&gt;""),Tournament!J44,0)</f>
        <v>0</v>
      </c>
      <c r="AT34" s="92" t="str">
        <f ca="1">IF(AND(Tournament!J44&lt;&gt;"",Tournament!L44&lt;&gt;""),IF(Tournament!J44&lt;Tournament!L44,Tournament!N44,""),"")</f>
        <v/>
      </c>
      <c r="AU34" s="92" t="str">
        <f ca="1">IF(AND(Tournament!J44&lt;&gt;"",Tournament!L44&lt;&gt;""),IF(Tournament!J44=Tournament!L44,Tournament!N44,""),"")</f>
        <v/>
      </c>
      <c r="AV34" s="92" t="str">
        <f ca="1">IF(AND(Tournament!J44&lt;&gt;"",Tournament!L44&lt;&gt;""),IF(Tournament!J44&lt;Tournament!L44,Tournament!H44,""),"")</f>
        <v/>
      </c>
      <c r="AW34" s="92">
        <f ca="1">IF(AND(Tournament!J44&lt;&gt;"",Tournament!L44&lt;&gt;""),Tournament!L44,0)</f>
        <v>0</v>
      </c>
      <c r="AX34" s="92">
        <v>1</v>
      </c>
      <c r="AY34" s="92" t="str">
        <f t="shared" ca="1" si="1"/>
        <v/>
      </c>
      <c r="AZ34" s="92" t="str">
        <f t="shared" ca="1" si="2"/>
        <v/>
      </c>
      <c r="BA34" s="92" t="str">
        <f t="shared" ca="1" si="3"/>
        <v/>
      </c>
      <c r="BB34" s="92" t="str">
        <f t="shared" ca="1" si="4"/>
        <v/>
      </c>
      <c r="BC34" s="92" t="str">
        <f t="shared" ca="1" si="5"/>
        <v/>
      </c>
      <c r="BD34" s="92" t="str">
        <f t="shared" ca="1" si="6"/>
        <v/>
      </c>
      <c r="BE34" s="92">
        <v>32</v>
      </c>
      <c r="BF34" s="92" t="str">
        <f>Tournament!H45</f>
        <v>South Korea</v>
      </c>
      <c r="BG34" s="92" t="str">
        <f ca="1">IF(AND(Tournament!J45&lt;&gt;"",Tournament!L45&lt;&gt;""),Tournament!J45,"")</f>
        <v/>
      </c>
      <c r="BH34" s="92" t="str">
        <f ca="1">IF(AND(Tournament!L45&lt;&gt;"",Tournament!J45&lt;&gt;""),Tournament!L45,"")</f>
        <v/>
      </c>
      <c r="BI34" s="92" t="str">
        <f>Tournament!N45</f>
        <v>Algeria</v>
      </c>
    </row>
    <row r="35" spans="1:61">
      <c r="A35" s="92">
        <f ca="1">K35+L35+M35+N35</f>
        <v>4</v>
      </c>
      <c r="B35" s="92" t="str">
        <f>Tournament!N23</f>
        <v>Honduras</v>
      </c>
      <c r="C35" s="92">
        <f ca="1">SUMIF(AP$4:AP$60,B35,AX$4:AX$60)+SUMIF(AT$4:AT$60,B35,AX$4:AX$60)</f>
        <v>0</v>
      </c>
      <c r="D35" s="92">
        <f ca="1">SUMIF(AQ$4:AQ$60,B35,AX$4:AX$60)+SUMIF(AU$4:AU$60,B35,AX$4:AX$60)</f>
        <v>0</v>
      </c>
      <c r="E35" s="92">
        <f ca="1">SUMIF(AR$4:AR$60,B35,AX$4:AX$60)+SUMIF(AV$4:AV$60,B35,AX$4:AX$60)</f>
        <v>0</v>
      </c>
      <c r="F35" s="92">
        <f ca="1">SUMIF($BF$3:$BF$60,B35,$BG$3:$BG$60)+SUMIF($BI$3:$BI$60,B35,$BH$3:$BH$60)</f>
        <v>0</v>
      </c>
      <c r="G35" s="92">
        <f ca="1">SUMIF($BI$3:$BI$60,B35,$BG$3:$BG$60)+SUMIF($BF$3:$BF$60,B35,$BH$3:$BH$60)</f>
        <v>0</v>
      </c>
      <c r="H35" s="92">
        <f ca="1">F35-G35+100</f>
        <v>100</v>
      </c>
      <c r="I35" s="127">
        <f ca="1">C35*3+D35</f>
        <v>0</v>
      </c>
      <c r="J35" s="92">
        <v>27</v>
      </c>
      <c r="K35" s="92">
        <f ca="1">RANK(I35,I$32:I$35)</f>
        <v>1</v>
      </c>
      <c r="L35" s="92">
        <f ca="1">SUMPRODUCT((I$32:I$35=I35)*(H$32:H$35&gt;H35))</f>
        <v>0</v>
      </c>
      <c r="M35" s="92">
        <f ca="1">SUMPRODUCT((I$32:I$35=I35)*(H$32:H$35=H35)*(F$32:F$35&gt;F35))</f>
        <v>0</v>
      </c>
      <c r="N35" s="92">
        <f ca="1">SUMPRODUCT((I$32:I$35=I35)*(H$32:H$35=H35)*(F$32:F$35=F35)*(J$32:J$35&lt;J35))</f>
        <v>3</v>
      </c>
      <c r="O35" s="92">
        <f ca="1">IF(SUM(AG32:AI35)=0,IF(COUNTIF(AJ32:AJ35,0)&gt;1,4,AJ35+1),IF(X35=X34,IF(X35=3,4,X35),IF(X35=5,3,IF(X35=6,4,X35))))</f>
        <v>4</v>
      </c>
      <c r="P35" s="92" t="str">
        <f ca="1">VLOOKUP(4,A$32:B$35,2,FALSE)</f>
        <v>Honduras</v>
      </c>
      <c r="Q35" s="92">
        <f ca="1">SUMIF(B$4:B$60,P35,F$4:F$60)</f>
        <v>0</v>
      </c>
      <c r="R35" s="92">
        <f ca="1">SUMIF(B$4:B$60,P35,H$4:H$60)</f>
        <v>100</v>
      </c>
      <c r="S35" s="127">
        <f ca="1">SUMIF($B$4:$B$60,$P35,I$4:I$60)</f>
        <v>0</v>
      </c>
      <c r="T35" s="92">
        <f ca="1">SUMIF($B$4:$B$60,$P35,A$4:A$60)</f>
        <v>4</v>
      </c>
      <c r="U35" s="92">
        <f t="shared" ca="1" si="10"/>
        <v>0</v>
      </c>
      <c r="V35" s="92">
        <f t="shared" ca="1" si="10"/>
        <v>0</v>
      </c>
      <c r="W35" s="92">
        <f ca="1">SUMIF($B$4:$B$60,$P35,J$4:J$60)</f>
        <v>27</v>
      </c>
      <c r="X35" s="92">
        <f ca="1">IF(Y35=0,T35,T35+AG35+AH35+AI35)</f>
        <v>4</v>
      </c>
      <c r="Y35" s="92" t="str">
        <f ca="1">IF(AND(S34=S35,S34=S33,R34=R35,R34=R33,Q34=Q35,Q34=Q33),P35,0)</f>
        <v>Honduras</v>
      </c>
      <c r="Z35" s="92">
        <f ca="1">SUMIF($AY$4:$AY$60,$Y35,$AX$4:$AX$60)+SUMIF($BB$4:$BB$60,$Y35,$AX$4:$AX$60)</f>
        <v>0</v>
      </c>
      <c r="AA35" s="92">
        <f ca="1">SUMIF($AZ$4:$AZ$60,$Y35,$AX$4:$AX$60)+SUMIF($BC$4:$BC$60,$Y35,$AX$4:$AX$60)</f>
        <v>0</v>
      </c>
      <c r="AB35" s="92">
        <f ca="1">SUMIF($BA$4:$BA$60,$Y35,$AX$4:$AX$60)+SUMIF($BD$4:$BD$60,$Y35,$AX$4:$AX$60)</f>
        <v>0</v>
      </c>
      <c r="AC35" s="92">
        <f ca="1">SUMIF(AY$4:AY$60,Y35,AS$4:AS$60)+SUMIF(BB$4:BB$60,Y35,AW$4:AW$60)+SUMIF(AZ$4:AZ$60,Y35,AS$4:AS$60)+SUMIF(BC$4:BC$60,Y35,AW$4:AW$60)</f>
        <v>0</v>
      </c>
      <c r="AD35" s="92">
        <f ca="1">SUMIF(BA$4:BA$60,Y35,AS$4:AS$60)+SUMIF(BD$4:BD$60,Y35,AW$4:AW$60)+SUMIF(AZ$4:AZ$60,Y35,AS$4:AS$60)+SUMIF(BC$4:BC$60,Y35,AW$4:AW$60)</f>
        <v>0</v>
      </c>
      <c r="AE35" s="92">
        <f ca="1">AC35-AD35+100</f>
        <v>100</v>
      </c>
      <c r="AF35" s="127">
        <f ca="1">IF(Y35&lt;&gt;0,Z35*3+AA35,"")</f>
        <v>0</v>
      </c>
      <c r="AG35" s="92">
        <f ca="1">IF(Y35&lt;&gt;0,RANK(AF35,AF$32:AF$35)-1,5)</f>
        <v>0</v>
      </c>
      <c r="AH35" s="92">
        <f ca="1">IF(Y35&lt;&gt;0,SUMPRODUCT((AF$32:AF$35=AF35)*(AE$32:AE$35&gt;AE35)),5)</f>
        <v>0</v>
      </c>
      <c r="AI35" s="92">
        <f ca="1">IF(Y35&lt;&gt;0,SUMPRODUCT((AF$32:AF$35=AF35)*(AE$32:AE$35=AE35)*(AC$32:AC$35&gt;AC35)),5)</f>
        <v>0</v>
      </c>
      <c r="AJ35" s="92">
        <f ca="1">IF(Y35&lt;&gt;0,SUMPRODUCT(($AF32:$AF35=AF35)*($AE32:$AE35=AE35)*($AC32:$AC35=AC35)*($AK32:$AK35&lt;AK35)),5)</f>
        <v>0</v>
      </c>
      <c r="AK35" s="92">
        <f ca="1">IF(AL35=0,0,VLOOKUP(Y35,Tournament!AJ$37:AK$40,2,FALSE))</f>
        <v>0</v>
      </c>
      <c r="AL35" s="92">
        <f ca="1">IF(Y35&lt;&gt;0,IF(SUM(AG35:AI35)=SUM(AG34:AI34),1,0),0)</f>
        <v>1</v>
      </c>
      <c r="AM35" s="92">
        <f ca="1">IF(AN35&lt;&gt;0,AM34+1,AM34)</f>
        <v>4</v>
      </c>
      <c r="AN35" s="92" t="str">
        <f ca="1">IF(AL35=1,Y35,0)</f>
        <v>Honduras</v>
      </c>
      <c r="AO35" s="92">
        <v>32</v>
      </c>
      <c r="AP35" s="92" t="str">
        <f ca="1">IF(AND(Tournament!J45&lt;&gt;"",Tournament!L45&lt;&gt;""),IF(Tournament!J45&gt;Tournament!L45,Tournament!H45,""),"")</f>
        <v/>
      </c>
      <c r="AQ35" s="92" t="str">
        <f ca="1">IF(AND(Tournament!J45&lt;&gt;"",Tournament!L45&lt;&gt;""),IF(Tournament!J45=Tournament!L45,Tournament!H45,""),"")</f>
        <v/>
      </c>
      <c r="AR35" s="92" t="str">
        <f ca="1">IF(AND(Tournament!J45&lt;&gt;"",Tournament!L45&lt;&gt;""),IF(Tournament!J45&gt;Tournament!L45,Tournament!N45,""),"")</f>
        <v/>
      </c>
      <c r="AS35" s="92">
        <f ca="1">IF(AND(Tournament!J45&lt;&gt;"",Tournament!L45&lt;&gt;""),Tournament!J45,0)</f>
        <v>0</v>
      </c>
      <c r="AT35" s="92" t="str">
        <f ca="1">IF(AND(Tournament!J45&lt;&gt;"",Tournament!L45&lt;&gt;""),IF(Tournament!J45&lt;Tournament!L45,Tournament!N45,""),"")</f>
        <v/>
      </c>
      <c r="AU35" s="92" t="str">
        <f ca="1">IF(AND(Tournament!J45&lt;&gt;"",Tournament!L45&lt;&gt;""),IF(Tournament!J45=Tournament!L45,Tournament!N45,""),"")</f>
        <v/>
      </c>
      <c r="AV35" s="92" t="str">
        <f ca="1">IF(AND(Tournament!J45&lt;&gt;"",Tournament!L45&lt;&gt;""),IF(Tournament!J45&lt;Tournament!L45,Tournament!H45,""),"")</f>
        <v/>
      </c>
      <c r="AW35" s="92">
        <f ca="1">IF(AND(Tournament!J45&lt;&gt;"",Tournament!L45&lt;&gt;""),Tournament!L45,0)</f>
        <v>0</v>
      </c>
      <c r="AX35" s="92">
        <v>1</v>
      </c>
      <c r="AY35" s="92" t="str">
        <f t="shared" ca="1" si="1"/>
        <v/>
      </c>
      <c r="AZ35" s="92" t="str">
        <f t="shared" ca="1" si="2"/>
        <v/>
      </c>
      <c r="BA35" s="92" t="str">
        <f t="shared" ca="1" si="3"/>
        <v/>
      </c>
      <c r="BB35" s="92" t="str">
        <f t="shared" ca="1" si="4"/>
        <v/>
      </c>
      <c r="BC35" s="92" t="str">
        <f t="shared" ca="1" si="5"/>
        <v/>
      </c>
      <c r="BD35" s="92" t="str">
        <f t="shared" ca="1" si="6"/>
        <v/>
      </c>
      <c r="BE35" s="92">
        <v>33</v>
      </c>
      <c r="BF35" s="92" t="str">
        <f>Tournament!H46</f>
        <v>Cameroon</v>
      </c>
      <c r="BG35" s="92" t="str">
        <f ca="1">IF(AND(Tournament!J46&lt;&gt;"",Tournament!L46&lt;&gt;""),Tournament!J46,"")</f>
        <v/>
      </c>
      <c r="BH35" s="92" t="str">
        <f ca="1">IF(AND(Tournament!L46&lt;&gt;"",Tournament!J46&lt;&gt;""),Tournament!L46,"")</f>
        <v/>
      </c>
      <c r="BI35" s="92" t="str">
        <f>Tournament!N46</f>
        <v>Brazil</v>
      </c>
    </row>
    <row r="36" spans="1:61">
      <c r="AO36" s="92">
        <v>33</v>
      </c>
      <c r="AP36" s="92" t="str">
        <f ca="1">IF(AND(Tournament!J46&lt;&gt;"",Tournament!L46&lt;&gt;""),IF(Tournament!J46&gt;Tournament!L46,Tournament!H46,""),"")</f>
        <v/>
      </c>
      <c r="AQ36" s="92" t="str">
        <f ca="1">IF(AND(Tournament!J46&lt;&gt;"",Tournament!L46&lt;&gt;""),IF(Tournament!J46=Tournament!L46,Tournament!H46,""),"")</f>
        <v/>
      </c>
      <c r="AR36" s="92" t="str">
        <f ca="1">IF(AND(Tournament!J46&lt;&gt;"",Tournament!L46&lt;&gt;""),IF(Tournament!J46&gt;Tournament!L46,Tournament!N46,""),"")</f>
        <v/>
      </c>
      <c r="AS36" s="92">
        <f ca="1">IF(AND(Tournament!J46&lt;&gt;"",Tournament!L46&lt;&gt;""),Tournament!J46,0)</f>
        <v>0</v>
      </c>
      <c r="AT36" s="92" t="str">
        <f ca="1">IF(AND(Tournament!J46&lt;&gt;"",Tournament!L46&lt;&gt;""),IF(Tournament!J46&lt;Tournament!L46,Tournament!N46,""),"")</f>
        <v/>
      </c>
      <c r="AU36" s="92" t="str">
        <f ca="1">IF(AND(Tournament!J46&lt;&gt;"",Tournament!L46&lt;&gt;""),IF(Tournament!J46=Tournament!L46,Tournament!N46,""),"")</f>
        <v/>
      </c>
      <c r="AV36" s="92" t="str">
        <f ca="1">IF(AND(Tournament!J46&lt;&gt;"",Tournament!L46&lt;&gt;""),IF(Tournament!J46&lt;Tournament!L46,Tournament!H46,""),"")</f>
        <v/>
      </c>
      <c r="AW36" s="92">
        <f ca="1">IF(AND(Tournament!J46&lt;&gt;"",Tournament!L46&lt;&gt;""),Tournament!L46,0)</f>
        <v>0</v>
      </c>
      <c r="AX36" s="92">
        <v>1</v>
      </c>
      <c r="AY36" s="92" t="str">
        <f t="shared" ca="1" si="1"/>
        <v/>
      </c>
      <c r="AZ36" s="92" t="str">
        <f t="shared" ca="1" si="2"/>
        <v/>
      </c>
      <c r="BA36" s="92" t="str">
        <f t="shared" ca="1" si="3"/>
        <v/>
      </c>
      <c r="BB36" s="92" t="str">
        <f t="shared" ca="1" si="4"/>
        <v/>
      </c>
      <c r="BC36" s="92" t="str">
        <f t="shared" ca="1" si="5"/>
        <v/>
      </c>
      <c r="BD36" s="92" t="str">
        <f t="shared" ca="1" si="6"/>
        <v/>
      </c>
      <c r="BE36" s="92">
        <v>34</v>
      </c>
      <c r="BF36" s="92" t="str">
        <f>Tournament!H47</f>
        <v>Croatia</v>
      </c>
      <c r="BG36" s="92" t="str">
        <f ca="1">IF(AND(Tournament!J47&lt;&gt;"",Tournament!L47&lt;&gt;""),Tournament!J47,"")</f>
        <v/>
      </c>
      <c r="BH36" s="92" t="str">
        <f ca="1">IF(AND(Tournament!L47&lt;&gt;"",Tournament!J47&lt;&gt;""),Tournament!L47,"")</f>
        <v/>
      </c>
      <c r="BI36" s="92" t="str">
        <f>Tournament!N47</f>
        <v>Mexico</v>
      </c>
    </row>
    <row r="37" spans="1:61">
      <c r="I37" s="127"/>
      <c r="S37" s="127"/>
      <c r="AF37" s="127"/>
      <c r="AO37" s="92">
        <v>34</v>
      </c>
      <c r="AP37" s="92" t="str">
        <f ca="1">IF(AND(Tournament!J47&lt;&gt;"",Tournament!L47&lt;&gt;""),IF(Tournament!J47&gt;Tournament!L47,Tournament!H47,""),"")</f>
        <v/>
      </c>
      <c r="AQ37" s="92" t="str">
        <f ca="1">IF(AND(Tournament!J47&lt;&gt;"",Tournament!L47&lt;&gt;""),IF(Tournament!J47=Tournament!L47,Tournament!H47,""),"")</f>
        <v/>
      </c>
      <c r="AR37" s="92" t="str">
        <f ca="1">IF(AND(Tournament!J47&lt;&gt;"",Tournament!L47&lt;&gt;""),IF(Tournament!J47&gt;Tournament!L47,Tournament!N47,""),"")</f>
        <v/>
      </c>
      <c r="AS37" s="92">
        <f ca="1">IF(AND(Tournament!J47&lt;&gt;"",Tournament!L47&lt;&gt;""),Tournament!J47,0)</f>
        <v>0</v>
      </c>
      <c r="AT37" s="92" t="str">
        <f ca="1">IF(AND(Tournament!J47&lt;&gt;"",Tournament!L47&lt;&gt;""),IF(Tournament!J47&lt;Tournament!L47,Tournament!N47,""),"")</f>
        <v/>
      </c>
      <c r="AU37" s="92" t="str">
        <f ca="1">IF(AND(Tournament!J47&lt;&gt;"",Tournament!L47&lt;&gt;""),IF(Tournament!J47=Tournament!L47,Tournament!N47,""),"")</f>
        <v/>
      </c>
      <c r="AV37" s="92" t="str">
        <f ca="1">IF(AND(Tournament!J47&lt;&gt;"",Tournament!L47&lt;&gt;""),IF(Tournament!J47&lt;Tournament!L47,Tournament!H47,""),"")</f>
        <v/>
      </c>
      <c r="AW37" s="92">
        <f ca="1">IF(AND(Tournament!J47&lt;&gt;"",Tournament!L47&lt;&gt;""),Tournament!L47,0)</f>
        <v>0</v>
      </c>
      <c r="AX37" s="92">
        <v>1</v>
      </c>
      <c r="AY37" s="92" t="str">
        <f t="shared" ca="1" si="1"/>
        <v/>
      </c>
      <c r="AZ37" s="92" t="str">
        <f t="shared" ca="1" si="2"/>
        <v/>
      </c>
      <c r="BA37" s="92" t="str">
        <f t="shared" ca="1" si="3"/>
        <v/>
      </c>
      <c r="BB37" s="92" t="str">
        <f t="shared" ca="1" si="4"/>
        <v/>
      </c>
      <c r="BC37" s="92" t="str">
        <f t="shared" ca="1" si="5"/>
        <v/>
      </c>
      <c r="BD37" s="92" t="str">
        <f t="shared" ca="1" si="6"/>
        <v/>
      </c>
      <c r="BE37" s="92">
        <v>35</v>
      </c>
      <c r="BF37" s="92" t="str">
        <f>Tournament!H48</f>
        <v>Australia</v>
      </c>
      <c r="BG37" s="92" t="str">
        <f ca="1">IF(AND(Tournament!J48&lt;&gt;"",Tournament!L48&lt;&gt;""),Tournament!J48,"")</f>
        <v/>
      </c>
      <c r="BH37" s="92" t="str">
        <f ca="1">IF(AND(Tournament!L48&lt;&gt;"",Tournament!J48&lt;&gt;""),Tournament!L48,"")</f>
        <v/>
      </c>
      <c r="BI37" s="92" t="str">
        <f>Tournament!N48</f>
        <v>Spain</v>
      </c>
    </row>
    <row r="38" spans="1:61">
      <c r="I38" s="127"/>
      <c r="S38" s="127"/>
      <c r="AF38" s="127"/>
      <c r="AO38" s="92">
        <v>35</v>
      </c>
      <c r="AP38" s="92" t="str">
        <f ca="1">IF(AND(Tournament!J48&lt;&gt;"",Tournament!L48&lt;&gt;""),IF(Tournament!J48&gt;Tournament!L48,Tournament!H48,""),"")</f>
        <v/>
      </c>
      <c r="AQ38" s="92" t="str">
        <f ca="1">IF(AND(Tournament!J48&lt;&gt;"",Tournament!L48&lt;&gt;""),IF(Tournament!J48=Tournament!L48,Tournament!H48,""),"")</f>
        <v/>
      </c>
      <c r="AR38" s="92" t="str">
        <f ca="1">IF(AND(Tournament!J48&lt;&gt;"",Tournament!L48&lt;&gt;""),IF(Tournament!J48&gt;Tournament!L48,Tournament!N48,""),"")</f>
        <v/>
      </c>
      <c r="AS38" s="92">
        <f ca="1">IF(AND(Tournament!J48&lt;&gt;"",Tournament!L48&lt;&gt;""),Tournament!J48,0)</f>
        <v>0</v>
      </c>
      <c r="AT38" s="92" t="str">
        <f ca="1">IF(AND(Tournament!J48&lt;&gt;"",Tournament!L48&lt;&gt;""),IF(Tournament!J48&lt;Tournament!L48,Tournament!N48,""),"")</f>
        <v/>
      </c>
      <c r="AU38" s="92" t="str">
        <f ca="1">IF(AND(Tournament!J48&lt;&gt;"",Tournament!L48&lt;&gt;""),IF(Tournament!J48=Tournament!L48,Tournament!N48,""),"")</f>
        <v/>
      </c>
      <c r="AV38" s="92" t="str">
        <f ca="1">IF(AND(Tournament!J48&lt;&gt;"",Tournament!L48&lt;&gt;""),IF(Tournament!J48&lt;Tournament!L48,Tournament!H48,""),"")</f>
        <v/>
      </c>
      <c r="AW38" s="92">
        <f ca="1">IF(AND(Tournament!J48&lt;&gt;"",Tournament!L48&lt;&gt;""),Tournament!L48,0)</f>
        <v>0</v>
      </c>
      <c r="AX38" s="92">
        <v>1</v>
      </c>
      <c r="AY38" s="92" t="str">
        <f t="shared" ca="1" si="1"/>
        <v/>
      </c>
      <c r="AZ38" s="92" t="str">
        <f t="shared" ca="1" si="2"/>
        <v/>
      </c>
      <c r="BA38" s="92" t="str">
        <f t="shared" ca="1" si="3"/>
        <v/>
      </c>
      <c r="BB38" s="92" t="str">
        <f t="shared" ca="1" si="4"/>
        <v/>
      </c>
      <c r="BC38" s="92" t="str">
        <f t="shared" ca="1" si="5"/>
        <v/>
      </c>
      <c r="BD38" s="92" t="str">
        <f t="shared" ca="1" si="6"/>
        <v/>
      </c>
      <c r="BE38" s="92">
        <v>36</v>
      </c>
      <c r="BF38" s="92" t="str">
        <f>Tournament!H49</f>
        <v>Netherlands</v>
      </c>
      <c r="BG38" s="92" t="str">
        <f ca="1">IF(AND(Tournament!J49&lt;&gt;"",Tournament!L49&lt;&gt;""),Tournament!J49,"")</f>
        <v/>
      </c>
      <c r="BH38" s="92" t="str">
        <f ca="1">IF(AND(Tournament!L49&lt;&gt;"",Tournament!J49&lt;&gt;""),Tournament!L49,"")</f>
        <v/>
      </c>
      <c r="BI38" s="92" t="str">
        <f>Tournament!N49</f>
        <v>Chile</v>
      </c>
    </row>
    <row r="39" spans="1:61">
      <c r="A39" s="92">
        <f ca="1">K39+L39+M39+N39</f>
        <v>1</v>
      </c>
      <c r="B39" s="92" t="str">
        <f>Tournament!H24</f>
        <v>Argentina</v>
      </c>
      <c r="C39" s="92">
        <f ca="1">SUMIF(AP$4:AP$60,B39,AX$4:AX$60)+SUMIF(AT$4:AT$60,B39,AX$4:AX$60)</f>
        <v>0</v>
      </c>
      <c r="D39" s="92">
        <f ca="1">SUMIF(AQ$4:AQ$60,B39,AX$4:AX$60)+SUMIF(AU$4:AU$60,B39,AX$4:AX$60)</f>
        <v>0</v>
      </c>
      <c r="E39" s="92">
        <f ca="1">SUMIF(AR$4:AR$60,B39,AX$4:AX$60)+SUMIF(AV$4:AV$60,B39,AX$4:AX$60)</f>
        <v>0</v>
      </c>
      <c r="F39" s="92">
        <f ca="1">SUMIF($BF$3:$BF$60,B39,$BG$3:$BG$60)+SUMIF($BI$3:$BI$60,B39,$BH$3:$BH$60)</f>
        <v>0</v>
      </c>
      <c r="G39" s="92">
        <f ca="1">SUMIF($BI$3:$BI$60,B39,$BG$3:$BG$60)+SUMIF($BF$3:$BF$60,B39,$BH$3:$BH$60)</f>
        <v>0</v>
      </c>
      <c r="H39" s="92">
        <f ca="1">F39-G39+100</f>
        <v>100</v>
      </c>
      <c r="I39" s="127">
        <f ca="1">C39*3+D39</f>
        <v>0</v>
      </c>
      <c r="J39" s="92">
        <v>3</v>
      </c>
      <c r="K39" s="92">
        <f ca="1">RANK(I39,I$39:I$42)</f>
        <v>1</v>
      </c>
      <c r="L39" s="92">
        <f ca="1">SUMPRODUCT((I$39:I$42=I39)*(H$39:H$42&gt;H39))</f>
        <v>0</v>
      </c>
      <c r="M39" s="92">
        <f ca="1">SUMPRODUCT((I$39:I$42=I39)*(H$39:H$42=H39)*(F$39:F$42&gt;F39))</f>
        <v>0</v>
      </c>
      <c r="N39" s="92">
        <f ca="1">SUMPRODUCT((I$39:I$42=I39)*(H$39:H$42=H39)*(F$39:F$42=F39)*(J$39:J$42&lt;J39))</f>
        <v>0</v>
      </c>
      <c r="O39" s="92">
        <f ca="1">IF(SUM(AG39:AI42)=0,IF(COUNTIF(AJ39:AJ42,0)&gt;1,1,AJ39+1),X39)</f>
        <v>1</v>
      </c>
      <c r="P39" s="92" t="str">
        <f ca="1">VLOOKUP(1,A$39:B$42,2,FALSE)</f>
        <v>Argentina</v>
      </c>
      <c r="Q39" s="92">
        <f ca="1">SUMIF(B$4:B$60,P39,F$4:F$60)</f>
        <v>0</v>
      </c>
      <c r="R39" s="92">
        <f ca="1">SUMIF(B$4:B$60,P39,H$4:H$60)</f>
        <v>100</v>
      </c>
      <c r="S39" s="127">
        <f ca="1">SUMIF($B$4:$B$60,$P39,I$4:I$60)</f>
        <v>0</v>
      </c>
      <c r="T39" s="92">
        <f ca="1">SUMIF($B$4:$B$60,$P39,A$4:A$60)</f>
        <v>1</v>
      </c>
      <c r="U39" s="92">
        <f t="shared" ref="U39:V42" ca="1" si="11">SUMIF($B$4:$B$60,$P39,L$4:L$60)</f>
        <v>0</v>
      </c>
      <c r="V39" s="92">
        <f t="shared" ca="1" si="11"/>
        <v>0</v>
      </c>
      <c r="W39" s="92">
        <f ca="1">SUMIF($B$4:$B$60,$P39,J$4:J$60)</f>
        <v>3</v>
      </c>
      <c r="X39" s="92">
        <f ca="1">IF(Y39=0,T39,T39+AG39+AH39+AI39)</f>
        <v>1</v>
      </c>
      <c r="Y39" s="92" t="str">
        <f ca="1">IF(AND(S39=S40,R39=R40,Q39=Q40),P39,0)</f>
        <v>Argentina</v>
      </c>
      <c r="Z39" s="92">
        <f ca="1">SUMIF($AY$4:$AY$60,$Y39,$AX$4:$AX$60)+SUMIF($BB$4:$BB$60,$Y39,$AX$4:$AX$60)</f>
        <v>0</v>
      </c>
      <c r="AA39" s="92">
        <f ca="1">SUMIF($AZ$4:$AZ$60,$Y39,$AX$4:$AX$60)+SUMIF($BC$4:$BC$60,$Y39,$AX$4:$AX$60)</f>
        <v>0</v>
      </c>
      <c r="AB39" s="92">
        <f ca="1">SUMIF($BA$4:$BA$60,$Y39,$AX$4:$AX$60)+SUMIF($BD$4:$BD$60,$Y39,$AX$4:$AX$60)</f>
        <v>0</v>
      </c>
      <c r="AC39" s="92">
        <f ca="1">SUMIF(AY$4:AY$60,Y39,AS$4:AS$60)+SUMIF(BB$4:BB$60,Y39,AW$4:AW$60)+SUMIF(AZ$4:AZ$60,Y39,AS$4:AS$60)+SUMIF(BC$4:BC$60,Y39,AW$4:AW$60)</f>
        <v>0</v>
      </c>
      <c r="AD39" s="92">
        <f ca="1">SUMIF(BA$4:BA$60,Y39,AS$4:AS$60)+SUMIF(BD$4:BD$60,Y39,AW$4:AW$60)+SUMIF(AZ$4:AZ$60,Y39,AS$4:AS$60)+SUMIF(BC$4:BC$60,Y39,AW$4:AW$60)</f>
        <v>0</v>
      </c>
      <c r="AE39" s="92">
        <f ca="1">AC39-AD39+100</f>
        <v>100</v>
      </c>
      <c r="AF39" s="127">
        <f ca="1">IF(Y39&lt;&gt;0,Z39*3+AA39,"")</f>
        <v>0</v>
      </c>
      <c r="AG39" s="92">
        <f ca="1">IF(Y39&lt;&gt;0,RANK(AF39,AF$39:AF$42)-1,5)</f>
        <v>0</v>
      </c>
      <c r="AH39" s="92">
        <f ca="1">IF(Y39&lt;&gt;0,SUMPRODUCT((AF$39:AF$42=AF39)*(AE$39:AE$42&gt;AE39)),5)</f>
        <v>0</v>
      </c>
      <c r="AI39" s="92">
        <f ca="1">IF(Y39&lt;&gt;0,SUMPRODUCT((AF$39:AF$42=AF39)*(AE$39:AE$42=AE39)*(AC$39:AC$42&gt;AC39)),5)</f>
        <v>0</v>
      </c>
      <c r="AJ39" s="92">
        <f ca="1">IF(Y39&lt;&gt;0,SUMPRODUCT(($AF39:$AF42=AF39)*($AE39:$AE42=AE39)*($AC39:$AC42=AC39)*($AK39:$AK42&lt;AK39)),5)</f>
        <v>0</v>
      </c>
      <c r="AK39" s="92">
        <f ca="1">IF(AL39=0,0,VLOOKUP(Y39,Tournament!AJ$43:AK$46,2,FALSE))</f>
        <v>0</v>
      </c>
      <c r="AL39" s="92">
        <f ca="1">IF(Y39&lt;&gt;0,IF(SUM(AG39:AI39)=SUM(AG40:AI40),1,0),0)</f>
        <v>1</v>
      </c>
      <c r="AM39" s="92">
        <f ca="1">IF(AN39&lt;&gt;0,1,0)</f>
        <v>1</v>
      </c>
      <c r="AN39" s="92" t="str">
        <f ca="1">IF(AL39=1,Y39,0)</f>
        <v>Argentina</v>
      </c>
      <c r="AO39" s="92">
        <v>36</v>
      </c>
      <c r="AP39" s="92" t="str">
        <f ca="1">IF(AND(Tournament!J49&lt;&gt;"",Tournament!L49&lt;&gt;""),IF(Tournament!J49&gt;Tournament!L49,Tournament!H49,""),"")</f>
        <v/>
      </c>
      <c r="AQ39" s="92" t="str">
        <f ca="1">IF(AND(Tournament!J49&lt;&gt;"",Tournament!L49&lt;&gt;""),IF(Tournament!J49=Tournament!L49,Tournament!H49,""),"")</f>
        <v/>
      </c>
      <c r="AR39" s="92" t="str">
        <f ca="1">IF(AND(Tournament!J49&lt;&gt;"",Tournament!L49&lt;&gt;""),IF(Tournament!J49&gt;Tournament!L49,Tournament!N49,""),"")</f>
        <v/>
      </c>
      <c r="AS39" s="92">
        <f ca="1">IF(AND(Tournament!J49&lt;&gt;"",Tournament!L49&lt;&gt;""),Tournament!J49,0)</f>
        <v>0</v>
      </c>
      <c r="AT39" s="92" t="str">
        <f ca="1">IF(AND(Tournament!J49&lt;&gt;"",Tournament!L49&lt;&gt;""),IF(Tournament!J49&lt;Tournament!L49,Tournament!N49,""),"")</f>
        <v/>
      </c>
      <c r="AU39" s="92" t="str">
        <f ca="1">IF(AND(Tournament!J49&lt;&gt;"",Tournament!L49&lt;&gt;""),IF(Tournament!J49=Tournament!L49,Tournament!N49,""),"")</f>
        <v/>
      </c>
      <c r="AV39" s="92" t="str">
        <f ca="1">IF(AND(Tournament!J49&lt;&gt;"",Tournament!L49&lt;&gt;""),IF(Tournament!J49&lt;Tournament!L49,Tournament!H49,""),"")</f>
        <v/>
      </c>
      <c r="AW39" s="92">
        <f ca="1">IF(AND(Tournament!J49&lt;&gt;"",Tournament!L49&lt;&gt;""),Tournament!L49,0)</f>
        <v>0</v>
      </c>
      <c r="AX39" s="92">
        <v>1</v>
      </c>
      <c r="AY39" s="92" t="str">
        <f t="shared" ca="1" si="1"/>
        <v/>
      </c>
      <c r="AZ39" s="92" t="str">
        <f t="shared" ca="1" si="2"/>
        <v/>
      </c>
      <c r="BA39" s="92" t="str">
        <f t="shared" ca="1" si="3"/>
        <v/>
      </c>
      <c r="BB39" s="92" t="str">
        <f t="shared" ca="1" si="4"/>
        <v/>
      </c>
      <c r="BC39" s="92" t="str">
        <f t="shared" ca="1" si="5"/>
        <v/>
      </c>
      <c r="BD39" s="92" t="str">
        <f t="shared" ca="1" si="6"/>
        <v/>
      </c>
      <c r="BE39" s="92">
        <v>37</v>
      </c>
      <c r="BF39" s="92" t="str">
        <f>Tournament!H50</f>
        <v>Japan</v>
      </c>
      <c r="BG39" s="92" t="str">
        <f ca="1">IF(AND(Tournament!J50&lt;&gt;"",Tournament!L50&lt;&gt;""),Tournament!J50,"")</f>
        <v/>
      </c>
      <c r="BH39" s="92" t="str">
        <f ca="1">IF(AND(Tournament!L50&lt;&gt;"",Tournament!J50&lt;&gt;""),Tournament!L50,"")</f>
        <v/>
      </c>
      <c r="BI39" s="92" t="str">
        <f>Tournament!N50</f>
        <v>Colombia</v>
      </c>
    </row>
    <row r="40" spans="1:61">
      <c r="A40" s="92">
        <f ca="1">K40+L40+M40+N40</f>
        <v>2</v>
      </c>
      <c r="B40" s="92" t="str">
        <f>Tournament!N24</f>
        <v>Bosnia-Herzegovina</v>
      </c>
      <c r="C40" s="92">
        <f ca="1">SUMIF(AP$4:AP$60,B40,AX$4:AX$60)+SUMIF(AT$4:AT$60,B40,AX$4:AX$60)</f>
        <v>0</v>
      </c>
      <c r="D40" s="92">
        <f ca="1">SUMIF(AQ$4:AQ$60,B40,AX$4:AX$60)+SUMIF(AU$4:AU$60,B40,AX$4:AX$60)</f>
        <v>0</v>
      </c>
      <c r="E40" s="92">
        <f ca="1">SUMIF(AR$4:AR$60,B40,AX$4:AX$60)+SUMIF(AV$4:AV$60,B40,AX$4:AX$60)</f>
        <v>0</v>
      </c>
      <c r="F40" s="92">
        <f ca="1">SUMIF($BF$3:$BF$60,B40,$BG$3:$BG$60)+SUMIF($BI$3:$BI$60,B40,$BH$3:$BH$60)</f>
        <v>0</v>
      </c>
      <c r="G40" s="92">
        <f ca="1">SUMIF($BI$3:$BI$60,B40,$BG$3:$BG$60)+SUMIF($BF$3:$BF$60,B40,$BH$3:$BH$60)</f>
        <v>0</v>
      </c>
      <c r="H40" s="92">
        <f ca="1">F40-G40+100</f>
        <v>100</v>
      </c>
      <c r="I40" s="127">
        <f ca="1">C40*3+D40</f>
        <v>0</v>
      </c>
      <c r="J40" s="92">
        <v>16</v>
      </c>
      <c r="K40" s="92">
        <f ca="1">RANK(I40,I$39:I$42)</f>
        <v>1</v>
      </c>
      <c r="L40" s="92">
        <f ca="1">SUMPRODUCT((I$39:I$42=I40)*(H$39:H$42&gt;H40))</f>
        <v>0</v>
      </c>
      <c r="M40" s="92">
        <f ca="1">SUMPRODUCT((I$39:I$42=I40)*(H$39:H$42=H40)*(F$39:F$42&gt;F40))</f>
        <v>0</v>
      </c>
      <c r="N40" s="92">
        <f ca="1">SUMPRODUCT((I$39:I$42=I40)*(H$39:H$42=H40)*(F$39:F$42=F40)*(J$39:J$42&lt;J40))</f>
        <v>1</v>
      </c>
      <c r="O40" s="92">
        <f ca="1">IF(SUM(AG39:AI42)=0,IF(COUNTIF(AJ39:AJ42,0)&gt;1,2,AJ40+1),IF(AND(X39=1,X40=3,Y39&lt;&gt;0,Y40&lt;&gt;0,Y41=0,Y42=0),2,IF(AND(X39=2,X40=2,Y39&lt;&gt;0,Y40&lt;&gt;0,Y41=0,Y42=0),1,IF(AND(X40=4,AI40=2),3,X40))))</f>
        <v>2</v>
      </c>
      <c r="P40" s="92" t="str">
        <f ca="1">VLOOKUP(2,A$39:B$42,2,FALSE)</f>
        <v>Bosnia-Herzegovina</v>
      </c>
      <c r="Q40" s="92">
        <f ca="1">SUMIF(B$4:B$60,P40,F$4:F$60)</f>
        <v>0</v>
      </c>
      <c r="R40" s="92">
        <f ca="1">SUMIF(B$4:B$60,P40,H$4:H$60)</f>
        <v>100</v>
      </c>
      <c r="S40" s="127">
        <f ca="1">SUMIF($B$4:$B$60,$P40,I$4:I$60)</f>
        <v>0</v>
      </c>
      <c r="T40" s="92">
        <f ca="1">SUMIF($B$4:$B$60,$P40,A$4:A$60)</f>
        <v>2</v>
      </c>
      <c r="U40" s="92">
        <f t="shared" ca="1" si="11"/>
        <v>0</v>
      </c>
      <c r="V40" s="92">
        <f t="shared" ca="1" si="11"/>
        <v>0</v>
      </c>
      <c r="W40" s="92">
        <f ca="1">SUMIF($B$4:$B$60,$P40,J$4:J$60)</f>
        <v>16</v>
      </c>
      <c r="X40" s="92">
        <f ca="1">IF(Y40=0,T40,T40+AG40+AH40+AI40)</f>
        <v>2</v>
      </c>
      <c r="Y40" s="92" t="str">
        <f ca="1">IF(OR(AND(S39=S40,R39=R40,Q39=Q40),AND(S41=S40,R41=R40,Q41=Q40)),P40,0)</f>
        <v>Bosnia-Herzegovina</v>
      </c>
      <c r="Z40" s="92">
        <f ca="1">SUMIF($AY$4:$AY$60,$Y40,$AX$4:$AX$60)+SUMIF($BB$4:$BB$60,$Y40,$AX$4:$AX$60)</f>
        <v>0</v>
      </c>
      <c r="AA40" s="92">
        <f ca="1">SUMIF($AZ$4:$AZ$60,$Y40,$AX$4:$AX$60)+SUMIF($BC$4:$BC$60,$Y40,$AX$4:$AX$60)</f>
        <v>0</v>
      </c>
      <c r="AB40" s="92">
        <f ca="1">SUMIF($BA$4:$BA$60,$Y40,$AX$4:$AX$60)+SUMIF($BD$4:$BD$60,$Y40,$AX$4:$AX$60)</f>
        <v>0</v>
      </c>
      <c r="AC40" s="92">
        <f ca="1">SUMIF(AY$4:AY$60,Y40,AS$4:AS$60)+SUMIF(BB$4:BB$60,Y40,AW$4:AW$60)+SUMIF(AZ$4:AZ$60,Y40,AS$4:AS$60)+SUMIF(BC$4:BC$60,Y40,AW$4:AW$60)</f>
        <v>0</v>
      </c>
      <c r="AD40" s="92">
        <f ca="1">SUMIF(BA$4:BA$60,Y40,AS$4:AS$60)+SUMIF(BD$4:BD$60,Y40,AW$4:AW$60)+SUMIF(AZ$4:AZ$60,Y40,AS$4:AS$60)+SUMIF(BC$4:BC$60,Y40,AW$4:AW$60)</f>
        <v>0</v>
      </c>
      <c r="AE40" s="92">
        <f ca="1">AC40-AD40+100</f>
        <v>100</v>
      </c>
      <c r="AF40" s="127">
        <f ca="1">IF(Y40&lt;&gt;0,Z40*3+AA40,"")</f>
        <v>0</v>
      </c>
      <c r="AG40" s="92">
        <f ca="1">IF(Y40&lt;&gt;0,RANK(AF40,AF$39:AF$42)-1,5)</f>
        <v>0</v>
      </c>
      <c r="AH40" s="92">
        <f ca="1">IF(Y40&lt;&gt;0,SUMPRODUCT((AF$39:AF$42=AF40)*(AE$39:AE$42&gt;AE40)),5)</f>
        <v>0</v>
      </c>
      <c r="AI40" s="92">
        <f ca="1">IF(Y40&lt;&gt;0,SUMPRODUCT((AF$39:AF$42=AF40)*(AE$39:AE$42=AE40)*(AC$39:AC$42&gt;AC40)),5)</f>
        <v>0</v>
      </c>
      <c r="AJ40" s="92">
        <f ca="1">IF(Y40&lt;&gt;0,SUMPRODUCT(($AF39:$AF42=AF40)*($AE39:$AE42=AE40)*($AC39:$AC42=AC40)*($AK39:$AK42&lt;AK40)),5)</f>
        <v>0</v>
      </c>
      <c r="AK40" s="92">
        <f ca="1">IF(AL40=0,0,VLOOKUP(Y40,Tournament!AJ$43:AK$46,2,FALSE))</f>
        <v>0</v>
      </c>
      <c r="AL40" s="92">
        <f ca="1">IF(Y40&lt;&gt;0,IF(OR(SUM(AG40:AI40)=SUM(AG39:AI39),SUM(AG40:AI40)=SUM(AG41:AI41)),1,0),0)</f>
        <v>1</v>
      </c>
      <c r="AM40" s="92">
        <f ca="1">IF(AN40&lt;&gt;0,AM39+1,AM39)</f>
        <v>2</v>
      </c>
      <c r="AN40" s="92" t="str">
        <f ca="1">IF(AL40=1,Y40,0)</f>
        <v>Bosnia-Herzegovina</v>
      </c>
      <c r="AO40" s="92">
        <v>37</v>
      </c>
      <c r="AP40" s="92" t="str">
        <f ca="1">IF(AND(Tournament!J50&lt;&gt;"",Tournament!L50&lt;&gt;""),IF(Tournament!J50&gt;Tournament!L50,Tournament!H50,""),"")</f>
        <v/>
      </c>
      <c r="AQ40" s="92" t="str">
        <f ca="1">IF(AND(Tournament!J50&lt;&gt;"",Tournament!L50&lt;&gt;""),IF(Tournament!J50=Tournament!L50,Tournament!H50,""),"")</f>
        <v/>
      </c>
      <c r="AR40" s="92" t="str">
        <f ca="1">IF(AND(Tournament!J50&lt;&gt;"",Tournament!L50&lt;&gt;""),IF(Tournament!J50&gt;Tournament!L50,Tournament!N50,""),"")</f>
        <v/>
      </c>
      <c r="AS40" s="92">
        <f ca="1">IF(AND(Tournament!J50&lt;&gt;"",Tournament!L50&lt;&gt;""),Tournament!J50,0)</f>
        <v>0</v>
      </c>
      <c r="AT40" s="92" t="str">
        <f ca="1">IF(AND(Tournament!J50&lt;&gt;"",Tournament!L50&lt;&gt;""),IF(Tournament!J50&lt;Tournament!L50,Tournament!N50,""),"")</f>
        <v/>
      </c>
      <c r="AU40" s="92" t="str">
        <f ca="1">IF(AND(Tournament!J50&lt;&gt;"",Tournament!L50&lt;&gt;""),IF(Tournament!J50=Tournament!L50,Tournament!N50,""),"")</f>
        <v/>
      </c>
      <c r="AV40" s="92" t="str">
        <f ca="1">IF(AND(Tournament!J50&lt;&gt;"",Tournament!L50&lt;&gt;""),IF(Tournament!J50&lt;Tournament!L50,Tournament!H50,""),"")</f>
        <v/>
      </c>
      <c r="AW40" s="92">
        <f ca="1">IF(AND(Tournament!J50&lt;&gt;"",Tournament!L50&lt;&gt;""),Tournament!L50,0)</f>
        <v>0</v>
      </c>
      <c r="AX40" s="92">
        <v>1</v>
      </c>
      <c r="AY40" s="92" t="str">
        <f t="shared" ca="1" si="1"/>
        <v/>
      </c>
      <c r="AZ40" s="92" t="str">
        <f t="shared" ca="1" si="2"/>
        <v/>
      </c>
      <c r="BA40" s="92" t="str">
        <f t="shared" ca="1" si="3"/>
        <v/>
      </c>
      <c r="BB40" s="92" t="str">
        <f t="shared" ca="1" si="4"/>
        <v/>
      </c>
      <c r="BC40" s="92" t="str">
        <f t="shared" ca="1" si="5"/>
        <v/>
      </c>
      <c r="BD40" s="92" t="str">
        <f t="shared" ca="1" si="6"/>
        <v/>
      </c>
      <c r="BE40" s="92">
        <v>38</v>
      </c>
      <c r="BF40" s="92" t="str">
        <f>Tournament!H51</f>
        <v>Greece</v>
      </c>
      <c r="BG40" s="92" t="str">
        <f ca="1">IF(AND(Tournament!J51&lt;&gt;"",Tournament!L51&lt;&gt;""),Tournament!J51,"")</f>
        <v/>
      </c>
      <c r="BH40" s="92" t="str">
        <f ca="1">IF(AND(Tournament!L51&lt;&gt;"",Tournament!J51&lt;&gt;""),Tournament!L51,"")</f>
        <v/>
      </c>
      <c r="BI40" s="92" t="str">
        <f>Tournament!N51</f>
        <v>Ivory Coast</v>
      </c>
    </row>
    <row r="41" spans="1:61">
      <c r="A41" s="92">
        <f ca="1">K41+L41+M41+N41</f>
        <v>4</v>
      </c>
      <c r="B41" s="92" t="str">
        <f>Tournament!H25</f>
        <v>Iran</v>
      </c>
      <c r="C41" s="92">
        <f ca="1">SUMIF(AP$4:AP$60,B41,AX$4:AX$60)+SUMIF(AT$4:AT$60,B41,AX$4:AX$60)</f>
        <v>0</v>
      </c>
      <c r="D41" s="92">
        <f ca="1">SUMIF(AQ$4:AQ$60,B41,AX$4:AX$60)+SUMIF(AU$4:AU$60,B41,AX$4:AX$60)</f>
        <v>0</v>
      </c>
      <c r="E41" s="92">
        <f ca="1">SUMIF(AR$4:AR$60,B41,AX$4:AX$60)+SUMIF(AV$4:AV$60,B41,AX$4:AX$60)</f>
        <v>0</v>
      </c>
      <c r="F41" s="92">
        <f ca="1">SUMIF($BF$3:$BF$60,B41,$BG$3:$BG$60)+SUMIF($BI$3:$BI$60,B41,$BH$3:$BH$60)</f>
        <v>0</v>
      </c>
      <c r="G41" s="92">
        <f ca="1">SUMIF($BI$3:$BI$60,B41,$BG$3:$BG$60)+SUMIF($BF$3:$BF$60,B41,$BH$3:$BH$60)</f>
        <v>0</v>
      </c>
      <c r="H41" s="92">
        <f ca="1">F41-G41+100</f>
        <v>100</v>
      </c>
      <c r="I41" s="127">
        <f ca="1">C41*3+D41</f>
        <v>0</v>
      </c>
      <c r="J41" s="92">
        <v>29</v>
      </c>
      <c r="K41" s="92">
        <f ca="1">RANK(I41,I$39:I$42)</f>
        <v>1</v>
      </c>
      <c r="L41" s="92">
        <f ca="1">SUMPRODUCT((I$39:I$42=I41)*(H$39:H$42&gt;H41))</f>
        <v>0</v>
      </c>
      <c r="M41" s="92">
        <f ca="1">SUMPRODUCT((I$39:I$42=I41)*(H$39:H$42=H41)*(F$39:F$42&gt;F41))</f>
        <v>0</v>
      </c>
      <c r="N41" s="92">
        <f ca="1">SUMPRODUCT((I$39:I$42=I41)*(H$39:H$42=H41)*(F$39:F$42=F41)*(J$39:J$42&lt;J41))</f>
        <v>3</v>
      </c>
      <c r="O41" s="92">
        <f ca="1">IF(SUM(AG39:AI42)=0,IF(COUNTIF(AJ39:AJ42,0)&gt;1,3,AJ41+1),IF(AND(X40=3,X41=3,Y39=0,Y40&lt;&gt;0,Y41&lt;&gt;0),2,IF(OR(X41=5,X41=4),3,IF(X41=6,4,IF(AND(X40=4,X39=1,Y41&lt;&gt;""),2,IF(AND(AI41=0,AI40=1,AI39=1,Y41&lt;&gt;""),1,X41))))))</f>
        <v>3</v>
      </c>
      <c r="P41" s="92" t="str">
        <f ca="1">VLOOKUP(3,A$39:B$42,2,FALSE)</f>
        <v>Nigeria</v>
      </c>
      <c r="Q41" s="92">
        <f ca="1">SUMIF(B$4:B$60,P41,F$4:F$60)</f>
        <v>0</v>
      </c>
      <c r="R41" s="92">
        <f ca="1">SUMIF(B$4:B$60,P41,H$4:H$60)</f>
        <v>100</v>
      </c>
      <c r="S41" s="127">
        <f ca="1">SUMIF($B$4:$B$60,$P41,I$4:I$60)</f>
        <v>0</v>
      </c>
      <c r="T41" s="92">
        <f ca="1">SUMIF($B$4:$B$60,$P41,A$4:A$60)</f>
        <v>3</v>
      </c>
      <c r="U41" s="92">
        <f t="shared" ca="1" si="11"/>
        <v>0</v>
      </c>
      <c r="V41" s="92">
        <f t="shared" ca="1" si="11"/>
        <v>0</v>
      </c>
      <c r="W41" s="92">
        <f ca="1">SUMIF($B$4:$B$60,$P41,J$4:J$60)</f>
        <v>26</v>
      </c>
      <c r="X41" s="92">
        <f ca="1">IF(Y41=0,T41,T41+AG41+AH41+AI41)</f>
        <v>3</v>
      </c>
      <c r="Y41" s="92" t="str">
        <f ca="1">IF(OR(AND(S40=S41,R40=R41,Q40=Q41),AND(S42=S41,S41=S40,R42=R41,R41=R40,Q42=Q41,Q41=Q40)),P41,0)</f>
        <v>Nigeria</v>
      </c>
      <c r="Z41" s="92">
        <f ca="1">SUMIF($AY$4:$AY$60,$Y41,$AX$4:$AX$60)+SUMIF($BB$4:$BB$60,$Y41,$AX$4:$AX$60)</f>
        <v>0</v>
      </c>
      <c r="AA41" s="92">
        <f ca="1">SUMIF($AZ$4:$AZ$60,$Y41,$AX$4:$AX$60)+SUMIF($BC$4:$BC$60,$Y41,$AX$4:$AX$60)</f>
        <v>0</v>
      </c>
      <c r="AB41" s="92">
        <f ca="1">SUMIF($BA$4:$BA$60,$Y41,$AX$4:$AX$60)+SUMIF($BD$4:$BD$60,$Y41,$AX$4:$AX$60)</f>
        <v>0</v>
      </c>
      <c r="AC41" s="92">
        <f ca="1">SUMIF(AY$4:AY$60,Y41,AS$4:AS$60)+SUMIF(BB$4:BB$60,Y41,AW$4:AW$60)+SUMIF(AZ$4:AZ$60,Y41,AS$4:AS$60)+SUMIF(BC$4:BC$60,Y41,AW$4:AW$60)</f>
        <v>0</v>
      </c>
      <c r="AD41" s="92">
        <f ca="1">SUMIF(BA$4:BA$60,Y41,AS$4:AS$60)+SUMIF(BD$4:BD$60,Y41,AW$4:AW$60)+SUMIF(AZ$4:AZ$60,Y41,AS$4:AS$60)+SUMIF(BC$4:BC$60,Y41,AW$4:AW$60)</f>
        <v>0</v>
      </c>
      <c r="AE41" s="92">
        <f ca="1">AC41-AD41+100</f>
        <v>100</v>
      </c>
      <c r="AF41" s="127">
        <f ca="1">IF(Y41&lt;&gt;0,Z41*3+AA41,"")</f>
        <v>0</v>
      </c>
      <c r="AG41" s="92">
        <f ca="1">IF(Y41&lt;&gt;0,RANK(AF41,AF$39:AF$42)-1,5)</f>
        <v>0</v>
      </c>
      <c r="AH41" s="92">
        <f ca="1">IF(Y41&lt;&gt;0,SUMPRODUCT((AF$39:AF$42=AF41)*(AE$39:AE$42&gt;AE41)),5)</f>
        <v>0</v>
      </c>
      <c r="AI41" s="92">
        <f ca="1">IF(Y41&lt;&gt;0,SUMPRODUCT((AF$39:AF$42=AF41)*(AE$39:AE$42=AE41)*(AC$39:AC$42&gt;AC41)),5)</f>
        <v>0</v>
      </c>
      <c r="AJ41" s="92">
        <f ca="1">IF(Y41&lt;&gt;0,SUMPRODUCT(($AF39:$AF42=AF41)*($AE39:$AE42=AE41)*($AC39:$AC42=AC41)*($AK39:$AK42&lt;AK41)),5)</f>
        <v>0</v>
      </c>
      <c r="AK41" s="92">
        <f ca="1">IF(AL41=0,0,VLOOKUP(Y41,Tournament!AJ$43:AK$46,2,FALSE))</f>
        <v>0</v>
      </c>
      <c r="AL41" s="92">
        <f ca="1">IF(Y41&lt;&gt;0,IF(OR(SUM(AG41:AI41)=SUM(AG40:AI40),SUM(AG41:AI41)=SUM(AG42:AI42)),1,0),0)</f>
        <v>1</v>
      </c>
      <c r="AM41" s="92">
        <f ca="1">IF(AN41&lt;&gt;0,AM40+1,AM40)</f>
        <v>3</v>
      </c>
      <c r="AN41" s="92" t="str">
        <f ca="1">IF(AL41=1,Y41,0)</f>
        <v>Nigeria</v>
      </c>
      <c r="AO41" s="92">
        <v>38</v>
      </c>
      <c r="AP41" s="92" t="str">
        <f ca="1">IF(AND(Tournament!J51&lt;&gt;"",Tournament!L51&lt;&gt;""),IF(Tournament!J51&gt;Tournament!L51,Tournament!H51,""),"")</f>
        <v/>
      </c>
      <c r="AQ41" s="92" t="str">
        <f ca="1">IF(AND(Tournament!J51&lt;&gt;"",Tournament!L51&lt;&gt;""),IF(Tournament!J51=Tournament!L51,Tournament!H51,""),"")</f>
        <v/>
      </c>
      <c r="AR41" s="92" t="str">
        <f ca="1">IF(AND(Tournament!J51&lt;&gt;"",Tournament!L51&lt;&gt;""),IF(Tournament!J51&gt;Tournament!L51,Tournament!N51,""),"")</f>
        <v/>
      </c>
      <c r="AS41" s="92">
        <f ca="1">IF(AND(Tournament!J51&lt;&gt;"",Tournament!L51&lt;&gt;""),Tournament!J51,0)</f>
        <v>0</v>
      </c>
      <c r="AT41" s="92" t="str">
        <f ca="1">IF(AND(Tournament!J51&lt;&gt;"",Tournament!L51&lt;&gt;""),IF(Tournament!J51&lt;Tournament!L51,Tournament!N51,""),"")</f>
        <v/>
      </c>
      <c r="AU41" s="92" t="str">
        <f ca="1">IF(AND(Tournament!J51&lt;&gt;"",Tournament!L51&lt;&gt;""),IF(Tournament!J51=Tournament!L51,Tournament!N51,""),"")</f>
        <v/>
      </c>
      <c r="AV41" s="92" t="str">
        <f ca="1">IF(AND(Tournament!J51&lt;&gt;"",Tournament!L51&lt;&gt;""),IF(Tournament!J51&lt;Tournament!L51,Tournament!H51,""),"")</f>
        <v/>
      </c>
      <c r="AW41" s="92">
        <f ca="1">IF(AND(Tournament!J51&lt;&gt;"",Tournament!L51&lt;&gt;""),Tournament!L51,0)</f>
        <v>0</v>
      </c>
      <c r="AX41" s="92">
        <v>1</v>
      </c>
      <c r="AY41" s="92" t="str">
        <f t="shared" ca="1" si="1"/>
        <v/>
      </c>
      <c r="AZ41" s="92" t="str">
        <f t="shared" ca="1" si="2"/>
        <v/>
      </c>
      <c r="BA41" s="92" t="str">
        <f t="shared" ca="1" si="3"/>
        <v/>
      </c>
      <c r="BB41" s="92" t="str">
        <f t="shared" ca="1" si="4"/>
        <v/>
      </c>
      <c r="BC41" s="92" t="str">
        <f t="shared" ca="1" si="5"/>
        <v/>
      </c>
      <c r="BD41" s="92" t="str">
        <f t="shared" ca="1" si="6"/>
        <v/>
      </c>
      <c r="BE41" s="92">
        <v>39</v>
      </c>
      <c r="BF41" s="92" t="str">
        <f>Tournament!H52</f>
        <v>Italy</v>
      </c>
      <c r="BG41" s="92" t="str">
        <f ca="1">IF(AND(Tournament!J52&lt;&gt;"",Tournament!L52&lt;&gt;""),Tournament!J52,"")</f>
        <v/>
      </c>
      <c r="BH41" s="92" t="str">
        <f ca="1">IF(AND(Tournament!L52&lt;&gt;"",Tournament!J52&lt;&gt;""),Tournament!L52,"")</f>
        <v/>
      </c>
      <c r="BI41" s="92" t="str">
        <f>Tournament!N52</f>
        <v>Uruguay</v>
      </c>
    </row>
    <row r="42" spans="1:61">
      <c r="A42" s="92">
        <f ca="1">K42+L42+M42+N42</f>
        <v>3</v>
      </c>
      <c r="B42" s="92" t="str">
        <f>Tournament!N25</f>
        <v>Nigeria</v>
      </c>
      <c r="C42" s="92">
        <f ca="1">SUMIF(AP$4:AP$60,B42,AX$4:AX$60)+SUMIF(AT$4:AT$60,B42,AX$4:AX$60)</f>
        <v>0</v>
      </c>
      <c r="D42" s="92">
        <f ca="1">SUMIF(AQ$4:AQ$60,B42,AX$4:AX$60)+SUMIF(AU$4:AU$60,B42,AX$4:AX$60)</f>
        <v>0</v>
      </c>
      <c r="E42" s="92">
        <f ca="1">SUMIF(AR$4:AR$60,B42,AX$4:AX$60)+SUMIF(AV$4:AV$60,B42,AX$4:AX$60)</f>
        <v>0</v>
      </c>
      <c r="F42" s="92">
        <f ca="1">SUMIF($BF$3:$BF$60,B42,$BG$3:$BG$60)+SUMIF($BI$3:$BI$60,B42,$BH$3:$BH$60)</f>
        <v>0</v>
      </c>
      <c r="G42" s="92">
        <f ca="1">SUMIF($BI$3:$BI$60,B42,$BG$3:$BG$60)+SUMIF($BF$3:$BF$60,B42,$BH$3:$BH$60)</f>
        <v>0</v>
      </c>
      <c r="H42" s="92">
        <f ca="1">F42-G42+100</f>
        <v>100</v>
      </c>
      <c r="I42" s="127">
        <f ca="1">C42*3+D42</f>
        <v>0</v>
      </c>
      <c r="J42" s="92">
        <v>26</v>
      </c>
      <c r="K42" s="92">
        <f ca="1">RANK(I42,I$39:I$42)</f>
        <v>1</v>
      </c>
      <c r="L42" s="92">
        <f ca="1">SUMPRODUCT((I$39:I$42=I42)*(H$39:H$42&gt;H42))</f>
        <v>0</v>
      </c>
      <c r="M42" s="92">
        <f ca="1">SUMPRODUCT((I$39:I$42=I42)*(H$39:H$42=H42)*(F$39:F$42&gt;F42))</f>
        <v>0</v>
      </c>
      <c r="N42" s="92">
        <f ca="1">SUMPRODUCT((I$39:I$42=I42)*(H$39:H$42=H42)*(F$39:F$42=F42)*(J$39:J$42&lt;J42))</f>
        <v>2</v>
      </c>
      <c r="O42" s="92">
        <f ca="1">IF(SUM(AG39:AI42)=0,IF(COUNTIF(AJ39:AJ42,0)&gt;1,4,AJ42+1),IF(X42=X41,IF(X42=3,4,X42),IF(X42=5,3,IF(X42=6,4,X42))))</f>
        <v>4</v>
      </c>
      <c r="P42" s="92" t="str">
        <f ca="1">VLOOKUP(4,A$39:B$42,2,FALSE)</f>
        <v>Iran</v>
      </c>
      <c r="Q42" s="92">
        <f ca="1">SUMIF(B$4:B$60,P42,F$4:F$60)</f>
        <v>0</v>
      </c>
      <c r="R42" s="92">
        <f ca="1">SUMIF(B$4:B$60,P42,H$4:H$60)</f>
        <v>100</v>
      </c>
      <c r="S42" s="127">
        <f ca="1">SUMIF($B$4:$B$60,$P42,I$4:I$60)</f>
        <v>0</v>
      </c>
      <c r="T42" s="92">
        <f ca="1">SUMIF($B$4:$B$60,$P42,A$4:A$60)</f>
        <v>4</v>
      </c>
      <c r="U42" s="92">
        <f t="shared" ca="1" si="11"/>
        <v>0</v>
      </c>
      <c r="V42" s="92">
        <f t="shared" ca="1" si="11"/>
        <v>0</v>
      </c>
      <c r="W42" s="92">
        <f ca="1">SUMIF($B$4:$B$60,$P42,J$4:J$60)</f>
        <v>29</v>
      </c>
      <c r="X42" s="92">
        <f ca="1">IF(Y42=0,T42,T42+AG42+AH42+AI42)</f>
        <v>4</v>
      </c>
      <c r="Y42" s="92" t="str">
        <f ca="1">IF(AND(S41=S42,S41=S40,R41=R42,R41=R40,Q41=Q42,Q41=Q40),P42,0)</f>
        <v>Iran</v>
      </c>
      <c r="Z42" s="92">
        <f ca="1">SUMIF($AY$4:$AY$60,$Y42,$AX$4:$AX$60)+SUMIF($BB$4:$BB$60,$Y42,$AX$4:$AX$60)</f>
        <v>0</v>
      </c>
      <c r="AA42" s="92">
        <f ca="1">SUMIF($AZ$4:$AZ$60,$Y42,$AX$4:$AX$60)+SUMIF($BC$4:$BC$60,$Y42,$AX$4:$AX$60)</f>
        <v>0</v>
      </c>
      <c r="AB42" s="92">
        <f ca="1">SUMIF($BA$4:$BA$60,$Y42,$AX$4:$AX$60)+SUMIF($BD$4:$BD$60,$Y42,$AX$4:$AX$60)</f>
        <v>0</v>
      </c>
      <c r="AC42" s="92">
        <f ca="1">SUMIF(AY$4:AY$60,Y42,AS$4:AS$60)+SUMIF(BB$4:BB$60,Y42,AW$4:AW$60)+SUMIF(AZ$4:AZ$60,Y42,AS$4:AS$60)+SUMIF(BC$4:BC$60,Y42,AW$4:AW$60)</f>
        <v>0</v>
      </c>
      <c r="AD42" s="92">
        <f ca="1">SUMIF(BA$4:BA$60,Y42,AS$4:AS$60)+SUMIF(BD$4:BD$60,Y42,AW$4:AW$60)+SUMIF(AZ$4:AZ$60,Y42,AS$4:AS$60)+SUMIF(BC$4:BC$60,Y42,AW$4:AW$60)</f>
        <v>0</v>
      </c>
      <c r="AE42" s="92">
        <f ca="1">AC42-AD42+100</f>
        <v>100</v>
      </c>
      <c r="AF42" s="127">
        <f ca="1">IF(Y42&lt;&gt;0,Z42*3+AA42,"")</f>
        <v>0</v>
      </c>
      <c r="AG42" s="92">
        <f ca="1">IF(Y42&lt;&gt;0,RANK(AF42,AF$39:AF$42)-1,5)</f>
        <v>0</v>
      </c>
      <c r="AH42" s="92">
        <f ca="1">IF(Y42&lt;&gt;0,SUMPRODUCT((AF$39:AF$42=AF42)*(AE$39:AE$42&gt;AE42)),5)</f>
        <v>0</v>
      </c>
      <c r="AI42" s="92">
        <f ca="1">IF(Y42&lt;&gt;0,SUMPRODUCT((AF$39:AF$42=AF42)*(AE$39:AE$42=AE42)*(AC$39:AC$42&gt;AC42)),5)</f>
        <v>0</v>
      </c>
      <c r="AJ42" s="92">
        <f ca="1">IF(Y42&lt;&gt;0,SUMPRODUCT(($AF39:$AF42=AF42)*($AE39:$AE42=AE42)*($AC39:$AC42=AC42)*($AK39:$AK42&lt;AK42)),5)</f>
        <v>0</v>
      </c>
      <c r="AK42" s="92">
        <f ca="1">IF(AL42=0,0,VLOOKUP(Y42,Tournament!AJ$43:AK$46,2,FALSE))</f>
        <v>0</v>
      </c>
      <c r="AL42" s="92">
        <f ca="1">IF(Y42&lt;&gt;0,IF(SUM(AG42:AI42)=SUM(AG41:AI41),1,0),0)</f>
        <v>1</v>
      </c>
      <c r="AM42" s="92">
        <f ca="1">IF(AN42&lt;&gt;0,AM41+1,AM41)</f>
        <v>4</v>
      </c>
      <c r="AN42" s="92" t="str">
        <f ca="1">IF(AL42=1,Y42,0)</f>
        <v>Iran</v>
      </c>
      <c r="AO42" s="92">
        <v>39</v>
      </c>
      <c r="AP42" s="92" t="str">
        <f ca="1">IF(AND(Tournament!J52&lt;&gt;"",Tournament!L52&lt;&gt;""),IF(Tournament!J52&gt;Tournament!L52,Tournament!H52,""),"")</f>
        <v/>
      </c>
      <c r="AQ42" s="92" t="str">
        <f ca="1">IF(AND(Tournament!J52&lt;&gt;"",Tournament!L52&lt;&gt;""),IF(Tournament!J52=Tournament!L52,Tournament!H52,""),"")</f>
        <v/>
      </c>
      <c r="AR42" s="92" t="str">
        <f ca="1">IF(AND(Tournament!J52&lt;&gt;"",Tournament!L52&lt;&gt;""),IF(Tournament!J52&gt;Tournament!L52,Tournament!N52,""),"")</f>
        <v/>
      </c>
      <c r="AS42" s="92">
        <f ca="1">IF(AND(Tournament!J52&lt;&gt;"",Tournament!L52&lt;&gt;""),Tournament!J52,0)</f>
        <v>0</v>
      </c>
      <c r="AT42" s="92" t="str">
        <f ca="1">IF(AND(Tournament!J52&lt;&gt;"",Tournament!L52&lt;&gt;""),IF(Tournament!J52&lt;Tournament!L52,Tournament!N52,""),"")</f>
        <v/>
      </c>
      <c r="AU42" s="92" t="str">
        <f ca="1">IF(AND(Tournament!J52&lt;&gt;"",Tournament!L52&lt;&gt;""),IF(Tournament!J52=Tournament!L52,Tournament!N52,""),"")</f>
        <v/>
      </c>
      <c r="AV42" s="92" t="str">
        <f ca="1">IF(AND(Tournament!J52&lt;&gt;"",Tournament!L52&lt;&gt;""),IF(Tournament!J52&lt;Tournament!L52,Tournament!H52,""),"")</f>
        <v/>
      </c>
      <c r="AW42" s="92">
        <f ca="1">IF(AND(Tournament!J52&lt;&gt;"",Tournament!L52&lt;&gt;""),Tournament!L52,0)</f>
        <v>0</v>
      </c>
      <c r="AX42" s="92">
        <v>1</v>
      </c>
      <c r="AY42" s="92" t="str">
        <f t="shared" ca="1" si="1"/>
        <v/>
      </c>
      <c r="AZ42" s="92" t="str">
        <f t="shared" ca="1" si="2"/>
        <v/>
      </c>
      <c r="BA42" s="92" t="str">
        <f t="shared" ca="1" si="3"/>
        <v/>
      </c>
      <c r="BB42" s="92" t="str">
        <f t="shared" ca="1" si="4"/>
        <v/>
      </c>
      <c r="BC42" s="92" t="str">
        <f t="shared" ca="1" si="5"/>
        <v/>
      </c>
      <c r="BD42" s="92" t="str">
        <f t="shared" ca="1" si="6"/>
        <v/>
      </c>
      <c r="BE42" s="92">
        <v>40</v>
      </c>
      <c r="BF42" s="92" t="str">
        <f>Tournament!H53</f>
        <v>Costa Rica</v>
      </c>
      <c r="BG42" s="92" t="str">
        <f ca="1">IF(AND(Tournament!J53&lt;&gt;"",Tournament!L53&lt;&gt;""),Tournament!J53,"")</f>
        <v/>
      </c>
      <c r="BH42" s="92" t="str">
        <f ca="1">IF(AND(Tournament!L53&lt;&gt;"",Tournament!J53&lt;&gt;""),Tournament!L53,"")</f>
        <v/>
      </c>
      <c r="BI42" s="92" t="str">
        <f>Tournament!N53</f>
        <v>England</v>
      </c>
    </row>
    <row r="43" spans="1:61">
      <c r="AO43" s="92">
        <v>40</v>
      </c>
      <c r="AP43" s="92" t="str">
        <f ca="1">IF(AND(Tournament!J53&lt;&gt;"",Tournament!L53&lt;&gt;""),IF(Tournament!J53&gt;Tournament!L53,Tournament!H53,""),"")</f>
        <v/>
      </c>
      <c r="AQ43" s="92" t="str">
        <f ca="1">IF(AND(Tournament!J53&lt;&gt;"",Tournament!L53&lt;&gt;""),IF(Tournament!J53=Tournament!L53,Tournament!H53,""),"")</f>
        <v/>
      </c>
      <c r="AR43" s="92" t="str">
        <f ca="1">IF(AND(Tournament!J53&lt;&gt;"",Tournament!L53&lt;&gt;""),IF(Tournament!J53&gt;Tournament!L53,Tournament!N53,""),"")</f>
        <v/>
      </c>
      <c r="AS43" s="92">
        <f ca="1">IF(AND(Tournament!J53&lt;&gt;"",Tournament!L53&lt;&gt;""),Tournament!J53,0)</f>
        <v>0</v>
      </c>
      <c r="AT43" s="92" t="str">
        <f ca="1">IF(AND(Tournament!J53&lt;&gt;"",Tournament!L53&lt;&gt;""),IF(Tournament!J53&lt;Tournament!L53,Tournament!N53,""),"")</f>
        <v/>
      </c>
      <c r="AU43" s="92" t="str">
        <f ca="1">IF(AND(Tournament!J53&lt;&gt;"",Tournament!L53&lt;&gt;""),IF(Tournament!J53=Tournament!L53,Tournament!N53,""),"")</f>
        <v/>
      </c>
      <c r="AV43" s="92" t="str">
        <f ca="1">IF(AND(Tournament!J53&lt;&gt;"",Tournament!L53&lt;&gt;""),IF(Tournament!J53&lt;Tournament!L53,Tournament!H53,""),"")</f>
        <v/>
      </c>
      <c r="AW43" s="92">
        <f ca="1">IF(AND(Tournament!J53&lt;&gt;"",Tournament!L53&lt;&gt;""),Tournament!L53,0)</f>
        <v>0</v>
      </c>
      <c r="AX43" s="92">
        <v>1</v>
      </c>
      <c r="AY43" s="92" t="str">
        <f t="shared" ca="1" si="1"/>
        <v/>
      </c>
      <c r="AZ43" s="92" t="str">
        <f t="shared" ca="1" si="2"/>
        <v/>
      </c>
      <c r="BA43" s="92" t="str">
        <f t="shared" ca="1" si="3"/>
        <v/>
      </c>
      <c r="BB43" s="92" t="str">
        <f t="shared" ca="1" si="4"/>
        <v/>
      </c>
      <c r="BC43" s="92" t="str">
        <f t="shared" ca="1" si="5"/>
        <v/>
      </c>
      <c r="BD43" s="92" t="str">
        <f t="shared" ca="1" si="6"/>
        <v/>
      </c>
      <c r="BE43" s="92">
        <v>41</v>
      </c>
      <c r="BF43" s="92" t="str">
        <f>Tournament!H54</f>
        <v>Honduras</v>
      </c>
      <c r="BG43" s="92" t="str">
        <f ca="1">IF(AND(Tournament!J54&lt;&gt;"",Tournament!L54&lt;&gt;""),Tournament!J54,"")</f>
        <v/>
      </c>
      <c r="BH43" s="92" t="str">
        <f ca="1">IF(AND(Tournament!L54&lt;&gt;"",Tournament!J54&lt;&gt;""),Tournament!L54,"")</f>
        <v/>
      </c>
      <c r="BI43" s="92" t="str">
        <f>Tournament!N54</f>
        <v>Switzerland</v>
      </c>
    </row>
    <row r="44" spans="1:61">
      <c r="I44" s="127"/>
      <c r="S44" s="127"/>
      <c r="AF44" s="127"/>
      <c r="AO44" s="92">
        <v>41</v>
      </c>
      <c r="AP44" s="92" t="str">
        <f ca="1">IF(AND(Tournament!J54&lt;&gt;"",Tournament!L54&lt;&gt;""),IF(Tournament!J54&gt;Tournament!L54,Tournament!H54,""),"")</f>
        <v/>
      </c>
      <c r="AQ44" s="92" t="str">
        <f ca="1">IF(AND(Tournament!J54&lt;&gt;"",Tournament!L54&lt;&gt;""),IF(Tournament!J54=Tournament!L54,Tournament!H54,""),"")</f>
        <v/>
      </c>
      <c r="AR44" s="92" t="str">
        <f ca="1">IF(AND(Tournament!J54&lt;&gt;"",Tournament!L54&lt;&gt;""),IF(Tournament!J54&gt;Tournament!L54,Tournament!N54,""),"")</f>
        <v/>
      </c>
      <c r="AS44" s="92">
        <f ca="1">IF(AND(Tournament!J54&lt;&gt;"",Tournament!L54&lt;&gt;""),Tournament!J54,0)</f>
        <v>0</v>
      </c>
      <c r="AT44" s="92" t="str">
        <f ca="1">IF(AND(Tournament!J54&lt;&gt;"",Tournament!L54&lt;&gt;""),IF(Tournament!J54&lt;Tournament!L54,Tournament!N54,""),"")</f>
        <v/>
      </c>
      <c r="AU44" s="92" t="str">
        <f ca="1">IF(AND(Tournament!J54&lt;&gt;"",Tournament!L54&lt;&gt;""),IF(Tournament!J54=Tournament!L54,Tournament!N54,""),"")</f>
        <v/>
      </c>
      <c r="AV44" s="92" t="str">
        <f ca="1">IF(AND(Tournament!J54&lt;&gt;"",Tournament!L54&lt;&gt;""),IF(Tournament!J54&lt;Tournament!L54,Tournament!H54,""),"")</f>
        <v/>
      </c>
      <c r="AW44" s="92">
        <f ca="1">IF(AND(Tournament!J54&lt;&gt;"",Tournament!L54&lt;&gt;""),Tournament!L54,0)</f>
        <v>0</v>
      </c>
      <c r="AX44" s="92">
        <v>1</v>
      </c>
      <c r="AY44" s="92" t="str">
        <f t="shared" ca="1" si="1"/>
        <v/>
      </c>
      <c r="AZ44" s="92" t="str">
        <f t="shared" ca="1" si="2"/>
        <v/>
      </c>
      <c r="BA44" s="92" t="str">
        <f t="shared" ca="1" si="3"/>
        <v/>
      </c>
      <c r="BB44" s="92" t="str">
        <f t="shared" ca="1" si="4"/>
        <v/>
      </c>
      <c r="BC44" s="92" t="str">
        <f t="shared" ca="1" si="5"/>
        <v/>
      </c>
      <c r="BD44" s="92" t="str">
        <f t="shared" ca="1" si="6"/>
        <v/>
      </c>
      <c r="BE44" s="92">
        <v>42</v>
      </c>
      <c r="BF44" s="92" t="str">
        <f>Tournament!H55</f>
        <v>Ecuador</v>
      </c>
      <c r="BG44" s="92" t="str">
        <f ca="1">IF(AND(Tournament!J55&lt;&gt;"",Tournament!L55&lt;&gt;""),Tournament!J55,"")</f>
        <v/>
      </c>
      <c r="BH44" s="92" t="str">
        <f ca="1">IF(AND(Tournament!L55&lt;&gt;"",Tournament!J55&lt;&gt;""),Tournament!L55,"")</f>
        <v/>
      </c>
      <c r="BI44" s="92" t="str">
        <f>Tournament!N55</f>
        <v>France</v>
      </c>
    </row>
    <row r="45" spans="1:61">
      <c r="I45" s="127"/>
      <c r="S45" s="127"/>
      <c r="AF45" s="127"/>
      <c r="AO45" s="92">
        <v>42</v>
      </c>
      <c r="AP45" s="92" t="str">
        <f ca="1">IF(AND(Tournament!J55&lt;&gt;"",Tournament!L55&lt;&gt;""),IF(Tournament!J55&gt;Tournament!L55,Tournament!H55,""),"")</f>
        <v/>
      </c>
      <c r="AQ45" s="92" t="str">
        <f ca="1">IF(AND(Tournament!J55&lt;&gt;"",Tournament!L55&lt;&gt;""),IF(Tournament!J55=Tournament!L55,Tournament!H55,""),"")</f>
        <v/>
      </c>
      <c r="AR45" s="92" t="str">
        <f ca="1">IF(AND(Tournament!J55&lt;&gt;"",Tournament!L55&lt;&gt;""),IF(Tournament!J55&gt;Tournament!L55,Tournament!N55,""),"")</f>
        <v/>
      </c>
      <c r="AS45" s="92">
        <f ca="1">IF(AND(Tournament!J55&lt;&gt;"",Tournament!L55&lt;&gt;""),Tournament!J55,0)</f>
        <v>0</v>
      </c>
      <c r="AT45" s="92" t="str">
        <f ca="1">IF(AND(Tournament!J55&lt;&gt;"",Tournament!L55&lt;&gt;""),IF(Tournament!J55&lt;Tournament!L55,Tournament!N55,""),"")</f>
        <v/>
      </c>
      <c r="AU45" s="92" t="str">
        <f ca="1">IF(AND(Tournament!J55&lt;&gt;"",Tournament!L55&lt;&gt;""),IF(Tournament!J55=Tournament!L55,Tournament!N55,""),"")</f>
        <v/>
      </c>
      <c r="AV45" s="92" t="str">
        <f ca="1">IF(AND(Tournament!J55&lt;&gt;"",Tournament!L55&lt;&gt;""),IF(Tournament!J55&lt;Tournament!L55,Tournament!H55,""),"")</f>
        <v/>
      </c>
      <c r="AW45" s="92">
        <f ca="1">IF(AND(Tournament!J55&lt;&gt;"",Tournament!L55&lt;&gt;""),Tournament!L55,0)</f>
        <v>0</v>
      </c>
      <c r="AX45" s="92">
        <v>1</v>
      </c>
      <c r="AY45" s="92" t="str">
        <f t="shared" ca="1" si="1"/>
        <v/>
      </c>
      <c r="AZ45" s="92" t="str">
        <f t="shared" ca="1" si="2"/>
        <v/>
      </c>
      <c r="BA45" s="92" t="str">
        <f t="shared" ca="1" si="3"/>
        <v/>
      </c>
      <c r="BB45" s="92" t="str">
        <f t="shared" ca="1" si="4"/>
        <v/>
      </c>
      <c r="BC45" s="92" t="str">
        <f t="shared" ca="1" si="5"/>
        <v/>
      </c>
      <c r="BD45" s="92" t="str">
        <f t="shared" ca="1" si="6"/>
        <v/>
      </c>
      <c r="BE45" s="92">
        <v>43</v>
      </c>
      <c r="BF45" s="92" t="str">
        <f>Tournament!H56</f>
        <v>Nigeria</v>
      </c>
      <c r="BG45" s="92" t="str">
        <f ca="1">IF(AND(Tournament!J56&lt;&gt;"",Tournament!L56&lt;&gt;""),Tournament!J56,"")</f>
        <v/>
      </c>
      <c r="BH45" s="92" t="str">
        <f ca="1">IF(AND(Tournament!L56&lt;&gt;"",Tournament!J56&lt;&gt;""),Tournament!L56,"")</f>
        <v/>
      </c>
      <c r="BI45" s="92" t="str">
        <f>Tournament!N56</f>
        <v>Argentina</v>
      </c>
    </row>
    <row r="46" spans="1:61">
      <c r="A46" s="92">
        <f ca="1">K46+L46+M46+N46</f>
        <v>1</v>
      </c>
      <c r="B46" s="92" t="str">
        <f>Tournament!H26</f>
        <v>Germany</v>
      </c>
      <c r="C46" s="92">
        <f ca="1">SUMIF(AP$4:AP$60,B46,AX$4:AX$60)+SUMIF(AT$4:AT$60,B46,AX$4:AX$60)</f>
        <v>0</v>
      </c>
      <c r="D46" s="92">
        <f ca="1">SUMIF(AQ$4:AQ$60,B46,AX$4:AX$60)+SUMIF(AU$4:AU$60,B46,AX$4:AX$60)</f>
        <v>0</v>
      </c>
      <c r="E46" s="92">
        <f ca="1">SUMIF(AR$4:AR$60,B46,AX$4:AX$60)+SUMIF(AV$4:AV$60,B46,AX$4:AX$60)</f>
        <v>0</v>
      </c>
      <c r="F46" s="92">
        <f ca="1">SUMIF($BF$3:$BF$60,B46,$BG$3:$BG$60)+SUMIF($BI$3:$BI$60,B46,$BH$3:$BH$60)</f>
        <v>0</v>
      </c>
      <c r="G46" s="92">
        <f ca="1">SUMIF($BI$3:$BI$60,B46,$BG$3:$BG$60)+SUMIF($BF$3:$BF$60,B46,$BH$3:$BH$60)</f>
        <v>0</v>
      </c>
      <c r="H46" s="92">
        <f ca="1">F46-G46+100</f>
        <v>100</v>
      </c>
      <c r="I46" s="127">
        <f ca="1">C46*3+D46</f>
        <v>0</v>
      </c>
      <c r="J46" s="92">
        <v>2</v>
      </c>
      <c r="K46" s="92">
        <f ca="1">RANK(I46,I$46:I$49)</f>
        <v>1</v>
      </c>
      <c r="L46" s="92">
        <f ca="1">SUMPRODUCT((I$46:I$49=I46)*(H$46:H$49&gt;H46))</f>
        <v>0</v>
      </c>
      <c r="M46" s="92">
        <f ca="1">SUMPRODUCT((I$46:I$49=I46)*(H$46:H$49=H46)*(F$46:F$49&gt;F46))</f>
        <v>0</v>
      </c>
      <c r="N46" s="92">
        <f ca="1">SUMPRODUCT((I$46:I$49=I46)*(H$46:H$49=H46)*(F$46:F$49=F46)*(J$46:J$49&lt;J46))</f>
        <v>0</v>
      </c>
      <c r="O46" s="92">
        <f ca="1">IF(SUM(AG46:AI49)=0,IF(COUNTIF(AJ46:AJ49,0)&gt;1,1,AJ46+1),X46)</f>
        <v>1</v>
      </c>
      <c r="P46" s="92" t="str">
        <f ca="1">VLOOKUP(1,A$46:B$49,2,FALSE)</f>
        <v>Germany</v>
      </c>
      <c r="Q46" s="92">
        <f ca="1">SUMIF(B$4:B$60,P46,F$4:F$60)</f>
        <v>0</v>
      </c>
      <c r="R46" s="92">
        <f ca="1">SUMIF(B$4:B$60,P46,H$4:H$60)</f>
        <v>100</v>
      </c>
      <c r="S46" s="127">
        <f ca="1">SUMIF($B$4:$B$60,$P46,I$4:I$60)</f>
        <v>0</v>
      </c>
      <c r="T46" s="92">
        <f ca="1">SUMIF($B$4:$B$60,$P46,A$4:A$60)</f>
        <v>1</v>
      </c>
      <c r="U46" s="92">
        <f t="shared" ref="U46:V49" ca="1" si="12">SUMIF($B$4:$B$60,$P46,L$4:L$60)</f>
        <v>0</v>
      </c>
      <c r="V46" s="92">
        <f t="shared" ca="1" si="12"/>
        <v>0</v>
      </c>
      <c r="W46" s="92">
        <f ca="1">SUMIF($B$4:$B$60,$P46,J$4:J$60)</f>
        <v>2</v>
      </c>
      <c r="X46" s="92">
        <f ca="1">IF(Y46=0,T46,T46+AG46+AH46+AI46)</f>
        <v>1</v>
      </c>
      <c r="Y46" s="92" t="str">
        <f ca="1">IF(AND(S46=S47,R46=R47,Q46=Q47),P46,0)</f>
        <v>Germany</v>
      </c>
      <c r="Z46" s="92">
        <f ca="1">SUMIF($AY$4:$AY$60,$Y46,$AX$4:$AX$60)+SUMIF($BB$4:$BB$60,$Y46,$AX$4:$AX$60)</f>
        <v>0</v>
      </c>
      <c r="AA46" s="92">
        <f ca="1">SUMIF($AZ$4:$AZ$60,$Y46,$AX$4:$AX$60)+SUMIF($BC$4:$BC$60,$Y46,$AX$4:$AX$60)</f>
        <v>0</v>
      </c>
      <c r="AB46" s="92">
        <f ca="1">SUMIF($BA$4:$BA$60,$Y46,$AX$4:$AX$60)+SUMIF($BD$4:$BD$60,$Y46,$AX$4:$AX$60)</f>
        <v>0</v>
      </c>
      <c r="AC46" s="92">
        <f ca="1">SUMIF(AY$4:AY$60,Y46,AS$4:AS$60)+SUMIF(BB$4:BB$60,Y46,AW$4:AW$60)+SUMIF(AZ$4:AZ$60,Y46,AS$4:AS$60)+SUMIF(BC$4:BC$60,Y46,AW$4:AW$60)</f>
        <v>0</v>
      </c>
      <c r="AD46" s="92">
        <f ca="1">SUMIF(BA$4:BA$60,Y46,AS$4:AS$60)+SUMIF(BD$4:BD$60,Y46,AW$4:AW$60)+SUMIF(AZ$4:AZ$60,Y46,AS$4:AS$60)+SUMIF(BC$4:BC$60,Y46,AW$4:AW$60)</f>
        <v>0</v>
      </c>
      <c r="AE46" s="92">
        <f ca="1">AC46-AD46+100</f>
        <v>100</v>
      </c>
      <c r="AF46" s="127">
        <f ca="1">IF(Y46&lt;&gt;0,Z46*3+AA46,"")</f>
        <v>0</v>
      </c>
      <c r="AG46" s="92">
        <f ca="1">IF(Y46&lt;&gt;0,RANK(AF46,AF$46:AF$49)-1,5)</f>
        <v>0</v>
      </c>
      <c r="AH46" s="92">
        <f ca="1">IF(Y46&lt;&gt;0,SUMPRODUCT((AF$46:AF$49=AF46)*(AE$46:AE$49&gt;AE46)),5)</f>
        <v>0</v>
      </c>
      <c r="AI46" s="92">
        <f ca="1">IF(Y46&lt;&gt;0,SUMPRODUCT((AF$46:AF$49=AF46)*(AE$46:AE$49=AE46)*(AC$46:AC$49&gt;AC46)),5)</f>
        <v>0</v>
      </c>
      <c r="AJ46" s="92">
        <f ca="1">IF(Y46&lt;&gt;0,SUMPRODUCT(($AF46:$AF49=AF46)*($AE46:$AE49=AE46)*($AC46:$AC49=AC46)*($AK46:$AK49&lt;AK46)),5)</f>
        <v>0</v>
      </c>
      <c r="AK46" s="92">
        <f ca="1">IF(AL46=0,0,VLOOKUP(Y46,Tournament!AJ$49:AK$52,2,FALSE))</f>
        <v>0</v>
      </c>
      <c r="AL46" s="92">
        <f ca="1">IF(Y46&lt;&gt;0,IF(SUM(AG46:AI46)=SUM(AG47:AI47),1,0),0)</f>
        <v>1</v>
      </c>
      <c r="AM46" s="92">
        <f ca="1">IF(AN46&lt;&gt;0,1,0)</f>
        <v>1</v>
      </c>
      <c r="AN46" s="92" t="str">
        <f ca="1">IF(AL46=1,Y46,0)</f>
        <v>Germany</v>
      </c>
      <c r="AO46" s="92">
        <v>43</v>
      </c>
      <c r="AP46" s="92" t="str">
        <f ca="1">IF(AND(Tournament!J56&lt;&gt;"",Tournament!L56&lt;&gt;""),IF(Tournament!J56&gt;Tournament!L56,Tournament!H56,""),"")</f>
        <v/>
      </c>
      <c r="AQ46" s="92" t="str">
        <f ca="1">IF(AND(Tournament!J56&lt;&gt;"",Tournament!L56&lt;&gt;""),IF(Tournament!J56=Tournament!L56,Tournament!H56,""),"")</f>
        <v/>
      </c>
      <c r="AR46" s="92" t="str">
        <f ca="1">IF(AND(Tournament!J56&lt;&gt;"",Tournament!L56&lt;&gt;""),IF(Tournament!J56&gt;Tournament!L56,Tournament!N56,""),"")</f>
        <v/>
      </c>
      <c r="AS46" s="92">
        <f ca="1">IF(AND(Tournament!J56&lt;&gt;"",Tournament!L56&lt;&gt;""),Tournament!J56,0)</f>
        <v>0</v>
      </c>
      <c r="AT46" s="92" t="str">
        <f ca="1">IF(AND(Tournament!J56&lt;&gt;"",Tournament!L56&lt;&gt;""),IF(Tournament!J56&lt;Tournament!L56,Tournament!N56,""),"")</f>
        <v/>
      </c>
      <c r="AU46" s="92" t="str">
        <f ca="1">IF(AND(Tournament!J56&lt;&gt;"",Tournament!L56&lt;&gt;""),IF(Tournament!J56=Tournament!L56,Tournament!N56,""),"")</f>
        <v/>
      </c>
      <c r="AV46" s="92" t="str">
        <f ca="1">IF(AND(Tournament!J56&lt;&gt;"",Tournament!L56&lt;&gt;""),IF(Tournament!J56&lt;Tournament!L56,Tournament!H56,""),"")</f>
        <v/>
      </c>
      <c r="AW46" s="92">
        <f ca="1">IF(AND(Tournament!J56&lt;&gt;"",Tournament!L56&lt;&gt;""),Tournament!L56,0)</f>
        <v>0</v>
      </c>
      <c r="AX46" s="92">
        <v>1</v>
      </c>
      <c r="AY46" s="92" t="str">
        <f t="shared" ca="1" si="1"/>
        <v/>
      </c>
      <c r="AZ46" s="92" t="str">
        <f t="shared" ca="1" si="2"/>
        <v/>
      </c>
      <c r="BA46" s="92" t="str">
        <f t="shared" ca="1" si="3"/>
        <v/>
      </c>
      <c r="BB46" s="92" t="str">
        <f t="shared" ca="1" si="4"/>
        <v/>
      </c>
      <c r="BC46" s="92" t="str">
        <f t="shared" ca="1" si="5"/>
        <v/>
      </c>
      <c r="BD46" s="92" t="str">
        <f t="shared" ca="1" si="6"/>
        <v/>
      </c>
      <c r="BE46" s="92">
        <v>44</v>
      </c>
      <c r="BF46" s="92" t="str">
        <f>Tournament!H57</f>
        <v>Bosnia-Herzegovina</v>
      </c>
      <c r="BG46" s="92" t="str">
        <f ca="1">IF(AND(Tournament!J57&lt;&gt;"",Tournament!L57&lt;&gt;""),Tournament!J57,"")</f>
        <v/>
      </c>
      <c r="BH46" s="92" t="str">
        <f ca="1">IF(AND(Tournament!L57&lt;&gt;"",Tournament!J57&lt;&gt;""),Tournament!L57,"")</f>
        <v/>
      </c>
      <c r="BI46" s="92" t="str">
        <f>Tournament!N57</f>
        <v>Iran</v>
      </c>
    </row>
    <row r="47" spans="1:61">
      <c r="A47" s="92">
        <f ca="1">K47+L47+M47+N47</f>
        <v>3</v>
      </c>
      <c r="B47" s="92" t="str">
        <f>Tournament!N26</f>
        <v>Portugal</v>
      </c>
      <c r="C47" s="92">
        <f ca="1">SUMIF(AP$4:AP$60,B47,AX$4:AX$60)+SUMIF(AT$4:AT$60,B47,AX$4:AX$60)</f>
        <v>0</v>
      </c>
      <c r="D47" s="92">
        <f ca="1">SUMIF(AQ$4:AQ$60,B47,AX$4:AX$60)+SUMIF(AU$4:AU$60,B47,AX$4:AX$60)</f>
        <v>0</v>
      </c>
      <c r="E47" s="92">
        <f ca="1">SUMIF(AR$4:AR$60,B47,AX$4:AX$60)+SUMIF(AV$4:AV$60,B47,AX$4:AX$60)</f>
        <v>0</v>
      </c>
      <c r="F47" s="92">
        <f ca="1">SUMIF($BF$3:$BF$60,B47,$BG$3:$BG$60)+SUMIF($BI$3:$BI$60,B47,$BH$3:$BH$60)</f>
        <v>0</v>
      </c>
      <c r="G47" s="92">
        <f ca="1">SUMIF($BI$3:$BI$60,B47,$BG$3:$BG$60)+SUMIF($BF$3:$BF$60,B47,$BH$3:$BH$60)</f>
        <v>0</v>
      </c>
      <c r="H47" s="92">
        <f ca="1">F47-G47+100</f>
        <v>100</v>
      </c>
      <c r="I47" s="127">
        <f ca="1">C47*3+D47</f>
        <v>0</v>
      </c>
      <c r="J47" s="92">
        <v>14</v>
      </c>
      <c r="K47" s="92">
        <f ca="1">RANK(I47,I$46:I$49)</f>
        <v>1</v>
      </c>
      <c r="L47" s="92">
        <f ca="1">SUMPRODUCT((I$46:I$49=I47)*(H$46:H$49&gt;H47))</f>
        <v>0</v>
      </c>
      <c r="M47" s="92">
        <f ca="1">SUMPRODUCT((I$46:I$49=I47)*(H$46:H$49=H47)*(F$46:F$49&gt;F47))</f>
        <v>0</v>
      </c>
      <c r="N47" s="92">
        <f ca="1">SUMPRODUCT((I$46:I$49=I47)*(H$46:H$49=H47)*(F$46:F$49=F47)*(J$46:J$49&lt;J47))</f>
        <v>2</v>
      </c>
      <c r="O47" s="92">
        <f ca="1">IF(SUM(AG46:AI49)=0,IF(COUNTIF(AJ46:AJ49,0)&gt;1,2,AJ47+1),IF(AND(X46=1,X47=3,Y46&lt;&gt;0,Y47&lt;&gt;0,Y48=0,Y49=0),2,IF(AND(X46=2,X47=2,Y46&lt;&gt;0,Y47&lt;&gt;0,Y48=0,Y49=0),1,IF(AND(X47=4,AI47=2),3,X47))))</f>
        <v>2</v>
      </c>
      <c r="P47" s="92" t="str">
        <f ca="1">VLOOKUP(2,A$46:B$49,2,FALSE)</f>
        <v>USA</v>
      </c>
      <c r="Q47" s="92">
        <f ca="1">SUMIF(B$4:B$60,P47,F$4:F$60)</f>
        <v>0</v>
      </c>
      <c r="R47" s="92">
        <f ca="1">SUMIF(B$4:B$60,P47,H$4:H$60)</f>
        <v>100</v>
      </c>
      <c r="S47" s="127">
        <f ca="1">SUMIF($B$4:$B$60,$P47,I$4:I$60)</f>
        <v>0</v>
      </c>
      <c r="T47" s="92">
        <f ca="1">SUMIF($B$4:$B$60,$P47,A$4:A$60)</f>
        <v>2</v>
      </c>
      <c r="U47" s="92">
        <f t="shared" ca="1" si="12"/>
        <v>0</v>
      </c>
      <c r="V47" s="92">
        <f t="shared" ca="1" si="12"/>
        <v>0</v>
      </c>
      <c r="W47" s="92">
        <f ca="1">SUMIF($B$4:$B$60,$P47,J$4:J$60)</f>
        <v>13</v>
      </c>
      <c r="X47" s="92">
        <f ca="1">IF(Y47=0,T47,T47+AG47+AH47+AI47)</f>
        <v>2</v>
      </c>
      <c r="Y47" s="92" t="str">
        <f ca="1">IF(OR(AND(S46=S47,R46=R47,Q46=Q47),AND(S48=S47,R48=R47,Q48=Q47)),P47,0)</f>
        <v>USA</v>
      </c>
      <c r="Z47" s="92">
        <f ca="1">SUMIF($AY$4:$AY$60,$Y47,$AX$4:$AX$60)+SUMIF($BB$4:$BB$60,$Y47,$AX$4:$AX$60)</f>
        <v>0</v>
      </c>
      <c r="AA47" s="92">
        <f ca="1">SUMIF($AZ$4:$AZ$60,$Y47,$AX$4:$AX$60)+SUMIF($BC$4:$BC$60,$Y47,$AX$4:$AX$60)</f>
        <v>0</v>
      </c>
      <c r="AB47" s="92">
        <f ca="1">SUMIF($BA$4:$BA$60,$Y47,$AX$4:$AX$60)+SUMIF($BD$4:$BD$60,$Y47,$AX$4:$AX$60)</f>
        <v>0</v>
      </c>
      <c r="AC47" s="92">
        <f ca="1">SUMIF(AY$4:AY$60,Y47,AS$4:AS$60)+SUMIF(BB$4:BB$60,Y47,AW$4:AW$60)+SUMIF(AZ$4:AZ$60,Y47,AS$4:AS$60)+SUMIF(BC$4:BC$60,Y47,AW$4:AW$60)</f>
        <v>0</v>
      </c>
      <c r="AD47" s="92">
        <f ca="1">SUMIF(BA$4:BA$60,Y47,AS$4:AS$60)+SUMIF(BD$4:BD$60,Y47,AW$4:AW$60)+SUMIF(AZ$4:AZ$60,Y47,AS$4:AS$60)+SUMIF(BC$4:BC$60,Y47,AW$4:AW$60)</f>
        <v>0</v>
      </c>
      <c r="AE47" s="92">
        <f ca="1">AC47-AD47+100</f>
        <v>100</v>
      </c>
      <c r="AF47" s="127">
        <f ca="1">IF(Y47&lt;&gt;0,Z47*3+AA47,"")</f>
        <v>0</v>
      </c>
      <c r="AG47" s="92">
        <f ca="1">IF(Y47&lt;&gt;0,RANK(AF47,AF$46:AF$49)-1,5)</f>
        <v>0</v>
      </c>
      <c r="AH47" s="92">
        <f ca="1">IF(Y47&lt;&gt;0,SUMPRODUCT((AF$46:AF$49=AF47)*(AE$46:AE$49&gt;AE47)),5)</f>
        <v>0</v>
      </c>
      <c r="AI47" s="92">
        <f ca="1">IF(Y47&lt;&gt;0,SUMPRODUCT((AF$46:AF$49=AF47)*(AE$46:AE$49=AE47)*(AC$46:AC$49&gt;AC47)),5)</f>
        <v>0</v>
      </c>
      <c r="AJ47" s="92">
        <f ca="1">IF(Y47&lt;&gt;0,SUMPRODUCT(($AF46:$AF49=AF47)*($AE46:$AE49=AE47)*($AC46:$AC49=AC47)*($AK46:$AK49&lt;AK47)),5)</f>
        <v>0</v>
      </c>
      <c r="AK47" s="92">
        <f ca="1">IF(AL47=0,0,VLOOKUP(Y47,Tournament!AJ$49:AK$52,2,FALSE))</f>
        <v>0</v>
      </c>
      <c r="AL47" s="92">
        <f ca="1">IF(Y47&lt;&gt;0,IF(OR(SUM(AG47:AI47)=SUM(AG46:AI46),SUM(AG47:AI47)=SUM(AG48:AI48)),1,0),0)</f>
        <v>1</v>
      </c>
      <c r="AM47" s="92">
        <f ca="1">IF(AN47&lt;&gt;0,AM46+1,AM46)</f>
        <v>2</v>
      </c>
      <c r="AN47" s="92" t="str">
        <f ca="1">IF(AL47=1,Y47,0)</f>
        <v>USA</v>
      </c>
      <c r="AO47" s="92">
        <v>44</v>
      </c>
      <c r="AP47" s="92" t="str">
        <f ca="1">IF(AND(Tournament!J57&lt;&gt;"",Tournament!L57&lt;&gt;""),IF(Tournament!J57&gt;Tournament!L57,Tournament!H57,""),"")</f>
        <v/>
      </c>
      <c r="AQ47" s="92" t="str">
        <f ca="1">IF(AND(Tournament!J57&lt;&gt;"",Tournament!L57&lt;&gt;""),IF(Tournament!J57=Tournament!L57,Tournament!H57,""),"")</f>
        <v/>
      </c>
      <c r="AR47" s="92" t="str">
        <f ca="1">IF(AND(Tournament!J57&lt;&gt;"",Tournament!L57&lt;&gt;""),IF(Tournament!J57&gt;Tournament!L57,Tournament!N57,""),"")</f>
        <v/>
      </c>
      <c r="AS47" s="92">
        <f ca="1">IF(AND(Tournament!J57&lt;&gt;"",Tournament!L57&lt;&gt;""),Tournament!J57,0)</f>
        <v>0</v>
      </c>
      <c r="AT47" s="92" t="str">
        <f ca="1">IF(AND(Tournament!J57&lt;&gt;"",Tournament!L57&lt;&gt;""),IF(Tournament!J57&lt;Tournament!L57,Tournament!N57,""),"")</f>
        <v/>
      </c>
      <c r="AU47" s="92" t="str">
        <f ca="1">IF(AND(Tournament!J57&lt;&gt;"",Tournament!L57&lt;&gt;""),IF(Tournament!J57=Tournament!L57,Tournament!N57,""),"")</f>
        <v/>
      </c>
      <c r="AV47" s="92" t="str">
        <f ca="1">IF(AND(Tournament!J57&lt;&gt;"",Tournament!L57&lt;&gt;""),IF(Tournament!J57&lt;Tournament!L57,Tournament!H57,""),"")</f>
        <v/>
      </c>
      <c r="AW47" s="92">
        <f ca="1">IF(AND(Tournament!J57&lt;&gt;"",Tournament!L57&lt;&gt;""),Tournament!L57,0)</f>
        <v>0</v>
      </c>
      <c r="AX47" s="92">
        <v>1</v>
      </c>
      <c r="AY47" s="92" t="str">
        <f t="shared" ca="1" si="1"/>
        <v/>
      </c>
      <c r="AZ47" s="92" t="str">
        <f t="shared" ca="1" si="2"/>
        <v/>
      </c>
      <c r="BA47" s="92" t="str">
        <f t="shared" ca="1" si="3"/>
        <v/>
      </c>
      <c r="BB47" s="92" t="str">
        <f t="shared" ca="1" si="4"/>
        <v/>
      </c>
      <c r="BC47" s="92" t="str">
        <f t="shared" ca="1" si="5"/>
        <v/>
      </c>
      <c r="BD47" s="92" t="str">
        <f t="shared" ca="1" si="6"/>
        <v/>
      </c>
      <c r="BE47" s="92">
        <v>45</v>
      </c>
      <c r="BF47" s="92" t="str">
        <f>Tournament!H58</f>
        <v>USA</v>
      </c>
      <c r="BG47" s="92" t="str">
        <f ca="1">IF(AND(Tournament!J58&lt;&gt;"",Tournament!L58&lt;&gt;""),Tournament!J58,"")</f>
        <v/>
      </c>
      <c r="BH47" s="92" t="str">
        <f ca="1">IF(AND(Tournament!L58&lt;&gt;"",Tournament!J58&lt;&gt;""),Tournament!L58,"")</f>
        <v/>
      </c>
      <c r="BI47" s="92" t="str">
        <f>Tournament!N58</f>
        <v>Germany</v>
      </c>
    </row>
    <row r="48" spans="1:61">
      <c r="A48" s="92">
        <f ca="1">K48+L48+M48+N48</f>
        <v>4</v>
      </c>
      <c r="B48" s="92" t="str">
        <f>Tournament!H27</f>
        <v>Ghana</v>
      </c>
      <c r="C48" s="92">
        <f ca="1">SUMIF(AP$4:AP$60,B48,AX$4:AX$60)+SUMIF(AT$4:AT$60,B48,AX$4:AX$60)</f>
        <v>0</v>
      </c>
      <c r="D48" s="92">
        <f ca="1">SUMIF(AQ$4:AQ$60,B48,AX$4:AX$60)+SUMIF(AU$4:AU$60,B48,AX$4:AX$60)</f>
        <v>0</v>
      </c>
      <c r="E48" s="92">
        <f ca="1">SUMIF(AR$4:AR$60,B48,AX$4:AX$60)+SUMIF(AV$4:AV$60,B48,AX$4:AX$60)</f>
        <v>0</v>
      </c>
      <c r="F48" s="92">
        <f ca="1">SUMIF($BF$3:$BF$60,B48,$BG$3:$BG$60)+SUMIF($BI$3:$BI$60,B48,$BH$3:$BH$60)</f>
        <v>0</v>
      </c>
      <c r="G48" s="92">
        <f ca="1">SUMIF($BI$3:$BI$60,B48,$BG$3:$BG$60)+SUMIF($BF$3:$BF$60,B48,$BH$3:$BH$60)</f>
        <v>0</v>
      </c>
      <c r="H48" s="92">
        <f ca="1">F48-G48+100</f>
        <v>100</v>
      </c>
      <c r="I48" s="127">
        <f ca="1">C48*3+D48</f>
        <v>0</v>
      </c>
      <c r="J48" s="92">
        <v>22</v>
      </c>
      <c r="K48" s="92">
        <f ca="1">RANK(I48,I$46:I$49)</f>
        <v>1</v>
      </c>
      <c r="L48" s="92">
        <f ca="1">SUMPRODUCT((I$46:I$49=I48)*(H$46:H$49&gt;H48))</f>
        <v>0</v>
      </c>
      <c r="M48" s="92">
        <f ca="1">SUMPRODUCT((I$46:I$49=I48)*(H$46:H$49=H48)*(F$46:F$49&gt;F48))</f>
        <v>0</v>
      </c>
      <c r="N48" s="92">
        <f ca="1">SUMPRODUCT((I$46:I$49=I48)*(H$46:H$49=H48)*(F$46:F$49=F48)*(J$46:J$49&lt;J48))</f>
        <v>3</v>
      </c>
      <c r="O48" s="92">
        <f ca="1">IF(SUM(AG46:AI49)=0,IF(COUNTIF(AJ46:AJ49,0)&gt;1,3,AJ48+1),IF(AND(X47=3,X48=3,Y46=0,Y47&lt;&gt;0,Y48&lt;&gt;0),2,IF(OR(X48=5,X48=4),3,IF(X48=6,4,IF(AND(X47=4,X46=1,Y48&lt;&gt;""),2,IF(AND(AI48=0,AI47=1,AI46=1,Y48&lt;&gt;""),1,X48))))))</f>
        <v>3</v>
      </c>
      <c r="P48" s="92" t="str">
        <f ca="1">VLOOKUP(3,A$46:B$49,2,FALSE)</f>
        <v>Portugal</v>
      </c>
      <c r="Q48" s="92">
        <f ca="1">SUMIF(B$4:B$60,P48,F$4:F$60)</f>
        <v>0</v>
      </c>
      <c r="R48" s="92">
        <f ca="1">SUMIF(B$4:B$60,P48,H$4:H$60)</f>
        <v>100</v>
      </c>
      <c r="S48" s="127">
        <f ca="1">SUMIF($B$4:$B$60,$P48,I$4:I$60)</f>
        <v>0</v>
      </c>
      <c r="T48" s="92">
        <f ca="1">SUMIF($B$4:$B$60,$P48,A$4:A$60)</f>
        <v>3</v>
      </c>
      <c r="U48" s="92">
        <f t="shared" ca="1" si="12"/>
        <v>0</v>
      </c>
      <c r="V48" s="92">
        <f t="shared" ca="1" si="12"/>
        <v>0</v>
      </c>
      <c r="W48" s="92">
        <f ca="1">SUMIF($B$4:$B$60,$P48,J$4:J$60)</f>
        <v>14</v>
      </c>
      <c r="X48" s="92">
        <f ca="1">IF(Y48=0,T48,T48+AG48+AH48+AI48)</f>
        <v>3</v>
      </c>
      <c r="Y48" s="92" t="str">
        <f ca="1">IF(OR(AND(S47=S48,R47=R48,Q47=Q48),AND(S49=S48,S48=S47,R49=R48,R48=R47,Q49=Q48,Q48=Q47)),P48,0)</f>
        <v>Portugal</v>
      </c>
      <c r="Z48" s="92">
        <f ca="1">SUMIF($AY$4:$AY$60,$Y48,$AX$4:$AX$60)+SUMIF($BB$4:$BB$60,$Y48,$AX$4:$AX$60)</f>
        <v>0</v>
      </c>
      <c r="AA48" s="92">
        <f ca="1">SUMIF($AZ$4:$AZ$60,$Y48,$AX$4:$AX$60)+SUMIF($BC$4:$BC$60,$Y48,$AX$4:$AX$60)</f>
        <v>0</v>
      </c>
      <c r="AB48" s="92">
        <f ca="1">SUMIF($BA$4:$BA$60,$Y48,$AX$4:$AX$60)+SUMIF($BD$4:$BD$60,$Y48,$AX$4:$AX$60)</f>
        <v>0</v>
      </c>
      <c r="AC48" s="92">
        <f ca="1">SUMIF(AY$4:AY$60,Y48,AS$4:AS$60)+SUMIF(BB$4:BB$60,Y48,AW$4:AW$60)+SUMIF(AZ$4:AZ$60,Y48,AS$4:AS$60)+SUMIF(BC$4:BC$60,Y48,AW$4:AW$60)</f>
        <v>0</v>
      </c>
      <c r="AD48" s="92">
        <f ca="1">SUMIF(BA$4:BA$60,Y48,AS$4:AS$60)+SUMIF(BD$4:BD$60,Y48,AW$4:AW$60)+SUMIF(AZ$4:AZ$60,Y48,AS$4:AS$60)+SUMIF(BC$4:BC$60,Y48,AW$4:AW$60)</f>
        <v>0</v>
      </c>
      <c r="AE48" s="92">
        <f ca="1">AC48-AD48+100</f>
        <v>100</v>
      </c>
      <c r="AF48" s="127">
        <f ca="1">IF(Y48&lt;&gt;0,Z48*3+AA48,"")</f>
        <v>0</v>
      </c>
      <c r="AG48" s="92">
        <f ca="1">IF(Y48&lt;&gt;0,RANK(AF48,AF$46:AF$49)-1,5)</f>
        <v>0</v>
      </c>
      <c r="AH48" s="92">
        <f ca="1">IF(Y48&lt;&gt;0,SUMPRODUCT((AF$46:AF$49=AF48)*(AE$46:AE$49&gt;AE48)),5)</f>
        <v>0</v>
      </c>
      <c r="AI48" s="92">
        <f ca="1">IF(Y48&lt;&gt;0,SUMPRODUCT((AF$46:AF$49=AF48)*(AE$46:AE$49=AE48)*(AC$46:AC$49&gt;AC48)),5)</f>
        <v>0</v>
      </c>
      <c r="AJ48" s="92">
        <f ca="1">IF(Y48&lt;&gt;0,SUMPRODUCT(($AF46:$AF49=AF48)*($AE46:$AE49=AE48)*($AC46:$AC49=AC48)*($AK46:$AK49&lt;AK48)),5)</f>
        <v>0</v>
      </c>
      <c r="AK48" s="92">
        <f ca="1">IF(AL48=0,0,VLOOKUP(Y48,Tournament!AJ$49:AK$52,2,FALSE))</f>
        <v>0</v>
      </c>
      <c r="AL48" s="92">
        <f ca="1">IF(Y48&lt;&gt;0,IF(OR(SUM(AG48:AI48)=SUM(AG47:AI47),SUM(AG48:AI48)=SUM(AG49:AI49)),1,0),0)</f>
        <v>1</v>
      </c>
      <c r="AM48" s="92">
        <f ca="1">IF(AN48&lt;&gt;0,AM47+1,AM47)</f>
        <v>3</v>
      </c>
      <c r="AN48" s="92" t="str">
        <f ca="1">IF(AL48=1,Y48,0)</f>
        <v>Portugal</v>
      </c>
      <c r="AO48" s="92">
        <v>45</v>
      </c>
      <c r="AP48" s="92" t="str">
        <f ca="1">IF(AND(Tournament!J58&lt;&gt;"",Tournament!L58&lt;&gt;""),IF(Tournament!J58&gt;Tournament!L58,Tournament!H58,""),"")</f>
        <v/>
      </c>
      <c r="AQ48" s="92" t="str">
        <f ca="1">IF(AND(Tournament!J58&lt;&gt;"",Tournament!L58&lt;&gt;""),IF(Tournament!J58=Tournament!L58,Tournament!H58,""),"")</f>
        <v/>
      </c>
      <c r="AR48" s="92" t="str">
        <f ca="1">IF(AND(Tournament!J58&lt;&gt;"",Tournament!L58&lt;&gt;""),IF(Tournament!J58&gt;Tournament!L58,Tournament!N58,""),"")</f>
        <v/>
      </c>
      <c r="AS48" s="92">
        <f ca="1">IF(AND(Tournament!J58&lt;&gt;"",Tournament!L58&lt;&gt;""),Tournament!J58,0)</f>
        <v>0</v>
      </c>
      <c r="AT48" s="92" t="str">
        <f ca="1">IF(AND(Tournament!J58&lt;&gt;"",Tournament!L58&lt;&gt;""),IF(Tournament!J58&lt;Tournament!L58,Tournament!N58,""),"")</f>
        <v/>
      </c>
      <c r="AU48" s="92" t="str">
        <f ca="1">IF(AND(Tournament!J58&lt;&gt;"",Tournament!L58&lt;&gt;""),IF(Tournament!J58=Tournament!L58,Tournament!N58,""),"")</f>
        <v/>
      </c>
      <c r="AV48" s="92" t="str">
        <f ca="1">IF(AND(Tournament!J58&lt;&gt;"",Tournament!L58&lt;&gt;""),IF(Tournament!J58&lt;Tournament!L58,Tournament!H58,""),"")</f>
        <v/>
      </c>
      <c r="AW48" s="92">
        <f ca="1">IF(AND(Tournament!J58&lt;&gt;"",Tournament!L58&lt;&gt;""),Tournament!L58,0)</f>
        <v>0</v>
      </c>
      <c r="AX48" s="92">
        <v>1</v>
      </c>
      <c r="AY48" s="92" t="str">
        <f t="shared" ca="1" si="1"/>
        <v/>
      </c>
      <c r="AZ48" s="92" t="str">
        <f t="shared" ca="1" si="2"/>
        <v/>
      </c>
      <c r="BA48" s="92" t="str">
        <f t="shared" ca="1" si="3"/>
        <v/>
      </c>
      <c r="BB48" s="92" t="str">
        <f t="shared" ca="1" si="4"/>
        <v/>
      </c>
      <c r="BC48" s="92" t="str">
        <f t="shared" ca="1" si="5"/>
        <v/>
      </c>
      <c r="BD48" s="92" t="str">
        <f t="shared" ca="1" si="6"/>
        <v/>
      </c>
      <c r="BE48" s="92">
        <v>46</v>
      </c>
      <c r="BF48" s="92" t="str">
        <f>Tournament!H59</f>
        <v>Portugal</v>
      </c>
      <c r="BG48" s="92" t="str">
        <f ca="1">IF(AND(Tournament!J59&lt;&gt;"",Tournament!L59&lt;&gt;""),Tournament!J59,"")</f>
        <v/>
      </c>
      <c r="BH48" s="92" t="str">
        <f ca="1">IF(AND(Tournament!L59&lt;&gt;"",Tournament!J59&lt;&gt;""),Tournament!L59,"")</f>
        <v/>
      </c>
      <c r="BI48" s="92" t="str">
        <f>Tournament!N59</f>
        <v>Ghana</v>
      </c>
    </row>
    <row r="49" spans="1:61">
      <c r="A49" s="92">
        <f ca="1">K49+L49+M49+N49</f>
        <v>2</v>
      </c>
      <c r="B49" s="92" t="str">
        <f>Tournament!N27</f>
        <v>USA</v>
      </c>
      <c r="C49" s="92">
        <f ca="1">SUMIF(AP$4:AP$60,B49,AX$4:AX$60)+SUMIF(AT$4:AT$60,B49,AX$4:AX$60)</f>
        <v>0</v>
      </c>
      <c r="D49" s="92">
        <f ca="1">SUMIF(AQ$4:AQ$60,B49,AX$4:AX$60)+SUMIF(AU$4:AU$60,B49,AX$4:AX$60)</f>
        <v>0</v>
      </c>
      <c r="E49" s="92">
        <f ca="1">SUMIF(AR$4:AR$60,B49,AX$4:AX$60)+SUMIF(AV$4:AV$60,B49,AX$4:AX$60)</f>
        <v>0</v>
      </c>
      <c r="F49" s="92">
        <f ca="1">SUMIF($BF$3:$BF$60,B49,$BG$3:$BG$60)+SUMIF($BI$3:$BI$60,B49,$BH$3:$BH$60)</f>
        <v>0</v>
      </c>
      <c r="G49" s="92">
        <f ca="1">SUMIF($BI$3:$BI$60,B49,$BG$3:$BG$60)+SUMIF($BF$3:$BF$60,B49,$BH$3:$BH$60)</f>
        <v>0</v>
      </c>
      <c r="H49" s="92">
        <f ca="1">F49-G49+100</f>
        <v>100</v>
      </c>
      <c r="I49" s="127">
        <f ca="1">C49*3+D49</f>
        <v>0</v>
      </c>
      <c r="J49" s="92">
        <v>13</v>
      </c>
      <c r="K49" s="92">
        <f ca="1">RANK(I49,I$46:I$49)</f>
        <v>1</v>
      </c>
      <c r="L49" s="92">
        <f ca="1">SUMPRODUCT((I$46:I$49=I49)*(H$46:H$49&gt;H49))</f>
        <v>0</v>
      </c>
      <c r="M49" s="92">
        <f ca="1">SUMPRODUCT((I$46:I$49=I49)*(H$46:H$49=H49)*(F$46:F$49&gt;F49))</f>
        <v>0</v>
      </c>
      <c r="N49" s="92">
        <f ca="1">SUMPRODUCT((I$46:I$49=I49)*(H$46:H$49=H49)*(F$46:F$49=F49)*(J$46:J$49&lt;J49))</f>
        <v>1</v>
      </c>
      <c r="O49" s="92">
        <f ca="1">IF(SUM(AG46:AI49)=0,IF(COUNTIF(AJ46:AJ49,0)&gt;1,4,AJ49+1),IF(X49=X48,IF(X49=3,4,X49),IF(X49=5,3,IF(X49=6,4,X49))))</f>
        <v>4</v>
      </c>
      <c r="P49" s="92" t="str">
        <f ca="1">VLOOKUP(4,A$46:B$49,2,FALSE)</f>
        <v>Ghana</v>
      </c>
      <c r="Q49" s="92">
        <f ca="1">SUMIF(B$4:B$60,P49,F$4:F$60)</f>
        <v>0</v>
      </c>
      <c r="R49" s="92">
        <f ca="1">SUMIF(B$4:B$60,P49,H$4:H$60)</f>
        <v>100</v>
      </c>
      <c r="S49" s="127">
        <f ca="1">SUMIF($B$4:$B$60,$P49,I$4:I$60)</f>
        <v>0</v>
      </c>
      <c r="T49" s="92">
        <f ca="1">SUMIF($B$4:$B$60,$P49,A$4:A$60)</f>
        <v>4</v>
      </c>
      <c r="U49" s="92">
        <f t="shared" ca="1" si="12"/>
        <v>0</v>
      </c>
      <c r="V49" s="92">
        <f t="shared" ca="1" si="12"/>
        <v>0</v>
      </c>
      <c r="W49" s="92">
        <f ca="1">SUMIF($B$4:$B$60,$P49,J$4:J$60)</f>
        <v>22</v>
      </c>
      <c r="X49" s="92">
        <f ca="1">IF(Y49=0,T49,T49+AG49+AH49+AI49)</f>
        <v>4</v>
      </c>
      <c r="Y49" s="92" t="str">
        <f ca="1">IF(AND(S48=S49,S48=S47,R48=R49,R48=R47,Q48=Q49,Q48=Q47),P49,0)</f>
        <v>Ghana</v>
      </c>
      <c r="Z49" s="92">
        <f ca="1">SUMIF($AY$4:$AY$60,$Y49,$AX$4:$AX$60)+SUMIF($BB$4:$BB$60,$Y49,$AX$4:$AX$60)</f>
        <v>0</v>
      </c>
      <c r="AA49" s="92">
        <f ca="1">SUMIF($AZ$4:$AZ$60,$Y49,$AX$4:$AX$60)+SUMIF($BC$4:$BC$60,$Y49,$AX$4:$AX$60)</f>
        <v>0</v>
      </c>
      <c r="AB49" s="92">
        <f ca="1">SUMIF($BA$4:$BA$60,$Y49,$AX$4:$AX$60)+SUMIF($BD$4:$BD$60,$Y49,$AX$4:$AX$60)</f>
        <v>0</v>
      </c>
      <c r="AC49" s="92">
        <f ca="1">SUMIF(AY$4:AY$60,Y49,AS$4:AS$60)+SUMIF(BB$4:BB$60,Y49,AW$4:AW$60)+SUMIF(AZ$4:AZ$60,Y49,AS$4:AS$60)+SUMIF(BC$4:BC$60,Y49,AW$4:AW$60)</f>
        <v>0</v>
      </c>
      <c r="AD49" s="92">
        <f ca="1">SUMIF(BA$4:BA$60,Y49,AS$4:AS$60)+SUMIF(BD$4:BD$60,Y49,AW$4:AW$60)+SUMIF(AZ$4:AZ$60,Y49,AS$4:AS$60)+SUMIF(BC$4:BC$60,Y49,AW$4:AW$60)</f>
        <v>0</v>
      </c>
      <c r="AE49" s="92">
        <f ca="1">AC49-AD49+100</f>
        <v>100</v>
      </c>
      <c r="AF49" s="127">
        <f ca="1">IF(Y49&lt;&gt;0,Z49*3+AA49,"")</f>
        <v>0</v>
      </c>
      <c r="AG49" s="92">
        <f ca="1">IF(Y49&lt;&gt;0,RANK(AF49,AF$46:AF$49)-1,5)</f>
        <v>0</v>
      </c>
      <c r="AH49" s="92">
        <f ca="1">IF(Y49&lt;&gt;0,SUMPRODUCT((AF$46:AF$49=AF49)*(AE$46:AE$49&gt;AE49)),5)</f>
        <v>0</v>
      </c>
      <c r="AI49" s="92">
        <f ca="1">IF(Y49&lt;&gt;0,SUMPRODUCT((AF$46:AF$49=AF49)*(AE$46:AE$49=AE49)*(AC$46:AC$49&gt;AC49)),5)</f>
        <v>0</v>
      </c>
      <c r="AJ49" s="92">
        <f ca="1">IF(Y49&lt;&gt;0,SUMPRODUCT(($AF46:$AF49=AF49)*($AE46:$AE49=AE49)*($AC46:$AC49=AC49)*($AK46:$AK49&lt;AK49)),5)</f>
        <v>0</v>
      </c>
      <c r="AK49" s="92">
        <f ca="1">IF(AL49=0,0,VLOOKUP(Y49,Tournament!AJ$49:AK$52,2,FALSE))</f>
        <v>0</v>
      </c>
      <c r="AL49" s="92">
        <f ca="1">IF(Y49&lt;&gt;0,IF(SUM(AG49:AI49)=SUM(AG48:AI48),1,0),0)</f>
        <v>1</v>
      </c>
      <c r="AM49" s="92">
        <f ca="1">IF(AN49&lt;&gt;0,AM48+1,AM48)</f>
        <v>4</v>
      </c>
      <c r="AN49" s="92" t="str">
        <f ca="1">IF(AL49=1,Y49,0)</f>
        <v>Ghana</v>
      </c>
      <c r="AO49" s="92">
        <v>46</v>
      </c>
      <c r="AP49" s="92" t="str">
        <f ca="1">IF(AND(Tournament!J59&lt;&gt;"",Tournament!L59&lt;&gt;""),IF(Tournament!J59&gt;Tournament!L59,Tournament!H59,""),"")</f>
        <v/>
      </c>
      <c r="AQ49" s="92" t="str">
        <f ca="1">IF(AND(Tournament!J59&lt;&gt;"",Tournament!L59&lt;&gt;""),IF(Tournament!J59=Tournament!L59,Tournament!H59,""),"")</f>
        <v/>
      </c>
      <c r="AR49" s="92" t="str">
        <f ca="1">IF(AND(Tournament!J59&lt;&gt;"",Tournament!L59&lt;&gt;""),IF(Tournament!J59&gt;Tournament!L59,Tournament!N59,""),"")</f>
        <v/>
      </c>
      <c r="AS49" s="92">
        <f ca="1">IF(AND(Tournament!J59&lt;&gt;"",Tournament!L59&lt;&gt;""),Tournament!J59,0)</f>
        <v>0</v>
      </c>
      <c r="AT49" s="92" t="str">
        <f ca="1">IF(AND(Tournament!J59&lt;&gt;"",Tournament!L59&lt;&gt;""),IF(Tournament!J59&lt;Tournament!L59,Tournament!N59,""),"")</f>
        <v/>
      </c>
      <c r="AU49" s="92" t="str">
        <f ca="1">IF(AND(Tournament!J59&lt;&gt;"",Tournament!L59&lt;&gt;""),IF(Tournament!J59=Tournament!L59,Tournament!N59,""),"")</f>
        <v/>
      </c>
      <c r="AV49" s="92" t="str">
        <f ca="1">IF(AND(Tournament!J59&lt;&gt;"",Tournament!L59&lt;&gt;""),IF(Tournament!J59&lt;Tournament!L59,Tournament!H59,""),"")</f>
        <v/>
      </c>
      <c r="AW49" s="92">
        <f ca="1">IF(AND(Tournament!J59&lt;&gt;"",Tournament!L59&lt;&gt;""),Tournament!L59,0)</f>
        <v>0</v>
      </c>
      <c r="AX49" s="92">
        <v>1</v>
      </c>
      <c r="AY49" s="92" t="str">
        <f t="shared" ca="1" si="1"/>
        <v/>
      </c>
      <c r="AZ49" s="92" t="str">
        <f t="shared" ca="1" si="2"/>
        <v/>
      </c>
      <c r="BA49" s="92" t="str">
        <f t="shared" ca="1" si="3"/>
        <v/>
      </c>
      <c r="BB49" s="92" t="str">
        <f t="shared" ca="1" si="4"/>
        <v/>
      </c>
      <c r="BC49" s="92" t="str">
        <f t="shared" ca="1" si="5"/>
        <v/>
      </c>
      <c r="BD49" s="92" t="str">
        <f t="shared" ca="1" si="6"/>
        <v/>
      </c>
      <c r="BE49" s="92">
        <v>47</v>
      </c>
      <c r="BF49" s="92" t="str">
        <f>Tournament!H60</f>
        <v>South Korea</v>
      </c>
      <c r="BG49" s="92" t="str">
        <f ca="1">IF(AND(Tournament!J60&lt;&gt;"",Tournament!L60&lt;&gt;""),Tournament!J60,"")</f>
        <v/>
      </c>
      <c r="BH49" s="92" t="str">
        <f ca="1">IF(AND(Tournament!L60&lt;&gt;"",Tournament!J60&lt;&gt;""),Tournament!L60,"")</f>
        <v/>
      </c>
      <c r="BI49" s="92" t="str">
        <f>Tournament!N60</f>
        <v>Belgium</v>
      </c>
    </row>
    <row r="50" spans="1:61">
      <c r="AO50" s="92">
        <v>47</v>
      </c>
      <c r="AP50" s="92" t="str">
        <f ca="1">IF(AND(Tournament!J60&lt;&gt;"",Tournament!L60&lt;&gt;""),IF(Tournament!J60&gt;Tournament!L60,Tournament!H60,""),"")</f>
        <v/>
      </c>
      <c r="AQ50" s="92" t="str">
        <f ca="1">IF(AND(Tournament!J60&lt;&gt;"",Tournament!L60&lt;&gt;""),IF(Tournament!J60=Tournament!L60,Tournament!H60,""),"")</f>
        <v/>
      </c>
      <c r="AR50" s="92" t="str">
        <f ca="1">IF(AND(Tournament!J60&lt;&gt;"",Tournament!L60&lt;&gt;""),IF(Tournament!J60&gt;Tournament!L60,Tournament!N60,""),"")</f>
        <v/>
      </c>
      <c r="AS50" s="92">
        <f ca="1">IF(AND(Tournament!J60&lt;&gt;"",Tournament!L60&lt;&gt;""),Tournament!J60,0)</f>
        <v>0</v>
      </c>
      <c r="AT50" s="92" t="str">
        <f ca="1">IF(AND(Tournament!J60&lt;&gt;"",Tournament!L60&lt;&gt;""),IF(Tournament!J60&lt;Tournament!L60,Tournament!N60,""),"")</f>
        <v/>
      </c>
      <c r="AU50" s="92" t="str">
        <f ca="1">IF(AND(Tournament!J60&lt;&gt;"",Tournament!L60&lt;&gt;""),IF(Tournament!J60=Tournament!L60,Tournament!N60,""),"")</f>
        <v/>
      </c>
      <c r="AV50" s="92" t="str">
        <f ca="1">IF(AND(Tournament!J60&lt;&gt;"",Tournament!L60&lt;&gt;""),IF(Tournament!J60&lt;Tournament!L60,Tournament!H60,""),"")</f>
        <v/>
      </c>
      <c r="AW50" s="92">
        <f ca="1">IF(AND(Tournament!J60&lt;&gt;"",Tournament!L60&lt;&gt;""),Tournament!L60,0)</f>
        <v>0</v>
      </c>
      <c r="AX50" s="92">
        <v>1</v>
      </c>
      <c r="AY50" s="92" t="str">
        <f t="shared" ca="1" si="1"/>
        <v/>
      </c>
      <c r="AZ50" s="92" t="str">
        <f t="shared" ca="1" si="2"/>
        <v/>
      </c>
      <c r="BA50" s="92" t="str">
        <f t="shared" ca="1" si="3"/>
        <v/>
      </c>
      <c r="BB50" s="92" t="str">
        <f t="shared" ca="1" si="4"/>
        <v/>
      </c>
      <c r="BC50" s="92" t="str">
        <f t="shared" ca="1" si="5"/>
        <v/>
      </c>
      <c r="BD50" s="92" t="str">
        <f t="shared" ca="1" si="6"/>
        <v/>
      </c>
      <c r="BE50" s="92">
        <v>48</v>
      </c>
      <c r="BF50" s="92" t="str">
        <f>Tournament!H61</f>
        <v>Algeria</v>
      </c>
      <c r="BG50" s="92" t="str">
        <f ca="1">IF(AND(Tournament!J61&lt;&gt;"",Tournament!L61&lt;&gt;""),Tournament!J61,"")</f>
        <v/>
      </c>
      <c r="BH50" s="92" t="str">
        <f ca="1">IF(AND(Tournament!L61&lt;&gt;"",Tournament!J61&lt;&gt;""),Tournament!L61,"")</f>
        <v/>
      </c>
      <c r="BI50" s="92" t="str">
        <f>Tournament!N61</f>
        <v>Russia</v>
      </c>
    </row>
    <row r="51" spans="1:61">
      <c r="I51" s="127"/>
      <c r="S51" s="127"/>
      <c r="AF51" s="127"/>
      <c r="AO51" s="92">
        <v>48</v>
      </c>
      <c r="AP51" s="92" t="str">
        <f ca="1">IF(AND(Tournament!J61&lt;&gt;"",Tournament!L61&lt;&gt;""),IF(Tournament!J61&gt;Tournament!L61,Tournament!H61,""),"")</f>
        <v/>
      </c>
      <c r="AQ51" s="92" t="str">
        <f ca="1">IF(AND(Tournament!J61&lt;&gt;"",Tournament!L61&lt;&gt;""),IF(Tournament!J61=Tournament!L61,Tournament!H61,""),"")</f>
        <v/>
      </c>
      <c r="AR51" s="92" t="str">
        <f ca="1">IF(AND(Tournament!J61&lt;&gt;"",Tournament!L61&lt;&gt;""),IF(Tournament!J61&gt;Tournament!L61,Tournament!N61,""),"")</f>
        <v/>
      </c>
      <c r="AS51" s="92">
        <f ca="1">IF(AND(Tournament!J61&lt;&gt;"",Tournament!L61&lt;&gt;""),Tournament!J61,0)</f>
        <v>0</v>
      </c>
      <c r="AT51" s="92" t="str">
        <f ca="1">IF(AND(Tournament!J61&lt;&gt;"",Tournament!L61&lt;&gt;""),IF(Tournament!J61&lt;Tournament!L61,Tournament!N61,""),"")</f>
        <v/>
      </c>
      <c r="AU51" s="92" t="str">
        <f ca="1">IF(AND(Tournament!J61&lt;&gt;"",Tournament!L61&lt;&gt;""),IF(Tournament!J61=Tournament!L61,Tournament!N61,""),"")</f>
        <v/>
      </c>
      <c r="AV51" s="92" t="str">
        <f ca="1">IF(AND(Tournament!J61&lt;&gt;"",Tournament!L61&lt;&gt;""),IF(Tournament!J61&lt;Tournament!L61,Tournament!H61,""),"")</f>
        <v/>
      </c>
      <c r="AW51" s="92">
        <f ca="1">IF(AND(Tournament!J61&lt;&gt;"",Tournament!L61&lt;&gt;""),Tournament!L61,0)</f>
        <v>0</v>
      </c>
      <c r="AX51" s="92">
        <v>1</v>
      </c>
      <c r="AY51" s="92" t="str">
        <f t="shared" ca="1" si="1"/>
        <v/>
      </c>
      <c r="AZ51" s="92" t="str">
        <f t="shared" ca="1" si="2"/>
        <v/>
      </c>
      <c r="BA51" s="92" t="str">
        <f t="shared" ca="1" si="3"/>
        <v/>
      </c>
      <c r="BB51" s="92" t="str">
        <f t="shared" ca="1" si="4"/>
        <v/>
      </c>
      <c r="BC51" s="92" t="str">
        <f t="shared" ca="1" si="5"/>
        <v/>
      </c>
      <c r="BD51" s="92" t="str">
        <f t="shared" ca="1" si="6"/>
        <v/>
      </c>
    </row>
    <row r="52" spans="1:61">
      <c r="I52" s="127"/>
      <c r="S52" s="127"/>
      <c r="AF52" s="127"/>
    </row>
    <row r="53" spans="1:61">
      <c r="A53" s="92">
        <f ca="1">K53+L53+M53+N53</f>
        <v>1</v>
      </c>
      <c r="B53" s="92" t="str">
        <f>Tournament!H28</f>
        <v>Belgium</v>
      </c>
      <c r="C53" s="92">
        <f ca="1">SUMIF(AP$4:AP$60,B53,AX$4:AX$60)+SUMIF(AT$4:AT$60,B53,AX$4:AX$60)</f>
        <v>0</v>
      </c>
      <c r="D53" s="92">
        <f ca="1">SUMIF(AQ$4:AQ$60,B53,AX$4:AX$60)+SUMIF(AU$4:AU$60,B53,AX$4:AX$60)</f>
        <v>0</v>
      </c>
      <c r="E53" s="92">
        <f ca="1">SUMIF(AR$4:AR$60,B53,AX$4:AX$60)+SUMIF(AV$4:AV$60,B53,AX$4:AX$60)</f>
        <v>0</v>
      </c>
      <c r="F53" s="92">
        <f ca="1">SUMIF($BF$3:$BF$60,B53,$BG$3:$BG$60)+SUMIF($BI$3:$BI$60,B53,$BH$3:$BH$60)</f>
        <v>0</v>
      </c>
      <c r="G53" s="92">
        <f ca="1">SUMIF($BI$3:$BI$60,B53,$BG$3:$BG$60)+SUMIF($BF$3:$BF$60,B53,$BH$3:$BH$60)</f>
        <v>0</v>
      </c>
      <c r="H53" s="92">
        <f ca="1">F53-G53+100</f>
        <v>100</v>
      </c>
      <c r="I53" s="127">
        <f ca="1">C53*3+D53</f>
        <v>0</v>
      </c>
      <c r="J53" s="92">
        <v>5</v>
      </c>
      <c r="K53" s="92">
        <f ca="1">RANK(I53,I$53:I$56)</f>
        <v>1</v>
      </c>
      <c r="L53" s="92">
        <f ca="1">SUMPRODUCT((I$53:I$56=I53)*(H$53:H$56&gt;H53))</f>
        <v>0</v>
      </c>
      <c r="M53" s="92">
        <f ca="1">SUMPRODUCT((I$53:I$56=I53)*(H$53:H$56=H53)*(F$53:F$56&gt;F53))</f>
        <v>0</v>
      </c>
      <c r="N53" s="92">
        <f ca="1">SUMPRODUCT((I$53:I$56=I53)*(H$53:H$56=H53)*(F$53:F$56=F53)*(J$53:J$56&lt;J53))</f>
        <v>0</v>
      </c>
      <c r="O53" s="92">
        <f ca="1">IF(SUM(AG53:AI56)=0,IF(COUNTIF(AJ53:AJ56,0)&gt;1,1,AJ53+1),X53)</f>
        <v>1</v>
      </c>
      <c r="P53" s="92" t="str">
        <f ca="1">VLOOKUP(1,A$53:B$56,2,FALSE)</f>
        <v>Belgium</v>
      </c>
      <c r="Q53" s="92">
        <f ca="1">SUMIF(B$4:B$60,P53,F$4:F$60)</f>
        <v>0</v>
      </c>
      <c r="R53" s="92">
        <f ca="1">SUMIF(B$4:B$60,P53,H$4:H$60)</f>
        <v>100</v>
      </c>
      <c r="S53" s="127">
        <f ca="1">SUMIF($B$4:$B$60,$P53,I$4:I$60)</f>
        <v>0</v>
      </c>
      <c r="T53" s="92">
        <f ca="1">SUMIF($B$4:$B$60,$P53,A$4:A$60)</f>
        <v>1</v>
      </c>
      <c r="U53" s="92">
        <f t="shared" ref="U53:V56" ca="1" si="13">SUMIF($B$4:$B$60,$P53,L$4:L$60)</f>
        <v>0</v>
      </c>
      <c r="V53" s="92">
        <f t="shared" ca="1" si="13"/>
        <v>0</v>
      </c>
      <c r="W53" s="92">
        <f ca="1">SUMIF($B$4:$B$60,$P53,J$4:J$60)</f>
        <v>5</v>
      </c>
      <c r="X53" s="92">
        <f ca="1">IF(Y53=0,T53,T53+AG53+AH53+AI53)</f>
        <v>1</v>
      </c>
      <c r="Y53" s="92" t="str">
        <f ca="1">IF(AND(S53=S54,R53=R54,Q53=Q54),P53,0)</f>
        <v>Belgium</v>
      </c>
      <c r="Z53" s="92">
        <f ca="1">SUMIF($AY$4:$AY$60,$Y53,$AX$4:$AX$60)+SUMIF($BB$4:$BB$60,$Y53,$AX$4:$AX$60)</f>
        <v>0</v>
      </c>
      <c r="AA53" s="92">
        <f ca="1">SUMIF($AZ$4:$AZ$60,$Y53,$AX$4:$AX$60)+SUMIF($BC$4:$BC$60,$Y53,$AX$4:$AX$60)</f>
        <v>0</v>
      </c>
      <c r="AB53" s="92">
        <f ca="1">SUMIF($BA$4:$BA$60,$Y53,$AX$4:$AX$60)+SUMIF($BD$4:$BD$60,$Y53,$AX$4:$AX$60)</f>
        <v>0</v>
      </c>
      <c r="AC53" s="92">
        <f ca="1">SUMIF(AY$4:AY$60,Y53,AS$4:AS$60)+SUMIF(BB$4:BB$60,Y53,AW$4:AW$60)+SUMIF(AZ$4:AZ$60,Y53,AS$4:AS$60)+SUMIF(BC$4:BC$60,Y53,AW$4:AW$60)</f>
        <v>0</v>
      </c>
      <c r="AD53" s="92">
        <f ca="1">SUMIF(BA$4:BA$60,Y53,AS$4:AS$60)+SUMIF(BD$4:BD$60,Y53,AW$4:AW$60)+SUMIF(AZ$4:AZ$60,Y53,AS$4:AS$60)+SUMIF(BC$4:BC$60,Y53,AW$4:AW$60)</f>
        <v>0</v>
      </c>
      <c r="AE53" s="92">
        <f ca="1">AC53-AD53+100</f>
        <v>100</v>
      </c>
      <c r="AF53" s="127">
        <f ca="1">IF(Y53&lt;&gt;0,Z53*3+AA53,"")</f>
        <v>0</v>
      </c>
      <c r="AG53" s="92">
        <f ca="1">IF(Y53&lt;&gt;0,RANK(AF53,AF$53:AF$56)-1,5)</f>
        <v>0</v>
      </c>
      <c r="AH53" s="92">
        <f ca="1">IF(Y53&lt;&gt;0,SUMPRODUCT((AF$53:AF$56=AF53)*(AE$53:AE$56&gt;AE53)),5)</f>
        <v>0</v>
      </c>
      <c r="AI53" s="92">
        <f ca="1">IF(Y53&lt;&gt;0,SUMPRODUCT((AF$53:AF$56=AF53)*(AE$53:AE$56=AE53)*(AC$53:AC$56&gt;AC53)),5)</f>
        <v>0</v>
      </c>
      <c r="AJ53" s="92">
        <f ca="1">IF(Y53&lt;&gt;0,SUMPRODUCT(($AF53:$AF56=AF53)*($AE53:$AE56=AE53)*($AC53:$AC56=AC53)*($AK53:$AK56&lt;AK53)),5)</f>
        <v>0</v>
      </c>
      <c r="AK53" s="92">
        <f ca="1">IF(AL53=0,0,VLOOKUP(Y53,Tournament!AJ$55:AK$58,2,FALSE))</f>
        <v>0</v>
      </c>
      <c r="AL53" s="92">
        <f ca="1">IF(Y53&lt;&gt;0,IF(SUM(AG53:AI53)=SUM(AG54:AI54),1,0),0)</f>
        <v>1</v>
      </c>
      <c r="AM53" s="92">
        <f ca="1">IF(AN53&lt;&gt;0,1,0)</f>
        <v>1</v>
      </c>
      <c r="AN53" s="92" t="str">
        <f ca="1">IF(AL53=1,Y53,0)</f>
        <v>Belgium</v>
      </c>
    </row>
    <row r="54" spans="1:61">
      <c r="A54" s="92">
        <f ca="1">K54+L54+M54+N54</f>
        <v>3</v>
      </c>
      <c r="B54" s="92" t="str">
        <f>Tournament!N28</f>
        <v>Algeria</v>
      </c>
      <c r="C54" s="92">
        <f ca="1">SUMIF(AP$4:AP$60,B54,AX$4:AX$60)+SUMIF(AT$4:AT$60,B54,AX$4:AX$60)</f>
        <v>0</v>
      </c>
      <c r="D54" s="92">
        <f ca="1">SUMIF(AQ$4:AQ$60,B54,AX$4:AX$60)+SUMIF(AU$4:AU$60,B54,AX$4:AX$60)</f>
        <v>0</v>
      </c>
      <c r="E54" s="92">
        <f ca="1">SUMIF(AR$4:AR$60,B54,AX$4:AX$60)+SUMIF(AV$4:AV$60,B54,AX$4:AX$60)</f>
        <v>0</v>
      </c>
      <c r="F54" s="92">
        <f ca="1">SUMIF($BF$3:$BF$60,B54,$BG$3:$BG$60)+SUMIF($BI$3:$BI$60,B54,$BH$3:$BH$60)</f>
        <v>0</v>
      </c>
      <c r="G54" s="92">
        <f ca="1">SUMIF($BI$3:$BI$60,B54,$BG$3:$BG$60)+SUMIF($BF$3:$BF$60,B54,$BH$3:$BH$60)</f>
        <v>0</v>
      </c>
      <c r="H54" s="92">
        <f ca="1">F54-G54+100</f>
        <v>100</v>
      </c>
      <c r="I54" s="127">
        <f ca="1">C54*3+D54</f>
        <v>0</v>
      </c>
      <c r="J54" s="92">
        <v>25</v>
      </c>
      <c r="K54" s="92">
        <f ca="1">RANK(I54,I$53:I$56)</f>
        <v>1</v>
      </c>
      <c r="L54" s="92">
        <f ca="1">SUMPRODUCT((I$53:I$56=I54)*(H$53:H$56&gt;H54))</f>
        <v>0</v>
      </c>
      <c r="M54" s="92">
        <f ca="1">SUMPRODUCT((I$53:I$56=I54)*(H$53:H$56=H54)*(F$53:F$56&gt;F54))</f>
        <v>0</v>
      </c>
      <c r="N54" s="92">
        <f ca="1">SUMPRODUCT((I$53:I$56=I54)*(H$53:H$56=H54)*(F$53:F$56=F54)*(J$53:J$56&lt;J54))</f>
        <v>2</v>
      </c>
      <c r="O54" s="92">
        <f ca="1">IF(SUM(AG53:AI56)=0,IF(COUNTIF(AJ53:AJ56,0)&gt;1,2,AJ54+1),IF(AND(X53=1,X54=3,Y53&lt;&gt;0,Y54&lt;&gt;0,Y55=0,Y56=0),2,IF(AND(X53=2,X54=2,Y53&lt;&gt;0,Y54&lt;&gt;0,Y55=0,Y56=0),1,IF(AND(X54=4,AI54=2),3,X54))))</f>
        <v>2</v>
      </c>
      <c r="P54" s="92" t="str">
        <f ca="1">VLOOKUP(2,A$53:B$56,2,FALSE)</f>
        <v>Russia</v>
      </c>
      <c r="Q54" s="92">
        <f ca="1">SUMIF(B$4:B$60,P54,F$4:F$60)</f>
        <v>0</v>
      </c>
      <c r="R54" s="92">
        <f ca="1">SUMIF(B$4:B$60,P54,H$4:H$60)</f>
        <v>100</v>
      </c>
      <c r="S54" s="127">
        <f ca="1">SUMIF($B$4:$B$60,$P54,I$4:I$60)</f>
        <v>0</v>
      </c>
      <c r="T54" s="92">
        <f ca="1">SUMIF($B$4:$B$60,$P54,A$4:A$60)</f>
        <v>2</v>
      </c>
      <c r="U54" s="92">
        <f t="shared" ca="1" si="13"/>
        <v>0</v>
      </c>
      <c r="V54" s="92">
        <f t="shared" ca="1" si="13"/>
        <v>0</v>
      </c>
      <c r="W54" s="92">
        <f ca="1">SUMIF($B$4:$B$60,$P54,J$4:J$60)</f>
        <v>19</v>
      </c>
      <c r="X54" s="92">
        <f ca="1">IF(Y54=0,T54,T54+AG54+AH54+AI54)</f>
        <v>2</v>
      </c>
      <c r="Y54" s="92" t="str">
        <f ca="1">IF(OR(AND(S53=S54,R53=R54,Q53=Q54),AND(S55=S54,R55=R54,Q55=Q54)),P54,0)</f>
        <v>Russia</v>
      </c>
      <c r="Z54" s="92">
        <f ca="1">SUMIF($AY$4:$AY$60,$Y54,$AX$4:$AX$60)+SUMIF($BB$4:$BB$60,$Y54,$AX$4:$AX$60)</f>
        <v>0</v>
      </c>
      <c r="AA54" s="92">
        <f ca="1">SUMIF($AZ$4:$AZ$60,$Y54,$AX$4:$AX$60)+SUMIF($BC$4:$BC$60,$Y54,$AX$4:$AX$60)</f>
        <v>0</v>
      </c>
      <c r="AB54" s="92">
        <f ca="1">SUMIF($BA$4:$BA$60,$Y54,$AX$4:$AX$60)+SUMIF($BD$4:$BD$60,$Y54,$AX$4:$AX$60)</f>
        <v>0</v>
      </c>
      <c r="AC54" s="92">
        <f ca="1">SUMIF(AY$4:AY$60,Y54,AS$4:AS$60)+SUMIF(BB$4:BB$60,Y54,AW$4:AW$60)+SUMIF(AZ$4:AZ$60,Y54,AS$4:AS$60)+SUMIF(BC$4:BC$60,Y54,AW$4:AW$60)</f>
        <v>0</v>
      </c>
      <c r="AD54" s="92">
        <f ca="1">SUMIF(BA$4:BA$60,Y54,AS$4:AS$60)+SUMIF(BD$4:BD$60,Y54,AW$4:AW$60)+SUMIF(AZ$4:AZ$60,Y54,AS$4:AS$60)+SUMIF(BC$4:BC$60,Y54,AW$4:AW$60)</f>
        <v>0</v>
      </c>
      <c r="AE54" s="92">
        <f ca="1">AC54-AD54+100</f>
        <v>100</v>
      </c>
      <c r="AF54" s="127">
        <f ca="1">IF(Y54&lt;&gt;0,Z54*3+AA54,"")</f>
        <v>0</v>
      </c>
      <c r="AG54" s="92">
        <f ca="1">IF(Y54&lt;&gt;0,RANK(AF54,AF$53:AF$56)-1,5)</f>
        <v>0</v>
      </c>
      <c r="AH54" s="92">
        <f ca="1">IF(Y54&lt;&gt;0,SUMPRODUCT((AF$53:AF$56=AF54)*(AE$53:AE$56&gt;AE54)),5)</f>
        <v>0</v>
      </c>
      <c r="AI54" s="92">
        <f ca="1">IF(Y54&lt;&gt;0,SUMPRODUCT((AF$53:AF$56=AF54)*(AE$53:AE$56=AE54)*(AC$53:AC$56&gt;AC54)),5)</f>
        <v>0</v>
      </c>
      <c r="AJ54" s="92">
        <f ca="1">IF(Y54&lt;&gt;0,SUMPRODUCT(($AF53:$AF56=AF54)*($AE53:$AE56=AE54)*($AC53:$AC56=AC54)*($AK53:$AK56&lt;AK54)),5)</f>
        <v>0</v>
      </c>
      <c r="AK54" s="92">
        <f ca="1">IF(AL54=0,0,VLOOKUP(Y54,Tournament!AJ$55:AK$58,2,FALSE))</f>
        <v>0</v>
      </c>
      <c r="AL54" s="92">
        <f ca="1">IF(Y54&lt;&gt;0,IF(OR(SUM(AG54:AI54)=SUM(AG53:AI53),SUM(AG54:AI54)=SUM(AG55:AI55)),1,0),0)</f>
        <v>1</v>
      </c>
      <c r="AM54" s="92">
        <f ca="1">IF(AN54&lt;&gt;0,AM53+1,AM53)</f>
        <v>2</v>
      </c>
      <c r="AN54" s="92" t="str">
        <f ca="1">IF(AL54=1,Y54,0)</f>
        <v>Russia</v>
      </c>
    </row>
    <row r="55" spans="1:61">
      <c r="A55" s="92">
        <f ca="1">K55+L55+M55+N55</f>
        <v>2</v>
      </c>
      <c r="B55" s="92" t="str">
        <f>Tournament!H29</f>
        <v>Russia</v>
      </c>
      <c r="C55" s="92">
        <f ca="1">SUMIF(AP$4:AP$60,B55,AX$4:AX$60)+SUMIF(AT$4:AT$60,B55,AX$4:AX$60)</f>
        <v>0</v>
      </c>
      <c r="D55" s="92">
        <f ca="1">SUMIF(AQ$4:AQ$60,B55,AX$4:AX$60)+SUMIF(AU$4:AU$60,B55,AX$4:AX$60)</f>
        <v>0</v>
      </c>
      <c r="E55" s="92">
        <f ca="1">SUMIF(AR$4:AR$60,B55,AX$4:AX$60)+SUMIF(AV$4:AV$60,B55,AX$4:AX$60)</f>
        <v>0</v>
      </c>
      <c r="F55" s="92">
        <f ca="1">SUMIF($BF$3:$BF$60,B55,$BG$3:$BG$60)+SUMIF($BI$3:$BI$60,B55,$BH$3:$BH$60)</f>
        <v>0</v>
      </c>
      <c r="G55" s="92">
        <f ca="1">SUMIF($BI$3:$BI$60,B55,$BG$3:$BG$60)+SUMIF($BF$3:$BF$60,B55,$BH$3:$BH$60)</f>
        <v>0</v>
      </c>
      <c r="H55" s="92">
        <f ca="1">F55-G55+100</f>
        <v>100</v>
      </c>
      <c r="I55" s="127">
        <f ca="1">C55*3+D55</f>
        <v>0</v>
      </c>
      <c r="J55" s="92">
        <v>19</v>
      </c>
      <c r="K55" s="92">
        <f ca="1">RANK(I55,I$53:I$56)</f>
        <v>1</v>
      </c>
      <c r="L55" s="92">
        <f ca="1">SUMPRODUCT((I$53:I$56=I55)*(H$53:H$56&gt;H55))</f>
        <v>0</v>
      </c>
      <c r="M55" s="92">
        <f ca="1">SUMPRODUCT((I$53:I$56=I55)*(H$53:H$56=H55)*(F$53:F$56&gt;F55))</f>
        <v>0</v>
      </c>
      <c r="N55" s="92">
        <f ca="1">SUMPRODUCT((I$53:I$56=I55)*(H$53:H$56=H55)*(F$53:F$56=F55)*(J$53:J$56&lt;J55))</f>
        <v>1</v>
      </c>
      <c r="O55" s="92">
        <f ca="1">IF(SUM(AG53:AI56)=0,IF(COUNTIF(AJ53:AJ56,0)&gt;1,3,AJ55+1),IF(AND(X54=3,X55=3,Y53=0,Y54&lt;&gt;0,Y55&lt;&gt;0),2,IF(OR(X55=5,X55=4),3,IF(X55=6,4,IF(AND(X54=4,X53=1,Y55&lt;&gt;""),2,IF(AND(AI55=0,AI54=1,AI53=1,Y55&lt;&gt;""),1,X55))))))</f>
        <v>3</v>
      </c>
      <c r="P55" s="92" t="str">
        <f ca="1">VLOOKUP(3,A$53:B$56,2,FALSE)</f>
        <v>Algeria</v>
      </c>
      <c r="Q55" s="92">
        <f ca="1">SUMIF(B$4:B$60,P55,F$4:F$60)</f>
        <v>0</v>
      </c>
      <c r="R55" s="92">
        <f ca="1">SUMIF(B$4:B$60,P55,H$4:H$60)</f>
        <v>100</v>
      </c>
      <c r="S55" s="127">
        <f ca="1">SUMIF($B$4:$B$60,$P55,I$4:I$60)</f>
        <v>0</v>
      </c>
      <c r="T55" s="92">
        <f ca="1">SUMIF($B$4:$B$60,$P55,A$4:A$60)</f>
        <v>3</v>
      </c>
      <c r="U55" s="92">
        <f t="shared" ca="1" si="13"/>
        <v>0</v>
      </c>
      <c r="V55" s="92">
        <f t="shared" ca="1" si="13"/>
        <v>0</v>
      </c>
      <c r="W55" s="92">
        <f ca="1">SUMIF($B$4:$B$60,$P55,J$4:J$60)</f>
        <v>25</v>
      </c>
      <c r="X55" s="92">
        <f ca="1">IF(Y55=0,T55,T55+AG55+AH55+AI55)</f>
        <v>3</v>
      </c>
      <c r="Y55" s="92" t="str">
        <f ca="1">IF(OR(AND(S54=S55,R54=R55,Q54=Q55),AND(S56=S55,S55=S54,R56=R55,R55=R54,Q56=Q55,Q55=Q54)),P55,0)</f>
        <v>Algeria</v>
      </c>
      <c r="Z55" s="92">
        <f ca="1">SUMIF($AY$4:$AY$60,$Y55,$AX$4:$AX$60)+SUMIF($BB$4:$BB$60,$Y55,$AX$4:$AX$60)</f>
        <v>0</v>
      </c>
      <c r="AA55" s="92">
        <f ca="1">SUMIF($AZ$4:$AZ$60,$Y55,$AX$4:$AX$60)+SUMIF($BC$4:$BC$60,$Y55,$AX$4:$AX$60)</f>
        <v>0</v>
      </c>
      <c r="AB55" s="92">
        <f ca="1">SUMIF($BA$4:$BA$60,$Y55,$AX$4:$AX$60)+SUMIF($BD$4:$BD$60,$Y55,$AX$4:$AX$60)</f>
        <v>0</v>
      </c>
      <c r="AC55" s="92">
        <f ca="1">SUMIF(AY$4:AY$60,Y55,AS$4:AS$60)+SUMIF(BB$4:BB$60,Y55,AW$4:AW$60)+SUMIF(AZ$4:AZ$60,Y55,AS$4:AS$60)+SUMIF(BC$4:BC$60,Y55,AW$4:AW$60)</f>
        <v>0</v>
      </c>
      <c r="AD55" s="92">
        <f ca="1">SUMIF(BA$4:BA$60,Y55,AS$4:AS$60)+SUMIF(BD$4:BD$60,Y55,AW$4:AW$60)+SUMIF(AZ$4:AZ$60,Y55,AS$4:AS$60)+SUMIF(BC$4:BC$60,Y55,AW$4:AW$60)</f>
        <v>0</v>
      </c>
      <c r="AE55" s="92">
        <f ca="1">AC55-AD55+100</f>
        <v>100</v>
      </c>
      <c r="AF55" s="127">
        <f ca="1">IF(Y55&lt;&gt;0,Z55*3+AA55,"")</f>
        <v>0</v>
      </c>
      <c r="AG55" s="92">
        <f ca="1">IF(Y55&lt;&gt;0,RANK(AF55,AF$53:AF$56)-1,5)</f>
        <v>0</v>
      </c>
      <c r="AH55" s="92">
        <f ca="1">IF(Y55&lt;&gt;0,SUMPRODUCT((AF$53:AF$56=AF55)*(AE$53:AE$56&gt;AE55)),5)</f>
        <v>0</v>
      </c>
      <c r="AI55" s="92">
        <f ca="1">IF(Y55&lt;&gt;0,SUMPRODUCT((AF$53:AF$56=AF55)*(AE$53:AE$56=AE55)*(AC$53:AC$56&gt;AC55)),5)</f>
        <v>0</v>
      </c>
      <c r="AJ55" s="92">
        <f ca="1">IF(Y55&lt;&gt;0,SUMPRODUCT(($AF53:$AF56=AF55)*($AE53:$AE56=AE55)*($AC53:$AC56=AC55)*($AK53:$AK56&lt;AK55)),5)</f>
        <v>0</v>
      </c>
      <c r="AK55" s="92">
        <f ca="1">IF(AL55=0,0,VLOOKUP(Y55,Tournament!AJ$55:AK$58,2,FALSE))</f>
        <v>0</v>
      </c>
      <c r="AL55" s="92">
        <f ca="1">IF(Y55&lt;&gt;0,IF(OR(SUM(AG55:AI55)=SUM(AG54:AI54),SUM(AG55:AI55)=SUM(AG56:AI56)),1,0),0)</f>
        <v>1</v>
      </c>
      <c r="AM55" s="92">
        <f ca="1">IF(AN55&lt;&gt;0,AM54+1,AM54)</f>
        <v>3</v>
      </c>
      <c r="AN55" s="92" t="str">
        <f ca="1">IF(AL55=1,Y55,0)</f>
        <v>Algeria</v>
      </c>
    </row>
    <row r="56" spans="1:61">
      <c r="A56" s="92">
        <f ca="1">K56+L56+M56+N56</f>
        <v>4</v>
      </c>
      <c r="B56" s="92" t="str">
        <f>Tournament!N29</f>
        <v>South Korea</v>
      </c>
      <c r="C56" s="92">
        <f ca="1">SUMIF(AP$4:AP$60,B56,AX$4:AX$60)+SUMIF(AT$4:AT$60,B56,AX$4:AX$60)</f>
        <v>0</v>
      </c>
      <c r="D56" s="92">
        <f ca="1">SUMIF(AQ$4:AQ$60,B56,AX$4:AX$60)+SUMIF(AU$4:AU$60,B56,AX$4:AX$60)</f>
        <v>0</v>
      </c>
      <c r="E56" s="92">
        <f ca="1">SUMIF(AR$4:AR$60,B56,AX$4:AX$60)+SUMIF(AV$4:AV$60,B56,AX$4:AX$60)</f>
        <v>0</v>
      </c>
      <c r="F56" s="92">
        <f ca="1">SUMIF($BF$3:$BF$60,B56,$BG$3:$BG$60)+SUMIF($BI$3:$BI$60,B56,$BH$3:$BH$60)</f>
        <v>0</v>
      </c>
      <c r="G56" s="92">
        <f ca="1">SUMIF($BI$3:$BI$60,B56,$BG$3:$BG$60)+SUMIF($BF$3:$BF$60,B56,$BH$3:$BH$60)</f>
        <v>0</v>
      </c>
      <c r="H56" s="92">
        <f ca="1">F56-G56+100</f>
        <v>100</v>
      </c>
      <c r="I56" s="127">
        <f ca="1">C56*3+D56</f>
        <v>0</v>
      </c>
      <c r="J56" s="92">
        <v>30</v>
      </c>
      <c r="K56" s="92">
        <f ca="1">RANK(I56,I$53:I$56)</f>
        <v>1</v>
      </c>
      <c r="L56" s="92">
        <f ca="1">SUMPRODUCT((I$53:I$56=I56)*(H$53:H$56&gt;H56))</f>
        <v>0</v>
      </c>
      <c r="M56" s="92">
        <f ca="1">SUMPRODUCT((I$53:I$56=I56)*(H$53:H$56=H56)*(F$53:F$56&gt;F56))</f>
        <v>0</v>
      </c>
      <c r="N56" s="92">
        <f ca="1">SUMPRODUCT((I$53:I$56=I56)*(H$53:H$56=H56)*(F$53:F$56=F56)*(J$53:J$56&lt;J56))</f>
        <v>3</v>
      </c>
      <c r="O56" s="92">
        <f ca="1">IF(SUM(AG53:AI56)=0,IF(COUNTIF(AJ53:AJ56,0)&gt;1,4,AJ56+1),IF(X56=X55,IF(X56=3,4,X56),IF(X56=5,3,IF(X56=6,4,X56))))</f>
        <v>4</v>
      </c>
      <c r="P56" s="92" t="str">
        <f ca="1">VLOOKUP(4,A$53:B$56,2,FALSE)</f>
        <v>South Korea</v>
      </c>
      <c r="Q56" s="92">
        <f ca="1">SUMIF(B$4:B$60,P56,F$4:F$60)</f>
        <v>0</v>
      </c>
      <c r="R56" s="92">
        <f ca="1">SUMIF(B$4:B$60,P56,H$4:H$60)</f>
        <v>100</v>
      </c>
      <c r="S56" s="127">
        <f ca="1">SUMIF($B$4:$B$60,$P56,I$4:I$60)</f>
        <v>0</v>
      </c>
      <c r="T56" s="92">
        <f ca="1">SUMIF($B$4:$B$60,$P56,A$4:A$60)</f>
        <v>4</v>
      </c>
      <c r="U56" s="92">
        <f t="shared" ca="1" si="13"/>
        <v>0</v>
      </c>
      <c r="V56" s="92">
        <f t="shared" ca="1" si="13"/>
        <v>0</v>
      </c>
      <c r="W56" s="92">
        <f ca="1">SUMIF($B$4:$B$60,$P56,J$4:J$60)</f>
        <v>30</v>
      </c>
      <c r="X56" s="92">
        <f ca="1">IF(Y56=0,T56,T56+AG56+AH56+AI56)</f>
        <v>4</v>
      </c>
      <c r="Y56" s="92" t="str">
        <f ca="1">IF(AND(S55=S56,S55=S54,R55=R56,R55=R54,Q55=Q56,Q55=Q54),P56,0)</f>
        <v>South Korea</v>
      </c>
      <c r="Z56" s="92">
        <f ca="1">SUMIF($AY$4:$AY$60,$Y56,$AX$4:$AX$60)+SUMIF($BB$4:$BB$60,$Y56,$AX$4:$AX$60)</f>
        <v>0</v>
      </c>
      <c r="AA56" s="92">
        <f ca="1">SUMIF($AZ$4:$AZ$60,$Y56,$AX$4:$AX$60)+SUMIF($BC$4:$BC$60,$Y56,$AX$4:$AX$60)</f>
        <v>0</v>
      </c>
      <c r="AB56" s="92">
        <f ca="1">SUMIF($BA$4:$BA$60,$Y56,$AX$4:$AX$60)+SUMIF($BD$4:$BD$60,$Y56,$AX$4:$AX$60)</f>
        <v>0</v>
      </c>
      <c r="AC56" s="92">
        <f ca="1">SUMIF(AY$4:AY$60,Y56,AS$4:AS$60)+SUMIF(BB$4:BB$60,Y56,AW$4:AW$60)+SUMIF(AZ$4:AZ$60,Y56,AS$4:AS$60)+SUMIF(BC$4:BC$60,Y56,AW$4:AW$60)</f>
        <v>0</v>
      </c>
      <c r="AD56" s="92">
        <f ca="1">SUMIF(BA$4:BA$60,Y56,AS$4:AS$60)+SUMIF(BD$4:BD$60,Y56,AW$4:AW$60)+SUMIF(AZ$4:AZ$60,Y56,AS$4:AS$60)+SUMIF(BC$4:BC$60,Y56,AW$4:AW$60)</f>
        <v>0</v>
      </c>
      <c r="AE56" s="92">
        <f ca="1">AC56-AD56+100</f>
        <v>100</v>
      </c>
      <c r="AF56" s="127">
        <f ca="1">IF(Y56&lt;&gt;0,Z56*3+AA56,"")</f>
        <v>0</v>
      </c>
      <c r="AG56" s="92">
        <f ca="1">IF(Y56&lt;&gt;0,RANK(AF56,AF$53:AF$56)-1,5)</f>
        <v>0</v>
      </c>
      <c r="AH56" s="92">
        <f ca="1">IF(Y56&lt;&gt;0,SUMPRODUCT((AF$53:AF$56=AF56)*(AE$53:AE$56&gt;AE56)),5)</f>
        <v>0</v>
      </c>
      <c r="AI56" s="92">
        <f ca="1">IF(Y56&lt;&gt;0,SUMPRODUCT((AF$53:AF$56=AF56)*(AE$53:AE$56=AE56)*(AC$53:AC$56&gt;AC56)),5)</f>
        <v>0</v>
      </c>
      <c r="AJ56" s="92">
        <f ca="1">IF(Y56&lt;&gt;0,SUMPRODUCT(($AF53:$AF56=AF56)*($AE53:$AE56=AE56)*($AC53:$AC56=AC56)*($AK53:$AK56&lt;AK56)),5)</f>
        <v>0</v>
      </c>
      <c r="AK56" s="92">
        <f ca="1">IF(AL56=0,0,VLOOKUP(Y56,Tournament!AJ$55:AK$58,2,FALSE))</f>
        <v>0</v>
      </c>
      <c r="AL56" s="92">
        <f ca="1">IF(Y56&lt;&gt;0,IF(SUM(AG56:AI56)=SUM(AG55:AI55),1,0),0)</f>
        <v>1</v>
      </c>
      <c r="AM56" s="92">
        <f ca="1">IF(AN56&lt;&gt;0,AM55+1,AM55)</f>
        <v>4</v>
      </c>
      <c r="AN56" s="92" t="str">
        <f ca="1">IF(AL56=1,Y56,0)</f>
        <v>South Korea</v>
      </c>
    </row>
  </sheetData>
  <sheetProtection password="CEE2" sheet="1" objects="1" scenarios="1" selectLockedCells="1" selectUnlockedCells="1"/>
  <phoneticPr fontId="1" type="noConversion"/>
  <conditionalFormatting sqref="P31">
    <cfRule type="cellIs" dxfId="0" priority="1" operator="notEqual">
      <formula>""</formula>
    </cfRule>
  </conditionalFormatting>
  <pageMargins left="0.75" right="0.75" top="1" bottom="1" header="0.5" footer="0.5"/>
  <pageSetup paperSize="9"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1"/>
  <sheetViews>
    <sheetView showGridLines="0" workbookViewId="0">
      <pane xSplit="2" ySplit="2" topLeftCell="C93" activePane="bottomRight" state="frozen"/>
      <selection pane="topRight" activeCell="C1" sqref="C1"/>
      <selection pane="bottomLeft" activeCell="A3" sqref="A3"/>
      <selection pane="bottomRight" activeCell="E121" sqref="E121"/>
    </sheetView>
  </sheetViews>
  <sheetFormatPr defaultColWidth="9.109375" defaultRowHeight="13.2"/>
  <cols>
    <col min="1" max="1" width="4" style="80" bestFit="1" customWidth="1"/>
    <col min="2" max="2" width="13.88671875" style="80" customWidth="1"/>
    <col min="3" max="48" width="12.6640625" style="80" customWidth="1"/>
    <col min="49" max="49" width="9.109375" style="80"/>
    <col min="50" max="50" width="9.109375" style="81"/>
    <col min="51" max="16384" width="9.109375" style="80"/>
  </cols>
  <sheetData>
    <row r="1" spans="1:48">
      <c r="A1" s="80">
        <v>1</v>
      </c>
      <c r="B1" s="80" t="s">
        <v>2215</v>
      </c>
      <c r="C1" s="80" t="s">
        <v>616</v>
      </c>
      <c r="D1" s="80" t="s">
        <v>198</v>
      </c>
      <c r="E1" s="80" t="s">
        <v>295</v>
      </c>
      <c r="F1" s="80" t="s">
        <v>207</v>
      </c>
      <c r="G1" s="80" t="s">
        <v>143</v>
      </c>
      <c r="H1" s="80" t="s">
        <v>110</v>
      </c>
      <c r="I1" s="80" t="s">
        <v>111</v>
      </c>
      <c r="J1" s="80" t="s">
        <v>277</v>
      </c>
      <c r="K1" s="80" t="s">
        <v>167</v>
      </c>
      <c r="L1" s="80" t="s">
        <v>162</v>
      </c>
      <c r="M1" s="80" t="s">
        <v>75</v>
      </c>
      <c r="N1" s="80" t="s">
        <v>188</v>
      </c>
      <c r="O1" s="80" t="s">
        <v>104</v>
      </c>
      <c r="P1" s="80" t="s">
        <v>112</v>
      </c>
      <c r="Q1" s="80" t="s">
        <v>1684</v>
      </c>
      <c r="R1" s="80" t="s">
        <v>214</v>
      </c>
      <c r="S1" s="80" t="s">
        <v>2470</v>
      </c>
      <c r="T1" s="80" t="s">
        <v>152</v>
      </c>
      <c r="U1" s="80" t="s">
        <v>1043</v>
      </c>
      <c r="V1" s="80" t="s">
        <v>1189</v>
      </c>
      <c r="W1" s="80" t="s">
        <v>116</v>
      </c>
      <c r="X1" s="80" t="s">
        <v>2275</v>
      </c>
      <c r="Y1" s="80" t="s">
        <v>2276</v>
      </c>
      <c r="Z1" s="80" t="s">
        <v>130</v>
      </c>
      <c r="AA1" s="80" t="s">
        <v>1366</v>
      </c>
      <c r="AB1" s="80" t="s">
        <v>288</v>
      </c>
      <c r="AC1" s="80" t="s">
        <v>1504</v>
      </c>
      <c r="AD1" s="80" t="s">
        <v>173</v>
      </c>
      <c r="AE1" s="80" t="s">
        <v>105</v>
      </c>
      <c r="AF1" s="80" t="s">
        <v>1685</v>
      </c>
      <c r="AG1" s="80" t="s">
        <v>1686</v>
      </c>
      <c r="AH1" s="80" t="s">
        <v>129</v>
      </c>
      <c r="AI1" s="80" t="s">
        <v>108</v>
      </c>
      <c r="AJ1" s="80" t="s">
        <v>109</v>
      </c>
      <c r="AK1" s="80" t="s">
        <v>154</v>
      </c>
      <c r="AL1" s="80" t="s">
        <v>216</v>
      </c>
      <c r="AM1" s="80" t="s">
        <v>197</v>
      </c>
      <c r="AN1" s="80" t="s">
        <v>1687</v>
      </c>
      <c r="AO1" s="80" t="s">
        <v>181</v>
      </c>
      <c r="AP1" s="80" t="s">
        <v>101</v>
      </c>
      <c r="AQ1" s="80" t="s">
        <v>107</v>
      </c>
      <c r="AR1" s="80" t="s">
        <v>1664</v>
      </c>
      <c r="AS1" s="80" t="s">
        <v>3049</v>
      </c>
      <c r="AT1" s="80" t="s">
        <v>271</v>
      </c>
      <c r="AU1" s="80" t="s">
        <v>106</v>
      </c>
      <c r="AV1" s="80" t="s">
        <v>284</v>
      </c>
    </row>
    <row r="2" spans="1:48">
      <c r="A2" s="80">
        <v>1</v>
      </c>
      <c r="B2" s="80">
        <v>2</v>
      </c>
      <c r="C2" s="80">
        <f>B2+1</f>
        <v>3</v>
      </c>
      <c r="D2" s="80">
        <f>C2+1</f>
        <v>4</v>
      </c>
      <c r="E2" s="80">
        <f>D2+1</f>
        <v>5</v>
      </c>
      <c r="F2" s="80">
        <f t="shared" ref="F2:AV2" si="0">E2+1</f>
        <v>6</v>
      </c>
      <c r="G2" s="80">
        <f t="shared" si="0"/>
        <v>7</v>
      </c>
      <c r="H2" s="80">
        <f t="shared" si="0"/>
        <v>8</v>
      </c>
      <c r="I2" s="80">
        <f t="shared" si="0"/>
        <v>9</v>
      </c>
      <c r="J2" s="80">
        <f t="shared" si="0"/>
        <v>10</v>
      </c>
      <c r="K2" s="80">
        <f t="shared" si="0"/>
        <v>11</v>
      </c>
      <c r="L2" s="80">
        <f t="shared" si="0"/>
        <v>12</v>
      </c>
      <c r="M2" s="80">
        <f t="shared" si="0"/>
        <v>13</v>
      </c>
      <c r="N2" s="80">
        <f t="shared" si="0"/>
        <v>14</v>
      </c>
      <c r="O2" s="80">
        <f t="shared" si="0"/>
        <v>15</v>
      </c>
      <c r="P2" s="80">
        <f t="shared" si="0"/>
        <v>16</v>
      </c>
      <c r="Q2" s="80">
        <f t="shared" si="0"/>
        <v>17</v>
      </c>
      <c r="R2" s="80">
        <f t="shared" si="0"/>
        <v>18</v>
      </c>
      <c r="S2" s="80">
        <f t="shared" si="0"/>
        <v>19</v>
      </c>
      <c r="T2" s="80">
        <f t="shared" si="0"/>
        <v>20</v>
      </c>
      <c r="U2" s="80">
        <f t="shared" si="0"/>
        <v>21</v>
      </c>
      <c r="V2" s="80">
        <f t="shared" si="0"/>
        <v>22</v>
      </c>
      <c r="W2" s="80">
        <f t="shared" si="0"/>
        <v>23</v>
      </c>
      <c r="X2" s="80">
        <f t="shared" si="0"/>
        <v>24</v>
      </c>
      <c r="Y2" s="80">
        <f t="shared" si="0"/>
        <v>25</v>
      </c>
      <c r="Z2" s="80">
        <f t="shared" si="0"/>
        <v>26</v>
      </c>
      <c r="AB2" s="80">
        <f>Z2+1</f>
        <v>27</v>
      </c>
      <c r="AD2" s="80">
        <f>AB2+1</f>
        <v>28</v>
      </c>
      <c r="AE2" s="80">
        <f t="shared" si="0"/>
        <v>29</v>
      </c>
      <c r="AF2" s="80">
        <f t="shared" si="0"/>
        <v>30</v>
      </c>
      <c r="AG2" s="80">
        <f t="shared" si="0"/>
        <v>31</v>
      </c>
      <c r="AH2" s="80">
        <f t="shared" si="0"/>
        <v>32</v>
      </c>
      <c r="AI2" s="80">
        <f t="shared" si="0"/>
        <v>33</v>
      </c>
      <c r="AJ2" s="80">
        <f t="shared" si="0"/>
        <v>34</v>
      </c>
      <c r="AK2" s="80">
        <f t="shared" si="0"/>
        <v>35</v>
      </c>
      <c r="AL2" s="80">
        <f t="shared" si="0"/>
        <v>36</v>
      </c>
      <c r="AM2" s="80">
        <f t="shared" si="0"/>
        <v>37</v>
      </c>
      <c r="AN2" s="80">
        <f t="shared" si="0"/>
        <v>38</v>
      </c>
      <c r="AO2" s="80">
        <f t="shared" si="0"/>
        <v>39</v>
      </c>
      <c r="AP2" s="80">
        <f t="shared" si="0"/>
        <v>40</v>
      </c>
      <c r="AQ2" s="80">
        <f t="shared" si="0"/>
        <v>41</v>
      </c>
      <c r="AR2" s="80">
        <f t="shared" si="0"/>
        <v>42</v>
      </c>
      <c r="AS2" s="80">
        <f t="shared" si="0"/>
        <v>43</v>
      </c>
      <c r="AT2" s="80">
        <f t="shared" si="0"/>
        <v>44</v>
      </c>
      <c r="AU2" s="80">
        <f t="shared" si="0"/>
        <v>45</v>
      </c>
      <c r="AV2" s="80">
        <f t="shared" si="0"/>
        <v>46</v>
      </c>
    </row>
    <row r="3" spans="1:48">
      <c r="A3" s="80">
        <v>2</v>
      </c>
      <c r="B3" s="82" t="s">
        <v>3863</v>
      </c>
      <c r="C3" s="80" t="s">
        <v>627</v>
      </c>
      <c r="D3" s="80" t="s">
        <v>650</v>
      </c>
      <c r="E3" s="81" t="s">
        <v>666</v>
      </c>
      <c r="F3" s="80" t="s">
        <v>693</v>
      </c>
      <c r="G3" s="80" t="s">
        <v>577</v>
      </c>
      <c r="H3" s="83" t="s">
        <v>676</v>
      </c>
      <c r="I3" s="80" t="s">
        <v>676</v>
      </c>
      <c r="J3" s="80" t="s">
        <v>3863</v>
      </c>
      <c r="K3" s="81" t="s">
        <v>814</v>
      </c>
      <c r="L3" s="81" t="s">
        <v>824</v>
      </c>
      <c r="M3" s="82" t="s">
        <v>3863</v>
      </c>
      <c r="N3" s="81" t="s">
        <v>329</v>
      </c>
      <c r="O3" s="81" t="s">
        <v>2833</v>
      </c>
      <c r="P3" s="81" t="s">
        <v>3740</v>
      </c>
      <c r="Q3" s="81" t="s">
        <v>814</v>
      </c>
      <c r="R3" s="81" t="s">
        <v>2866</v>
      </c>
      <c r="S3" s="81" t="s">
        <v>2488</v>
      </c>
      <c r="T3" s="81" t="s">
        <v>2885</v>
      </c>
      <c r="U3" s="80" t="s">
        <v>577</v>
      </c>
      <c r="V3" s="81" t="s">
        <v>1201</v>
      </c>
      <c r="W3" s="81" t="s">
        <v>2895</v>
      </c>
      <c r="X3" s="80" t="s">
        <v>3135</v>
      </c>
      <c r="Y3" s="80" t="s">
        <v>2247</v>
      </c>
      <c r="Z3" s="80" t="s">
        <v>2912</v>
      </c>
      <c r="AA3" s="80" t="s">
        <v>1960</v>
      </c>
      <c r="AB3" s="81" t="s">
        <v>3863</v>
      </c>
      <c r="AC3" s="81" t="s">
        <v>1522</v>
      </c>
      <c r="AD3" s="80" t="s">
        <v>2942</v>
      </c>
      <c r="AE3" s="81" t="s">
        <v>1960</v>
      </c>
      <c r="AF3" s="81" t="s">
        <v>577</v>
      </c>
      <c r="AG3" s="81" t="s">
        <v>1300</v>
      </c>
      <c r="AH3" s="81" t="s">
        <v>2962</v>
      </c>
      <c r="AI3" s="81" t="s">
        <v>577</v>
      </c>
      <c r="AJ3" s="81" t="s">
        <v>577</v>
      </c>
      <c r="AK3" s="81" t="s">
        <v>2980</v>
      </c>
      <c r="AL3" s="80" t="s">
        <v>693</v>
      </c>
      <c r="AM3" s="80" t="s">
        <v>3005</v>
      </c>
      <c r="AN3" s="81" t="s">
        <v>2885</v>
      </c>
      <c r="AO3" s="80" t="s">
        <v>2912</v>
      </c>
      <c r="AP3" s="84" t="s">
        <v>577</v>
      </c>
      <c r="AQ3" s="80" t="s">
        <v>577</v>
      </c>
      <c r="AR3" s="81" t="s">
        <v>814</v>
      </c>
      <c r="AS3" s="81" t="s">
        <v>3559</v>
      </c>
      <c r="AT3" s="81" t="s">
        <v>3072</v>
      </c>
      <c r="AU3" s="81" t="s">
        <v>847</v>
      </c>
      <c r="AV3" s="81" t="s">
        <v>923</v>
      </c>
    </row>
    <row r="4" spans="1:48">
      <c r="A4" s="80">
        <v>3</v>
      </c>
      <c r="B4" s="82" t="s">
        <v>4007</v>
      </c>
      <c r="C4" s="80" t="s">
        <v>4008</v>
      </c>
      <c r="D4" s="80" t="s">
        <v>4009</v>
      </c>
      <c r="E4" s="81" t="s">
        <v>4010</v>
      </c>
      <c r="F4" s="80" t="s">
        <v>4011</v>
      </c>
      <c r="G4" s="80" t="s">
        <v>4012</v>
      </c>
      <c r="H4" s="83" t="s">
        <v>4013</v>
      </c>
      <c r="I4" s="80" t="s">
        <v>4014</v>
      </c>
      <c r="J4" s="80" t="s">
        <v>4015</v>
      </c>
      <c r="K4" s="81" t="s">
        <v>4016</v>
      </c>
      <c r="L4" s="81" t="s">
        <v>4017</v>
      </c>
      <c r="M4" s="82" t="s">
        <v>4007</v>
      </c>
      <c r="N4" s="81" t="s">
        <v>4018</v>
      </c>
      <c r="O4" s="81" t="s">
        <v>4019</v>
      </c>
      <c r="P4" s="81" t="s">
        <v>4020</v>
      </c>
      <c r="Q4" s="81" t="s">
        <v>4016</v>
      </c>
      <c r="R4" s="81" t="s">
        <v>4021</v>
      </c>
      <c r="S4" s="81" t="s">
        <v>4022</v>
      </c>
      <c r="T4" s="81" t="s">
        <v>4023</v>
      </c>
      <c r="U4" s="80" t="s">
        <v>4024</v>
      </c>
      <c r="V4" s="81" t="s">
        <v>4025</v>
      </c>
      <c r="W4" s="81" t="s">
        <v>4026</v>
      </c>
      <c r="X4" s="80" t="s">
        <v>4027</v>
      </c>
      <c r="Y4" s="80" t="s">
        <v>4028</v>
      </c>
      <c r="Z4" s="80" t="s">
        <v>4029</v>
      </c>
      <c r="AA4" s="80" t="s">
        <v>4030</v>
      </c>
      <c r="AB4" s="81" t="s">
        <v>4007</v>
      </c>
      <c r="AC4" s="81" t="s">
        <v>4031</v>
      </c>
      <c r="AD4" s="80" t="s">
        <v>4032</v>
      </c>
      <c r="AE4" s="81" t="s">
        <v>4031</v>
      </c>
      <c r="AF4" s="81" t="s">
        <v>4018</v>
      </c>
      <c r="AG4" s="81" t="s">
        <v>4033</v>
      </c>
      <c r="AH4" s="81" t="s">
        <v>4034</v>
      </c>
      <c r="AI4" s="81" t="s">
        <v>4035</v>
      </c>
      <c r="AJ4" s="81" t="s">
        <v>4035</v>
      </c>
      <c r="AK4" s="81" t="s">
        <v>4007</v>
      </c>
      <c r="AL4" s="80" t="s">
        <v>4036</v>
      </c>
      <c r="AM4" s="80" t="s">
        <v>4030</v>
      </c>
      <c r="AN4" s="81" t="s">
        <v>4037</v>
      </c>
      <c r="AO4" s="80" t="s">
        <v>4038</v>
      </c>
      <c r="AP4" s="84" t="s">
        <v>4039</v>
      </c>
      <c r="AQ4" s="80" t="s">
        <v>4039</v>
      </c>
      <c r="AR4" s="81" t="s">
        <v>4040</v>
      </c>
      <c r="AS4" s="81" t="s">
        <v>4041</v>
      </c>
      <c r="AT4" s="81" t="s">
        <v>4042</v>
      </c>
      <c r="AU4" s="81" t="s">
        <v>4043</v>
      </c>
      <c r="AV4" s="81" t="s">
        <v>4007</v>
      </c>
    </row>
    <row r="5" spans="1:48">
      <c r="A5" s="80">
        <v>4</v>
      </c>
      <c r="B5" s="82" t="s">
        <v>3846</v>
      </c>
      <c r="C5" s="80" t="s">
        <v>3866</v>
      </c>
      <c r="D5" s="80" t="s">
        <v>3866</v>
      </c>
      <c r="E5" s="81" t="s">
        <v>658</v>
      </c>
      <c r="F5" s="80" t="s">
        <v>681</v>
      </c>
      <c r="G5" s="80" t="s">
        <v>718</v>
      </c>
      <c r="H5" s="83" t="s">
        <v>673</v>
      </c>
      <c r="I5" s="80" t="s">
        <v>673</v>
      </c>
      <c r="J5" s="80" t="s">
        <v>3866</v>
      </c>
      <c r="K5" s="80" t="s">
        <v>3846</v>
      </c>
      <c r="L5" s="80" t="s">
        <v>3846</v>
      </c>
      <c r="M5" s="82" t="s">
        <v>3846</v>
      </c>
      <c r="N5" s="81" t="s">
        <v>3866</v>
      </c>
      <c r="O5" s="81" t="s">
        <v>2826</v>
      </c>
      <c r="P5" s="81" t="s">
        <v>3723</v>
      </c>
      <c r="Q5" s="81" t="s">
        <v>2844</v>
      </c>
      <c r="R5" s="81" t="s">
        <v>2854</v>
      </c>
      <c r="S5" s="81" t="s">
        <v>2471</v>
      </c>
      <c r="T5" s="81" t="s">
        <v>2879</v>
      </c>
      <c r="U5" s="80" t="s">
        <v>3866</v>
      </c>
      <c r="V5" s="81" t="s">
        <v>1190</v>
      </c>
      <c r="W5" s="81" t="s">
        <v>2891</v>
      </c>
      <c r="X5" s="80" t="s">
        <v>3119</v>
      </c>
      <c r="Y5" s="80" t="s">
        <v>2230</v>
      </c>
      <c r="Z5" s="80" t="s">
        <v>2903</v>
      </c>
      <c r="AA5" s="80" t="s">
        <v>681</v>
      </c>
      <c r="AB5" s="81" t="s">
        <v>3846</v>
      </c>
      <c r="AC5" s="81" t="s">
        <v>1505</v>
      </c>
      <c r="AD5" s="80" t="s">
        <v>2933</v>
      </c>
      <c r="AE5" s="81" t="s">
        <v>1947</v>
      </c>
      <c r="AF5" s="81" t="s">
        <v>3846</v>
      </c>
      <c r="AG5" s="81" t="s">
        <v>1283</v>
      </c>
      <c r="AH5" s="81" t="s">
        <v>2958</v>
      </c>
      <c r="AI5" s="81" t="s">
        <v>2967</v>
      </c>
      <c r="AJ5" s="81" t="s">
        <v>2967</v>
      </c>
      <c r="AK5" s="81" t="s">
        <v>2978</v>
      </c>
      <c r="AL5" s="80" t="s">
        <v>2983</v>
      </c>
      <c r="AM5" s="80" t="s">
        <v>681</v>
      </c>
      <c r="AN5" s="81" t="s">
        <v>2844</v>
      </c>
      <c r="AO5" s="80" t="s">
        <v>3027</v>
      </c>
      <c r="AP5" s="84" t="s">
        <v>2967</v>
      </c>
      <c r="AQ5" s="80" t="s">
        <v>2967</v>
      </c>
      <c r="AR5" s="80" t="s">
        <v>2844</v>
      </c>
      <c r="AS5" s="81" t="s">
        <v>3549</v>
      </c>
      <c r="AT5" s="81" t="s">
        <v>2903</v>
      </c>
      <c r="AU5" s="81" t="s">
        <v>2983</v>
      </c>
      <c r="AV5" s="80" t="s">
        <v>916</v>
      </c>
    </row>
    <row r="6" spans="1:48">
      <c r="A6" s="80">
        <v>5</v>
      </c>
      <c r="B6" s="82" t="s">
        <v>3859</v>
      </c>
      <c r="C6" s="80" t="s">
        <v>626</v>
      </c>
      <c r="D6" s="80" t="s">
        <v>1440</v>
      </c>
      <c r="E6" s="81" t="s">
        <v>665</v>
      </c>
      <c r="F6" s="80" t="s">
        <v>692</v>
      </c>
      <c r="G6" s="80" t="s">
        <v>727</v>
      </c>
      <c r="H6" s="83" t="s">
        <v>2435</v>
      </c>
      <c r="I6" s="80" t="s">
        <v>756</v>
      </c>
      <c r="J6" s="80" t="s">
        <v>3872</v>
      </c>
      <c r="K6" s="81" t="s">
        <v>3859</v>
      </c>
      <c r="L6" s="80" t="s">
        <v>626</v>
      </c>
      <c r="M6" s="82" t="s">
        <v>3859</v>
      </c>
      <c r="N6" s="81" t="s">
        <v>3872</v>
      </c>
      <c r="O6" s="81" t="s">
        <v>813</v>
      </c>
      <c r="P6" s="81" t="s">
        <v>3738</v>
      </c>
      <c r="Q6" s="81" t="s">
        <v>3872</v>
      </c>
      <c r="R6" s="81" t="s">
        <v>2865</v>
      </c>
      <c r="S6" s="81" t="s">
        <v>2486</v>
      </c>
      <c r="T6" s="81" t="s">
        <v>3872</v>
      </c>
      <c r="U6" s="80" t="s">
        <v>3872</v>
      </c>
      <c r="V6" s="81" t="s">
        <v>1199</v>
      </c>
      <c r="W6" s="81" t="s">
        <v>727</v>
      </c>
      <c r="X6" s="80" t="s">
        <v>3133</v>
      </c>
      <c r="Y6" s="80" t="s">
        <v>2245</v>
      </c>
      <c r="Z6" s="80" t="s">
        <v>2911</v>
      </c>
      <c r="AA6" s="80" t="s">
        <v>692</v>
      </c>
      <c r="AB6" s="81" t="s">
        <v>3859</v>
      </c>
      <c r="AC6" s="81" t="s">
        <v>1520</v>
      </c>
      <c r="AD6" s="80" t="s">
        <v>3872</v>
      </c>
      <c r="AE6" s="81" t="s">
        <v>692</v>
      </c>
      <c r="AF6" s="81" t="s">
        <v>3872</v>
      </c>
      <c r="AG6" s="81" t="s">
        <v>1298</v>
      </c>
      <c r="AH6" s="81" t="s">
        <v>3872</v>
      </c>
      <c r="AI6" s="81" t="s">
        <v>2974</v>
      </c>
      <c r="AJ6" s="81" t="s">
        <v>2974</v>
      </c>
      <c r="AK6" s="81" t="s">
        <v>727</v>
      </c>
      <c r="AL6" s="80" t="s">
        <v>692</v>
      </c>
      <c r="AM6" s="80" t="s">
        <v>692</v>
      </c>
      <c r="AN6" s="81" t="s">
        <v>3872</v>
      </c>
      <c r="AO6" s="80" t="s">
        <v>3872</v>
      </c>
      <c r="AP6" s="84" t="s">
        <v>3053</v>
      </c>
      <c r="AQ6" s="80" t="s">
        <v>3053</v>
      </c>
      <c r="AR6" s="81" t="s">
        <v>3872</v>
      </c>
      <c r="AS6" s="81" t="s">
        <v>3557</v>
      </c>
      <c r="AT6" s="81" t="s">
        <v>3872</v>
      </c>
      <c r="AU6" s="81" t="s">
        <v>692</v>
      </c>
      <c r="AV6" s="81" t="s">
        <v>922</v>
      </c>
    </row>
    <row r="7" spans="1:48">
      <c r="A7" s="80">
        <v>6</v>
      </c>
      <c r="B7" s="82" t="s">
        <v>3962</v>
      </c>
      <c r="C7" s="80" t="s">
        <v>161</v>
      </c>
      <c r="D7" s="80" t="s">
        <v>172</v>
      </c>
      <c r="E7" s="81" t="s">
        <v>569</v>
      </c>
      <c r="F7" s="80" t="s">
        <v>206</v>
      </c>
      <c r="G7" s="80" t="s">
        <v>142</v>
      </c>
      <c r="H7" s="83" t="s">
        <v>299</v>
      </c>
      <c r="I7" s="80" t="s">
        <v>299</v>
      </c>
      <c r="J7" s="80" t="s">
        <v>276</v>
      </c>
      <c r="K7" s="81" t="s">
        <v>94</v>
      </c>
      <c r="L7" s="80" t="s">
        <v>161</v>
      </c>
      <c r="M7" s="82" t="s">
        <v>3962</v>
      </c>
      <c r="N7" s="81" t="s">
        <v>187</v>
      </c>
      <c r="O7" s="81" t="s">
        <v>88</v>
      </c>
      <c r="P7" s="81" t="s">
        <v>3743</v>
      </c>
      <c r="Q7" s="81" t="s">
        <v>94</v>
      </c>
      <c r="R7" s="81" t="s">
        <v>213</v>
      </c>
      <c r="S7" s="81" t="s">
        <v>2491</v>
      </c>
      <c r="T7" s="81" t="s">
        <v>151</v>
      </c>
      <c r="U7" s="80" t="s">
        <v>80</v>
      </c>
      <c r="V7" s="81" t="s">
        <v>1204</v>
      </c>
      <c r="W7" s="81" t="s">
        <v>115</v>
      </c>
      <c r="X7" s="80" t="s">
        <v>3138</v>
      </c>
      <c r="Y7" s="80" t="s">
        <v>2250</v>
      </c>
      <c r="Z7" s="80" t="s">
        <v>137</v>
      </c>
      <c r="AA7" s="80" t="s">
        <v>196</v>
      </c>
      <c r="AB7" s="81" t="s">
        <v>287</v>
      </c>
      <c r="AC7" s="81" t="s">
        <v>1525</v>
      </c>
      <c r="AD7" s="80" t="s">
        <v>172</v>
      </c>
      <c r="AE7" s="81" t="s">
        <v>1963</v>
      </c>
      <c r="AF7" s="81" t="s">
        <v>153</v>
      </c>
      <c r="AG7" s="81" t="s">
        <v>1303</v>
      </c>
      <c r="AH7" s="81" t="s">
        <v>128</v>
      </c>
      <c r="AI7" s="81" t="s">
        <v>121</v>
      </c>
      <c r="AJ7" s="81" t="s">
        <v>121</v>
      </c>
      <c r="AK7" s="81" t="s">
        <v>153</v>
      </c>
      <c r="AL7" s="80" t="s">
        <v>206</v>
      </c>
      <c r="AM7" s="80" t="s">
        <v>196</v>
      </c>
      <c r="AN7" s="81" t="s">
        <v>3295</v>
      </c>
      <c r="AO7" s="80" t="s">
        <v>180</v>
      </c>
      <c r="AP7" s="84" t="s">
        <v>100</v>
      </c>
      <c r="AQ7" s="80" t="s">
        <v>100</v>
      </c>
      <c r="AR7" s="80" t="s">
        <v>94</v>
      </c>
      <c r="AS7" s="81" t="s">
        <v>3562</v>
      </c>
      <c r="AT7" s="81" t="s">
        <v>270</v>
      </c>
      <c r="AU7" s="81" t="s">
        <v>850</v>
      </c>
      <c r="AV7" s="81" t="s">
        <v>283</v>
      </c>
    </row>
    <row r="8" spans="1:48">
      <c r="A8" s="80">
        <v>7</v>
      </c>
      <c r="B8" s="82" t="s">
        <v>3959</v>
      </c>
      <c r="C8" s="80" t="s">
        <v>158</v>
      </c>
      <c r="D8" s="80" t="s">
        <v>97</v>
      </c>
      <c r="E8" s="81" t="s">
        <v>292</v>
      </c>
      <c r="F8" s="80" t="s">
        <v>203</v>
      </c>
      <c r="G8" s="80" t="s">
        <v>725</v>
      </c>
      <c r="H8" s="83" t="s">
        <v>2434</v>
      </c>
      <c r="I8" s="80" t="s">
        <v>755</v>
      </c>
      <c r="J8" s="80" t="s">
        <v>177</v>
      </c>
      <c r="K8" s="81" t="s">
        <v>164</v>
      </c>
      <c r="L8" s="80" t="s">
        <v>158</v>
      </c>
      <c r="M8" s="82" t="s">
        <v>3959</v>
      </c>
      <c r="N8" s="81" t="s">
        <v>831</v>
      </c>
      <c r="O8" s="81" t="s">
        <v>86</v>
      </c>
      <c r="P8" s="81" t="s">
        <v>3736</v>
      </c>
      <c r="Q8" s="81" t="s">
        <v>2847</v>
      </c>
      <c r="R8" s="81" t="s">
        <v>211</v>
      </c>
      <c r="S8" s="81" t="s">
        <v>2484</v>
      </c>
      <c r="T8" s="81" t="s">
        <v>148</v>
      </c>
      <c r="U8" s="80" t="s">
        <v>77</v>
      </c>
      <c r="V8" s="81" t="s">
        <v>164</v>
      </c>
      <c r="W8" s="81" t="s">
        <v>114</v>
      </c>
      <c r="X8" s="80" t="s">
        <v>3132</v>
      </c>
      <c r="Y8" s="80" t="s">
        <v>2243</v>
      </c>
      <c r="Z8" s="80" t="s">
        <v>2909</v>
      </c>
      <c r="AA8" s="80" t="s">
        <v>193</v>
      </c>
      <c r="AB8" s="81" t="s">
        <v>77</v>
      </c>
      <c r="AC8" s="81" t="s">
        <v>1518</v>
      </c>
      <c r="AD8" s="80" t="s">
        <v>114</v>
      </c>
      <c r="AE8" s="81" t="s">
        <v>1957</v>
      </c>
      <c r="AF8" s="81" t="s">
        <v>158</v>
      </c>
      <c r="AG8" s="81" t="s">
        <v>1296</v>
      </c>
      <c r="AH8" s="81" t="s">
        <v>125</v>
      </c>
      <c r="AI8" s="81" t="s">
        <v>97</v>
      </c>
      <c r="AJ8" s="81" t="s">
        <v>97</v>
      </c>
      <c r="AK8" s="81" t="s">
        <v>114</v>
      </c>
      <c r="AL8" s="80" t="s">
        <v>2987</v>
      </c>
      <c r="AM8" s="80" t="s">
        <v>193</v>
      </c>
      <c r="AN8" s="81" t="s">
        <v>3290</v>
      </c>
      <c r="AO8" s="80" t="s">
        <v>177</v>
      </c>
      <c r="AP8" s="84" t="s">
        <v>3051</v>
      </c>
      <c r="AQ8" s="80" t="s">
        <v>97</v>
      </c>
      <c r="AR8" s="80" t="s">
        <v>1667</v>
      </c>
      <c r="AS8" s="81" t="s">
        <v>3042</v>
      </c>
      <c r="AT8" s="81" t="s">
        <v>267</v>
      </c>
      <c r="AU8" s="81" t="s">
        <v>844</v>
      </c>
      <c r="AV8" s="81" t="s">
        <v>280</v>
      </c>
    </row>
    <row r="9" spans="1:48">
      <c r="A9" s="80">
        <v>8</v>
      </c>
      <c r="B9" s="82" t="s">
        <v>3865</v>
      </c>
      <c r="C9" s="80" t="s">
        <v>630</v>
      </c>
      <c r="D9" s="80" t="s">
        <v>651</v>
      </c>
      <c r="E9" s="81" t="s">
        <v>570</v>
      </c>
      <c r="F9" s="80" t="s">
        <v>696</v>
      </c>
      <c r="G9" s="80" t="s">
        <v>730</v>
      </c>
      <c r="H9" s="83" t="s">
        <v>678</v>
      </c>
      <c r="I9" s="80" t="s">
        <v>678</v>
      </c>
      <c r="J9" s="80" t="s">
        <v>784</v>
      </c>
      <c r="K9" s="81" t="s">
        <v>3865</v>
      </c>
      <c r="L9" s="80" t="s">
        <v>630</v>
      </c>
      <c r="M9" s="82" t="s">
        <v>3865</v>
      </c>
      <c r="N9" s="81" t="s">
        <v>3865</v>
      </c>
      <c r="O9" s="81" t="s">
        <v>630</v>
      </c>
      <c r="P9" s="81" t="s">
        <v>3746</v>
      </c>
      <c r="Q9" s="81" t="s">
        <v>3865</v>
      </c>
      <c r="R9" s="81" t="s">
        <v>2870</v>
      </c>
      <c r="S9" s="81" t="s">
        <v>2494</v>
      </c>
      <c r="T9" s="81" t="s">
        <v>3865</v>
      </c>
      <c r="U9" s="80" t="s">
        <v>3865</v>
      </c>
      <c r="V9" s="81" t="s">
        <v>3865</v>
      </c>
      <c r="W9" s="81" t="s">
        <v>2897</v>
      </c>
      <c r="X9" s="80" t="s">
        <v>3141</v>
      </c>
      <c r="Y9" s="80" t="s">
        <v>2253</v>
      </c>
      <c r="Z9" s="80" t="s">
        <v>2915</v>
      </c>
      <c r="AA9" s="80" t="s">
        <v>3008</v>
      </c>
      <c r="AB9" s="81" t="s">
        <v>3865</v>
      </c>
      <c r="AC9" s="81" t="s">
        <v>1528</v>
      </c>
      <c r="AD9" s="80" t="s">
        <v>2946</v>
      </c>
      <c r="AE9" s="81" t="s">
        <v>696</v>
      </c>
      <c r="AF9" s="81" t="s">
        <v>3865</v>
      </c>
      <c r="AG9" s="81" t="s">
        <v>1305</v>
      </c>
      <c r="AH9" s="81" t="s">
        <v>3865</v>
      </c>
      <c r="AI9" s="81" t="s">
        <v>3865</v>
      </c>
      <c r="AJ9" s="81" t="s">
        <v>3865</v>
      </c>
      <c r="AK9" s="81" t="s">
        <v>3865</v>
      </c>
      <c r="AL9" s="80" t="s">
        <v>696</v>
      </c>
      <c r="AM9" s="80" t="s">
        <v>3008</v>
      </c>
      <c r="AN9" s="81" t="s">
        <v>784</v>
      </c>
      <c r="AO9" s="80" t="s">
        <v>784</v>
      </c>
      <c r="AP9" s="84" t="s">
        <v>3865</v>
      </c>
      <c r="AQ9" s="80" t="s">
        <v>3865</v>
      </c>
      <c r="AR9" s="81" t="s">
        <v>3865</v>
      </c>
      <c r="AS9" s="81" t="s">
        <v>3564</v>
      </c>
      <c r="AT9" s="81" t="s">
        <v>3073</v>
      </c>
      <c r="AU9" s="81" t="s">
        <v>852</v>
      </c>
      <c r="AV9" s="81" t="s">
        <v>926</v>
      </c>
    </row>
    <row r="10" spans="1:48">
      <c r="A10" s="80">
        <v>9</v>
      </c>
      <c r="B10" s="82" t="s">
        <v>3854</v>
      </c>
      <c r="C10" s="80" t="s">
        <v>625</v>
      </c>
      <c r="D10" s="80" t="s">
        <v>3854</v>
      </c>
      <c r="E10" s="81" t="s">
        <v>567</v>
      </c>
      <c r="F10" s="80" t="s">
        <v>689</v>
      </c>
      <c r="G10" s="80" t="s">
        <v>3854</v>
      </c>
      <c r="H10" s="83" t="s">
        <v>2432</v>
      </c>
      <c r="I10" s="80" t="s">
        <v>1688</v>
      </c>
      <c r="J10" s="80" t="s">
        <v>781</v>
      </c>
      <c r="K10" s="81" t="s">
        <v>812</v>
      </c>
      <c r="L10" s="80" t="s">
        <v>625</v>
      </c>
      <c r="M10" s="82" t="s">
        <v>3854</v>
      </c>
      <c r="N10" s="81" t="s">
        <v>3854</v>
      </c>
      <c r="O10" s="81" t="s">
        <v>2831</v>
      </c>
      <c r="P10" s="81" t="s">
        <v>3734</v>
      </c>
      <c r="Q10" s="81" t="s">
        <v>812</v>
      </c>
      <c r="R10" s="81" t="s">
        <v>2862</v>
      </c>
      <c r="S10" s="81" t="s">
        <v>2482</v>
      </c>
      <c r="T10" s="81" t="s">
        <v>2882</v>
      </c>
      <c r="U10" s="80" t="s">
        <v>3854</v>
      </c>
      <c r="V10" s="81" t="s">
        <v>1198</v>
      </c>
      <c r="W10" s="81" t="s">
        <v>649</v>
      </c>
      <c r="X10" s="80" t="s">
        <v>3130</v>
      </c>
      <c r="Y10" s="80" t="s">
        <v>2241</v>
      </c>
      <c r="Z10" s="80" t="s">
        <v>781</v>
      </c>
      <c r="AA10" s="80" t="s">
        <v>1372</v>
      </c>
      <c r="AB10" s="81" t="s">
        <v>3854</v>
      </c>
      <c r="AC10" s="81" t="s">
        <v>1516</v>
      </c>
      <c r="AD10" s="80" t="s">
        <v>2940</v>
      </c>
      <c r="AE10" s="81" t="s">
        <v>1956</v>
      </c>
      <c r="AF10" s="81" t="s">
        <v>3854</v>
      </c>
      <c r="AG10" s="81" t="s">
        <v>1294</v>
      </c>
      <c r="AH10" s="81" t="s">
        <v>3854</v>
      </c>
      <c r="AI10" s="81" t="s">
        <v>2972</v>
      </c>
      <c r="AJ10" s="81" t="s">
        <v>1154</v>
      </c>
      <c r="AK10" s="81" t="s">
        <v>3854</v>
      </c>
      <c r="AL10" s="80" t="s">
        <v>689</v>
      </c>
      <c r="AM10" s="80" t="s">
        <v>3003</v>
      </c>
      <c r="AN10" s="81" t="s">
        <v>2972</v>
      </c>
      <c r="AO10" s="80" t="s">
        <v>3029</v>
      </c>
      <c r="AP10" s="84" t="s">
        <v>3854</v>
      </c>
      <c r="AQ10" s="80" t="s">
        <v>3854</v>
      </c>
      <c r="AR10" s="81" t="s">
        <v>812</v>
      </c>
      <c r="AS10" s="81" t="s">
        <v>3040</v>
      </c>
      <c r="AT10" s="81" t="s">
        <v>3070</v>
      </c>
      <c r="AU10" s="81" t="s">
        <v>843</v>
      </c>
      <c r="AV10" s="81" t="s">
        <v>3083</v>
      </c>
    </row>
    <row r="11" spans="1:48">
      <c r="A11" s="80">
        <v>10</v>
      </c>
      <c r="B11" s="82" t="s">
        <v>4044</v>
      </c>
      <c r="C11" s="80" t="s">
        <v>4044</v>
      </c>
      <c r="D11" s="80" t="s">
        <v>4045</v>
      </c>
      <c r="E11" s="81" t="s">
        <v>4046</v>
      </c>
      <c r="F11" s="80" t="s">
        <v>4047</v>
      </c>
      <c r="G11" s="80" t="s">
        <v>4048</v>
      </c>
      <c r="H11" s="83" t="s">
        <v>4049</v>
      </c>
      <c r="I11" s="80" t="s">
        <v>4050</v>
      </c>
      <c r="J11" s="80" t="s">
        <v>4051</v>
      </c>
      <c r="K11" s="81" t="s">
        <v>4044</v>
      </c>
      <c r="L11" s="80" t="s">
        <v>4044</v>
      </c>
      <c r="M11" s="82" t="s">
        <v>4044</v>
      </c>
      <c r="N11" s="81" t="s">
        <v>4052</v>
      </c>
      <c r="O11" s="81" t="s">
        <v>4053</v>
      </c>
      <c r="P11" s="81" t="s">
        <v>4054</v>
      </c>
      <c r="Q11" s="81" t="s">
        <v>4055</v>
      </c>
      <c r="R11" s="81" t="s">
        <v>4056</v>
      </c>
      <c r="S11" s="81" t="s">
        <v>4057</v>
      </c>
      <c r="T11" s="81" t="s">
        <v>4044</v>
      </c>
      <c r="U11" s="80" t="s">
        <v>4052</v>
      </c>
      <c r="V11" s="81" t="s">
        <v>4058</v>
      </c>
      <c r="W11" s="81" t="s">
        <v>4044</v>
      </c>
      <c r="X11" s="80" t="s">
        <v>4059</v>
      </c>
      <c r="Y11" s="80" t="s">
        <v>4060</v>
      </c>
      <c r="Z11" s="80" t="s">
        <v>4051</v>
      </c>
      <c r="AA11" s="80" t="s">
        <v>4061</v>
      </c>
      <c r="AB11" s="81" t="s">
        <v>4044</v>
      </c>
      <c r="AC11" s="81"/>
      <c r="AD11" s="80" t="s">
        <v>4062</v>
      </c>
      <c r="AE11" s="81"/>
      <c r="AF11" s="81" t="s">
        <v>4044</v>
      </c>
      <c r="AG11" s="81" t="s">
        <v>4063</v>
      </c>
      <c r="AH11" s="81" t="s">
        <v>4052</v>
      </c>
      <c r="AI11" s="81" t="s">
        <v>4064</v>
      </c>
      <c r="AJ11" s="81" t="s">
        <v>4064</v>
      </c>
      <c r="AK11" s="81" t="s">
        <v>4065</v>
      </c>
      <c r="AL11" s="80" t="s">
        <v>4047</v>
      </c>
      <c r="AM11" s="80" t="s">
        <v>4061</v>
      </c>
      <c r="AN11" s="81" t="s">
        <v>4066</v>
      </c>
      <c r="AO11" s="80" t="s">
        <v>4051</v>
      </c>
      <c r="AP11" s="84" t="s">
        <v>4044</v>
      </c>
      <c r="AQ11" s="80" t="s">
        <v>4044</v>
      </c>
      <c r="AR11" s="80" t="s">
        <v>4044</v>
      </c>
      <c r="AS11" s="81" t="s">
        <v>4067</v>
      </c>
      <c r="AT11" s="81" t="s">
        <v>4068</v>
      </c>
      <c r="AU11" s="81" t="s">
        <v>4069</v>
      </c>
      <c r="AV11" s="81" t="s">
        <v>4044</v>
      </c>
    </row>
    <row r="12" spans="1:48">
      <c r="A12" s="80">
        <v>11</v>
      </c>
      <c r="B12" s="82" t="s">
        <v>61</v>
      </c>
      <c r="C12" s="80" t="s">
        <v>621</v>
      </c>
      <c r="D12" s="80" t="s">
        <v>1436</v>
      </c>
      <c r="E12" s="81" t="s">
        <v>294</v>
      </c>
      <c r="F12" s="80" t="s">
        <v>205</v>
      </c>
      <c r="G12" s="80" t="s">
        <v>141</v>
      </c>
      <c r="H12" s="83" t="s">
        <v>2427</v>
      </c>
      <c r="I12" s="80" t="s">
        <v>749</v>
      </c>
      <c r="J12" s="80" t="s">
        <v>275</v>
      </c>
      <c r="K12" s="81" t="s">
        <v>166</v>
      </c>
      <c r="L12" s="80" t="s">
        <v>160</v>
      </c>
      <c r="M12" s="82" t="s">
        <v>61</v>
      </c>
      <c r="N12" s="81" t="s">
        <v>186</v>
      </c>
      <c r="O12" s="81" t="s">
        <v>87</v>
      </c>
      <c r="P12" s="81" t="s">
        <v>3729</v>
      </c>
      <c r="Q12" s="81" t="s">
        <v>93</v>
      </c>
      <c r="R12" s="81" t="s">
        <v>2858</v>
      </c>
      <c r="S12" s="81" t="s">
        <v>2477</v>
      </c>
      <c r="T12" s="81" t="s">
        <v>150</v>
      </c>
      <c r="U12" s="80" t="s">
        <v>81</v>
      </c>
      <c r="V12" s="81" t="s">
        <v>1195</v>
      </c>
      <c r="W12" s="81" t="s">
        <v>99</v>
      </c>
      <c r="X12" s="80" t="s">
        <v>3125</v>
      </c>
      <c r="Y12" s="80" t="s">
        <v>2236</v>
      </c>
      <c r="Z12" s="80" t="s">
        <v>136</v>
      </c>
      <c r="AA12" s="80" t="s">
        <v>1369</v>
      </c>
      <c r="AB12" s="81" t="s">
        <v>61</v>
      </c>
      <c r="AC12" s="81" t="s">
        <v>1511</v>
      </c>
      <c r="AD12" s="80" t="s">
        <v>171</v>
      </c>
      <c r="AE12" s="81" t="s">
        <v>1952</v>
      </c>
      <c r="AF12" s="81" t="s">
        <v>1103</v>
      </c>
      <c r="AG12" s="81" t="s">
        <v>1289</v>
      </c>
      <c r="AH12" s="81" t="s">
        <v>127</v>
      </c>
      <c r="AI12" s="81" t="s">
        <v>120</v>
      </c>
      <c r="AJ12" s="81" t="s">
        <v>120</v>
      </c>
      <c r="AK12" s="81" t="s">
        <v>99</v>
      </c>
      <c r="AL12" s="80" t="s">
        <v>215</v>
      </c>
      <c r="AM12" s="80" t="s">
        <v>195</v>
      </c>
      <c r="AN12" s="81" t="s">
        <v>3286</v>
      </c>
      <c r="AO12" s="80" t="s">
        <v>179</v>
      </c>
      <c r="AP12" s="84" t="s">
        <v>99</v>
      </c>
      <c r="AQ12" s="80" t="s">
        <v>99</v>
      </c>
      <c r="AR12" s="80" t="s">
        <v>1666</v>
      </c>
      <c r="AS12" s="81" t="s">
        <v>3552</v>
      </c>
      <c r="AT12" s="81" t="s">
        <v>269</v>
      </c>
      <c r="AU12" s="81" t="s">
        <v>840</v>
      </c>
      <c r="AV12" s="81" t="s">
        <v>282</v>
      </c>
    </row>
    <row r="13" spans="1:48">
      <c r="A13" s="80">
        <v>12</v>
      </c>
      <c r="B13" s="82" t="s">
        <v>2279</v>
      </c>
      <c r="C13" s="80" t="s">
        <v>628</v>
      </c>
      <c r="D13" s="80" t="s">
        <v>1441</v>
      </c>
      <c r="E13" s="81" t="s">
        <v>667</v>
      </c>
      <c r="F13" s="80" t="s">
        <v>694</v>
      </c>
      <c r="G13" s="80" t="s">
        <v>728</v>
      </c>
      <c r="H13" s="83" t="s">
        <v>2436</v>
      </c>
      <c r="I13" s="80" t="s">
        <v>2436</v>
      </c>
      <c r="J13" s="80" t="s">
        <v>783</v>
      </c>
      <c r="K13" s="81" t="s">
        <v>815</v>
      </c>
      <c r="L13" s="80" t="s">
        <v>825</v>
      </c>
      <c r="M13" s="82" t="s">
        <v>2279</v>
      </c>
      <c r="N13" s="81" t="s">
        <v>833</v>
      </c>
      <c r="O13" s="81" t="s">
        <v>2834</v>
      </c>
      <c r="P13" s="81" t="s">
        <v>3741</v>
      </c>
      <c r="Q13" s="81" t="s">
        <v>1027</v>
      </c>
      <c r="R13" s="81" t="s">
        <v>2867</v>
      </c>
      <c r="S13" s="81" t="s">
        <v>2489</v>
      </c>
      <c r="T13" s="81" t="s">
        <v>2886</v>
      </c>
      <c r="U13" s="80" t="s">
        <v>578</v>
      </c>
      <c r="V13" s="81" t="s">
        <v>1202</v>
      </c>
      <c r="W13" s="81" t="s">
        <v>2896</v>
      </c>
      <c r="X13" s="80" t="s">
        <v>3136</v>
      </c>
      <c r="Y13" s="80" t="s">
        <v>2248</v>
      </c>
      <c r="Z13" s="80" t="s">
        <v>2913</v>
      </c>
      <c r="AA13" s="80" t="s">
        <v>1374</v>
      </c>
      <c r="AB13" s="81" t="s">
        <v>2279</v>
      </c>
      <c r="AC13" s="81" t="s">
        <v>1523</v>
      </c>
      <c r="AD13" s="80" t="s">
        <v>2943</v>
      </c>
      <c r="AE13" s="81" t="s">
        <v>1961</v>
      </c>
      <c r="AF13" s="81" t="s">
        <v>815</v>
      </c>
      <c r="AG13" s="81" t="s">
        <v>1301</v>
      </c>
      <c r="AH13" s="81" t="s">
        <v>3186</v>
      </c>
      <c r="AI13" s="81" t="s">
        <v>2975</v>
      </c>
      <c r="AJ13" s="81" t="s">
        <v>2975</v>
      </c>
      <c r="AK13" s="80" t="s">
        <v>2069</v>
      </c>
      <c r="AL13" s="80" t="s">
        <v>2988</v>
      </c>
      <c r="AM13" s="80" t="s">
        <v>3006</v>
      </c>
      <c r="AN13" s="81" t="s">
        <v>3293</v>
      </c>
      <c r="AO13" s="80" t="s">
        <v>3031</v>
      </c>
      <c r="AP13" s="84" t="s">
        <v>3054</v>
      </c>
      <c r="AQ13" s="80" t="s">
        <v>3054</v>
      </c>
      <c r="AR13" s="81" t="s">
        <v>1668</v>
      </c>
      <c r="AS13" s="81" t="s">
        <v>3560</v>
      </c>
      <c r="AT13" s="81" t="s">
        <v>2806</v>
      </c>
      <c r="AU13" s="81" t="s">
        <v>848</v>
      </c>
      <c r="AV13" s="81" t="s">
        <v>3086</v>
      </c>
    </row>
    <row r="14" spans="1:48">
      <c r="A14" s="80">
        <v>13</v>
      </c>
      <c r="B14" s="82" t="s">
        <v>3858</v>
      </c>
      <c r="C14" s="80" t="s">
        <v>3858</v>
      </c>
      <c r="D14" s="80" t="s">
        <v>2961</v>
      </c>
      <c r="E14" s="81" t="s">
        <v>664</v>
      </c>
      <c r="F14" s="80" t="s">
        <v>691</v>
      </c>
      <c r="G14" s="80" t="s">
        <v>726</v>
      </c>
      <c r="H14" s="83" t="s">
        <v>675</v>
      </c>
      <c r="I14" s="80" t="s">
        <v>675</v>
      </c>
      <c r="J14" s="80" t="s">
        <v>3858</v>
      </c>
      <c r="K14" s="81" t="s">
        <v>3858</v>
      </c>
      <c r="L14" s="80" t="s">
        <v>3858</v>
      </c>
      <c r="M14" s="82" t="s">
        <v>3858</v>
      </c>
      <c r="N14" s="81" t="s">
        <v>832</v>
      </c>
      <c r="O14" s="81" t="s">
        <v>2832</v>
      </c>
      <c r="P14" s="81" t="s">
        <v>3737</v>
      </c>
      <c r="Q14" s="81" t="s">
        <v>3858</v>
      </c>
      <c r="R14" s="81" t="s">
        <v>2864</v>
      </c>
      <c r="S14" s="81" t="s">
        <v>2485</v>
      </c>
      <c r="T14" s="81" t="s">
        <v>2884</v>
      </c>
      <c r="U14" s="80" t="s">
        <v>3871</v>
      </c>
      <c r="V14" s="81" t="s">
        <v>3858</v>
      </c>
      <c r="W14" s="81" t="s">
        <v>2894</v>
      </c>
      <c r="X14" s="80" t="s">
        <v>675</v>
      </c>
      <c r="Y14" s="80" t="s">
        <v>2244</v>
      </c>
      <c r="Z14" s="80" t="s">
        <v>2910</v>
      </c>
      <c r="AA14" s="80" t="s">
        <v>1373</v>
      </c>
      <c r="AB14" s="81" t="s">
        <v>2931</v>
      </c>
      <c r="AC14" s="81" t="s">
        <v>1519</v>
      </c>
      <c r="AD14" s="80" t="s">
        <v>2941</v>
      </c>
      <c r="AE14" s="81" t="s">
        <v>1958</v>
      </c>
      <c r="AF14" s="81" t="s">
        <v>3858</v>
      </c>
      <c r="AG14" s="81" t="s">
        <v>1297</v>
      </c>
      <c r="AH14" s="81" t="s">
        <v>2961</v>
      </c>
      <c r="AI14" s="81" t="s">
        <v>2973</v>
      </c>
      <c r="AJ14" s="81" t="s">
        <v>2973</v>
      </c>
      <c r="AK14" s="80" t="s">
        <v>2961</v>
      </c>
      <c r="AL14" s="80" t="s">
        <v>691</v>
      </c>
      <c r="AM14" s="80" t="s">
        <v>3004</v>
      </c>
      <c r="AN14" s="81" t="s">
        <v>3291</v>
      </c>
      <c r="AO14" s="80" t="s">
        <v>3030</v>
      </c>
      <c r="AP14" s="84" t="s">
        <v>3052</v>
      </c>
      <c r="AQ14" s="80" t="s">
        <v>3052</v>
      </c>
      <c r="AR14" s="81" t="s">
        <v>3858</v>
      </c>
      <c r="AS14" s="81" t="s">
        <v>3556</v>
      </c>
      <c r="AT14" s="81" t="s">
        <v>3071</v>
      </c>
      <c r="AU14" s="81" t="s">
        <v>845</v>
      </c>
      <c r="AV14" s="81" t="s">
        <v>3084</v>
      </c>
    </row>
    <row r="15" spans="1:48">
      <c r="A15" s="80">
        <v>14</v>
      </c>
      <c r="B15" s="82" t="s">
        <v>3847</v>
      </c>
      <c r="C15" s="80" t="s">
        <v>3847</v>
      </c>
      <c r="D15" s="80" t="s">
        <v>719</v>
      </c>
      <c r="E15" s="81" t="s">
        <v>564</v>
      </c>
      <c r="F15" s="80" t="s">
        <v>682</v>
      </c>
      <c r="G15" s="80" t="s">
        <v>719</v>
      </c>
      <c r="H15" s="83" t="s">
        <v>2423</v>
      </c>
      <c r="I15" s="80" t="s">
        <v>745</v>
      </c>
      <c r="J15" s="80" t="s">
        <v>776</v>
      </c>
      <c r="K15" s="81" t="s">
        <v>3847</v>
      </c>
      <c r="L15" s="80" t="s">
        <v>3847</v>
      </c>
      <c r="M15" s="82" t="s">
        <v>3847</v>
      </c>
      <c r="N15" s="81" t="s">
        <v>3847</v>
      </c>
      <c r="O15" s="81" t="s">
        <v>3847</v>
      </c>
      <c r="P15" s="81" t="s">
        <v>3724</v>
      </c>
      <c r="Q15" s="81" t="s">
        <v>3847</v>
      </c>
      <c r="R15" s="81" t="s">
        <v>2855</v>
      </c>
      <c r="S15" s="81" t="s">
        <v>2472</v>
      </c>
      <c r="T15" s="81" t="s">
        <v>648</v>
      </c>
      <c r="U15" s="80" t="s">
        <v>3847</v>
      </c>
      <c r="V15" s="81" t="s">
        <v>1191</v>
      </c>
      <c r="W15" s="81" t="s">
        <v>3847</v>
      </c>
      <c r="X15" s="80" t="s">
        <v>3120</v>
      </c>
      <c r="Y15" s="80" t="s">
        <v>2231</v>
      </c>
      <c r="Z15" s="80" t="s">
        <v>2904</v>
      </c>
      <c r="AA15" s="80" t="s">
        <v>2997</v>
      </c>
      <c r="AB15" s="81" t="s">
        <v>3847</v>
      </c>
      <c r="AC15" s="81" t="s">
        <v>1506</v>
      </c>
      <c r="AD15" s="80" t="s">
        <v>2934</v>
      </c>
      <c r="AE15" s="81" t="s">
        <v>1948</v>
      </c>
      <c r="AF15" s="81" t="s">
        <v>3847</v>
      </c>
      <c r="AG15" s="81" t="s">
        <v>1284</v>
      </c>
      <c r="AH15" s="81" t="s">
        <v>3182</v>
      </c>
      <c r="AI15" s="81" t="s">
        <v>719</v>
      </c>
      <c r="AJ15" s="81" t="s">
        <v>719</v>
      </c>
      <c r="AK15" s="80" t="s">
        <v>3847</v>
      </c>
      <c r="AL15" s="80" t="s">
        <v>682</v>
      </c>
      <c r="AM15" s="80" t="s">
        <v>2997</v>
      </c>
      <c r="AN15" s="81" t="s">
        <v>648</v>
      </c>
      <c r="AO15" s="80" t="s">
        <v>776</v>
      </c>
      <c r="AP15" s="84" t="s">
        <v>3847</v>
      </c>
      <c r="AQ15" s="80" t="s">
        <v>3847</v>
      </c>
      <c r="AR15" s="81" t="s">
        <v>3847</v>
      </c>
      <c r="AS15" s="81" t="s">
        <v>3550</v>
      </c>
      <c r="AT15" s="81" t="s">
        <v>3847</v>
      </c>
      <c r="AU15" s="81" t="s">
        <v>682</v>
      </c>
      <c r="AV15" s="81" t="s">
        <v>3847</v>
      </c>
    </row>
    <row r="16" spans="1:48">
      <c r="A16" s="80">
        <v>15</v>
      </c>
      <c r="B16" s="82" t="s">
        <v>4070</v>
      </c>
      <c r="C16" s="80" t="s">
        <v>4070</v>
      </c>
      <c r="D16" s="80" t="s">
        <v>4071</v>
      </c>
      <c r="E16" s="81" t="s">
        <v>4072</v>
      </c>
      <c r="F16" s="80" t="s">
        <v>4070</v>
      </c>
      <c r="G16" s="80" t="s">
        <v>4070</v>
      </c>
      <c r="H16" s="83" t="s">
        <v>4073</v>
      </c>
      <c r="I16" s="81" t="s">
        <v>4074</v>
      </c>
      <c r="J16" s="80" t="s">
        <v>4075</v>
      </c>
      <c r="K16" s="81" t="s">
        <v>4070</v>
      </c>
      <c r="L16" s="80" t="s">
        <v>4070</v>
      </c>
      <c r="M16" s="82" t="s">
        <v>4070</v>
      </c>
      <c r="N16" s="81" t="s">
        <v>4070</v>
      </c>
      <c r="O16" s="81" t="s">
        <v>4070</v>
      </c>
      <c r="P16" s="81" t="s">
        <v>4076</v>
      </c>
      <c r="Q16" s="81" t="s">
        <v>4070</v>
      </c>
      <c r="R16" s="81" t="s">
        <v>4077</v>
      </c>
      <c r="S16" s="81" t="s">
        <v>4078</v>
      </c>
      <c r="T16" s="81" t="s">
        <v>4070</v>
      </c>
      <c r="U16" s="80" t="s">
        <v>4071</v>
      </c>
      <c r="V16" s="81" t="s">
        <v>4070</v>
      </c>
      <c r="W16" s="81" t="s">
        <v>4070</v>
      </c>
      <c r="X16" s="80" t="s">
        <v>4079</v>
      </c>
      <c r="Y16" s="80" t="s">
        <v>4080</v>
      </c>
      <c r="Z16" s="80" t="s">
        <v>4071</v>
      </c>
      <c r="AA16" s="80" t="s">
        <v>4081</v>
      </c>
      <c r="AB16" s="81" t="s">
        <v>4070</v>
      </c>
      <c r="AC16" s="81"/>
      <c r="AD16" s="80" t="s">
        <v>4070</v>
      </c>
      <c r="AE16" s="81"/>
      <c r="AF16" s="81" t="s">
        <v>4070</v>
      </c>
      <c r="AG16" s="81" t="s">
        <v>4082</v>
      </c>
      <c r="AH16" s="81" t="s">
        <v>4083</v>
      </c>
      <c r="AI16" s="81" t="s">
        <v>4070</v>
      </c>
      <c r="AJ16" s="81" t="s">
        <v>4070</v>
      </c>
      <c r="AK16" s="80" t="s">
        <v>4070</v>
      </c>
      <c r="AL16" s="80" t="s">
        <v>4084</v>
      </c>
      <c r="AM16" s="80" t="s">
        <v>4081</v>
      </c>
      <c r="AN16" s="81" t="s">
        <v>4075</v>
      </c>
      <c r="AO16" s="80" t="s">
        <v>4075</v>
      </c>
      <c r="AP16" s="84" t="s">
        <v>4070</v>
      </c>
      <c r="AQ16" s="80" t="s">
        <v>4070</v>
      </c>
      <c r="AR16" s="80" t="s">
        <v>4085</v>
      </c>
      <c r="AS16" s="81" t="s">
        <v>4086</v>
      </c>
      <c r="AT16" s="81" t="s">
        <v>4075</v>
      </c>
      <c r="AU16" s="81" t="s">
        <v>4087</v>
      </c>
      <c r="AV16" s="81" t="s">
        <v>4070</v>
      </c>
    </row>
    <row r="17" spans="1:48">
      <c r="A17" s="80">
        <v>16</v>
      </c>
      <c r="B17" s="82" t="s">
        <v>3850</v>
      </c>
      <c r="C17" s="80" t="s">
        <v>622</v>
      </c>
      <c r="D17" s="80" t="s">
        <v>2960</v>
      </c>
      <c r="E17" s="81" t="s">
        <v>565</v>
      </c>
      <c r="F17" s="80" t="s">
        <v>686</v>
      </c>
      <c r="G17" s="80" t="s">
        <v>722</v>
      </c>
      <c r="H17" s="83" t="s">
        <v>2428</v>
      </c>
      <c r="I17" s="80" t="s">
        <v>750</v>
      </c>
      <c r="J17" s="80" t="s">
        <v>779</v>
      </c>
      <c r="K17" s="81" t="s">
        <v>3850</v>
      </c>
      <c r="L17" s="80" t="s">
        <v>622</v>
      </c>
      <c r="M17" s="82" t="s">
        <v>3850</v>
      </c>
      <c r="N17" s="81" t="s">
        <v>830</v>
      </c>
      <c r="O17" s="81" t="s">
        <v>2829</v>
      </c>
      <c r="P17" s="81" t="s">
        <v>3730</v>
      </c>
      <c r="Q17" s="81" t="s">
        <v>3850</v>
      </c>
      <c r="R17" s="81" t="s">
        <v>2859</v>
      </c>
      <c r="S17" s="81" t="s">
        <v>2478</v>
      </c>
      <c r="T17" s="81" t="s">
        <v>2960</v>
      </c>
      <c r="U17" s="80" t="s">
        <v>3868</v>
      </c>
      <c r="V17" s="81" t="s">
        <v>3850</v>
      </c>
      <c r="W17" s="81" t="s">
        <v>2892</v>
      </c>
      <c r="X17" s="80" t="s">
        <v>3126</v>
      </c>
      <c r="Y17" s="80" t="s">
        <v>2237</v>
      </c>
      <c r="Z17" s="80" t="s">
        <v>2906</v>
      </c>
      <c r="AA17" s="80" t="s">
        <v>1370</v>
      </c>
      <c r="AB17" s="81" t="s">
        <v>3850</v>
      </c>
      <c r="AC17" s="81" t="s">
        <v>1512</v>
      </c>
      <c r="AD17" s="80" t="s">
        <v>2938</v>
      </c>
      <c r="AE17" s="81" t="s">
        <v>1953</v>
      </c>
      <c r="AF17" s="81" t="s">
        <v>3850</v>
      </c>
      <c r="AG17" s="81" t="s">
        <v>1290</v>
      </c>
      <c r="AH17" s="81" t="s">
        <v>2960</v>
      </c>
      <c r="AI17" s="81" t="s">
        <v>2969</v>
      </c>
      <c r="AJ17" s="81" t="s">
        <v>2969</v>
      </c>
      <c r="AK17" s="80" t="s">
        <v>2960</v>
      </c>
      <c r="AL17" s="80" t="s">
        <v>686</v>
      </c>
      <c r="AM17" s="80" t="s">
        <v>3001</v>
      </c>
      <c r="AN17" s="81" t="s">
        <v>3287</v>
      </c>
      <c r="AO17" s="80" t="s">
        <v>2906</v>
      </c>
      <c r="AP17" s="84" t="s">
        <v>2969</v>
      </c>
      <c r="AQ17" s="80" t="s">
        <v>2969</v>
      </c>
      <c r="AR17" s="81" t="s">
        <v>3850</v>
      </c>
      <c r="AS17" s="81" t="s">
        <v>3553</v>
      </c>
      <c r="AT17" s="81" t="s">
        <v>2805</v>
      </c>
      <c r="AU17" s="81" t="s">
        <v>841</v>
      </c>
      <c r="AV17" s="81" t="s">
        <v>3081</v>
      </c>
    </row>
    <row r="18" spans="1:48">
      <c r="A18" s="80">
        <v>17</v>
      </c>
      <c r="B18" s="82" t="s">
        <v>3960</v>
      </c>
      <c r="C18" s="80" t="s">
        <v>157</v>
      </c>
      <c r="D18" s="80" t="s">
        <v>78</v>
      </c>
      <c r="E18" s="81" t="s">
        <v>568</v>
      </c>
      <c r="F18" s="80" t="s">
        <v>202</v>
      </c>
      <c r="G18" s="80" t="s">
        <v>140</v>
      </c>
      <c r="H18" s="83" t="s">
        <v>298</v>
      </c>
      <c r="I18" s="80" t="s">
        <v>298</v>
      </c>
      <c r="J18" s="80" t="s">
        <v>134</v>
      </c>
      <c r="K18" s="81" t="s">
        <v>91</v>
      </c>
      <c r="L18" s="80" t="s">
        <v>157</v>
      </c>
      <c r="M18" s="82" t="s">
        <v>3960</v>
      </c>
      <c r="N18" s="81" t="s">
        <v>78</v>
      </c>
      <c r="O18" s="81" t="s">
        <v>85</v>
      </c>
      <c r="P18" s="81" t="s">
        <v>3739</v>
      </c>
      <c r="Q18" s="81" t="s">
        <v>91</v>
      </c>
      <c r="R18" s="81" t="s">
        <v>210</v>
      </c>
      <c r="S18" s="81" t="s">
        <v>2487</v>
      </c>
      <c r="T18" s="81" t="s">
        <v>147</v>
      </c>
      <c r="U18" s="80" t="s">
        <v>285</v>
      </c>
      <c r="V18" s="81" t="s">
        <v>1200</v>
      </c>
      <c r="W18" s="81" t="s">
        <v>78</v>
      </c>
      <c r="X18" s="80" t="s">
        <v>3134</v>
      </c>
      <c r="Y18" s="80" t="s">
        <v>2246</v>
      </c>
      <c r="Z18" s="80" t="s">
        <v>134</v>
      </c>
      <c r="AA18" s="80" t="s">
        <v>192</v>
      </c>
      <c r="AB18" s="81" t="s">
        <v>285</v>
      </c>
      <c r="AC18" s="81" t="s">
        <v>1521</v>
      </c>
      <c r="AD18" s="80" t="s">
        <v>169</v>
      </c>
      <c r="AE18" s="81" t="s">
        <v>1959</v>
      </c>
      <c r="AF18" s="81" t="s">
        <v>78</v>
      </c>
      <c r="AG18" s="81" t="s">
        <v>1299</v>
      </c>
      <c r="AH18" s="81" t="s">
        <v>3185</v>
      </c>
      <c r="AI18" s="81" t="s">
        <v>118</v>
      </c>
      <c r="AJ18" s="81" t="s">
        <v>118</v>
      </c>
      <c r="AK18" s="80" t="s">
        <v>78</v>
      </c>
      <c r="AL18" s="80" t="s">
        <v>202</v>
      </c>
      <c r="AM18" s="80" t="s">
        <v>192</v>
      </c>
      <c r="AN18" s="81" t="s">
        <v>3292</v>
      </c>
      <c r="AO18" s="80" t="s">
        <v>134</v>
      </c>
      <c r="AP18" s="84" t="s">
        <v>78</v>
      </c>
      <c r="AQ18" s="80" t="s">
        <v>78</v>
      </c>
      <c r="AR18" s="80" t="s">
        <v>91</v>
      </c>
      <c r="AS18" s="81" t="s">
        <v>3558</v>
      </c>
      <c r="AT18" s="81" t="s">
        <v>220</v>
      </c>
      <c r="AU18" s="81" t="s">
        <v>846</v>
      </c>
      <c r="AV18" s="81" t="s">
        <v>3085</v>
      </c>
    </row>
    <row r="19" spans="1:48">
      <c r="A19" s="80">
        <v>18</v>
      </c>
      <c r="B19" s="82" t="s">
        <v>59</v>
      </c>
      <c r="C19" s="80" t="s">
        <v>629</v>
      </c>
      <c r="D19" s="80" t="s">
        <v>1442</v>
      </c>
      <c r="E19" s="81" t="s">
        <v>289</v>
      </c>
      <c r="F19" s="80" t="s">
        <v>199</v>
      </c>
      <c r="G19" s="80" t="s">
        <v>138</v>
      </c>
      <c r="H19" s="83" t="s">
        <v>296</v>
      </c>
      <c r="I19" s="80" t="s">
        <v>296</v>
      </c>
      <c r="J19" s="80" t="s">
        <v>272</v>
      </c>
      <c r="K19" s="81" t="s">
        <v>89</v>
      </c>
      <c r="L19" s="80" t="s">
        <v>155</v>
      </c>
      <c r="M19" s="82" t="s">
        <v>59</v>
      </c>
      <c r="N19" s="81" t="s">
        <v>182</v>
      </c>
      <c r="O19" s="81" t="s">
        <v>83</v>
      </c>
      <c r="P19" s="81" t="s">
        <v>3744</v>
      </c>
      <c r="Q19" s="81" t="s">
        <v>89</v>
      </c>
      <c r="R19" s="81" t="s">
        <v>208</v>
      </c>
      <c r="S19" s="81" t="s">
        <v>2492</v>
      </c>
      <c r="T19" s="81" t="s">
        <v>144</v>
      </c>
      <c r="U19" s="80" t="s">
        <v>74</v>
      </c>
      <c r="V19" s="81" t="s">
        <v>1205</v>
      </c>
      <c r="W19" s="81" t="s">
        <v>102</v>
      </c>
      <c r="X19" s="80" t="s">
        <v>3139</v>
      </c>
      <c r="Y19" s="80" t="s">
        <v>2251</v>
      </c>
      <c r="Z19" s="80" t="s">
        <v>131</v>
      </c>
      <c r="AA19" s="80" t="s">
        <v>1375</v>
      </c>
      <c r="AB19" s="81" t="s">
        <v>59</v>
      </c>
      <c r="AC19" s="81" t="s">
        <v>1526</v>
      </c>
      <c r="AD19" s="80" t="s">
        <v>102</v>
      </c>
      <c r="AE19" s="81" t="s">
        <v>1964</v>
      </c>
      <c r="AF19" s="81" t="s">
        <v>1104</v>
      </c>
      <c r="AG19" s="81" t="s">
        <v>1304</v>
      </c>
      <c r="AH19" s="81" t="s">
        <v>122</v>
      </c>
      <c r="AI19" s="81" t="s">
        <v>2371</v>
      </c>
      <c r="AJ19" s="81" t="s">
        <v>2371</v>
      </c>
      <c r="AK19" s="81" t="s">
        <v>2070</v>
      </c>
      <c r="AL19" s="80" t="s">
        <v>199</v>
      </c>
      <c r="AM19" s="80" t="s">
        <v>189</v>
      </c>
      <c r="AN19" s="81" t="s">
        <v>3296</v>
      </c>
      <c r="AO19" s="80" t="s">
        <v>174</v>
      </c>
      <c r="AP19" s="84" t="s">
        <v>95</v>
      </c>
      <c r="AQ19" s="80" t="s">
        <v>95</v>
      </c>
      <c r="AR19" s="81" t="s">
        <v>89</v>
      </c>
      <c r="AS19" s="81" t="s">
        <v>3563</v>
      </c>
      <c r="AT19" s="81" t="s">
        <v>217</v>
      </c>
      <c r="AU19" s="81" t="s">
        <v>851</v>
      </c>
      <c r="AV19" s="77" t="s">
        <v>924</v>
      </c>
    </row>
    <row r="20" spans="1:48">
      <c r="A20" s="80">
        <v>19</v>
      </c>
      <c r="B20" s="82" t="s">
        <v>4088</v>
      </c>
      <c r="C20" s="80" t="s">
        <v>4088</v>
      </c>
      <c r="D20" s="80" t="s">
        <v>4089</v>
      </c>
      <c r="E20" s="81" t="s">
        <v>4090</v>
      </c>
      <c r="F20" s="80" t="s">
        <v>4091</v>
      </c>
      <c r="G20" s="80" t="s">
        <v>4092</v>
      </c>
      <c r="H20" s="83" t="s">
        <v>4093</v>
      </c>
      <c r="I20" s="80" t="s">
        <v>4094</v>
      </c>
      <c r="J20" s="80" t="s">
        <v>4095</v>
      </c>
      <c r="K20" s="81" t="s">
        <v>4088</v>
      </c>
      <c r="L20" s="80" t="s">
        <v>4088</v>
      </c>
      <c r="M20" s="82" t="s">
        <v>4088</v>
      </c>
      <c r="N20" s="81" t="s">
        <v>4088</v>
      </c>
      <c r="O20" s="81" t="s">
        <v>4096</v>
      </c>
      <c r="P20" s="81" t="s">
        <v>4097</v>
      </c>
      <c r="Q20" s="81" t="s">
        <v>4088</v>
      </c>
      <c r="R20" s="81" t="s">
        <v>4098</v>
      </c>
      <c r="S20" s="81" t="s">
        <v>4099</v>
      </c>
      <c r="T20" s="81" t="s">
        <v>4088</v>
      </c>
      <c r="U20" s="80" t="s">
        <v>4089</v>
      </c>
      <c r="V20" s="81" t="s">
        <v>4088</v>
      </c>
      <c r="W20" s="81" t="s">
        <v>4088</v>
      </c>
      <c r="X20" s="80" t="s">
        <v>4100</v>
      </c>
      <c r="Y20" s="80" t="s">
        <v>4101</v>
      </c>
      <c r="Z20" s="80" t="s">
        <v>4102</v>
      </c>
      <c r="AA20" s="80" t="s">
        <v>4091</v>
      </c>
      <c r="AB20" s="81" t="s">
        <v>4088</v>
      </c>
      <c r="AC20" s="81"/>
      <c r="AD20" s="80" t="s">
        <v>4103</v>
      </c>
      <c r="AE20" s="81"/>
      <c r="AF20" s="81" t="s">
        <v>4088</v>
      </c>
      <c r="AG20" s="81" t="s">
        <v>4104</v>
      </c>
      <c r="AH20" s="81" t="s">
        <v>4103</v>
      </c>
      <c r="AI20" s="81" t="s">
        <v>4105</v>
      </c>
      <c r="AJ20" s="81" t="s">
        <v>4105</v>
      </c>
      <c r="AK20" s="81" t="s">
        <v>4088</v>
      </c>
      <c r="AL20" s="80" t="s">
        <v>4106</v>
      </c>
      <c r="AM20" s="80" t="s">
        <v>4091</v>
      </c>
      <c r="AN20" s="81" t="s">
        <v>4107</v>
      </c>
      <c r="AO20" s="80" t="s">
        <v>4095</v>
      </c>
      <c r="AP20" s="84" t="s">
        <v>4088</v>
      </c>
      <c r="AQ20" s="80" t="s">
        <v>4088</v>
      </c>
      <c r="AR20" s="81" t="s">
        <v>4088</v>
      </c>
      <c r="AS20" s="81" t="s">
        <v>4108</v>
      </c>
      <c r="AT20" s="81" t="s">
        <v>4095</v>
      </c>
      <c r="AU20" s="81" t="s">
        <v>4091</v>
      </c>
      <c r="AV20" s="81" t="s">
        <v>4088</v>
      </c>
    </row>
    <row r="21" spans="1:48">
      <c r="A21" s="80">
        <v>20</v>
      </c>
      <c r="B21" s="82" t="s">
        <v>62</v>
      </c>
      <c r="C21" s="80" t="s">
        <v>617</v>
      </c>
      <c r="D21" s="80" t="s">
        <v>1433</v>
      </c>
      <c r="E21" s="81" t="s">
        <v>293</v>
      </c>
      <c r="F21" s="80" t="s">
        <v>204</v>
      </c>
      <c r="G21" s="80" t="s">
        <v>119</v>
      </c>
      <c r="H21" s="83" t="s">
        <v>2424</v>
      </c>
      <c r="I21" s="80" t="s">
        <v>746</v>
      </c>
      <c r="J21" s="80" t="s">
        <v>274</v>
      </c>
      <c r="K21" s="81" t="s">
        <v>165</v>
      </c>
      <c r="L21" s="80" t="s">
        <v>159</v>
      </c>
      <c r="M21" s="82" t="s">
        <v>62</v>
      </c>
      <c r="N21" s="81" t="s">
        <v>185</v>
      </c>
      <c r="O21" s="81" t="s">
        <v>62</v>
      </c>
      <c r="P21" s="81" t="s">
        <v>3725</v>
      </c>
      <c r="Q21" s="81" t="s">
        <v>92</v>
      </c>
      <c r="R21" s="81" t="s">
        <v>212</v>
      </c>
      <c r="S21" s="81" t="s">
        <v>2473</v>
      </c>
      <c r="T21" s="81" t="s">
        <v>149</v>
      </c>
      <c r="U21" s="80" t="s">
        <v>79</v>
      </c>
      <c r="V21" s="81" t="s">
        <v>1192</v>
      </c>
      <c r="W21" s="81" t="s">
        <v>98</v>
      </c>
      <c r="X21" s="80" t="s">
        <v>3121</v>
      </c>
      <c r="Y21" s="80" t="s">
        <v>2232</v>
      </c>
      <c r="Z21" s="80" t="s">
        <v>135</v>
      </c>
      <c r="AA21" s="80" t="s">
        <v>1367</v>
      </c>
      <c r="AB21" s="81" t="s">
        <v>79</v>
      </c>
      <c r="AC21" s="81" t="s">
        <v>1507</v>
      </c>
      <c r="AD21" s="80" t="s">
        <v>170</v>
      </c>
      <c r="AE21" s="81" t="s">
        <v>1949</v>
      </c>
      <c r="AF21" s="81" t="s">
        <v>1665</v>
      </c>
      <c r="AG21" s="81" t="s">
        <v>1285</v>
      </c>
      <c r="AH21" s="81" t="s">
        <v>126</v>
      </c>
      <c r="AI21" s="81" t="s">
        <v>119</v>
      </c>
      <c r="AJ21" s="81" t="s">
        <v>119</v>
      </c>
      <c r="AK21" s="81" t="s">
        <v>2067</v>
      </c>
      <c r="AL21" s="80" t="s">
        <v>204</v>
      </c>
      <c r="AM21" s="80" t="s">
        <v>194</v>
      </c>
      <c r="AN21" s="81" t="s">
        <v>3284</v>
      </c>
      <c r="AO21" s="80" t="s">
        <v>178</v>
      </c>
      <c r="AP21" s="84" t="s">
        <v>98</v>
      </c>
      <c r="AQ21" s="80" t="s">
        <v>98</v>
      </c>
      <c r="AR21" s="80" t="s">
        <v>1665</v>
      </c>
      <c r="AS21" s="81" t="s">
        <v>3551</v>
      </c>
      <c r="AT21" s="81" t="s">
        <v>268</v>
      </c>
      <c r="AU21" s="81" t="s">
        <v>837</v>
      </c>
      <c r="AV21" s="81" t="s">
        <v>281</v>
      </c>
    </row>
    <row r="22" spans="1:48">
      <c r="A22" s="80">
        <v>21</v>
      </c>
      <c r="B22" s="82" t="s">
        <v>3864</v>
      </c>
      <c r="C22" s="80" t="s">
        <v>3864</v>
      </c>
      <c r="D22" s="80" t="s">
        <v>1443</v>
      </c>
      <c r="E22" s="81" t="s">
        <v>668</v>
      </c>
      <c r="F22" s="80" t="s">
        <v>695</v>
      </c>
      <c r="G22" s="80" t="s">
        <v>729</v>
      </c>
      <c r="H22" s="83" t="s">
        <v>677</v>
      </c>
      <c r="I22" s="80" t="s">
        <v>677</v>
      </c>
      <c r="J22" s="80" t="s">
        <v>3864</v>
      </c>
      <c r="K22" s="80" t="s">
        <v>3864</v>
      </c>
      <c r="L22" s="80" t="s">
        <v>3864</v>
      </c>
      <c r="M22" s="82" t="s">
        <v>3864</v>
      </c>
      <c r="N22" s="81" t="s">
        <v>3864</v>
      </c>
      <c r="O22" s="81" t="s">
        <v>3864</v>
      </c>
      <c r="P22" s="81" t="s">
        <v>3745</v>
      </c>
      <c r="Q22" s="81" t="s">
        <v>3864</v>
      </c>
      <c r="R22" s="81" t="s">
        <v>2869</v>
      </c>
      <c r="S22" s="81" t="s">
        <v>2493</v>
      </c>
      <c r="T22" s="81" t="s">
        <v>1246</v>
      </c>
      <c r="U22" s="80" t="s">
        <v>3864</v>
      </c>
      <c r="V22" s="81" t="s">
        <v>1206</v>
      </c>
      <c r="W22" s="81" t="s">
        <v>3864</v>
      </c>
      <c r="X22" s="80" t="s">
        <v>3140</v>
      </c>
      <c r="Y22" s="80" t="s">
        <v>2252</v>
      </c>
      <c r="Z22" s="80" t="s">
        <v>2914</v>
      </c>
      <c r="AA22" s="80" t="s">
        <v>695</v>
      </c>
      <c r="AB22" s="81" t="s">
        <v>3864</v>
      </c>
      <c r="AC22" s="81" t="s">
        <v>1527</v>
      </c>
      <c r="AD22" s="80" t="s">
        <v>2945</v>
      </c>
      <c r="AE22" s="81" t="s">
        <v>2989</v>
      </c>
      <c r="AF22" s="81" t="s">
        <v>3864</v>
      </c>
      <c r="AG22" s="81" t="s">
        <v>668</v>
      </c>
      <c r="AH22" s="81" t="s">
        <v>3864</v>
      </c>
      <c r="AI22" s="81" t="s">
        <v>3864</v>
      </c>
      <c r="AJ22" s="81" t="s">
        <v>3864</v>
      </c>
      <c r="AK22" s="81" t="s">
        <v>3864</v>
      </c>
      <c r="AL22" s="80" t="s">
        <v>2989</v>
      </c>
      <c r="AM22" s="80" t="s">
        <v>3007</v>
      </c>
      <c r="AN22" s="81" t="s">
        <v>3864</v>
      </c>
      <c r="AO22" s="80" t="s">
        <v>3864</v>
      </c>
      <c r="AP22" s="84" t="s">
        <v>3864</v>
      </c>
      <c r="AQ22" s="80" t="s">
        <v>3864</v>
      </c>
      <c r="AR22" s="81" t="s">
        <v>3864</v>
      </c>
      <c r="AS22" s="81" t="s">
        <v>3043</v>
      </c>
      <c r="AT22" s="81" t="s">
        <v>3864</v>
      </c>
      <c r="AU22" s="81" t="s">
        <v>2989</v>
      </c>
      <c r="AV22" s="81" t="s">
        <v>925</v>
      </c>
    </row>
    <row r="23" spans="1:48">
      <c r="A23" s="80">
        <v>22</v>
      </c>
      <c r="B23" s="82" t="s">
        <v>3848</v>
      </c>
      <c r="C23" s="80" t="s">
        <v>618</v>
      </c>
      <c r="D23" s="80" t="s">
        <v>1434</v>
      </c>
      <c r="E23" s="81" t="s">
        <v>659</v>
      </c>
      <c r="F23" s="80" t="s">
        <v>683</v>
      </c>
      <c r="G23" s="80" t="s">
        <v>3848</v>
      </c>
      <c r="H23" s="83" t="s">
        <v>674</v>
      </c>
      <c r="I23" s="80" t="s">
        <v>674</v>
      </c>
      <c r="J23" s="80" t="s">
        <v>3848</v>
      </c>
      <c r="K23" s="81" t="s">
        <v>3848</v>
      </c>
      <c r="L23" s="80" t="s">
        <v>618</v>
      </c>
      <c r="M23" s="82" t="s">
        <v>3848</v>
      </c>
      <c r="N23" s="81" t="s">
        <v>828</v>
      </c>
      <c r="O23" s="81" t="s">
        <v>2827</v>
      </c>
      <c r="P23" s="81" t="s">
        <v>3726</v>
      </c>
      <c r="Q23" s="81" t="s">
        <v>2845</v>
      </c>
      <c r="R23" s="81" t="s">
        <v>2856</v>
      </c>
      <c r="S23" s="81" t="s">
        <v>2474</v>
      </c>
      <c r="T23" s="81" t="s">
        <v>2880</v>
      </c>
      <c r="U23" s="80" t="s">
        <v>3848</v>
      </c>
      <c r="V23" s="81" t="s">
        <v>2880</v>
      </c>
      <c r="W23" s="81" t="s">
        <v>3848</v>
      </c>
      <c r="X23" s="80" t="s">
        <v>3122</v>
      </c>
      <c r="Y23" s="80" t="s">
        <v>2233</v>
      </c>
      <c r="Z23" s="80" t="s">
        <v>3848</v>
      </c>
      <c r="AA23" s="80" t="s">
        <v>2984</v>
      </c>
      <c r="AB23" s="81" t="s">
        <v>3848</v>
      </c>
      <c r="AC23" s="81" t="s">
        <v>1508</v>
      </c>
      <c r="AD23" s="80" t="s">
        <v>2935</v>
      </c>
      <c r="AE23" s="81" t="s">
        <v>2984</v>
      </c>
      <c r="AF23" s="81" t="s">
        <v>3848</v>
      </c>
      <c r="AG23" s="81" t="s">
        <v>1286</v>
      </c>
      <c r="AH23" s="81" t="s">
        <v>2959</v>
      </c>
      <c r="AI23" s="81" t="s">
        <v>3848</v>
      </c>
      <c r="AJ23" s="81" t="s">
        <v>3848</v>
      </c>
      <c r="AK23" s="81" t="s">
        <v>3848</v>
      </c>
      <c r="AL23" s="80" t="s">
        <v>2984</v>
      </c>
      <c r="AM23" s="80" t="s">
        <v>2998</v>
      </c>
      <c r="AN23" s="81" t="s">
        <v>2880</v>
      </c>
      <c r="AO23" s="80" t="s">
        <v>3848</v>
      </c>
      <c r="AP23" s="84" t="s">
        <v>3848</v>
      </c>
      <c r="AQ23" s="80" t="s">
        <v>3848</v>
      </c>
      <c r="AR23" s="81" t="s">
        <v>3848</v>
      </c>
      <c r="AS23" s="81" t="s">
        <v>3036</v>
      </c>
      <c r="AT23" s="81" t="s">
        <v>3065</v>
      </c>
      <c r="AU23" s="81" t="s">
        <v>2984</v>
      </c>
      <c r="AV23" s="81" t="s">
        <v>917</v>
      </c>
    </row>
    <row r="24" spans="1:48">
      <c r="A24" s="80">
        <v>23</v>
      </c>
      <c r="B24" s="82" t="s">
        <v>4109</v>
      </c>
      <c r="C24" s="80" t="s">
        <v>4110</v>
      </c>
      <c r="D24" s="80" t="s">
        <v>4111</v>
      </c>
      <c r="E24" s="81" t="s">
        <v>4112</v>
      </c>
      <c r="F24" s="80" t="s">
        <v>4113</v>
      </c>
      <c r="G24" s="80" t="s">
        <v>4114</v>
      </c>
      <c r="H24" s="83" t="s">
        <v>4115</v>
      </c>
      <c r="I24" s="80" t="s">
        <v>4116</v>
      </c>
      <c r="J24" s="80" t="s">
        <v>4117</v>
      </c>
      <c r="K24" s="80" t="s">
        <v>4118</v>
      </c>
      <c r="L24" s="80" t="s">
        <v>4119</v>
      </c>
      <c r="M24" s="82" t="s">
        <v>4109</v>
      </c>
      <c r="N24" s="81" t="s">
        <v>4120</v>
      </c>
      <c r="O24" s="81" t="s">
        <v>4121</v>
      </c>
      <c r="P24" s="81" t="s">
        <v>4122</v>
      </c>
      <c r="Q24" s="81" t="s">
        <v>4123</v>
      </c>
      <c r="R24" s="81" t="s">
        <v>4124</v>
      </c>
      <c r="S24" s="81" t="s">
        <v>4125</v>
      </c>
      <c r="T24" s="81" t="s">
        <v>4126</v>
      </c>
      <c r="U24" s="80" t="s">
        <v>4109</v>
      </c>
      <c r="V24" s="81" t="s">
        <v>4127</v>
      </c>
      <c r="W24" s="81" t="s">
        <v>4128</v>
      </c>
      <c r="X24" s="80" t="s">
        <v>4129</v>
      </c>
      <c r="Y24" s="80" t="s">
        <v>4130</v>
      </c>
      <c r="Z24" s="80" t="s">
        <v>4131</v>
      </c>
      <c r="AA24" s="80" t="s">
        <v>4113</v>
      </c>
      <c r="AB24" s="81" t="s">
        <v>4109</v>
      </c>
      <c r="AC24" s="81"/>
      <c r="AD24" s="80" t="s">
        <v>4109</v>
      </c>
      <c r="AE24" s="81"/>
      <c r="AF24" s="81" t="s">
        <v>4132</v>
      </c>
      <c r="AG24" s="81" t="s">
        <v>4133</v>
      </c>
      <c r="AH24" s="81" t="s">
        <v>4134</v>
      </c>
      <c r="AI24" s="81" t="s">
        <v>4135</v>
      </c>
      <c r="AJ24" s="81" t="s">
        <v>4135</v>
      </c>
      <c r="AK24" s="80" t="s">
        <v>4136</v>
      </c>
      <c r="AL24" s="80" t="s">
        <v>4137</v>
      </c>
      <c r="AM24" s="80" t="s">
        <v>4113</v>
      </c>
      <c r="AN24" s="81" t="s">
        <v>4138</v>
      </c>
      <c r="AO24" s="80" t="s">
        <v>4139</v>
      </c>
      <c r="AP24" s="84" t="s">
        <v>4109</v>
      </c>
      <c r="AQ24" s="80" t="s">
        <v>4109</v>
      </c>
      <c r="AR24" s="80" t="s">
        <v>4140</v>
      </c>
      <c r="AS24" s="81" t="s">
        <v>4141</v>
      </c>
      <c r="AT24" s="80" t="s">
        <v>4142</v>
      </c>
      <c r="AU24" s="81" t="s">
        <v>4143</v>
      </c>
      <c r="AV24" s="81" t="s">
        <v>4109</v>
      </c>
    </row>
    <row r="25" spans="1:48">
      <c r="A25" s="80">
        <v>24</v>
      </c>
      <c r="B25" s="82" t="s">
        <v>4144</v>
      </c>
      <c r="C25" s="80" t="s">
        <v>4144</v>
      </c>
      <c r="D25" s="80" t="s">
        <v>4144</v>
      </c>
      <c r="E25" s="81" t="s">
        <v>4145</v>
      </c>
      <c r="F25" s="80" t="s">
        <v>4146</v>
      </c>
      <c r="G25" s="80" t="s">
        <v>4144</v>
      </c>
      <c r="H25" s="83" t="s">
        <v>4147</v>
      </c>
      <c r="I25" s="80" t="s">
        <v>4147</v>
      </c>
      <c r="J25" s="80" t="s">
        <v>4144</v>
      </c>
      <c r="K25" s="81" t="s">
        <v>4144</v>
      </c>
      <c r="L25" s="80" t="s">
        <v>4144</v>
      </c>
      <c r="M25" s="82" t="s">
        <v>4144</v>
      </c>
      <c r="N25" s="81" t="s">
        <v>4144</v>
      </c>
      <c r="O25" s="81" t="s">
        <v>4144</v>
      </c>
      <c r="P25" s="81" t="s">
        <v>4148</v>
      </c>
      <c r="Q25" s="81" t="s">
        <v>4144</v>
      </c>
      <c r="R25" s="81" t="s">
        <v>4149</v>
      </c>
      <c r="S25" s="81" t="s">
        <v>4150</v>
      </c>
      <c r="T25" s="81" t="s">
        <v>4151</v>
      </c>
      <c r="U25" s="80" t="s">
        <v>4144</v>
      </c>
      <c r="V25" s="81" t="s">
        <v>4152</v>
      </c>
      <c r="W25" s="81" t="s">
        <v>4144</v>
      </c>
      <c r="X25" s="80" t="s">
        <v>4153</v>
      </c>
      <c r="Y25" s="80" t="s">
        <v>4154</v>
      </c>
      <c r="Z25" s="80" t="s">
        <v>4155</v>
      </c>
      <c r="AA25" s="80" t="s">
        <v>4146</v>
      </c>
      <c r="AB25" s="81" t="s">
        <v>4144</v>
      </c>
      <c r="AC25" s="81"/>
      <c r="AD25" s="80" t="s">
        <v>4144</v>
      </c>
      <c r="AE25" s="81"/>
      <c r="AF25" s="81" t="s">
        <v>4144</v>
      </c>
      <c r="AG25" s="81" t="s">
        <v>4156</v>
      </c>
      <c r="AH25" s="81" t="s">
        <v>4144</v>
      </c>
      <c r="AI25" s="81" t="s">
        <v>4157</v>
      </c>
      <c r="AJ25" s="81" t="s">
        <v>4157</v>
      </c>
      <c r="AK25" s="81" t="s">
        <v>4144</v>
      </c>
      <c r="AL25" s="80" t="s">
        <v>4146</v>
      </c>
      <c r="AM25" s="80" t="s">
        <v>4146</v>
      </c>
      <c r="AN25" s="81" t="s">
        <v>4151</v>
      </c>
      <c r="AO25" s="80" t="s">
        <v>4144</v>
      </c>
      <c r="AP25" s="84" t="s">
        <v>4151</v>
      </c>
      <c r="AQ25" s="80" t="s">
        <v>4151</v>
      </c>
      <c r="AR25" s="81" t="s">
        <v>4144</v>
      </c>
      <c r="AS25" s="81" t="s">
        <v>4158</v>
      </c>
      <c r="AT25" s="81" t="s">
        <v>4159</v>
      </c>
      <c r="AU25" s="81" t="s">
        <v>4160</v>
      </c>
      <c r="AV25" s="81" t="s">
        <v>4144</v>
      </c>
    </row>
    <row r="26" spans="1:48">
      <c r="A26" s="80">
        <v>25</v>
      </c>
      <c r="B26" s="82" t="s">
        <v>3849</v>
      </c>
      <c r="C26" s="80" t="s">
        <v>619</v>
      </c>
      <c r="D26" s="80" t="s">
        <v>3849</v>
      </c>
      <c r="E26" s="81" t="s">
        <v>660</v>
      </c>
      <c r="F26" s="80" t="s">
        <v>684</v>
      </c>
      <c r="G26" s="80" t="s">
        <v>720</v>
      </c>
      <c r="H26" s="83" t="s">
        <v>2425</v>
      </c>
      <c r="I26" s="80" t="s">
        <v>747</v>
      </c>
      <c r="J26" s="80" t="s">
        <v>777</v>
      </c>
      <c r="K26" s="81" t="s">
        <v>3849</v>
      </c>
      <c r="L26" s="80" t="s">
        <v>3849</v>
      </c>
      <c r="M26" s="82" t="s">
        <v>3849</v>
      </c>
      <c r="N26" s="81" t="s">
        <v>3849</v>
      </c>
      <c r="O26" s="81" t="s">
        <v>2828</v>
      </c>
      <c r="P26" s="81" t="s">
        <v>3727</v>
      </c>
      <c r="Q26" s="81" t="s">
        <v>3849</v>
      </c>
      <c r="R26" s="81" t="s">
        <v>2857</v>
      </c>
      <c r="S26" s="81" t="s">
        <v>2475</v>
      </c>
      <c r="T26" s="81" t="s">
        <v>2828</v>
      </c>
      <c r="U26" s="80" t="s">
        <v>3849</v>
      </c>
      <c r="V26" s="81" t="s">
        <v>1193</v>
      </c>
      <c r="W26" s="81" t="s">
        <v>3849</v>
      </c>
      <c r="X26" s="80" t="s">
        <v>3123</v>
      </c>
      <c r="Y26" s="80" t="s">
        <v>2234</v>
      </c>
      <c r="Z26" s="80" t="s">
        <v>777</v>
      </c>
      <c r="AA26" s="80" t="s">
        <v>1368</v>
      </c>
      <c r="AB26" s="81" t="s">
        <v>3849</v>
      </c>
      <c r="AC26" s="81" t="s">
        <v>1509</v>
      </c>
      <c r="AD26" s="80" t="s">
        <v>2936</v>
      </c>
      <c r="AE26" s="81" t="s">
        <v>1950</v>
      </c>
      <c r="AF26" s="81" t="s">
        <v>3849</v>
      </c>
      <c r="AG26" s="81" t="s">
        <v>1287</v>
      </c>
      <c r="AH26" s="81" t="s">
        <v>3849</v>
      </c>
      <c r="AI26" s="81" t="s">
        <v>2828</v>
      </c>
      <c r="AJ26" s="81" t="s">
        <v>2828</v>
      </c>
      <c r="AK26" s="81" t="s">
        <v>3849</v>
      </c>
      <c r="AL26" s="80" t="s">
        <v>684</v>
      </c>
      <c r="AM26" s="80" t="s">
        <v>2999</v>
      </c>
      <c r="AN26" s="81" t="s">
        <v>2828</v>
      </c>
      <c r="AO26" s="80" t="s">
        <v>777</v>
      </c>
      <c r="AP26" s="84" t="s">
        <v>3849</v>
      </c>
      <c r="AQ26" s="80" t="s">
        <v>3849</v>
      </c>
      <c r="AR26" s="81" t="s">
        <v>3849</v>
      </c>
      <c r="AS26" s="81" t="s">
        <v>3037</v>
      </c>
      <c r="AT26" s="81" t="s">
        <v>3066</v>
      </c>
      <c r="AU26" s="81" t="s">
        <v>838</v>
      </c>
      <c r="AV26" s="81" t="s">
        <v>918</v>
      </c>
    </row>
    <row r="27" spans="1:48">
      <c r="A27" s="80">
        <v>26</v>
      </c>
      <c r="B27" s="82" t="s">
        <v>3958</v>
      </c>
      <c r="C27" s="80" t="s">
        <v>156</v>
      </c>
      <c r="D27" s="80" t="s">
        <v>1439</v>
      </c>
      <c r="E27" s="81" t="s">
        <v>291</v>
      </c>
      <c r="F27" s="80" t="s">
        <v>201</v>
      </c>
      <c r="G27" s="80" t="s">
        <v>139</v>
      </c>
      <c r="H27" s="83" t="s">
        <v>2431</v>
      </c>
      <c r="I27" s="80" t="s">
        <v>753</v>
      </c>
      <c r="J27" s="80" t="s">
        <v>273</v>
      </c>
      <c r="K27" s="81" t="s">
        <v>163</v>
      </c>
      <c r="L27" s="80" t="s">
        <v>156</v>
      </c>
      <c r="M27" s="82" t="s">
        <v>3958</v>
      </c>
      <c r="N27" s="81" t="s">
        <v>184</v>
      </c>
      <c r="O27" s="81" t="s">
        <v>84</v>
      </c>
      <c r="P27" s="81" t="s">
        <v>3733</v>
      </c>
      <c r="Q27" s="81" t="s">
        <v>90</v>
      </c>
      <c r="R27" s="81" t="s">
        <v>209</v>
      </c>
      <c r="S27" s="81" t="s">
        <v>2481</v>
      </c>
      <c r="T27" s="81" t="s">
        <v>146</v>
      </c>
      <c r="U27" s="80" t="s">
        <v>76</v>
      </c>
      <c r="V27" s="81" t="s">
        <v>1197</v>
      </c>
      <c r="W27" s="81" t="s">
        <v>113</v>
      </c>
      <c r="X27" s="80" t="s">
        <v>3129</v>
      </c>
      <c r="Y27" s="80" t="s">
        <v>2240</v>
      </c>
      <c r="Z27" s="80" t="s">
        <v>133</v>
      </c>
      <c r="AA27" s="80" t="s">
        <v>1371</v>
      </c>
      <c r="AB27" s="81" t="s">
        <v>76</v>
      </c>
      <c r="AC27" s="81" t="s">
        <v>1515</v>
      </c>
      <c r="AD27" s="80" t="s">
        <v>168</v>
      </c>
      <c r="AE27" s="81" t="s">
        <v>1955</v>
      </c>
      <c r="AF27" s="81" t="s">
        <v>163</v>
      </c>
      <c r="AG27" s="81" t="s">
        <v>1293</v>
      </c>
      <c r="AH27" s="81" t="s">
        <v>124</v>
      </c>
      <c r="AI27" s="81" t="s">
        <v>117</v>
      </c>
      <c r="AJ27" s="81" t="s">
        <v>117</v>
      </c>
      <c r="AK27" s="81" t="s">
        <v>113</v>
      </c>
      <c r="AL27" s="80" t="s">
        <v>201</v>
      </c>
      <c r="AM27" s="80" t="s">
        <v>191</v>
      </c>
      <c r="AN27" s="81" t="s">
        <v>3289</v>
      </c>
      <c r="AO27" s="80" t="s">
        <v>176</v>
      </c>
      <c r="AP27" s="84" t="s">
        <v>96</v>
      </c>
      <c r="AQ27" s="80" t="s">
        <v>96</v>
      </c>
      <c r="AR27" s="81" t="s">
        <v>163</v>
      </c>
      <c r="AS27" s="81" t="s">
        <v>3555</v>
      </c>
      <c r="AT27" s="81" t="s">
        <v>219</v>
      </c>
      <c r="AU27" s="81" t="s">
        <v>842</v>
      </c>
      <c r="AV27" s="81" t="s">
        <v>279</v>
      </c>
    </row>
    <row r="28" spans="1:48">
      <c r="A28" s="80">
        <v>27</v>
      </c>
      <c r="B28" s="82" t="s">
        <v>60</v>
      </c>
      <c r="C28" s="80" t="s">
        <v>60</v>
      </c>
      <c r="D28" s="80" t="s">
        <v>123</v>
      </c>
      <c r="E28" s="81" t="s">
        <v>290</v>
      </c>
      <c r="F28" s="80" t="s">
        <v>200</v>
      </c>
      <c r="G28" s="80" t="s">
        <v>60</v>
      </c>
      <c r="H28" s="83" t="s">
        <v>297</v>
      </c>
      <c r="I28" s="81" t="s">
        <v>297</v>
      </c>
      <c r="J28" s="80" t="s">
        <v>60</v>
      </c>
      <c r="K28" s="81" t="s">
        <v>60</v>
      </c>
      <c r="L28" s="80" t="s">
        <v>60</v>
      </c>
      <c r="M28" s="82" t="s">
        <v>60</v>
      </c>
      <c r="N28" s="81" t="s">
        <v>183</v>
      </c>
      <c r="O28" s="81" t="s">
        <v>60</v>
      </c>
      <c r="P28" s="81" t="s">
        <v>3742</v>
      </c>
      <c r="Q28" s="81" t="s">
        <v>60</v>
      </c>
      <c r="R28" s="81" t="s">
        <v>2868</v>
      </c>
      <c r="S28" s="81" t="s">
        <v>2490</v>
      </c>
      <c r="T28" s="81" t="s">
        <v>145</v>
      </c>
      <c r="U28" s="80" t="s">
        <v>60</v>
      </c>
      <c r="V28" s="81" t="s">
        <v>1203</v>
      </c>
      <c r="W28" s="81" t="s">
        <v>103</v>
      </c>
      <c r="X28" s="80" t="s">
        <v>3137</v>
      </c>
      <c r="Y28" s="80" t="s">
        <v>2249</v>
      </c>
      <c r="Z28" s="80" t="s">
        <v>132</v>
      </c>
      <c r="AA28" s="80" t="s">
        <v>190</v>
      </c>
      <c r="AB28" s="81" t="s">
        <v>60</v>
      </c>
      <c r="AC28" s="81" t="s">
        <v>1524</v>
      </c>
      <c r="AD28" s="80" t="s">
        <v>2944</v>
      </c>
      <c r="AE28" s="81" t="s">
        <v>1962</v>
      </c>
      <c r="AF28" s="81" t="s">
        <v>60</v>
      </c>
      <c r="AG28" s="81" t="s">
        <v>1302</v>
      </c>
      <c r="AH28" s="81" t="s">
        <v>123</v>
      </c>
      <c r="AI28" s="81" t="s">
        <v>60</v>
      </c>
      <c r="AJ28" s="81" t="s">
        <v>60</v>
      </c>
      <c r="AK28" s="81" t="s">
        <v>123</v>
      </c>
      <c r="AL28" s="81" t="s">
        <v>200</v>
      </c>
      <c r="AM28" s="80" t="s">
        <v>190</v>
      </c>
      <c r="AN28" s="81" t="s">
        <v>3294</v>
      </c>
      <c r="AO28" s="80" t="s">
        <v>175</v>
      </c>
      <c r="AP28" s="84" t="s">
        <v>60</v>
      </c>
      <c r="AQ28" s="80" t="s">
        <v>60</v>
      </c>
      <c r="AR28" s="81" t="s">
        <v>60</v>
      </c>
      <c r="AS28" s="81" t="s">
        <v>3561</v>
      </c>
      <c r="AT28" s="81" t="s">
        <v>218</v>
      </c>
      <c r="AU28" s="81" t="s">
        <v>849</v>
      </c>
      <c r="AV28" s="81" t="s">
        <v>278</v>
      </c>
    </row>
    <row r="29" spans="1:48">
      <c r="A29" s="80">
        <v>28</v>
      </c>
      <c r="B29" s="82" t="s">
        <v>3856</v>
      </c>
      <c r="C29" s="80" t="s">
        <v>3856</v>
      </c>
      <c r="D29" s="80" t="s">
        <v>782</v>
      </c>
      <c r="E29" s="81" t="s">
        <v>663</v>
      </c>
      <c r="F29" s="80" t="s">
        <v>690</v>
      </c>
      <c r="G29" s="80" t="s">
        <v>3856</v>
      </c>
      <c r="H29" s="83" t="s">
        <v>2433</v>
      </c>
      <c r="I29" s="81" t="s">
        <v>754</v>
      </c>
      <c r="J29" s="80" t="s">
        <v>782</v>
      </c>
      <c r="K29" s="81" t="s">
        <v>3856</v>
      </c>
      <c r="L29" s="80" t="s">
        <v>3856</v>
      </c>
      <c r="M29" s="82" t="s">
        <v>3856</v>
      </c>
      <c r="N29" s="81" t="s">
        <v>3856</v>
      </c>
      <c r="O29" s="81" t="s">
        <v>3856</v>
      </c>
      <c r="P29" s="81" t="s">
        <v>3735</v>
      </c>
      <c r="Q29" s="81" t="s">
        <v>3856</v>
      </c>
      <c r="R29" s="81" t="s">
        <v>2863</v>
      </c>
      <c r="S29" s="81" t="s">
        <v>2483</v>
      </c>
      <c r="T29" s="81" t="s">
        <v>2883</v>
      </c>
      <c r="U29" s="80" t="s">
        <v>3856</v>
      </c>
      <c r="V29" s="81" t="s">
        <v>782</v>
      </c>
      <c r="W29" s="81" t="s">
        <v>3856</v>
      </c>
      <c r="X29" s="80" t="s">
        <v>3131</v>
      </c>
      <c r="Y29" s="80" t="s">
        <v>2242</v>
      </c>
      <c r="Z29" s="80" t="s">
        <v>782</v>
      </c>
      <c r="AA29" s="80" t="s">
        <v>690</v>
      </c>
      <c r="AB29" s="81" t="s">
        <v>3856</v>
      </c>
      <c r="AC29" s="81" t="s">
        <v>1517</v>
      </c>
      <c r="AD29" s="80" t="s">
        <v>782</v>
      </c>
      <c r="AE29" s="81" t="s">
        <v>690</v>
      </c>
      <c r="AF29" s="81" t="s">
        <v>3856</v>
      </c>
      <c r="AG29" s="81" t="s">
        <v>1295</v>
      </c>
      <c r="AH29" s="81" t="s">
        <v>3856</v>
      </c>
      <c r="AI29" s="81" t="s">
        <v>782</v>
      </c>
      <c r="AJ29" s="81" t="s">
        <v>782</v>
      </c>
      <c r="AK29" s="81" t="s">
        <v>3856</v>
      </c>
      <c r="AL29" s="80" t="s">
        <v>690</v>
      </c>
      <c r="AM29" s="80" t="s">
        <v>690</v>
      </c>
      <c r="AN29" s="81" t="s">
        <v>3856</v>
      </c>
      <c r="AO29" s="80" t="s">
        <v>782</v>
      </c>
      <c r="AP29" s="84" t="s">
        <v>3856</v>
      </c>
      <c r="AQ29" s="80" t="s">
        <v>3856</v>
      </c>
      <c r="AR29" s="81" t="s">
        <v>3856</v>
      </c>
      <c r="AS29" s="85" t="s">
        <v>3041</v>
      </c>
      <c r="AT29" s="81" t="s">
        <v>782</v>
      </c>
      <c r="AU29" s="81" t="s">
        <v>690</v>
      </c>
      <c r="AV29" s="81" t="s">
        <v>921</v>
      </c>
    </row>
    <row r="30" spans="1:48">
      <c r="A30" s="80">
        <v>29</v>
      </c>
      <c r="B30" s="82" t="s">
        <v>3851</v>
      </c>
      <c r="C30" s="80" t="s">
        <v>623</v>
      </c>
      <c r="D30" s="80" t="s">
        <v>1437</v>
      </c>
      <c r="E30" s="81" t="s">
        <v>566</v>
      </c>
      <c r="F30" s="80" t="s">
        <v>687</v>
      </c>
      <c r="G30" s="80" t="s">
        <v>723</v>
      </c>
      <c r="H30" s="83" t="s">
        <v>2429</v>
      </c>
      <c r="I30" s="80" t="s">
        <v>751</v>
      </c>
      <c r="J30" s="80" t="s">
        <v>3851</v>
      </c>
      <c r="K30" s="81" t="s">
        <v>3851</v>
      </c>
      <c r="L30" s="80" t="s">
        <v>3851</v>
      </c>
      <c r="M30" s="82" t="s">
        <v>3851</v>
      </c>
      <c r="N30" s="81" t="s">
        <v>266</v>
      </c>
      <c r="O30" s="81" t="s">
        <v>3673</v>
      </c>
      <c r="P30" s="81" t="s">
        <v>3731</v>
      </c>
      <c r="Q30" s="81" t="s">
        <v>3851</v>
      </c>
      <c r="R30" s="81" t="s">
        <v>2860</v>
      </c>
      <c r="S30" s="81" t="s">
        <v>2479</v>
      </c>
      <c r="T30" s="81" t="s">
        <v>1245</v>
      </c>
      <c r="U30" s="80" t="s">
        <v>3869</v>
      </c>
      <c r="V30" s="81" t="s">
        <v>3851</v>
      </c>
      <c r="W30" s="81" t="s">
        <v>2893</v>
      </c>
      <c r="X30" s="80" t="s">
        <v>3127</v>
      </c>
      <c r="Y30" s="80" t="s">
        <v>2238</v>
      </c>
      <c r="Z30" s="80" t="s">
        <v>2907</v>
      </c>
      <c r="AA30" s="80" t="s">
        <v>3002</v>
      </c>
      <c r="AB30" s="81" t="s">
        <v>2278</v>
      </c>
      <c r="AC30" s="81" t="s">
        <v>1513</v>
      </c>
      <c r="AD30" s="80" t="s">
        <v>3851</v>
      </c>
      <c r="AE30" s="81" t="s">
        <v>1954</v>
      </c>
      <c r="AF30" s="81" t="s">
        <v>3851</v>
      </c>
      <c r="AG30" s="81" t="s">
        <v>1291</v>
      </c>
      <c r="AH30" s="81" t="s">
        <v>3851</v>
      </c>
      <c r="AI30" s="81" t="s">
        <v>2970</v>
      </c>
      <c r="AJ30" s="81" t="s">
        <v>1031</v>
      </c>
      <c r="AK30" s="81" t="s">
        <v>2068</v>
      </c>
      <c r="AL30" s="80" t="s">
        <v>2986</v>
      </c>
      <c r="AM30" s="80" t="s">
        <v>3002</v>
      </c>
      <c r="AN30" s="81" t="s">
        <v>3851</v>
      </c>
      <c r="AO30" s="80" t="s">
        <v>3851</v>
      </c>
      <c r="AP30" s="84" t="s">
        <v>1031</v>
      </c>
      <c r="AQ30" s="80" t="s">
        <v>2159</v>
      </c>
      <c r="AR30" s="80" t="s">
        <v>3851</v>
      </c>
      <c r="AS30" s="81" t="s">
        <v>3554</v>
      </c>
      <c r="AT30" s="81" t="s">
        <v>3068</v>
      </c>
      <c r="AU30" s="81" t="s">
        <v>2986</v>
      </c>
      <c r="AV30" s="81" t="s">
        <v>920</v>
      </c>
    </row>
    <row r="31" spans="1:48">
      <c r="A31" s="80">
        <v>30</v>
      </c>
      <c r="B31" s="82" t="s">
        <v>4161</v>
      </c>
      <c r="C31" s="80" t="s">
        <v>4162</v>
      </c>
      <c r="D31" s="80" t="s">
        <v>4163</v>
      </c>
      <c r="E31" s="81" t="s">
        <v>4164</v>
      </c>
      <c r="F31" s="80" t="s">
        <v>4165</v>
      </c>
      <c r="G31" s="80" t="s">
        <v>4166</v>
      </c>
      <c r="H31" s="83" t="s">
        <v>4167</v>
      </c>
      <c r="I31" s="80" t="s">
        <v>4168</v>
      </c>
      <c r="J31" s="80" t="s">
        <v>4169</v>
      </c>
      <c r="K31" s="81" t="s">
        <v>4170</v>
      </c>
      <c r="L31" s="80" t="s">
        <v>4162</v>
      </c>
      <c r="M31" s="82" t="s">
        <v>4161</v>
      </c>
      <c r="N31" s="81" t="s">
        <v>4171</v>
      </c>
      <c r="O31" s="81" t="s">
        <v>4172</v>
      </c>
      <c r="P31" s="81" t="s">
        <v>4173</v>
      </c>
      <c r="Q31" s="81" t="s">
        <v>4170</v>
      </c>
      <c r="R31" s="81" t="s">
        <v>4174</v>
      </c>
      <c r="S31" s="81" t="s">
        <v>4175</v>
      </c>
      <c r="T31" s="81" t="s">
        <v>4161</v>
      </c>
      <c r="U31" s="80" t="s">
        <v>4171</v>
      </c>
      <c r="V31" s="81" t="s">
        <v>4176</v>
      </c>
      <c r="W31" s="81" t="s">
        <v>4177</v>
      </c>
      <c r="X31" s="80" t="s">
        <v>4178</v>
      </c>
      <c r="Y31" s="80" t="s">
        <v>4179</v>
      </c>
      <c r="Z31" s="80" t="s">
        <v>4169</v>
      </c>
      <c r="AA31" s="80" t="s">
        <v>4180</v>
      </c>
      <c r="AB31" s="81" t="s">
        <v>4161</v>
      </c>
      <c r="AC31" s="81"/>
      <c r="AD31" s="80" t="s">
        <v>4181</v>
      </c>
      <c r="AE31" s="81"/>
      <c r="AF31" s="81" t="s">
        <v>4171</v>
      </c>
      <c r="AG31" s="81" t="s">
        <v>4182</v>
      </c>
      <c r="AH31" s="81" t="s">
        <v>4171</v>
      </c>
      <c r="AI31" s="81" t="s">
        <v>4183</v>
      </c>
      <c r="AJ31" s="81" t="s">
        <v>4183</v>
      </c>
      <c r="AK31" s="81" t="s">
        <v>4171</v>
      </c>
      <c r="AL31" s="80" t="s">
        <v>4184</v>
      </c>
      <c r="AM31" s="80" t="s">
        <v>4180</v>
      </c>
      <c r="AN31" s="81" t="s">
        <v>4185</v>
      </c>
      <c r="AO31" s="80" t="s">
        <v>4169</v>
      </c>
      <c r="AP31" s="84" t="s">
        <v>4183</v>
      </c>
      <c r="AQ31" s="80" t="s">
        <v>4183</v>
      </c>
      <c r="AR31" s="81" t="s">
        <v>4170</v>
      </c>
      <c r="AS31" s="81" t="s">
        <v>4186</v>
      </c>
      <c r="AT31" s="81" t="s">
        <v>4187</v>
      </c>
      <c r="AU31" s="81" t="s">
        <v>4188</v>
      </c>
      <c r="AV31" s="81" t="s">
        <v>4189</v>
      </c>
    </row>
    <row r="32" spans="1:48">
      <c r="A32" s="80">
        <v>31</v>
      </c>
      <c r="B32" s="82" t="s">
        <v>3852</v>
      </c>
      <c r="C32" s="80" t="s">
        <v>624</v>
      </c>
      <c r="D32" s="80" t="s">
        <v>1438</v>
      </c>
      <c r="E32" s="81" t="s">
        <v>662</v>
      </c>
      <c r="F32" s="80" t="s">
        <v>688</v>
      </c>
      <c r="G32" s="80" t="s">
        <v>724</v>
      </c>
      <c r="H32" s="83" t="s">
        <v>2430</v>
      </c>
      <c r="I32" s="80" t="s">
        <v>752</v>
      </c>
      <c r="J32" s="80" t="s">
        <v>780</v>
      </c>
      <c r="K32" s="81" t="s">
        <v>796</v>
      </c>
      <c r="L32" s="80" t="s">
        <v>823</v>
      </c>
      <c r="M32" s="82" t="s">
        <v>3852</v>
      </c>
      <c r="N32" s="81" t="s">
        <v>3852</v>
      </c>
      <c r="O32" s="81" t="s">
        <v>2830</v>
      </c>
      <c r="P32" s="81" t="s">
        <v>3732</v>
      </c>
      <c r="Q32" s="81" t="s">
        <v>2846</v>
      </c>
      <c r="R32" s="81" t="s">
        <v>2861</v>
      </c>
      <c r="S32" s="81" t="s">
        <v>2480</v>
      </c>
      <c r="T32" s="81" t="s">
        <v>2881</v>
      </c>
      <c r="U32" s="80" t="s">
        <v>3870</v>
      </c>
      <c r="V32" s="81" t="s">
        <v>1196</v>
      </c>
      <c r="W32" s="81" t="s">
        <v>3852</v>
      </c>
      <c r="X32" s="80" t="s">
        <v>3128</v>
      </c>
      <c r="Y32" s="80" t="s">
        <v>2239</v>
      </c>
      <c r="Z32" s="80" t="s">
        <v>2908</v>
      </c>
      <c r="AA32" s="80" t="s">
        <v>688</v>
      </c>
      <c r="AB32" s="81" t="s">
        <v>3852</v>
      </c>
      <c r="AC32" s="81" t="s">
        <v>1514</v>
      </c>
      <c r="AD32" s="80" t="s">
        <v>2939</v>
      </c>
      <c r="AE32" s="81" t="s">
        <v>688</v>
      </c>
      <c r="AF32" s="81" t="s">
        <v>3852</v>
      </c>
      <c r="AG32" s="81" t="s">
        <v>1292</v>
      </c>
      <c r="AH32" s="81" t="s">
        <v>3184</v>
      </c>
      <c r="AI32" s="81" t="s">
        <v>2971</v>
      </c>
      <c r="AJ32" s="81" t="s">
        <v>2881</v>
      </c>
      <c r="AK32" s="81" t="s">
        <v>3852</v>
      </c>
      <c r="AL32" s="80" t="s">
        <v>688</v>
      </c>
      <c r="AM32" s="80" t="s">
        <v>688</v>
      </c>
      <c r="AN32" s="81" t="s">
        <v>3288</v>
      </c>
      <c r="AO32" s="80" t="s">
        <v>3028</v>
      </c>
      <c r="AP32" s="84" t="s">
        <v>3050</v>
      </c>
      <c r="AQ32" s="80" t="s">
        <v>3050</v>
      </c>
      <c r="AR32" s="81" t="s">
        <v>796</v>
      </c>
      <c r="AS32" s="81" t="s">
        <v>3039</v>
      </c>
      <c r="AT32" s="81" t="s">
        <v>3069</v>
      </c>
      <c r="AU32" s="81" t="s">
        <v>688</v>
      </c>
      <c r="AV32" s="81" t="s">
        <v>3082</v>
      </c>
    </row>
    <row r="33" spans="1:48">
      <c r="A33" s="80">
        <v>32</v>
      </c>
      <c r="B33" s="82" t="s">
        <v>4190</v>
      </c>
      <c r="C33" s="80" t="s">
        <v>4191</v>
      </c>
      <c r="D33" s="80" t="s">
        <v>4192</v>
      </c>
      <c r="E33" s="81" t="s">
        <v>4193</v>
      </c>
      <c r="F33" s="80" t="s">
        <v>4194</v>
      </c>
      <c r="G33" s="80" t="s">
        <v>4195</v>
      </c>
      <c r="H33" s="83" t="s">
        <v>4196</v>
      </c>
      <c r="I33" s="80" t="s">
        <v>4197</v>
      </c>
      <c r="J33" s="80" t="s">
        <v>4198</v>
      </c>
      <c r="K33" s="80" t="s">
        <v>4191</v>
      </c>
      <c r="L33" s="80" t="s">
        <v>4191</v>
      </c>
      <c r="M33" s="82" t="s">
        <v>4190</v>
      </c>
      <c r="N33" s="81" t="s">
        <v>4199</v>
      </c>
      <c r="O33" s="81" t="s">
        <v>4200</v>
      </c>
      <c r="P33" s="81" t="s">
        <v>4201</v>
      </c>
      <c r="Q33" s="81" t="s">
        <v>4202</v>
      </c>
      <c r="R33" s="81" t="s">
        <v>4203</v>
      </c>
      <c r="S33" s="81" t="s">
        <v>4204</v>
      </c>
      <c r="T33" s="81" t="s">
        <v>4205</v>
      </c>
      <c r="U33" s="80" t="s">
        <v>4206</v>
      </c>
      <c r="V33" s="81" t="s">
        <v>4207</v>
      </c>
      <c r="W33" s="81" t="s">
        <v>4190</v>
      </c>
      <c r="X33" s="80" t="s">
        <v>4208</v>
      </c>
      <c r="Y33" s="80" t="s">
        <v>4209</v>
      </c>
      <c r="Z33" s="80" t="s">
        <v>4198</v>
      </c>
      <c r="AA33" s="80" t="s">
        <v>4210</v>
      </c>
      <c r="AB33" s="81" t="s">
        <v>4206</v>
      </c>
      <c r="AC33" s="81"/>
      <c r="AD33" s="80" t="s">
        <v>4211</v>
      </c>
      <c r="AE33" s="81"/>
      <c r="AF33" s="81" t="s">
        <v>4202</v>
      </c>
      <c r="AG33" s="81" t="s">
        <v>4212</v>
      </c>
      <c r="AH33" s="81" t="s">
        <v>4213</v>
      </c>
      <c r="AI33" s="81" t="s">
        <v>4195</v>
      </c>
      <c r="AJ33" s="81" t="s">
        <v>4195</v>
      </c>
      <c r="AK33" s="81" t="s">
        <v>4206</v>
      </c>
      <c r="AL33" s="80" t="s">
        <v>4214</v>
      </c>
      <c r="AM33" s="80" t="s">
        <v>4210</v>
      </c>
      <c r="AN33" s="81" t="s">
        <v>4215</v>
      </c>
      <c r="AO33" s="80" t="s">
        <v>4198</v>
      </c>
      <c r="AP33" s="84" t="s">
        <v>4206</v>
      </c>
      <c r="AQ33" s="80" t="s">
        <v>4206</v>
      </c>
      <c r="AR33" s="80" t="s">
        <v>4216</v>
      </c>
      <c r="AS33" s="81" t="s">
        <v>4217</v>
      </c>
      <c r="AT33" s="81" t="s">
        <v>4218</v>
      </c>
      <c r="AU33" s="81" t="s">
        <v>4219</v>
      </c>
      <c r="AV33" s="81" t="s">
        <v>4220</v>
      </c>
    </row>
    <row r="34" spans="1:48">
      <c r="A34" s="80">
        <v>33</v>
      </c>
      <c r="B34" s="82" t="s">
        <v>3957</v>
      </c>
      <c r="C34" s="80" t="s">
        <v>620</v>
      </c>
      <c r="D34" s="80" t="s">
        <v>1435</v>
      </c>
      <c r="E34" s="81" t="s">
        <v>661</v>
      </c>
      <c r="F34" s="80" t="s">
        <v>685</v>
      </c>
      <c r="G34" s="80" t="s">
        <v>721</v>
      </c>
      <c r="H34" s="83" t="s">
        <v>2426</v>
      </c>
      <c r="I34" s="80" t="s">
        <v>748</v>
      </c>
      <c r="J34" s="80" t="s">
        <v>778</v>
      </c>
      <c r="K34" s="81" t="s">
        <v>795</v>
      </c>
      <c r="L34" s="80" t="s">
        <v>2332</v>
      </c>
      <c r="M34" s="82" t="s">
        <v>3957</v>
      </c>
      <c r="N34" s="81" t="s">
        <v>829</v>
      </c>
      <c r="O34" s="81" t="s">
        <v>3672</v>
      </c>
      <c r="P34" s="81" t="s">
        <v>3728</v>
      </c>
      <c r="Q34" s="81" t="s">
        <v>3241</v>
      </c>
      <c r="R34" s="81" t="s">
        <v>1938</v>
      </c>
      <c r="S34" s="81" t="s">
        <v>2476</v>
      </c>
      <c r="T34" s="81" t="s">
        <v>1244</v>
      </c>
      <c r="U34" s="80" t="s">
        <v>3867</v>
      </c>
      <c r="V34" s="81" t="s">
        <v>1194</v>
      </c>
      <c r="W34" s="81" t="s">
        <v>721</v>
      </c>
      <c r="X34" s="80" t="s">
        <v>3124</v>
      </c>
      <c r="Y34" s="80" t="s">
        <v>2235</v>
      </c>
      <c r="Z34" s="80" t="s">
        <v>2905</v>
      </c>
      <c r="AA34" s="80" t="s">
        <v>3000</v>
      </c>
      <c r="AB34" s="81" t="s">
        <v>3867</v>
      </c>
      <c r="AC34" s="81" t="s">
        <v>1510</v>
      </c>
      <c r="AD34" s="80" t="s">
        <v>2937</v>
      </c>
      <c r="AE34" s="81" t="s">
        <v>1951</v>
      </c>
      <c r="AF34" s="81" t="s">
        <v>1102</v>
      </c>
      <c r="AG34" s="81" t="s">
        <v>1288</v>
      </c>
      <c r="AH34" s="81" t="s">
        <v>3183</v>
      </c>
      <c r="AI34" s="81" t="s">
        <v>2968</v>
      </c>
      <c r="AJ34" s="81" t="s">
        <v>1153</v>
      </c>
      <c r="AK34" s="81" t="s">
        <v>2979</v>
      </c>
      <c r="AL34" s="80" t="s">
        <v>2985</v>
      </c>
      <c r="AM34" s="80" t="s">
        <v>3000</v>
      </c>
      <c r="AN34" s="81" t="s">
        <v>3285</v>
      </c>
      <c r="AO34" s="80" t="s">
        <v>778</v>
      </c>
      <c r="AP34" s="84" t="s">
        <v>1873</v>
      </c>
      <c r="AQ34" s="80" t="s">
        <v>1873</v>
      </c>
      <c r="AR34" s="80" t="s">
        <v>795</v>
      </c>
      <c r="AS34" s="81" t="s">
        <v>3038</v>
      </c>
      <c r="AT34" s="81" t="s">
        <v>3067</v>
      </c>
      <c r="AU34" s="81" t="s">
        <v>839</v>
      </c>
      <c r="AV34" s="81" t="s">
        <v>919</v>
      </c>
    </row>
    <row r="35" spans="1:48">
      <c r="A35" s="80">
        <v>34</v>
      </c>
      <c r="B35" s="80" t="s">
        <v>589</v>
      </c>
      <c r="C35" s="80" t="s">
        <v>631</v>
      </c>
      <c r="D35" s="80" t="s">
        <v>652</v>
      </c>
      <c r="E35" s="81" t="s">
        <v>571</v>
      </c>
      <c r="F35" s="80" t="s">
        <v>697</v>
      </c>
      <c r="G35" s="80" t="s">
        <v>731</v>
      </c>
      <c r="H35" s="83" t="s">
        <v>2437</v>
      </c>
      <c r="I35" s="80" t="s">
        <v>757</v>
      </c>
      <c r="J35" s="80" t="s">
        <v>785</v>
      </c>
      <c r="K35" s="81" t="s">
        <v>816</v>
      </c>
      <c r="L35" s="80" t="s">
        <v>631</v>
      </c>
      <c r="M35" s="80" t="s">
        <v>589</v>
      </c>
      <c r="N35" s="81" t="s">
        <v>834</v>
      </c>
      <c r="O35" s="81" t="s">
        <v>2835</v>
      </c>
      <c r="P35" s="81" t="s">
        <v>3747</v>
      </c>
      <c r="Q35" s="81" t="s">
        <v>2848</v>
      </c>
      <c r="R35" s="81" t="s">
        <v>2871</v>
      </c>
      <c r="S35" s="81" t="s">
        <v>2495</v>
      </c>
      <c r="T35" s="81" t="s">
        <v>2887</v>
      </c>
      <c r="U35" s="80" t="s">
        <v>286</v>
      </c>
      <c r="V35" s="81" t="s">
        <v>1207</v>
      </c>
      <c r="W35" s="81" t="s">
        <v>1784</v>
      </c>
      <c r="X35" s="80" t="s">
        <v>3142</v>
      </c>
      <c r="Y35" s="80" t="s">
        <v>2254</v>
      </c>
      <c r="Z35" s="80" t="s">
        <v>2916</v>
      </c>
      <c r="AA35" s="80" t="s">
        <v>1376</v>
      </c>
      <c r="AB35" s="81" t="s">
        <v>286</v>
      </c>
      <c r="AC35" s="81" t="s">
        <v>1529</v>
      </c>
      <c r="AD35" s="80" t="s">
        <v>2947</v>
      </c>
      <c r="AE35" s="81" t="s">
        <v>1965</v>
      </c>
      <c r="AF35" s="81" t="s">
        <v>1669</v>
      </c>
      <c r="AG35" s="81" t="s">
        <v>1306</v>
      </c>
      <c r="AH35" s="81" t="s">
        <v>3187</v>
      </c>
      <c r="AI35" s="81" t="s">
        <v>731</v>
      </c>
      <c r="AJ35" s="81" t="s">
        <v>731</v>
      </c>
      <c r="AK35" s="81" t="s">
        <v>2071</v>
      </c>
      <c r="AL35" s="80" t="s">
        <v>2990</v>
      </c>
      <c r="AM35" s="80" t="s">
        <v>3009</v>
      </c>
      <c r="AN35" s="81" t="s">
        <v>3297</v>
      </c>
      <c r="AO35" s="80" t="s">
        <v>785</v>
      </c>
      <c r="AP35" s="84" t="s">
        <v>731</v>
      </c>
      <c r="AQ35" s="80" t="s">
        <v>731</v>
      </c>
      <c r="AR35" s="81" t="s">
        <v>1669</v>
      </c>
      <c r="AS35" s="81" t="s">
        <v>3044</v>
      </c>
      <c r="AT35" s="81" t="s">
        <v>3074</v>
      </c>
      <c r="AU35" s="81" t="s">
        <v>853</v>
      </c>
      <c r="AV35" s="81" t="s">
        <v>3087</v>
      </c>
    </row>
    <row r="36" spans="1:48">
      <c r="A36" s="80">
        <v>35</v>
      </c>
      <c r="B36" s="80" t="s">
        <v>590</v>
      </c>
      <c r="C36" s="80" t="s">
        <v>632</v>
      </c>
      <c r="D36" s="80" t="s">
        <v>1444</v>
      </c>
      <c r="E36" s="81" t="s">
        <v>572</v>
      </c>
      <c r="F36" s="80" t="s">
        <v>698</v>
      </c>
      <c r="G36" s="80" t="s">
        <v>732</v>
      </c>
      <c r="H36" s="83" t="s">
        <v>2438</v>
      </c>
      <c r="I36" s="80" t="s">
        <v>758</v>
      </c>
      <c r="J36" s="80" t="s">
        <v>786</v>
      </c>
      <c r="K36" s="81" t="s">
        <v>817</v>
      </c>
      <c r="L36" s="80" t="s">
        <v>2333</v>
      </c>
      <c r="M36" s="80" t="s">
        <v>590</v>
      </c>
      <c r="N36" s="81" t="s">
        <v>3623</v>
      </c>
      <c r="O36" s="81" t="s">
        <v>2836</v>
      </c>
      <c r="P36" s="81" t="s">
        <v>3748</v>
      </c>
      <c r="Q36" s="81" t="s">
        <v>2849</v>
      </c>
      <c r="R36" s="81" t="s">
        <v>1742</v>
      </c>
      <c r="S36" s="81" t="s">
        <v>2496</v>
      </c>
      <c r="T36" s="81" t="s">
        <v>1219</v>
      </c>
      <c r="U36" s="80" t="s">
        <v>603</v>
      </c>
      <c r="V36" s="81" t="s">
        <v>1208</v>
      </c>
      <c r="W36" s="81" t="s">
        <v>1785</v>
      </c>
      <c r="X36" s="80" t="s">
        <v>3143</v>
      </c>
      <c r="Y36" s="80" t="s">
        <v>2255</v>
      </c>
      <c r="Z36" s="80" t="s">
        <v>590</v>
      </c>
      <c r="AA36" s="80" t="s">
        <v>1377</v>
      </c>
      <c r="AB36" s="81" t="s">
        <v>2280</v>
      </c>
      <c r="AC36" s="81" t="s">
        <v>1530</v>
      </c>
      <c r="AD36" s="80" t="s">
        <v>590</v>
      </c>
      <c r="AE36" s="81" t="s">
        <v>1966</v>
      </c>
      <c r="AF36" s="81" t="s">
        <v>1105</v>
      </c>
      <c r="AG36" s="81" t="s">
        <v>1307</v>
      </c>
      <c r="AH36" s="81" t="s">
        <v>3188</v>
      </c>
      <c r="AI36" s="81" t="s">
        <v>2372</v>
      </c>
      <c r="AJ36" s="81" t="s">
        <v>2372</v>
      </c>
      <c r="AK36" s="81" t="s">
        <v>2072</v>
      </c>
      <c r="AL36" s="80" t="s">
        <v>2991</v>
      </c>
      <c r="AM36" s="80" t="s">
        <v>3010</v>
      </c>
      <c r="AN36" s="81" t="s">
        <v>3298</v>
      </c>
      <c r="AO36" s="80" t="s">
        <v>590</v>
      </c>
      <c r="AP36" s="84" t="s">
        <v>3055</v>
      </c>
      <c r="AQ36" s="80" t="s">
        <v>2160</v>
      </c>
      <c r="AR36" s="81" t="s">
        <v>1670</v>
      </c>
      <c r="AS36" s="81" t="s">
        <v>3565</v>
      </c>
      <c r="AT36" s="81" t="s">
        <v>2807</v>
      </c>
      <c r="AU36" s="81" t="s">
        <v>854</v>
      </c>
      <c r="AV36" s="81" t="s">
        <v>3088</v>
      </c>
    </row>
    <row r="37" spans="1:48">
      <c r="A37" s="80">
        <v>36</v>
      </c>
      <c r="B37" s="80" t="s">
        <v>591</v>
      </c>
      <c r="C37" s="80" t="s">
        <v>633</v>
      </c>
      <c r="D37" s="80" t="s">
        <v>1445</v>
      </c>
      <c r="E37" s="81" t="s">
        <v>573</v>
      </c>
      <c r="F37" s="80" t="s">
        <v>699</v>
      </c>
      <c r="G37" s="80" t="s">
        <v>733</v>
      </c>
      <c r="H37" s="83" t="s">
        <v>2439</v>
      </c>
      <c r="I37" s="81" t="s">
        <v>1689</v>
      </c>
      <c r="J37" s="80" t="s">
        <v>787</v>
      </c>
      <c r="K37" s="81" t="s">
        <v>221</v>
      </c>
      <c r="L37" s="80" t="s">
        <v>2334</v>
      </c>
      <c r="M37" s="80" t="s">
        <v>591</v>
      </c>
      <c r="N37" s="81" t="s">
        <v>3624</v>
      </c>
      <c r="O37" s="81" t="s">
        <v>3674</v>
      </c>
      <c r="P37" s="81" t="s">
        <v>3749</v>
      </c>
      <c r="Q37" s="81" t="s">
        <v>1025</v>
      </c>
      <c r="R37" s="81" t="s">
        <v>1939</v>
      </c>
      <c r="S37" s="81" t="s">
        <v>2497</v>
      </c>
      <c r="T37" s="81" t="s">
        <v>1247</v>
      </c>
      <c r="U37" s="80" t="s">
        <v>1097</v>
      </c>
      <c r="V37" s="81" t="s">
        <v>1209</v>
      </c>
      <c r="W37" s="81" t="s">
        <v>1786</v>
      </c>
      <c r="X37" s="80" t="s">
        <v>3144</v>
      </c>
      <c r="Y37" s="80" t="s">
        <v>2256</v>
      </c>
      <c r="Z37" s="80" t="s">
        <v>2917</v>
      </c>
      <c r="AA37" s="80" t="s">
        <v>1378</v>
      </c>
      <c r="AB37" s="81" t="s">
        <v>2281</v>
      </c>
      <c r="AC37" s="81" t="s">
        <v>1531</v>
      </c>
      <c r="AD37" s="80" t="s">
        <v>2948</v>
      </c>
      <c r="AE37" s="81" t="s">
        <v>1967</v>
      </c>
      <c r="AF37" s="81" t="s">
        <v>1106</v>
      </c>
      <c r="AG37" s="81" t="s">
        <v>1308</v>
      </c>
      <c r="AH37" s="81" t="s">
        <v>3189</v>
      </c>
      <c r="AI37" s="81" t="s">
        <v>2373</v>
      </c>
      <c r="AJ37" s="81" t="s">
        <v>1156</v>
      </c>
      <c r="AK37" s="81" t="s">
        <v>2073</v>
      </c>
      <c r="AL37" s="81" t="s">
        <v>2131</v>
      </c>
      <c r="AM37" s="80" t="s">
        <v>3011</v>
      </c>
      <c r="AN37" s="81" t="s">
        <v>3299</v>
      </c>
      <c r="AO37" s="80" t="s">
        <v>591</v>
      </c>
      <c r="AP37" s="84" t="s">
        <v>3056</v>
      </c>
      <c r="AQ37" s="80" t="s">
        <v>2161</v>
      </c>
      <c r="AR37" s="81" t="s">
        <v>1878</v>
      </c>
      <c r="AS37" s="81" t="s">
        <v>1346</v>
      </c>
      <c r="AT37" s="81" t="s">
        <v>2808</v>
      </c>
      <c r="AU37" s="81" t="s">
        <v>855</v>
      </c>
      <c r="AV37" s="81" t="s">
        <v>927</v>
      </c>
    </row>
    <row r="38" spans="1:48">
      <c r="A38" s="80">
        <v>37</v>
      </c>
      <c r="B38" s="80" t="s">
        <v>592</v>
      </c>
      <c r="C38" s="80" t="s">
        <v>634</v>
      </c>
      <c r="D38" s="80" t="s">
        <v>1446</v>
      </c>
      <c r="E38" s="81" t="s">
        <v>574</v>
      </c>
      <c r="F38" s="80" t="s">
        <v>700</v>
      </c>
      <c r="G38" s="80" t="s">
        <v>734</v>
      </c>
      <c r="H38" s="83" t="s">
        <v>2440</v>
      </c>
      <c r="I38" s="81" t="s">
        <v>1690</v>
      </c>
      <c r="J38" s="80" t="s">
        <v>788</v>
      </c>
      <c r="K38" s="81" t="s">
        <v>222</v>
      </c>
      <c r="L38" s="80" t="s">
        <v>2335</v>
      </c>
      <c r="M38" s="80" t="s">
        <v>592</v>
      </c>
      <c r="N38" s="81" t="s">
        <v>3625</v>
      </c>
      <c r="O38" s="81" t="s">
        <v>3675</v>
      </c>
      <c r="P38" s="81" t="s">
        <v>3750</v>
      </c>
      <c r="Q38" s="81" t="s">
        <v>2850</v>
      </c>
      <c r="R38" s="81" t="s">
        <v>1743</v>
      </c>
      <c r="S38" s="81" t="s">
        <v>2498</v>
      </c>
      <c r="T38" s="81" t="s">
        <v>1248</v>
      </c>
      <c r="U38" s="80" t="s">
        <v>604</v>
      </c>
      <c r="V38" s="81" t="s">
        <v>1210</v>
      </c>
      <c r="W38" s="81" t="s">
        <v>2898</v>
      </c>
      <c r="X38" s="80" t="s">
        <v>3145</v>
      </c>
      <c r="Y38" s="80" t="s">
        <v>2257</v>
      </c>
      <c r="Z38" s="80" t="s">
        <v>2918</v>
      </c>
      <c r="AA38" s="80" t="s">
        <v>1379</v>
      </c>
      <c r="AB38" s="81" t="s">
        <v>2282</v>
      </c>
      <c r="AC38" s="81" t="s">
        <v>1532</v>
      </c>
      <c r="AD38" s="80" t="s">
        <v>2949</v>
      </c>
      <c r="AE38" s="81" t="s">
        <v>1968</v>
      </c>
      <c r="AF38" s="81" t="s">
        <v>1107</v>
      </c>
      <c r="AG38" s="81" t="s">
        <v>1309</v>
      </c>
      <c r="AH38" s="81" t="s">
        <v>3190</v>
      </c>
      <c r="AI38" s="81" t="s">
        <v>2374</v>
      </c>
      <c r="AJ38" s="81" t="s">
        <v>2374</v>
      </c>
      <c r="AK38" s="81" t="s">
        <v>2074</v>
      </c>
      <c r="AL38" s="81" t="s">
        <v>2132</v>
      </c>
      <c r="AM38" s="80" t="s">
        <v>3012</v>
      </c>
      <c r="AN38" s="81" t="s">
        <v>3300</v>
      </c>
      <c r="AO38" s="80" t="s">
        <v>592</v>
      </c>
      <c r="AP38" s="84" t="s">
        <v>3057</v>
      </c>
      <c r="AQ38" s="80" t="s">
        <v>3057</v>
      </c>
      <c r="AR38" s="81" t="s">
        <v>1671</v>
      </c>
      <c r="AS38" s="81" t="s">
        <v>1347</v>
      </c>
      <c r="AT38" s="81" t="s">
        <v>3075</v>
      </c>
      <c r="AU38" s="81" t="s">
        <v>856</v>
      </c>
      <c r="AV38" s="81" t="s">
        <v>928</v>
      </c>
    </row>
    <row r="39" spans="1:48">
      <c r="A39" s="80">
        <v>38</v>
      </c>
      <c r="B39" s="80" t="s">
        <v>593</v>
      </c>
      <c r="C39" s="80" t="s">
        <v>593</v>
      </c>
      <c r="D39" s="80" t="s">
        <v>1447</v>
      </c>
      <c r="E39" s="81" t="s">
        <v>575</v>
      </c>
      <c r="F39" s="80" t="s">
        <v>701</v>
      </c>
      <c r="G39" s="80" t="s">
        <v>735</v>
      </c>
      <c r="H39" s="83" t="s">
        <v>2441</v>
      </c>
      <c r="I39" s="81" t="s">
        <v>1691</v>
      </c>
      <c r="J39" s="80" t="s">
        <v>593</v>
      </c>
      <c r="K39" s="81" t="s">
        <v>223</v>
      </c>
      <c r="L39" s="80" t="s">
        <v>2336</v>
      </c>
      <c r="M39" s="80" t="s">
        <v>593</v>
      </c>
      <c r="N39" s="81" t="s">
        <v>3626</v>
      </c>
      <c r="O39" s="81" t="s">
        <v>2837</v>
      </c>
      <c r="P39" s="81" t="s">
        <v>3751</v>
      </c>
      <c r="Q39" s="81" t="s">
        <v>3242</v>
      </c>
      <c r="R39" s="81" t="s">
        <v>1940</v>
      </c>
      <c r="S39" s="81" t="s">
        <v>2499</v>
      </c>
      <c r="T39" s="81" t="s">
        <v>1249</v>
      </c>
      <c r="U39" s="80" t="s">
        <v>605</v>
      </c>
      <c r="V39" s="86" t="s">
        <v>1211</v>
      </c>
      <c r="W39" s="81" t="s">
        <v>1787</v>
      </c>
      <c r="X39" s="80" t="s">
        <v>3146</v>
      </c>
      <c r="Y39" s="80" t="s">
        <v>2258</v>
      </c>
      <c r="Z39" s="80" t="s">
        <v>2919</v>
      </c>
      <c r="AA39" s="80" t="s">
        <v>1380</v>
      </c>
      <c r="AB39" s="81" t="s">
        <v>2283</v>
      </c>
      <c r="AC39" s="81" t="s">
        <v>1533</v>
      </c>
      <c r="AD39" s="80" t="s">
        <v>593</v>
      </c>
      <c r="AE39" s="81" t="s">
        <v>1969</v>
      </c>
      <c r="AF39" s="81" t="s">
        <v>1108</v>
      </c>
      <c r="AG39" s="81" t="s">
        <v>1310</v>
      </c>
      <c r="AH39" s="81" t="s">
        <v>3191</v>
      </c>
      <c r="AI39" s="81" t="s">
        <v>2375</v>
      </c>
      <c r="AJ39" s="81" t="s">
        <v>1157</v>
      </c>
      <c r="AK39" s="81" t="s">
        <v>2075</v>
      </c>
      <c r="AL39" s="81" t="s">
        <v>2133</v>
      </c>
      <c r="AM39" s="80" t="s">
        <v>3013</v>
      </c>
      <c r="AN39" s="81" t="s">
        <v>3301</v>
      </c>
      <c r="AO39" s="80" t="s">
        <v>593</v>
      </c>
      <c r="AP39" s="84" t="s">
        <v>3058</v>
      </c>
      <c r="AQ39" s="80" t="s">
        <v>2162</v>
      </c>
      <c r="AR39" s="81" t="s">
        <v>1879</v>
      </c>
      <c r="AS39" s="81" t="s">
        <v>1348</v>
      </c>
      <c r="AT39" s="81" t="s">
        <v>2809</v>
      </c>
      <c r="AU39" s="81" t="s">
        <v>857</v>
      </c>
      <c r="AV39" s="81" t="s">
        <v>929</v>
      </c>
    </row>
    <row r="40" spans="1:48">
      <c r="A40" s="80">
        <v>39</v>
      </c>
      <c r="B40" s="80" t="s">
        <v>579</v>
      </c>
      <c r="C40" s="80" t="s">
        <v>635</v>
      </c>
      <c r="D40" s="80" t="s">
        <v>1448</v>
      </c>
      <c r="E40" s="81" t="s">
        <v>669</v>
      </c>
      <c r="F40" s="80" t="s">
        <v>702</v>
      </c>
      <c r="G40" s="80" t="s">
        <v>606</v>
      </c>
      <c r="H40" s="83" t="s">
        <v>2442</v>
      </c>
      <c r="I40" s="81" t="s">
        <v>1692</v>
      </c>
      <c r="J40" s="80" t="s">
        <v>789</v>
      </c>
      <c r="K40" s="81" t="s">
        <v>2851</v>
      </c>
      <c r="L40" s="80" t="s">
        <v>635</v>
      </c>
      <c r="M40" s="80" t="s">
        <v>579</v>
      </c>
      <c r="N40" s="81" t="s">
        <v>3627</v>
      </c>
      <c r="O40" s="81" t="s">
        <v>2838</v>
      </c>
      <c r="P40" s="81" t="s">
        <v>3752</v>
      </c>
      <c r="Q40" s="81" t="s">
        <v>2851</v>
      </c>
      <c r="R40" s="81" t="s">
        <v>1941</v>
      </c>
      <c r="S40" s="81" t="s">
        <v>2500</v>
      </c>
      <c r="T40" s="81" t="s">
        <v>1220</v>
      </c>
      <c r="U40" s="80" t="s">
        <v>606</v>
      </c>
      <c r="V40" s="81" t="s">
        <v>1212</v>
      </c>
      <c r="W40" s="81" t="s">
        <v>2899</v>
      </c>
      <c r="X40" s="80" t="s">
        <v>3147</v>
      </c>
      <c r="Y40" s="80" t="s">
        <v>2259</v>
      </c>
      <c r="Z40" s="80" t="s">
        <v>2920</v>
      </c>
      <c r="AA40" s="80" t="s">
        <v>702</v>
      </c>
      <c r="AB40" s="81" t="s">
        <v>2284</v>
      </c>
      <c r="AC40" s="81" t="s">
        <v>1534</v>
      </c>
      <c r="AD40" s="80" t="s">
        <v>2950</v>
      </c>
      <c r="AE40" s="81" t="s">
        <v>1970</v>
      </c>
      <c r="AF40" s="81" t="s">
        <v>2851</v>
      </c>
      <c r="AG40" s="81" t="s">
        <v>1311</v>
      </c>
      <c r="AH40" s="81" t="s">
        <v>789</v>
      </c>
      <c r="AI40" s="81" t="s">
        <v>2976</v>
      </c>
      <c r="AJ40" s="81" t="s">
        <v>2976</v>
      </c>
      <c r="AK40" s="81" t="s">
        <v>789</v>
      </c>
      <c r="AL40" s="81" t="s">
        <v>2992</v>
      </c>
      <c r="AM40" s="80" t="s">
        <v>702</v>
      </c>
      <c r="AN40" s="81" t="s">
        <v>3032</v>
      </c>
      <c r="AO40" s="80" t="s">
        <v>3032</v>
      </c>
      <c r="AP40" s="84" t="s">
        <v>2976</v>
      </c>
      <c r="AQ40" s="80" t="s">
        <v>2976</v>
      </c>
      <c r="AR40" s="81" t="s">
        <v>2950</v>
      </c>
      <c r="AS40" s="81" t="s">
        <v>3045</v>
      </c>
      <c r="AT40" s="81" t="s">
        <v>606</v>
      </c>
      <c r="AU40" s="81" t="s">
        <v>702</v>
      </c>
      <c r="AV40" s="81" t="s">
        <v>930</v>
      </c>
    </row>
    <row r="41" spans="1:48">
      <c r="A41" s="80">
        <v>40</v>
      </c>
      <c r="B41" s="80" t="s">
        <v>56</v>
      </c>
      <c r="C41" s="80" t="s">
        <v>636</v>
      </c>
      <c r="D41" s="80" t="s">
        <v>653</v>
      </c>
      <c r="E41" s="81" t="s">
        <v>576</v>
      </c>
      <c r="F41" s="80" t="s">
        <v>703</v>
      </c>
      <c r="G41" s="80" t="s">
        <v>653</v>
      </c>
      <c r="H41" s="83" t="s">
        <v>679</v>
      </c>
      <c r="I41" s="80" t="s">
        <v>679</v>
      </c>
      <c r="J41" s="80" t="s">
        <v>636</v>
      </c>
      <c r="K41" s="81" t="s">
        <v>818</v>
      </c>
      <c r="L41" s="80" t="s">
        <v>636</v>
      </c>
      <c r="M41" s="80" t="s">
        <v>56</v>
      </c>
      <c r="N41" s="81" t="s">
        <v>3628</v>
      </c>
      <c r="O41" s="81" t="s">
        <v>56</v>
      </c>
      <c r="P41" s="81" t="s">
        <v>3753</v>
      </c>
      <c r="Q41" s="81" t="s">
        <v>636</v>
      </c>
      <c r="R41" s="81" t="s">
        <v>2872</v>
      </c>
      <c r="S41" s="81" t="s">
        <v>2501</v>
      </c>
      <c r="T41" s="81" t="s">
        <v>2888</v>
      </c>
      <c r="U41" s="80" t="s">
        <v>607</v>
      </c>
      <c r="V41" s="81" t="s">
        <v>1213</v>
      </c>
      <c r="W41" s="81" t="s">
        <v>653</v>
      </c>
      <c r="X41" s="80" t="s">
        <v>3148</v>
      </c>
      <c r="Y41" s="80" t="s">
        <v>2260</v>
      </c>
      <c r="Z41" s="80" t="s">
        <v>653</v>
      </c>
      <c r="AA41" s="80" t="s">
        <v>703</v>
      </c>
      <c r="AB41" s="81" t="s">
        <v>2932</v>
      </c>
      <c r="AC41" s="81" t="s">
        <v>1535</v>
      </c>
      <c r="AD41" s="80" t="s">
        <v>653</v>
      </c>
      <c r="AE41" s="81" t="s">
        <v>1971</v>
      </c>
      <c r="AF41" s="81" t="s">
        <v>818</v>
      </c>
      <c r="AG41" s="81" t="s">
        <v>1312</v>
      </c>
      <c r="AH41" s="81" t="s">
        <v>653</v>
      </c>
      <c r="AI41" s="81" t="s">
        <v>653</v>
      </c>
      <c r="AJ41" s="81" t="s">
        <v>653</v>
      </c>
      <c r="AK41" s="81" t="s">
        <v>653</v>
      </c>
      <c r="AL41" s="81" t="s">
        <v>703</v>
      </c>
      <c r="AM41" s="80" t="s">
        <v>3014</v>
      </c>
      <c r="AN41" s="81" t="s">
        <v>2888</v>
      </c>
      <c r="AO41" s="80" t="s">
        <v>636</v>
      </c>
      <c r="AP41" s="84" t="s">
        <v>3059</v>
      </c>
      <c r="AQ41" s="80" t="s">
        <v>3059</v>
      </c>
      <c r="AR41" s="81" t="s">
        <v>636</v>
      </c>
      <c r="AS41" s="81" t="s">
        <v>3566</v>
      </c>
      <c r="AT41" s="81" t="s">
        <v>3076</v>
      </c>
      <c r="AU41" s="81" t="s">
        <v>703</v>
      </c>
      <c r="AV41" s="81" t="s">
        <v>3089</v>
      </c>
    </row>
    <row r="42" spans="1:48">
      <c r="A42" s="80">
        <v>41</v>
      </c>
      <c r="B42" s="80" t="s">
        <v>73</v>
      </c>
      <c r="C42" s="80" t="s">
        <v>637</v>
      </c>
      <c r="D42" s="80" t="s">
        <v>654</v>
      </c>
      <c r="E42" s="81" t="s">
        <v>2743</v>
      </c>
      <c r="F42" s="80" t="s">
        <v>704</v>
      </c>
      <c r="G42" s="80" t="s">
        <v>736</v>
      </c>
      <c r="H42" s="83" t="s">
        <v>2443</v>
      </c>
      <c r="I42" s="80" t="s">
        <v>759</v>
      </c>
      <c r="J42" s="80" t="s">
        <v>790</v>
      </c>
      <c r="K42" s="81" t="s">
        <v>637</v>
      </c>
      <c r="L42" s="80" t="s">
        <v>637</v>
      </c>
      <c r="M42" s="80" t="s">
        <v>73</v>
      </c>
      <c r="N42" s="81" t="s">
        <v>3629</v>
      </c>
      <c r="O42" s="81" t="s">
        <v>2839</v>
      </c>
      <c r="P42" s="81" t="s">
        <v>3754</v>
      </c>
      <c r="Q42" s="81" t="s">
        <v>637</v>
      </c>
      <c r="R42" s="81" t="s">
        <v>2873</v>
      </c>
      <c r="S42" s="81" t="s">
        <v>2502</v>
      </c>
      <c r="T42" s="81" t="s">
        <v>2889</v>
      </c>
      <c r="U42" s="80" t="s">
        <v>608</v>
      </c>
      <c r="V42" s="81" t="s">
        <v>637</v>
      </c>
      <c r="W42" s="81" t="s">
        <v>1788</v>
      </c>
      <c r="X42" s="80" t="s">
        <v>2216</v>
      </c>
      <c r="Y42" s="80" t="s">
        <v>2261</v>
      </c>
      <c r="Z42" s="80" t="s">
        <v>2921</v>
      </c>
      <c r="AA42" s="80" t="s">
        <v>1381</v>
      </c>
      <c r="AB42" s="81" t="s">
        <v>608</v>
      </c>
      <c r="AC42" s="81" t="s">
        <v>1536</v>
      </c>
      <c r="AD42" s="80" t="s">
        <v>2951</v>
      </c>
      <c r="AE42" s="81" t="s">
        <v>1972</v>
      </c>
      <c r="AF42" s="81" t="s">
        <v>637</v>
      </c>
      <c r="AG42" s="81" t="s">
        <v>1313</v>
      </c>
      <c r="AH42" s="81" t="s">
        <v>2963</v>
      </c>
      <c r="AI42" s="81" t="s">
        <v>736</v>
      </c>
      <c r="AJ42" s="81" t="s">
        <v>736</v>
      </c>
      <c r="AK42" s="81" t="s">
        <v>2076</v>
      </c>
      <c r="AL42" s="81" t="s">
        <v>2134</v>
      </c>
      <c r="AM42" s="80" t="s">
        <v>3015</v>
      </c>
      <c r="AN42" s="81" t="s">
        <v>3302</v>
      </c>
      <c r="AO42" s="80" t="s">
        <v>790</v>
      </c>
      <c r="AP42" s="84" t="s">
        <v>736</v>
      </c>
      <c r="AQ42" s="80" t="s">
        <v>736</v>
      </c>
      <c r="AR42" s="81" t="s">
        <v>637</v>
      </c>
      <c r="AS42" s="81" t="s">
        <v>3046</v>
      </c>
      <c r="AT42" s="81" t="s">
        <v>3077</v>
      </c>
      <c r="AU42" s="81" t="s">
        <v>858</v>
      </c>
      <c r="AV42" s="81" t="s">
        <v>931</v>
      </c>
    </row>
    <row r="43" spans="1:48">
      <c r="A43" s="80">
        <v>42</v>
      </c>
      <c r="B43" s="80" t="s">
        <v>594</v>
      </c>
      <c r="C43" s="80" t="s">
        <v>638</v>
      </c>
      <c r="D43" s="80" t="s">
        <v>791</v>
      </c>
      <c r="E43" s="81" t="s">
        <v>670</v>
      </c>
      <c r="F43" s="80" t="s">
        <v>705</v>
      </c>
      <c r="G43" s="80" t="s">
        <v>737</v>
      </c>
      <c r="H43" s="83" t="s">
        <v>2444</v>
      </c>
      <c r="I43" s="81" t="s">
        <v>1693</v>
      </c>
      <c r="J43" s="80" t="s">
        <v>791</v>
      </c>
      <c r="K43" s="81" t="s">
        <v>594</v>
      </c>
      <c r="L43" s="81" t="s">
        <v>262</v>
      </c>
      <c r="M43" s="80" t="s">
        <v>594</v>
      </c>
      <c r="N43" s="81" t="s">
        <v>3630</v>
      </c>
      <c r="O43" s="81" t="s">
        <v>594</v>
      </c>
      <c r="P43" s="81" t="s">
        <v>3755</v>
      </c>
      <c r="Q43" s="81" t="s">
        <v>2852</v>
      </c>
      <c r="R43" s="81" t="s">
        <v>2874</v>
      </c>
      <c r="S43" s="81" t="s">
        <v>2503</v>
      </c>
      <c r="T43" s="81" t="s">
        <v>1250</v>
      </c>
      <c r="U43" s="80" t="s">
        <v>609</v>
      </c>
      <c r="V43" s="81" t="s">
        <v>1211</v>
      </c>
      <c r="W43" s="81" t="s">
        <v>1789</v>
      </c>
      <c r="X43" s="80" t="s">
        <v>2217</v>
      </c>
      <c r="Y43" s="80" t="s">
        <v>2262</v>
      </c>
      <c r="Z43" s="80" t="s">
        <v>2922</v>
      </c>
      <c r="AA43" s="80" t="s">
        <v>705</v>
      </c>
      <c r="AB43" s="81" t="s">
        <v>2285</v>
      </c>
      <c r="AC43" s="81" t="s">
        <v>1537</v>
      </c>
      <c r="AD43" s="80" t="s">
        <v>594</v>
      </c>
      <c r="AE43" s="81" t="s">
        <v>1973</v>
      </c>
      <c r="AF43" s="81" t="s">
        <v>1880</v>
      </c>
      <c r="AG43" s="81" t="s">
        <v>1314</v>
      </c>
      <c r="AH43" s="81" t="s">
        <v>3192</v>
      </c>
      <c r="AI43" s="81" t="s">
        <v>1038</v>
      </c>
      <c r="AJ43" s="81" t="s">
        <v>1038</v>
      </c>
      <c r="AK43" s="81" t="s">
        <v>2077</v>
      </c>
      <c r="AL43" s="81" t="s">
        <v>2135</v>
      </c>
      <c r="AM43" s="80" t="s">
        <v>3016</v>
      </c>
      <c r="AN43" s="81" t="s">
        <v>3303</v>
      </c>
      <c r="AO43" s="80" t="s">
        <v>2964</v>
      </c>
      <c r="AP43" s="84" t="s">
        <v>1038</v>
      </c>
      <c r="AQ43" s="80" t="s">
        <v>1038</v>
      </c>
      <c r="AR43" s="81" t="s">
        <v>1880</v>
      </c>
      <c r="AS43" s="81" t="s">
        <v>3567</v>
      </c>
      <c r="AT43" s="81" t="s">
        <v>2810</v>
      </c>
      <c r="AU43" s="81" t="s">
        <v>859</v>
      </c>
      <c r="AV43" s="81" t="s">
        <v>932</v>
      </c>
    </row>
    <row r="44" spans="1:48">
      <c r="A44" s="80">
        <v>43</v>
      </c>
      <c r="B44" s="80" t="s">
        <v>57</v>
      </c>
      <c r="C44" s="80" t="s">
        <v>639</v>
      </c>
      <c r="D44" s="80" t="s">
        <v>655</v>
      </c>
      <c r="E44" s="81" t="s">
        <v>2744</v>
      </c>
      <c r="F44" s="80" t="s">
        <v>706</v>
      </c>
      <c r="G44" s="80" t="s">
        <v>738</v>
      </c>
      <c r="H44" s="83" t="s">
        <v>2445</v>
      </c>
      <c r="I44" s="80" t="s">
        <v>2218</v>
      </c>
      <c r="J44" s="80" t="s">
        <v>792</v>
      </c>
      <c r="K44" s="81" t="s">
        <v>224</v>
      </c>
      <c r="L44" s="81" t="s">
        <v>826</v>
      </c>
      <c r="M44" s="80" t="s">
        <v>57</v>
      </c>
      <c r="N44" s="81" t="s">
        <v>3631</v>
      </c>
      <c r="O44" s="81" t="s">
        <v>2840</v>
      </c>
      <c r="P44" s="81" t="s">
        <v>3756</v>
      </c>
      <c r="Q44" s="81" t="s">
        <v>1026</v>
      </c>
      <c r="R44" s="81" t="s">
        <v>1942</v>
      </c>
      <c r="S44" s="81" t="s">
        <v>2504</v>
      </c>
      <c r="T44" s="81" t="s">
        <v>1221</v>
      </c>
      <c r="U44" s="80" t="s">
        <v>610</v>
      </c>
      <c r="V44" s="81" t="s">
        <v>1214</v>
      </c>
      <c r="W44" s="81" t="s">
        <v>1790</v>
      </c>
      <c r="X44" s="80" t="s">
        <v>2218</v>
      </c>
      <c r="Y44" s="80" t="s">
        <v>2263</v>
      </c>
      <c r="Z44" s="80" t="s">
        <v>2923</v>
      </c>
      <c r="AA44" s="80" t="s">
        <v>706</v>
      </c>
      <c r="AB44" s="81" t="s">
        <v>2286</v>
      </c>
      <c r="AC44" s="81" t="s">
        <v>1538</v>
      </c>
      <c r="AD44" s="80" t="s">
        <v>2952</v>
      </c>
      <c r="AE44" s="81" t="s">
        <v>1974</v>
      </c>
      <c r="AF44" s="81" t="s">
        <v>819</v>
      </c>
      <c r="AG44" s="81" t="s">
        <v>1315</v>
      </c>
      <c r="AH44" s="81" t="s">
        <v>2965</v>
      </c>
      <c r="AI44" s="81" t="s">
        <v>2376</v>
      </c>
      <c r="AJ44" s="81" t="s">
        <v>2900</v>
      </c>
      <c r="AK44" s="81" t="s">
        <v>2981</v>
      </c>
      <c r="AL44" s="80" t="s">
        <v>2993</v>
      </c>
      <c r="AM44" s="80" t="s">
        <v>706</v>
      </c>
      <c r="AN44" s="81" t="s">
        <v>3033</v>
      </c>
      <c r="AO44" s="80" t="s">
        <v>3033</v>
      </c>
      <c r="AP44" s="84" t="s">
        <v>1839</v>
      </c>
      <c r="AQ44" s="80" t="s">
        <v>2163</v>
      </c>
      <c r="AR44" s="81" t="s">
        <v>819</v>
      </c>
      <c r="AS44" s="81" t="s">
        <v>3047</v>
      </c>
      <c r="AT44" s="81" t="s">
        <v>2811</v>
      </c>
      <c r="AU44" s="81" t="s">
        <v>860</v>
      </c>
      <c r="AV44" s="81" t="s">
        <v>3090</v>
      </c>
    </row>
    <row r="45" spans="1:48">
      <c r="A45" s="80">
        <v>44</v>
      </c>
      <c r="B45" s="80" t="s">
        <v>595</v>
      </c>
      <c r="C45" s="80" t="s">
        <v>640</v>
      </c>
      <c r="D45" s="80" t="s">
        <v>1449</v>
      </c>
      <c r="E45" s="81" t="s">
        <v>2745</v>
      </c>
      <c r="F45" s="80" t="s">
        <v>707</v>
      </c>
      <c r="G45" s="80" t="s">
        <v>739</v>
      </c>
      <c r="H45" s="81" t="s">
        <v>4221</v>
      </c>
      <c r="I45" s="81" t="s">
        <v>1694</v>
      </c>
      <c r="J45" s="80" t="s">
        <v>656</v>
      </c>
      <c r="K45" s="81" t="s">
        <v>225</v>
      </c>
      <c r="L45" s="81" t="s">
        <v>263</v>
      </c>
      <c r="M45" s="80" t="s">
        <v>595</v>
      </c>
      <c r="N45" s="81" t="s">
        <v>3632</v>
      </c>
      <c r="O45" s="81" t="s">
        <v>3676</v>
      </c>
      <c r="P45" s="81" t="s">
        <v>3757</v>
      </c>
      <c r="Q45" s="81" t="s">
        <v>1028</v>
      </c>
      <c r="R45" s="81" t="s">
        <v>2875</v>
      </c>
      <c r="S45" s="81" t="s">
        <v>2505</v>
      </c>
      <c r="T45" s="81" t="s">
        <v>2890</v>
      </c>
      <c r="U45" s="80" t="s">
        <v>1098</v>
      </c>
      <c r="V45" s="86" t="s">
        <v>1215</v>
      </c>
      <c r="W45" s="81" t="s">
        <v>1500</v>
      </c>
      <c r="X45" s="80" t="s">
        <v>2219</v>
      </c>
      <c r="Y45" s="80" t="s">
        <v>2264</v>
      </c>
      <c r="Z45" s="80" t="s">
        <v>656</v>
      </c>
      <c r="AA45" s="80" t="s">
        <v>1382</v>
      </c>
      <c r="AB45" s="81" t="s">
        <v>2287</v>
      </c>
      <c r="AC45" s="81" t="s">
        <v>1539</v>
      </c>
      <c r="AD45" s="80" t="s">
        <v>2953</v>
      </c>
      <c r="AE45" s="81" t="s">
        <v>1975</v>
      </c>
      <c r="AF45" s="81" t="s">
        <v>1109</v>
      </c>
      <c r="AG45" s="81" t="s">
        <v>1316</v>
      </c>
      <c r="AH45" s="81" t="s">
        <v>3193</v>
      </c>
      <c r="AI45" s="81" t="s">
        <v>2377</v>
      </c>
      <c r="AJ45" s="81" t="s">
        <v>1342</v>
      </c>
      <c r="AK45" s="81" t="s">
        <v>2078</v>
      </c>
      <c r="AL45" s="81" t="s">
        <v>2136</v>
      </c>
      <c r="AM45" s="80" t="s">
        <v>3017</v>
      </c>
      <c r="AN45" s="81" t="s">
        <v>3304</v>
      </c>
      <c r="AO45" s="80" t="s">
        <v>595</v>
      </c>
      <c r="AP45" s="84" t="s">
        <v>1039</v>
      </c>
      <c r="AQ45" s="80" t="s">
        <v>1039</v>
      </c>
      <c r="AR45" s="81" t="s">
        <v>1881</v>
      </c>
      <c r="AS45" s="81" t="s">
        <v>3568</v>
      </c>
      <c r="AT45" s="81" t="s">
        <v>2812</v>
      </c>
      <c r="AU45" s="87" t="s">
        <v>861</v>
      </c>
      <c r="AV45" s="81" t="s">
        <v>933</v>
      </c>
    </row>
    <row r="46" spans="1:48">
      <c r="A46" s="80">
        <v>45</v>
      </c>
      <c r="B46" s="80" t="s">
        <v>596</v>
      </c>
      <c r="C46" s="80" t="s">
        <v>641</v>
      </c>
      <c r="D46" s="80" t="s">
        <v>1450</v>
      </c>
      <c r="E46" s="81" t="s">
        <v>2746</v>
      </c>
      <c r="F46" s="80" t="s">
        <v>708</v>
      </c>
      <c r="G46" s="80" t="s">
        <v>740</v>
      </c>
      <c r="H46" s="83" t="s">
        <v>2446</v>
      </c>
      <c r="I46" s="81" t="s">
        <v>1695</v>
      </c>
      <c r="J46" s="80" t="s">
        <v>596</v>
      </c>
      <c r="K46" s="81" t="s">
        <v>820</v>
      </c>
      <c r="L46" s="81" t="s">
        <v>264</v>
      </c>
      <c r="M46" s="80" t="s">
        <v>596</v>
      </c>
      <c r="N46" s="81" t="s">
        <v>3633</v>
      </c>
      <c r="O46" s="81" t="s">
        <v>3677</v>
      </c>
      <c r="P46" s="81" t="s">
        <v>3758</v>
      </c>
      <c r="Q46" s="81" t="s">
        <v>2853</v>
      </c>
      <c r="R46" s="81" t="s">
        <v>1943</v>
      </c>
      <c r="S46" s="81" t="s">
        <v>2506</v>
      </c>
      <c r="T46" s="81" t="s">
        <v>1251</v>
      </c>
      <c r="U46" s="80" t="s">
        <v>1099</v>
      </c>
      <c r="V46" s="81" t="s">
        <v>1216</v>
      </c>
      <c r="W46" s="81" t="s">
        <v>2901</v>
      </c>
      <c r="X46" s="80" t="s">
        <v>2220</v>
      </c>
      <c r="Y46" s="80" t="s">
        <v>2265</v>
      </c>
      <c r="Z46" s="80" t="s">
        <v>596</v>
      </c>
      <c r="AA46" s="80" t="s">
        <v>1383</v>
      </c>
      <c r="AB46" s="81" t="s">
        <v>2288</v>
      </c>
      <c r="AC46" s="81" t="s">
        <v>1540</v>
      </c>
      <c r="AD46" s="80" t="s">
        <v>596</v>
      </c>
      <c r="AE46" s="81" t="s">
        <v>1976</v>
      </c>
      <c r="AF46" s="81" t="s">
        <v>820</v>
      </c>
      <c r="AG46" s="81" t="s">
        <v>1317</v>
      </c>
      <c r="AH46" s="81" t="s">
        <v>3194</v>
      </c>
      <c r="AI46" s="81" t="s">
        <v>2378</v>
      </c>
      <c r="AJ46" s="81" t="s">
        <v>1158</v>
      </c>
      <c r="AK46" s="81" t="s">
        <v>2079</v>
      </c>
      <c r="AL46" s="81" t="s">
        <v>2137</v>
      </c>
      <c r="AM46" s="80" t="s">
        <v>3018</v>
      </c>
      <c r="AN46" s="81" t="s">
        <v>3305</v>
      </c>
      <c r="AO46" s="80" t="s">
        <v>596</v>
      </c>
      <c r="AP46" s="84" t="s">
        <v>3060</v>
      </c>
      <c r="AQ46" s="80" t="s">
        <v>3060</v>
      </c>
      <c r="AR46" s="81" t="s">
        <v>1672</v>
      </c>
      <c r="AS46" s="81" t="s">
        <v>1349</v>
      </c>
      <c r="AT46" s="81" t="s">
        <v>3079</v>
      </c>
      <c r="AU46" s="81" t="s">
        <v>862</v>
      </c>
      <c r="AV46" s="81" t="s">
        <v>934</v>
      </c>
    </row>
    <row r="47" spans="1:48">
      <c r="A47" s="80">
        <v>46</v>
      </c>
      <c r="B47" s="80" t="s">
        <v>597</v>
      </c>
      <c r="C47" s="80" t="s">
        <v>597</v>
      </c>
      <c r="D47" s="80" t="s">
        <v>1451</v>
      </c>
      <c r="E47" s="81" t="s">
        <v>2747</v>
      </c>
      <c r="F47" s="80" t="s">
        <v>709</v>
      </c>
      <c r="G47" s="80" t="s">
        <v>741</v>
      </c>
      <c r="H47" s="83" t="s">
        <v>2447</v>
      </c>
      <c r="I47" s="81" t="s">
        <v>1696</v>
      </c>
      <c r="J47" s="80" t="s">
        <v>597</v>
      </c>
      <c r="K47" s="81" t="s">
        <v>1673</v>
      </c>
      <c r="L47" s="81" t="s">
        <v>265</v>
      </c>
      <c r="M47" s="80" t="s">
        <v>597</v>
      </c>
      <c r="N47" s="77" t="s">
        <v>3634</v>
      </c>
      <c r="O47" s="81" t="s">
        <v>2841</v>
      </c>
      <c r="P47" s="81" t="s">
        <v>3759</v>
      </c>
      <c r="Q47" s="81" t="s">
        <v>1029</v>
      </c>
      <c r="R47" s="81" t="s">
        <v>1944</v>
      </c>
      <c r="S47" s="81" t="s">
        <v>2507</v>
      </c>
      <c r="T47" s="81" t="s">
        <v>1252</v>
      </c>
      <c r="U47" s="80" t="s">
        <v>1100</v>
      </c>
      <c r="V47" s="81" t="s">
        <v>1217</v>
      </c>
      <c r="W47" s="81" t="s">
        <v>821</v>
      </c>
      <c r="X47" s="80" t="s">
        <v>2221</v>
      </c>
      <c r="Y47" s="80" t="s">
        <v>2266</v>
      </c>
      <c r="Z47" s="80" t="s">
        <v>2924</v>
      </c>
      <c r="AA47" s="80" t="s">
        <v>3018</v>
      </c>
      <c r="AB47" s="81" t="s">
        <v>2289</v>
      </c>
      <c r="AC47" s="81" t="s">
        <v>1541</v>
      </c>
      <c r="AD47" s="80" t="s">
        <v>597</v>
      </c>
      <c r="AE47" s="81" t="s">
        <v>1977</v>
      </c>
      <c r="AF47" s="81" t="s">
        <v>1673</v>
      </c>
      <c r="AG47" s="81" t="s">
        <v>1318</v>
      </c>
      <c r="AH47" s="81" t="s">
        <v>3195</v>
      </c>
      <c r="AI47" s="81" t="s">
        <v>2379</v>
      </c>
      <c r="AJ47" s="81" t="s">
        <v>1343</v>
      </c>
      <c r="AK47" s="81" t="s">
        <v>2080</v>
      </c>
      <c r="AL47" s="81" t="s">
        <v>2138</v>
      </c>
      <c r="AM47" s="80" t="s">
        <v>3019</v>
      </c>
      <c r="AN47" s="81" t="s">
        <v>3306</v>
      </c>
      <c r="AO47" s="80" t="s">
        <v>597</v>
      </c>
      <c r="AP47" s="84" t="s">
        <v>3061</v>
      </c>
      <c r="AQ47" s="80" t="s">
        <v>3061</v>
      </c>
      <c r="AR47" s="81" t="s">
        <v>1673</v>
      </c>
      <c r="AS47" s="81" t="s">
        <v>3569</v>
      </c>
      <c r="AT47" s="81" t="s">
        <v>2813</v>
      </c>
      <c r="AU47" s="81" t="s">
        <v>863</v>
      </c>
      <c r="AV47" s="81" t="s">
        <v>935</v>
      </c>
    </row>
    <row r="48" spans="1:48">
      <c r="A48" s="80">
        <v>47</v>
      </c>
      <c r="B48" s="80" t="s">
        <v>598</v>
      </c>
      <c r="C48" s="80" t="s">
        <v>642</v>
      </c>
      <c r="D48" s="80" t="s">
        <v>1452</v>
      </c>
      <c r="E48" s="81" t="s">
        <v>2748</v>
      </c>
      <c r="F48" s="80" t="s">
        <v>710</v>
      </c>
      <c r="G48" s="80" t="s">
        <v>742</v>
      </c>
      <c r="H48" s="83" t="s">
        <v>2448</v>
      </c>
      <c r="I48" s="81" t="s">
        <v>1697</v>
      </c>
      <c r="J48" s="80" t="s">
        <v>793</v>
      </c>
      <c r="K48" s="81" t="s">
        <v>226</v>
      </c>
      <c r="L48" s="80" t="s">
        <v>2337</v>
      </c>
      <c r="M48" s="80" t="s">
        <v>598</v>
      </c>
      <c r="N48" s="81" t="s">
        <v>3635</v>
      </c>
      <c r="O48" s="81" t="s">
        <v>2842</v>
      </c>
      <c r="P48" s="81" t="s">
        <v>3760</v>
      </c>
      <c r="Q48" s="81" t="s">
        <v>3243</v>
      </c>
      <c r="R48" s="81" t="s">
        <v>1945</v>
      </c>
      <c r="S48" s="81" t="s">
        <v>2508</v>
      </c>
      <c r="T48" s="81" t="s">
        <v>1253</v>
      </c>
      <c r="U48" s="80" t="s">
        <v>1101</v>
      </c>
      <c r="V48" s="81" t="s">
        <v>1218</v>
      </c>
      <c r="W48" s="81" t="s">
        <v>1791</v>
      </c>
      <c r="X48" s="80" t="s">
        <v>2222</v>
      </c>
      <c r="Y48" s="80" t="s">
        <v>2267</v>
      </c>
      <c r="Z48" s="80" t="s">
        <v>2925</v>
      </c>
      <c r="AA48" s="80" t="s">
        <v>1384</v>
      </c>
      <c r="AB48" s="81" t="s">
        <v>2290</v>
      </c>
      <c r="AC48" s="81" t="s">
        <v>1542</v>
      </c>
      <c r="AD48" s="80" t="s">
        <v>2954</v>
      </c>
      <c r="AE48" s="81" t="s">
        <v>1978</v>
      </c>
      <c r="AF48" s="81" t="s">
        <v>1110</v>
      </c>
      <c r="AG48" s="81" t="s">
        <v>1319</v>
      </c>
      <c r="AH48" s="81" t="s">
        <v>3196</v>
      </c>
      <c r="AI48" s="81" t="s">
        <v>2380</v>
      </c>
      <c r="AJ48" s="81" t="s">
        <v>1344</v>
      </c>
      <c r="AK48" s="81" t="s">
        <v>2081</v>
      </c>
      <c r="AL48" s="81" t="s">
        <v>2139</v>
      </c>
      <c r="AM48" s="80" t="s">
        <v>3020</v>
      </c>
      <c r="AN48" s="81" t="s">
        <v>3307</v>
      </c>
      <c r="AO48" s="80" t="s">
        <v>3034</v>
      </c>
      <c r="AP48" s="84" t="s">
        <v>1040</v>
      </c>
      <c r="AQ48" s="80" t="s">
        <v>2164</v>
      </c>
      <c r="AR48" s="81" t="s">
        <v>1882</v>
      </c>
      <c r="AS48" s="81" t="s">
        <v>3570</v>
      </c>
      <c r="AT48" s="81" t="s">
        <v>2814</v>
      </c>
      <c r="AU48" s="81" t="s">
        <v>864</v>
      </c>
      <c r="AV48" s="81" t="s">
        <v>936</v>
      </c>
    </row>
    <row r="49" spans="1:48">
      <c r="A49" s="80">
        <v>48</v>
      </c>
      <c r="B49" s="80" t="s">
        <v>599</v>
      </c>
      <c r="C49" s="80" t="s">
        <v>643</v>
      </c>
      <c r="D49" s="80" t="s">
        <v>1453</v>
      </c>
      <c r="E49" s="81" t="s">
        <v>671</v>
      </c>
      <c r="F49" s="80" t="s">
        <v>711</v>
      </c>
      <c r="G49" s="80" t="s">
        <v>599</v>
      </c>
      <c r="H49" s="83" t="s">
        <v>2449</v>
      </c>
      <c r="I49" s="80" t="s">
        <v>760</v>
      </c>
      <c r="J49" s="80" t="s">
        <v>599</v>
      </c>
      <c r="K49" s="81" t="s">
        <v>643</v>
      </c>
      <c r="L49" s="80" t="s">
        <v>643</v>
      </c>
      <c r="M49" s="80" t="s">
        <v>599</v>
      </c>
      <c r="N49" s="81" t="s">
        <v>3636</v>
      </c>
      <c r="O49" s="81" t="s">
        <v>643</v>
      </c>
      <c r="P49" s="81" t="s">
        <v>3761</v>
      </c>
      <c r="Q49" s="81" t="s">
        <v>643</v>
      </c>
      <c r="R49" s="81" t="s">
        <v>1744</v>
      </c>
      <c r="S49" s="81" t="s">
        <v>2509</v>
      </c>
      <c r="T49" s="81" t="s">
        <v>1222</v>
      </c>
      <c r="U49" s="80" t="s">
        <v>599</v>
      </c>
      <c r="V49" s="81" t="s">
        <v>3602</v>
      </c>
      <c r="W49" s="81" t="s">
        <v>643</v>
      </c>
      <c r="X49" s="80" t="s">
        <v>2223</v>
      </c>
      <c r="Y49" s="80" t="s">
        <v>2268</v>
      </c>
      <c r="Z49" s="80" t="s">
        <v>2926</v>
      </c>
      <c r="AA49" s="80" t="s">
        <v>1385</v>
      </c>
      <c r="AB49" s="81" t="s">
        <v>2291</v>
      </c>
      <c r="AC49" s="81" t="s">
        <v>1543</v>
      </c>
      <c r="AD49" s="80" t="s">
        <v>2955</v>
      </c>
      <c r="AE49" s="81" t="s">
        <v>1979</v>
      </c>
      <c r="AF49" s="81" t="s">
        <v>643</v>
      </c>
      <c r="AG49" s="81" t="s">
        <v>1320</v>
      </c>
      <c r="AH49" s="81" t="s">
        <v>599</v>
      </c>
      <c r="AI49" s="81" t="s">
        <v>599</v>
      </c>
      <c r="AJ49" s="81" t="s">
        <v>599</v>
      </c>
      <c r="AK49" s="81" t="s">
        <v>2082</v>
      </c>
      <c r="AL49" s="81" t="s">
        <v>2140</v>
      </c>
      <c r="AM49" s="80" t="s">
        <v>3021</v>
      </c>
      <c r="AN49" s="81" t="s">
        <v>3308</v>
      </c>
      <c r="AO49" s="80" t="s">
        <v>599</v>
      </c>
      <c r="AP49" s="84" t="s">
        <v>599</v>
      </c>
      <c r="AQ49" s="80" t="s">
        <v>599</v>
      </c>
      <c r="AR49" s="81" t="s">
        <v>599</v>
      </c>
      <c r="AS49" s="81" t="s">
        <v>3571</v>
      </c>
      <c r="AT49" s="81" t="s">
        <v>599</v>
      </c>
      <c r="AU49" s="81" t="s">
        <v>865</v>
      </c>
      <c r="AV49" s="81" t="s">
        <v>937</v>
      </c>
    </row>
    <row r="50" spans="1:48">
      <c r="A50" s="80">
        <v>49</v>
      </c>
      <c r="B50" s="80" t="s">
        <v>600</v>
      </c>
      <c r="C50" s="80" t="s">
        <v>644</v>
      </c>
      <c r="D50" s="80" t="s">
        <v>1454</v>
      </c>
      <c r="E50" s="81" t="s">
        <v>2749</v>
      </c>
      <c r="F50" s="80" t="s">
        <v>712</v>
      </c>
      <c r="G50" s="80" t="s">
        <v>743</v>
      </c>
      <c r="H50" s="83" t="s">
        <v>2450</v>
      </c>
      <c r="I50" s="80" t="s">
        <v>761</v>
      </c>
      <c r="J50" s="80" t="s">
        <v>600</v>
      </c>
      <c r="K50" s="81" t="s">
        <v>822</v>
      </c>
      <c r="L50" s="80" t="s">
        <v>827</v>
      </c>
      <c r="M50" s="80" t="s">
        <v>600</v>
      </c>
      <c r="N50" s="81" t="s">
        <v>3637</v>
      </c>
      <c r="O50" s="81" t="s">
        <v>2843</v>
      </c>
      <c r="P50" s="81" t="s">
        <v>3762</v>
      </c>
      <c r="Q50" s="81" t="s">
        <v>3244</v>
      </c>
      <c r="R50" s="81" t="s">
        <v>2876</v>
      </c>
      <c r="S50" s="81" t="s">
        <v>2510</v>
      </c>
      <c r="T50" s="81" t="s">
        <v>1254</v>
      </c>
      <c r="U50" s="80" t="s">
        <v>611</v>
      </c>
      <c r="V50" s="81" t="s">
        <v>3603</v>
      </c>
      <c r="W50" s="81" t="s">
        <v>2902</v>
      </c>
      <c r="X50" s="80" t="s">
        <v>2224</v>
      </c>
      <c r="Y50" s="80" t="s">
        <v>2269</v>
      </c>
      <c r="Z50" s="80" t="s">
        <v>2927</v>
      </c>
      <c r="AA50" s="80" t="s">
        <v>3022</v>
      </c>
      <c r="AB50" s="81" t="s">
        <v>2292</v>
      </c>
      <c r="AC50" s="81" t="s">
        <v>1544</v>
      </c>
      <c r="AD50" s="80" t="s">
        <v>600</v>
      </c>
      <c r="AE50" s="81" t="s">
        <v>1980</v>
      </c>
      <c r="AF50" s="81" t="s">
        <v>1111</v>
      </c>
      <c r="AG50" s="81" t="s">
        <v>1321</v>
      </c>
      <c r="AH50" s="81" t="s">
        <v>3197</v>
      </c>
      <c r="AI50" s="81" t="s">
        <v>2381</v>
      </c>
      <c r="AJ50" s="81" t="s">
        <v>2381</v>
      </c>
      <c r="AK50" s="81" t="s">
        <v>2083</v>
      </c>
      <c r="AL50" s="81" t="s">
        <v>2994</v>
      </c>
      <c r="AM50" s="80" t="s">
        <v>3022</v>
      </c>
      <c r="AN50" s="81" t="s">
        <v>3309</v>
      </c>
      <c r="AO50" s="80" t="s">
        <v>3035</v>
      </c>
      <c r="AP50" s="84" t="s">
        <v>3062</v>
      </c>
      <c r="AQ50" s="80" t="s">
        <v>3062</v>
      </c>
      <c r="AR50" s="81" t="s">
        <v>1674</v>
      </c>
      <c r="AS50" s="81" t="s">
        <v>3572</v>
      </c>
      <c r="AT50" s="81" t="s">
        <v>2815</v>
      </c>
      <c r="AU50" s="81" t="s">
        <v>866</v>
      </c>
      <c r="AV50" s="81" t="s">
        <v>938</v>
      </c>
    </row>
    <row r="51" spans="1:48">
      <c r="A51" s="80">
        <v>50</v>
      </c>
      <c r="B51" s="80" t="s">
        <v>601</v>
      </c>
      <c r="C51" s="80" t="s">
        <v>601</v>
      </c>
      <c r="D51" s="80" t="s">
        <v>390</v>
      </c>
      <c r="E51" s="81" t="s">
        <v>2750</v>
      </c>
      <c r="F51" s="80" t="s">
        <v>713</v>
      </c>
      <c r="G51" s="80" t="s">
        <v>744</v>
      </c>
      <c r="H51" s="83" t="s">
        <v>2451</v>
      </c>
      <c r="I51" s="80" t="s">
        <v>762</v>
      </c>
      <c r="J51" s="80" t="s">
        <v>601</v>
      </c>
      <c r="K51" s="81" t="s">
        <v>227</v>
      </c>
      <c r="L51" s="80" t="s">
        <v>2338</v>
      </c>
      <c r="M51" s="80" t="s">
        <v>601</v>
      </c>
      <c r="N51" s="81" t="s">
        <v>3638</v>
      </c>
      <c r="O51" s="81" t="s">
        <v>3678</v>
      </c>
      <c r="P51" s="81" t="s">
        <v>3763</v>
      </c>
      <c r="Q51" s="81" t="s">
        <v>3245</v>
      </c>
      <c r="R51" s="81" t="s">
        <v>1745</v>
      </c>
      <c r="S51" s="81" t="s">
        <v>2511</v>
      </c>
      <c r="T51" s="81" t="s">
        <v>1255</v>
      </c>
      <c r="U51" s="80" t="s">
        <v>601</v>
      </c>
      <c r="V51" s="86" t="s">
        <v>3604</v>
      </c>
      <c r="W51" s="81" t="s">
        <v>1792</v>
      </c>
      <c r="X51" s="80" t="s">
        <v>2225</v>
      </c>
      <c r="Y51" s="80" t="s">
        <v>2270</v>
      </c>
      <c r="Z51" s="80" t="s">
        <v>2928</v>
      </c>
      <c r="AA51" s="80" t="s">
        <v>1386</v>
      </c>
      <c r="AB51" s="81" t="s">
        <v>2293</v>
      </c>
      <c r="AC51" s="81" t="s">
        <v>1545</v>
      </c>
      <c r="AD51" s="80" t="s">
        <v>601</v>
      </c>
      <c r="AE51" s="81" t="s">
        <v>1981</v>
      </c>
      <c r="AF51" s="81" t="s">
        <v>1112</v>
      </c>
      <c r="AG51" s="81" t="s">
        <v>1322</v>
      </c>
      <c r="AH51" s="81" t="s">
        <v>3198</v>
      </c>
      <c r="AI51" s="81" t="s">
        <v>2382</v>
      </c>
      <c r="AJ51" s="81" t="s">
        <v>1159</v>
      </c>
      <c r="AK51" s="81" t="s">
        <v>2084</v>
      </c>
      <c r="AL51" s="81" t="s">
        <v>3414</v>
      </c>
      <c r="AM51" s="80" t="s">
        <v>3023</v>
      </c>
      <c r="AN51" s="81" t="s">
        <v>3310</v>
      </c>
      <c r="AO51" s="80" t="s">
        <v>601</v>
      </c>
      <c r="AP51" s="84" t="s">
        <v>3063</v>
      </c>
      <c r="AQ51" s="80" t="s">
        <v>3063</v>
      </c>
      <c r="AR51" s="81" t="s">
        <v>1675</v>
      </c>
      <c r="AS51" s="81" t="s">
        <v>3573</v>
      </c>
      <c r="AT51" s="81" t="s">
        <v>2816</v>
      </c>
      <c r="AU51" s="81" t="s">
        <v>867</v>
      </c>
      <c r="AV51" s="81" t="s">
        <v>939</v>
      </c>
    </row>
    <row r="52" spans="1:48">
      <c r="A52" s="80">
        <v>51</v>
      </c>
      <c r="B52" s="80" t="s">
        <v>300</v>
      </c>
      <c r="C52" s="80" t="s">
        <v>645</v>
      </c>
      <c r="D52" s="80" t="s">
        <v>1455</v>
      </c>
      <c r="E52" s="81" t="s">
        <v>2751</v>
      </c>
      <c r="F52" s="80" t="s">
        <v>714</v>
      </c>
      <c r="G52" s="80" t="s">
        <v>300</v>
      </c>
      <c r="H52" s="81" t="s">
        <v>4222</v>
      </c>
      <c r="I52" s="81" t="s">
        <v>1698</v>
      </c>
      <c r="J52" s="80" t="s">
        <v>794</v>
      </c>
      <c r="K52" s="81" t="s">
        <v>228</v>
      </c>
      <c r="L52" s="80" t="s">
        <v>2339</v>
      </c>
      <c r="M52" s="80" t="s">
        <v>300</v>
      </c>
      <c r="N52" s="81" t="s">
        <v>3639</v>
      </c>
      <c r="O52" s="81" t="s">
        <v>3679</v>
      </c>
      <c r="P52" s="81" t="s">
        <v>3764</v>
      </c>
      <c r="Q52" s="81" t="s">
        <v>3246</v>
      </c>
      <c r="R52" s="81" t="s">
        <v>1746</v>
      </c>
      <c r="S52" s="81" t="s">
        <v>2512</v>
      </c>
      <c r="T52" s="81" t="s">
        <v>1223</v>
      </c>
      <c r="U52" s="80" t="s">
        <v>612</v>
      </c>
      <c r="V52" s="81" t="s">
        <v>3605</v>
      </c>
      <c r="W52" s="81" t="s">
        <v>1793</v>
      </c>
      <c r="X52" s="80" t="s">
        <v>2226</v>
      </c>
      <c r="Y52" s="80" t="s">
        <v>2271</v>
      </c>
      <c r="Z52" s="80" t="s">
        <v>2929</v>
      </c>
      <c r="AA52" s="80" t="s">
        <v>1387</v>
      </c>
      <c r="AB52" s="81" t="s">
        <v>2286</v>
      </c>
      <c r="AC52" s="81" t="s">
        <v>1546</v>
      </c>
      <c r="AD52" s="80" t="s">
        <v>2956</v>
      </c>
      <c r="AE52" s="81" t="s">
        <v>1982</v>
      </c>
      <c r="AF52" s="81" t="s">
        <v>1113</v>
      </c>
      <c r="AG52" s="81" t="s">
        <v>1323</v>
      </c>
      <c r="AH52" s="81" t="s">
        <v>2966</v>
      </c>
      <c r="AI52" s="81" t="s">
        <v>2383</v>
      </c>
      <c r="AJ52" s="81" t="s">
        <v>1160</v>
      </c>
      <c r="AK52" s="81" t="s">
        <v>2085</v>
      </c>
      <c r="AL52" s="81" t="s">
        <v>2141</v>
      </c>
      <c r="AM52" s="80" t="s">
        <v>3024</v>
      </c>
      <c r="AN52" s="81" t="s">
        <v>3311</v>
      </c>
      <c r="AO52" s="80" t="s">
        <v>300</v>
      </c>
      <c r="AP52" s="84" t="s">
        <v>1840</v>
      </c>
      <c r="AQ52" s="80" t="s">
        <v>2165</v>
      </c>
      <c r="AR52" s="81" t="s">
        <v>1883</v>
      </c>
      <c r="AS52" s="81" t="s">
        <v>3574</v>
      </c>
      <c r="AT52" s="81" t="s">
        <v>2817</v>
      </c>
      <c r="AU52" s="81" t="s">
        <v>868</v>
      </c>
      <c r="AV52" s="81" t="s">
        <v>940</v>
      </c>
    </row>
    <row r="53" spans="1:48">
      <c r="A53" s="80">
        <v>52</v>
      </c>
      <c r="B53" s="80" t="s">
        <v>301</v>
      </c>
      <c r="C53" s="80" t="s">
        <v>301</v>
      </c>
      <c r="D53" s="80" t="s">
        <v>1456</v>
      </c>
      <c r="E53" s="81" t="s">
        <v>2752</v>
      </c>
      <c r="F53" s="80" t="s">
        <v>715</v>
      </c>
      <c r="G53" s="80" t="s">
        <v>774</v>
      </c>
      <c r="H53" s="83" t="s">
        <v>2452</v>
      </c>
      <c r="I53" s="81" t="s">
        <v>1699</v>
      </c>
      <c r="J53" s="80" t="s">
        <v>301</v>
      </c>
      <c r="K53" s="81" t="s">
        <v>229</v>
      </c>
      <c r="L53" s="80" t="s">
        <v>2340</v>
      </c>
      <c r="M53" s="80" t="s">
        <v>301</v>
      </c>
      <c r="N53" s="81" t="s">
        <v>3640</v>
      </c>
      <c r="O53" s="81" t="s">
        <v>3680</v>
      </c>
      <c r="P53" s="81" t="s">
        <v>3765</v>
      </c>
      <c r="Q53" s="81" t="s">
        <v>3247</v>
      </c>
      <c r="R53" s="81" t="s">
        <v>2877</v>
      </c>
      <c r="S53" s="81" t="s">
        <v>2513</v>
      </c>
      <c r="T53" s="81" t="s">
        <v>1224</v>
      </c>
      <c r="U53" s="80" t="s">
        <v>613</v>
      </c>
      <c r="V53" s="81" t="s">
        <v>3606</v>
      </c>
      <c r="W53" s="81" t="s">
        <v>1794</v>
      </c>
      <c r="X53" s="80" t="s">
        <v>2227</v>
      </c>
      <c r="Y53" s="80" t="s">
        <v>2272</v>
      </c>
      <c r="Z53" s="80" t="s">
        <v>301</v>
      </c>
      <c r="AA53" s="80" t="s">
        <v>1388</v>
      </c>
      <c r="AB53" s="81" t="s">
        <v>2294</v>
      </c>
      <c r="AC53" s="81" t="s">
        <v>1547</v>
      </c>
      <c r="AD53" s="80" t="s">
        <v>301</v>
      </c>
      <c r="AE53" s="81" t="s">
        <v>1983</v>
      </c>
      <c r="AF53" s="81" t="s">
        <v>1114</v>
      </c>
      <c r="AG53" s="81" t="s">
        <v>1324</v>
      </c>
      <c r="AH53" s="81" t="s">
        <v>3199</v>
      </c>
      <c r="AI53" s="81" t="s">
        <v>2384</v>
      </c>
      <c r="AJ53" s="81" t="s">
        <v>1161</v>
      </c>
      <c r="AK53" s="81" t="s">
        <v>2086</v>
      </c>
      <c r="AL53" s="81" t="s">
        <v>2995</v>
      </c>
      <c r="AM53" s="80" t="s">
        <v>3025</v>
      </c>
      <c r="AN53" s="81" t="s">
        <v>3312</v>
      </c>
      <c r="AO53" s="80" t="s">
        <v>301</v>
      </c>
      <c r="AP53" s="84" t="s">
        <v>1841</v>
      </c>
      <c r="AQ53" s="80" t="s">
        <v>2166</v>
      </c>
      <c r="AR53" s="81" t="s">
        <v>1676</v>
      </c>
      <c r="AS53" s="81" t="s">
        <v>3575</v>
      </c>
      <c r="AT53" s="81" t="s">
        <v>2818</v>
      </c>
      <c r="AU53" s="81" t="s">
        <v>869</v>
      </c>
      <c r="AV53" s="81" t="s">
        <v>941</v>
      </c>
    </row>
    <row r="54" spans="1:48">
      <c r="A54" s="80">
        <v>53</v>
      </c>
      <c r="B54" s="80" t="s">
        <v>302</v>
      </c>
      <c r="C54" s="80" t="s">
        <v>646</v>
      </c>
      <c r="D54" s="80" t="s">
        <v>1457</v>
      </c>
      <c r="E54" s="81" t="s">
        <v>672</v>
      </c>
      <c r="F54" s="80" t="s">
        <v>716</v>
      </c>
      <c r="G54" s="80" t="s">
        <v>302</v>
      </c>
      <c r="H54" s="83" t="s">
        <v>2453</v>
      </c>
      <c r="I54" s="81" t="s">
        <v>1700</v>
      </c>
      <c r="J54" s="80" t="s">
        <v>302</v>
      </c>
      <c r="K54" s="81" t="s">
        <v>230</v>
      </c>
      <c r="L54" s="80" t="s">
        <v>2341</v>
      </c>
      <c r="M54" s="80" t="s">
        <v>302</v>
      </c>
      <c r="N54" s="81" t="s">
        <v>3641</v>
      </c>
      <c r="O54" s="81" t="s">
        <v>3681</v>
      </c>
      <c r="P54" s="81" t="s">
        <v>3766</v>
      </c>
      <c r="Q54" s="81" t="s">
        <v>3248</v>
      </c>
      <c r="R54" s="81" t="s">
        <v>1946</v>
      </c>
      <c r="S54" s="81" t="s">
        <v>2514</v>
      </c>
      <c r="T54" s="81" t="s">
        <v>1256</v>
      </c>
      <c r="U54" s="80" t="s">
        <v>614</v>
      </c>
      <c r="V54" s="81" t="s">
        <v>3607</v>
      </c>
      <c r="W54" s="81" t="s">
        <v>1795</v>
      </c>
      <c r="X54" s="80" t="s">
        <v>2228</v>
      </c>
      <c r="Y54" s="80" t="s">
        <v>2273</v>
      </c>
      <c r="Z54" s="80" t="s">
        <v>2930</v>
      </c>
      <c r="AA54" s="80" t="s">
        <v>1389</v>
      </c>
      <c r="AB54" s="81" t="s">
        <v>2295</v>
      </c>
      <c r="AC54" s="81" t="s">
        <v>1548</v>
      </c>
      <c r="AD54" s="80" t="s">
        <v>2957</v>
      </c>
      <c r="AE54" s="81" t="s">
        <v>1984</v>
      </c>
      <c r="AF54" s="81" t="s">
        <v>1115</v>
      </c>
      <c r="AG54" s="81" t="s">
        <v>1325</v>
      </c>
      <c r="AH54" s="81" t="s">
        <v>3200</v>
      </c>
      <c r="AI54" s="81" t="s">
        <v>2385</v>
      </c>
      <c r="AJ54" s="81" t="s">
        <v>1345</v>
      </c>
      <c r="AK54" s="81" t="s">
        <v>2087</v>
      </c>
      <c r="AL54" s="80" t="s">
        <v>2996</v>
      </c>
      <c r="AM54" s="80" t="s">
        <v>3026</v>
      </c>
      <c r="AN54" s="81" t="s">
        <v>3313</v>
      </c>
      <c r="AO54" s="80" t="s">
        <v>302</v>
      </c>
      <c r="AP54" s="84" t="s">
        <v>1842</v>
      </c>
      <c r="AQ54" s="80" t="s">
        <v>2167</v>
      </c>
      <c r="AR54" s="81" t="s">
        <v>1884</v>
      </c>
      <c r="AS54" s="81" t="s">
        <v>3576</v>
      </c>
      <c r="AT54" s="81" t="s">
        <v>2819</v>
      </c>
      <c r="AU54" s="81" t="s">
        <v>870</v>
      </c>
      <c r="AV54" s="81" t="s">
        <v>942</v>
      </c>
    </row>
    <row r="55" spans="1:48">
      <c r="A55" s="80">
        <v>54</v>
      </c>
      <c r="B55" s="80" t="s">
        <v>602</v>
      </c>
      <c r="C55" s="80" t="s">
        <v>647</v>
      </c>
      <c r="D55" s="80" t="s">
        <v>657</v>
      </c>
      <c r="E55" s="81" t="s">
        <v>2753</v>
      </c>
      <c r="F55" s="80" t="s">
        <v>717</v>
      </c>
      <c r="G55" s="80" t="s">
        <v>775</v>
      </c>
      <c r="H55" s="83" t="s">
        <v>2454</v>
      </c>
      <c r="I55" s="80" t="s">
        <v>763</v>
      </c>
      <c r="J55" s="80" t="s">
        <v>602</v>
      </c>
      <c r="K55" s="81" t="s">
        <v>822</v>
      </c>
      <c r="L55" s="80" t="s">
        <v>647</v>
      </c>
      <c r="M55" s="80" t="s">
        <v>602</v>
      </c>
      <c r="N55" s="81" t="s">
        <v>3642</v>
      </c>
      <c r="O55" s="81" t="s">
        <v>602</v>
      </c>
      <c r="P55" s="81" t="s">
        <v>3767</v>
      </c>
      <c r="Q55" s="81" t="s">
        <v>3249</v>
      </c>
      <c r="R55" s="81" t="s">
        <v>2878</v>
      </c>
      <c r="S55" s="81" t="s">
        <v>2515</v>
      </c>
      <c r="T55" s="81" t="s">
        <v>1257</v>
      </c>
      <c r="U55" s="80" t="s">
        <v>615</v>
      </c>
      <c r="V55" s="81" t="s">
        <v>3608</v>
      </c>
      <c r="W55" s="81" t="s">
        <v>1796</v>
      </c>
      <c r="X55" s="80" t="s">
        <v>2229</v>
      </c>
      <c r="Y55" s="80" t="s">
        <v>2274</v>
      </c>
      <c r="Z55" s="80" t="s">
        <v>602</v>
      </c>
      <c r="AA55" s="80" t="s">
        <v>717</v>
      </c>
      <c r="AB55" s="81" t="s">
        <v>2292</v>
      </c>
      <c r="AC55" s="81" t="s">
        <v>1549</v>
      </c>
      <c r="AD55" s="80" t="s">
        <v>602</v>
      </c>
      <c r="AE55" s="81" t="s">
        <v>1985</v>
      </c>
      <c r="AF55" s="81" t="s">
        <v>1111</v>
      </c>
      <c r="AG55" s="81" t="s">
        <v>1326</v>
      </c>
      <c r="AH55" s="81" t="s">
        <v>3201</v>
      </c>
      <c r="AI55" s="81" t="s">
        <v>2977</v>
      </c>
      <c r="AJ55" s="81" t="s">
        <v>2977</v>
      </c>
      <c r="AK55" s="81" t="s">
        <v>2982</v>
      </c>
      <c r="AL55" s="81" t="s">
        <v>2142</v>
      </c>
      <c r="AM55" s="80" t="s">
        <v>717</v>
      </c>
      <c r="AN55" s="81" t="s">
        <v>3309</v>
      </c>
      <c r="AO55" s="80" t="s">
        <v>602</v>
      </c>
      <c r="AP55" s="84" t="s">
        <v>3064</v>
      </c>
      <c r="AQ55" s="80" t="s">
        <v>3064</v>
      </c>
      <c r="AR55" s="81" t="s">
        <v>1885</v>
      </c>
      <c r="AS55" s="81" t="s">
        <v>3048</v>
      </c>
      <c r="AT55" s="81" t="s">
        <v>3080</v>
      </c>
      <c r="AU55" s="81" t="s">
        <v>871</v>
      </c>
      <c r="AV55" s="81" t="s">
        <v>943</v>
      </c>
    </row>
    <row r="56" spans="1:48">
      <c r="A56" s="80">
        <v>55</v>
      </c>
      <c r="B56" s="80" t="s">
        <v>2277</v>
      </c>
      <c r="C56" s="80" t="s">
        <v>1047</v>
      </c>
      <c r="D56" s="80" t="s">
        <v>1458</v>
      </c>
      <c r="E56" s="81" t="s">
        <v>2754</v>
      </c>
      <c r="F56" s="80" t="s">
        <v>408</v>
      </c>
      <c r="G56" s="80" t="s">
        <v>2277</v>
      </c>
      <c r="H56" s="83" t="s">
        <v>2455</v>
      </c>
      <c r="I56" s="81" t="s">
        <v>1701</v>
      </c>
      <c r="J56" s="80" t="s">
        <v>497</v>
      </c>
      <c r="K56" s="81" t="s">
        <v>1116</v>
      </c>
      <c r="L56" s="80" t="s">
        <v>2342</v>
      </c>
      <c r="M56" s="80" t="s">
        <v>2277</v>
      </c>
      <c r="N56" s="81" t="s">
        <v>3643</v>
      </c>
      <c r="O56" s="81" t="s">
        <v>2277</v>
      </c>
      <c r="P56" s="81" t="s">
        <v>3768</v>
      </c>
      <c r="Q56" s="81" t="s">
        <v>1030</v>
      </c>
      <c r="R56" s="81" t="s">
        <v>1747</v>
      </c>
      <c r="S56" s="81" t="s">
        <v>2516</v>
      </c>
      <c r="T56" s="81" t="s">
        <v>1258</v>
      </c>
      <c r="U56" s="80" t="s">
        <v>11</v>
      </c>
      <c r="V56" s="81" t="s">
        <v>3609</v>
      </c>
      <c r="W56" s="81" t="s">
        <v>1797</v>
      </c>
      <c r="X56" s="80" t="s">
        <v>2623</v>
      </c>
      <c r="Y56" s="80" t="s">
        <v>2667</v>
      </c>
      <c r="Z56" s="80" t="s">
        <v>2722</v>
      </c>
      <c r="AA56" s="80" t="s">
        <v>1390</v>
      </c>
      <c r="AB56" s="81" t="s">
        <v>2296</v>
      </c>
      <c r="AC56" s="81" t="s">
        <v>1550</v>
      </c>
      <c r="AD56" s="80" t="s">
        <v>2277</v>
      </c>
      <c r="AE56" s="81" t="s">
        <v>1986</v>
      </c>
      <c r="AF56" s="81" t="s">
        <v>1116</v>
      </c>
      <c r="AG56" s="81" t="s">
        <v>1327</v>
      </c>
      <c r="AH56" s="81" t="s">
        <v>3202</v>
      </c>
      <c r="AI56" s="81" t="s">
        <v>2386</v>
      </c>
      <c r="AJ56" s="81" t="s">
        <v>2386</v>
      </c>
      <c r="AK56" s="81" t="s">
        <v>2088</v>
      </c>
      <c r="AL56" s="80" t="s">
        <v>3394</v>
      </c>
      <c r="AM56" s="80" t="s">
        <v>3423</v>
      </c>
      <c r="AN56" s="81" t="s">
        <v>1064</v>
      </c>
      <c r="AO56" s="80" t="s">
        <v>2277</v>
      </c>
      <c r="AP56" s="84" t="s">
        <v>1037</v>
      </c>
      <c r="AQ56" s="80" t="s">
        <v>1037</v>
      </c>
      <c r="AR56" s="81" t="s">
        <v>1886</v>
      </c>
      <c r="AS56" s="81" t="s">
        <v>3577</v>
      </c>
      <c r="AT56" s="81" t="s">
        <v>2820</v>
      </c>
      <c r="AU56" s="81" t="s">
        <v>872</v>
      </c>
      <c r="AV56" s="81" t="s">
        <v>944</v>
      </c>
    </row>
    <row r="57" spans="1:48">
      <c r="A57" s="80">
        <v>56</v>
      </c>
      <c r="B57" s="80" t="s">
        <v>3091</v>
      </c>
      <c r="C57" s="80" t="s">
        <v>1048</v>
      </c>
      <c r="D57" s="80" t="s">
        <v>1459</v>
      </c>
      <c r="E57" s="81" t="s">
        <v>2755</v>
      </c>
      <c r="F57" s="80" t="s">
        <v>409</v>
      </c>
      <c r="G57" s="80" t="s">
        <v>452</v>
      </c>
      <c r="H57" s="81" t="s">
        <v>4223</v>
      </c>
      <c r="I57" s="81" t="s">
        <v>1702</v>
      </c>
      <c r="J57" s="80" t="s">
        <v>498</v>
      </c>
      <c r="K57" s="80" t="s">
        <v>231</v>
      </c>
      <c r="L57" s="80" t="s">
        <v>2343</v>
      </c>
      <c r="M57" s="80" t="s">
        <v>3091</v>
      </c>
      <c r="N57" s="81" t="s">
        <v>3644</v>
      </c>
      <c r="O57" s="81" t="s">
        <v>3682</v>
      </c>
      <c r="P57" s="81" t="s">
        <v>3769</v>
      </c>
      <c r="Q57" s="81" t="s">
        <v>3250</v>
      </c>
      <c r="R57" s="81" t="s">
        <v>3149</v>
      </c>
      <c r="S57" s="81" t="s">
        <v>2517</v>
      </c>
      <c r="T57" s="81" t="s">
        <v>1225</v>
      </c>
      <c r="U57" s="80" t="s">
        <v>12</v>
      </c>
      <c r="V57" s="81" t="s">
        <v>3610</v>
      </c>
      <c r="W57" s="81" t="s">
        <v>1798</v>
      </c>
      <c r="X57" s="80" t="s">
        <v>2624</v>
      </c>
      <c r="Y57" s="80" t="s">
        <v>2668</v>
      </c>
      <c r="Z57" s="80" t="s">
        <v>2723</v>
      </c>
      <c r="AA57" s="80" t="s">
        <v>1391</v>
      </c>
      <c r="AB57" s="81" t="s">
        <v>2297</v>
      </c>
      <c r="AC57" s="81" t="s">
        <v>1551</v>
      </c>
      <c r="AD57" s="80" t="s">
        <v>1622</v>
      </c>
      <c r="AE57" s="81" t="s">
        <v>1987</v>
      </c>
      <c r="AF57" s="81" t="s">
        <v>1117</v>
      </c>
      <c r="AG57" s="81" t="s">
        <v>1328</v>
      </c>
      <c r="AH57" s="81" t="s">
        <v>3203</v>
      </c>
      <c r="AI57" s="81" t="s">
        <v>2387</v>
      </c>
      <c r="AJ57" s="81" t="s">
        <v>1162</v>
      </c>
      <c r="AK57" s="81" t="s">
        <v>2089</v>
      </c>
      <c r="AL57" s="80" t="s">
        <v>1501</v>
      </c>
      <c r="AM57" s="80" t="s">
        <v>3424</v>
      </c>
      <c r="AN57" s="81" t="s">
        <v>1065</v>
      </c>
      <c r="AO57" s="80" t="s">
        <v>3467</v>
      </c>
      <c r="AP57" s="84" t="s">
        <v>1874</v>
      </c>
      <c r="AQ57" s="80" t="s">
        <v>2168</v>
      </c>
      <c r="AR57" s="81" t="s">
        <v>1887</v>
      </c>
      <c r="AS57" s="81" t="s">
        <v>3578</v>
      </c>
      <c r="AT57" s="81" t="s">
        <v>2821</v>
      </c>
      <c r="AU57" s="81" t="s">
        <v>873</v>
      </c>
      <c r="AV57" s="81" t="s">
        <v>945</v>
      </c>
    </row>
    <row r="58" spans="1:48">
      <c r="A58" s="80">
        <v>57</v>
      </c>
      <c r="B58" s="80" t="s">
        <v>3092</v>
      </c>
      <c r="C58" s="80" t="s">
        <v>1049</v>
      </c>
      <c r="D58" s="80" t="s">
        <v>1460</v>
      </c>
      <c r="E58" s="81" t="s">
        <v>2756</v>
      </c>
      <c r="F58" s="80" t="s">
        <v>410</v>
      </c>
      <c r="G58" s="80" t="s">
        <v>453</v>
      </c>
      <c r="H58" s="81" t="s">
        <v>4224</v>
      </c>
      <c r="I58" s="81" t="s">
        <v>1703</v>
      </c>
      <c r="J58" s="80" t="s">
        <v>499</v>
      </c>
      <c r="K58" s="80" t="s">
        <v>539</v>
      </c>
      <c r="L58" s="80" t="s">
        <v>1049</v>
      </c>
      <c r="M58" s="80" t="s">
        <v>3092</v>
      </c>
      <c r="N58" s="81" t="s">
        <v>3645</v>
      </c>
      <c r="O58" s="81" t="s">
        <v>3683</v>
      </c>
      <c r="P58" s="81" t="s">
        <v>3770</v>
      </c>
      <c r="Q58" s="81" t="s">
        <v>3251</v>
      </c>
      <c r="R58" s="81" t="s">
        <v>3150</v>
      </c>
      <c r="S58" s="81" t="s">
        <v>2518</v>
      </c>
      <c r="T58" s="81" t="s">
        <v>1226</v>
      </c>
      <c r="U58" s="80" t="s">
        <v>13</v>
      </c>
      <c r="V58" s="81" t="s">
        <v>3611</v>
      </c>
      <c r="W58" s="81" t="s">
        <v>1799</v>
      </c>
      <c r="X58" s="80" t="s">
        <v>2625</v>
      </c>
      <c r="Y58" s="80" t="s">
        <v>2669</v>
      </c>
      <c r="Z58" s="80" t="s">
        <v>2724</v>
      </c>
      <c r="AA58" s="80" t="s">
        <v>1392</v>
      </c>
      <c r="AB58" s="81" t="s">
        <v>2298</v>
      </c>
      <c r="AC58" s="81" t="s">
        <v>1552</v>
      </c>
      <c r="AD58" s="80" t="s">
        <v>1623</v>
      </c>
      <c r="AE58" s="81" t="s">
        <v>1988</v>
      </c>
      <c r="AF58" s="81" t="s">
        <v>1118</v>
      </c>
      <c r="AG58" s="81" t="s">
        <v>1329</v>
      </c>
      <c r="AH58" s="81" t="s">
        <v>3204</v>
      </c>
      <c r="AI58" s="81" t="s">
        <v>1680</v>
      </c>
      <c r="AJ58" s="81" t="s">
        <v>1163</v>
      </c>
      <c r="AK58" s="81" t="s">
        <v>2090</v>
      </c>
      <c r="AL58" s="80" t="s">
        <v>3395</v>
      </c>
      <c r="AM58" s="80" t="s">
        <v>3425</v>
      </c>
      <c r="AN58" s="81" t="s">
        <v>1065</v>
      </c>
      <c r="AO58" s="80" t="s">
        <v>3468</v>
      </c>
      <c r="AP58" s="84" t="s">
        <v>1875</v>
      </c>
      <c r="AQ58" s="80" t="s">
        <v>2169</v>
      </c>
      <c r="AR58" s="81" t="s">
        <v>1888</v>
      </c>
      <c r="AS58" s="81" t="s">
        <v>3579</v>
      </c>
      <c r="AT58" s="81" t="s">
        <v>2822</v>
      </c>
      <c r="AU58" s="81" t="s">
        <v>874</v>
      </c>
      <c r="AV58" s="81" t="s">
        <v>946</v>
      </c>
    </row>
    <row r="59" spans="1:48">
      <c r="A59" s="80">
        <v>58</v>
      </c>
      <c r="B59" s="80" t="s">
        <v>3093</v>
      </c>
      <c r="C59" s="80" t="s">
        <v>1050</v>
      </c>
      <c r="D59" s="80" t="s">
        <v>1461</v>
      </c>
      <c r="E59" s="81" t="s">
        <v>2757</v>
      </c>
      <c r="F59" s="80" t="s">
        <v>411</v>
      </c>
      <c r="G59" s="80" t="s">
        <v>454</v>
      </c>
      <c r="H59" s="81" t="s">
        <v>4225</v>
      </c>
      <c r="I59" s="81" t="s">
        <v>1704</v>
      </c>
      <c r="J59" s="80" t="s">
        <v>500</v>
      </c>
      <c r="K59" s="80" t="s">
        <v>540</v>
      </c>
      <c r="L59" s="80" t="s">
        <v>1050</v>
      </c>
      <c r="M59" s="80" t="s">
        <v>3093</v>
      </c>
      <c r="N59" s="81" t="s">
        <v>3646</v>
      </c>
      <c r="O59" s="81" t="s">
        <v>3684</v>
      </c>
      <c r="P59" s="81" t="s">
        <v>3771</v>
      </c>
      <c r="Q59" s="81" t="s">
        <v>2586</v>
      </c>
      <c r="R59" s="81" t="s">
        <v>3151</v>
      </c>
      <c r="S59" s="81" t="s">
        <v>2519</v>
      </c>
      <c r="T59" s="81" t="s">
        <v>1227</v>
      </c>
      <c r="U59" s="80" t="s">
        <v>14</v>
      </c>
      <c r="V59" s="81" t="s">
        <v>3612</v>
      </c>
      <c r="W59" s="81" t="s">
        <v>1800</v>
      </c>
      <c r="X59" s="80" t="s">
        <v>2626</v>
      </c>
      <c r="Y59" s="80" t="s">
        <v>2670</v>
      </c>
      <c r="Z59" s="80" t="s">
        <v>2725</v>
      </c>
      <c r="AA59" s="80" t="s">
        <v>1393</v>
      </c>
      <c r="AB59" s="81" t="s">
        <v>2299</v>
      </c>
      <c r="AC59" s="81" t="s">
        <v>1553</v>
      </c>
      <c r="AD59" s="80" t="s">
        <v>1624</v>
      </c>
      <c r="AE59" s="81" t="s">
        <v>1989</v>
      </c>
      <c r="AF59" s="81" t="s">
        <v>1119</v>
      </c>
      <c r="AG59" s="81" t="s">
        <v>1330</v>
      </c>
      <c r="AH59" s="81" t="s">
        <v>3205</v>
      </c>
      <c r="AI59" s="81" t="s">
        <v>2388</v>
      </c>
      <c r="AJ59" s="81" t="s">
        <v>1681</v>
      </c>
      <c r="AK59" s="81" t="s">
        <v>2091</v>
      </c>
      <c r="AL59" s="80" t="s">
        <v>3396</v>
      </c>
      <c r="AM59" s="80" t="s">
        <v>3426</v>
      </c>
      <c r="AN59" s="81" t="s">
        <v>1065</v>
      </c>
      <c r="AO59" s="80" t="s">
        <v>3469</v>
      </c>
      <c r="AP59" s="84" t="s">
        <v>1876</v>
      </c>
      <c r="AQ59" s="80" t="s">
        <v>2170</v>
      </c>
      <c r="AR59" s="81" t="s">
        <v>1889</v>
      </c>
      <c r="AS59" s="81" t="s">
        <v>3580</v>
      </c>
      <c r="AT59" s="81" t="s">
        <v>2823</v>
      </c>
      <c r="AU59" s="81" t="s">
        <v>875</v>
      </c>
      <c r="AV59" s="81" t="s">
        <v>947</v>
      </c>
    </row>
    <row r="60" spans="1:48">
      <c r="A60" s="80">
        <v>59</v>
      </c>
      <c r="B60" s="80" t="s">
        <v>3094</v>
      </c>
      <c r="C60" s="80" t="s">
        <v>1051</v>
      </c>
      <c r="D60" s="80" t="s">
        <v>1462</v>
      </c>
      <c r="E60" s="81" t="s">
        <v>2758</v>
      </c>
      <c r="F60" s="80" t="s">
        <v>412</v>
      </c>
      <c r="G60" s="80" t="s">
        <v>455</v>
      </c>
      <c r="H60" s="81" t="s">
        <v>4226</v>
      </c>
      <c r="I60" s="81" t="s">
        <v>1705</v>
      </c>
      <c r="J60" s="80" t="s">
        <v>501</v>
      </c>
      <c r="K60" s="80" t="s">
        <v>541</v>
      </c>
      <c r="L60" s="80" t="s">
        <v>1051</v>
      </c>
      <c r="M60" s="80" t="s">
        <v>3094</v>
      </c>
      <c r="N60" s="81" t="s">
        <v>3647</v>
      </c>
      <c r="O60" s="81" t="s">
        <v>3685</v>
      </c>
      <c r="P60" s="81" t="s">
        <v>3772</v>
      </c>
      <c r="Q60" s="81" t="s">
        <v>3252</v>
      </c>
      <c r="R60" s="81" t="s">
        <v>3152</v>
      </c>
      <c r="S60" s="81" t="s">
        <v>2520</v>
      </c>
      <c r="T60" s="81" t="s">
        <v>2601</v>
      </c>
      <c r="U60" s="80" t="s">
        <v>15</v>
      </c>
      <c r="V60" s="81" t="s">
        <v>3613</v>
      </c>
      <c r="W60" s="81" t="s">
        <v>1801</v>
      </c>
      <c r="X60" s="80" t="s">
        <v>2627</v>
      </c>
      <c r="Y60" s="80" t="s">
        <v>2671</v>
      </c>
      <c r="Z60" s="80" t="s">
        <v>2726</v>
      </c>
      <c r="AA60" s="80" t="s">
        <v>1394</v>
      </c>
      <c r="AB60" s="81" t="s">
        <v>2300</v>
      </c>
      <c r="AC60" s="81" t="s">
        <v>1554</v>
      </c>
      <c r="AD60" s="80" t="s">
        <v>1625</v>
      </c>
      <c r="AE60" s="81" t="s">
        <v>1990</v>
      </c>
      <c r="AF60" s="81" t="s">
        <v>1120</v>
      </c>
      <c r="AG60" s="81" t="s">
        <v>1331</v>
      </c>
      <c r="AH60" s="81" t="s">
        <v>3206</v>
      </c>
      <c r="AI60" s="81" t="s">
        <v>1682</v>
      </c>
      <c r="AJ60" s="81" t="s">
        <v>1164</v>
      </c>
      <c r="AK60" s="81" t="s">
        <v>2092</v>
      </c>
      <c r="AL60" s="80" t="s">
        <v>3397</v>
      </c>
      <c r="AM60" s="80" t="s">
        <v>3427</v>
      </c>
      <c r="AN60" s="81" t="s">
        <v>1065</v>
      </c>
      <c r="AO60" s="80" t="s">
        <v>3470</v>
      </c>
      <c r="AP60" s="84" t="s">
        <v>1843</v>
      </c>
      <c r="AQ60" s="80" t="s">
        <v>2171</v>
      </c>
      <c r="AR60" s="81" t="s">
        <v>1890</v>
      </c>
      <c r="AS60" s="81" t="s">
        <v>3581</v>
      </c>
      <c r="AT60" s="81" t="s">
        <v>2824</v>
      </c>
      <c r="AU60" s="81" t="s">
        <v>876</v>
      </c>
      <c r="AV60" s="81" t="s">
        <v>948</v>
      </c>
    </row>
    <row r="61" spans="1:48">
      <c r="A61" s="80">
        <v>60</v>
      </c>
      <c r="B61" s="80" t="s">
        <v>3095</v>
      </c>
      <c r="C61" s="80" t="s">
        <v>1052</v>
      </c>
      <c r="D61" s="80" t="s">
        <v>1463</v>
      </c>
      <c r="E61" s="81" t="s">
        <v>2759</v>
      </c>
      <c r="F61" s="80" t="s">
        <v>413</v>
      </c>
      <c r="G61" s="80" t="s">
        <v>456</v>
      </c>
      <c r="H61" s="81" t="s">
        <v>4227</v>
      </c>
      <c r="I61" s="81" t="s">
        <v>1706</v>
      </c>
      <c r="J61" s="80" t="s">
        <v>502</v>
      </c>
      <c r="K61" s="80" t="s">
        <v>542</v>
      </c>
      <c r="L61" s="80" t="s">
        <v>1052</v>
      </c>
      <c r="M61" s="80" t="s">
        <v>3095</v>
      </c>
      <c r="N61" s="81" t="s">
        <v>3648</v>
      </c>
      <c r="O61" s="81" t="s">
        <v>3686</v>
      </c>
      <c r="P61" s="81" t="s">
        <v>3773</v>
      </c>
      <c r="Q61" s="81" t="s">
        <v>3253</v>
      </c>
      <c r="R61" s="81" t="s">
        <v>3153</v>
      </c>
      <c r="S61" s="81" t="s">
        <v>2521</v>
      </c>
      <c r="T61" s="81" t="s">
        <v>2602</v>
      </c>
      <c r="U61" s="80" t="s">
        <v>19</v>
      </c>
      <c r="V61" s="81" t="s">
        <v>3614</v>
      </c>
      <c r="W61" s="81" t="s">
        <v>1802</v>
      </c>
      <c r="X61" s="80" t="s">
        <v>2628</v>
      </c>
      <c r="Y61" s="80" t="s">
        <v>2672</v>
      </c>
      <c r="Z61" s="80" t="s">
        <v>2727</v>
      </c>
      <c r="AA61" s="80" t="s">
        <v>1395</v>
      </c>
      <c r="AB61" s="81" t="s">
        <v>2301</v>
      </c>
      <c r="AC61" s="81" t="s">
        <v>1555</v>
      </c>
      <c r="AD61" s="80" t="s">
        <v>1626</v>
      </c>
      <c r="AE61" s="81" t="s">
        <v>1991</v>
      </c>
      <c r="AF61" s="81" t="s">
        <v>1121</v>
      </c>
      <c r="AG61" s="81" t="s">
        <v>1332</v>
      </c>
      <c r="AH61" s="81" t="s">
        <v>3207</v>
      </c>
      <c r="AI61" s="81" t="s">
        <v>2389</v>
      </c>
      <c r="AJ61" s="81" t="s">
        <v>1683</v>
      </c>
      <c r="AK61" s="81" t="s">
        <v>2093</v>
      </c>
      <c r="AL61" s="80" t="s">
        <v>3398</v>
      </c>
      <c r="AM61" s="80" t="s">
        <v>3428</v>
      </c>
      <c r="AN61" s="81" t="s">
        <v>1065</v>
      </c>
      <c r="AO61" s="80" t="s">
        <v>3471</v>
      </c>
      <c r="AP61" s="84" t="s">
        <v>1844</v>
      </c>
      <c r="AQ61" s="80" t="s">
        <v>2172</v>
      </c>
      <c r="AR61" s="81" t="s">
        <v>1891</v>
      </c>
      <c r="AS61" s="81" t="s">
        <v>3582</v>
      </c>
      <c r="AT61" s="81" t="s">
        <v>2825</v>
      </c>
      <c r="AU61" s="81" t="s">
        <v>877</v>
      </c>
      <c r="AV61" s="81" t="s">
        <v>949</v>
      </c>
    </row>
    <row r="62" spans="1:48">
      <c r="A62" s="80">
        <v>61</v>
      </c>
      <c r="B62" s="80" t="s">
        <v>3096</v>
      </c>
      <c r="C62" s="80" t="s">
        <v>1053</v>
      </c>
      <c r="D62" s="80" t="s">
        <v>1464</v>
      </c>
      <c r="E62" s="81" t="s">
        <v>2760</v>
      </c>
      <c r="F62" s="80" t="s">
        <v>414</v>
      </c>
      <c r="G62" s="80" t="s">
        <v>457</v>
      </c>
      <c r="H62" s="81" t="s">
        <v>4228</v>
      </c>
      <c r="I62" s="81" t="s">
        <v>1707</v>
      </c>
      <c r="J62" s="80" t="s">
        <v>503</v>
      </c>
      <c r="K62" s="80" t="s">
        <v>543</v>
      </c>
      <c r="L62" s="80" t="s">
        <v>1053</v>
      </c>
      <c r="M62" s="80" t="s">
        <v>3096</v>
      </c>
      <c r="N62" s="81" t="s">
        <v>3649</v>
      </c>
      <c r="O62" s="81" t="s">
        <v>3687</v>
      </c>
      <c r="P62" s="81" t="s">
        <v>3774</v>
      </c>
      <c r="Q62" s="81" t="s">
        <v>3254</v>
      </c>
      <c r="R62" s="81" t="s">
        <v>3154</v>
      </c>
      <c r="S62" s="81" t="s">
        <v>2522</v>
      </c>
      <c r="T62" s="81" t="s">
        <v>2603</v>
      </c>
      <c r="U62" s="80" t="s">
        <v>16</v>
      </c>
      <c r="V62" s="81" t="s">
        <v>3615</v>
      </c>
      <c r="W62" s="81" t="s">
        <v>1803</v>
      </c>
      <c r="X62" s="80" t="s">
        <v>2629</v>
      </c>
      <c r="Y62" s="80" t="s">
        <v>2673</v>
      </c>
      <c r="Z62" s="80" t="s">
        <v>2728</v>
      </c>
      <c r="AA62" s="80" t="s">
        <v>1396</v>
      </c>
      <c r="AB62" s="81" t="s">
        <v>2302</v>
      </c>
      <c r="AC62" s="81" t="s">
        <v>1556</v>
      </c>
      <c r="AD62" s="80" t="s">
        <v>1627</v>
      </c>
      <c r="AE62" s="81" t="s">
        <v>1992</v>
      </c>
      <c r="AF62" s="81" t="s">
        <v>1122</v>
      </c>
      <c r="AG62" s="81" t="s">
        <v>1333</v>
      </c>
      <c r="AH62" s="81" t="s">
        <v>3208</v>
      </c>
      <c r="AI62" s="81" t="s">
        <v>3375</v>
      </c>
      <c r="AJ62" s="81" t="s">
        <v>1165</v>
      </c>
      <c r="AK62" s="81" t="s">
        <v>2094</v>
      </c>
      <c r="AL62" s="80" t="s">
        <v>3399</v>
      </c>
      <c r="AM62" s="80" t="s">
        <v>3429</v>
      </c>
      <c r="AN62" s="81" t="s">
        <v>1065</v>
      </c>
      <c r="AO62" s="80" t="s">
        <v>3472</v>
      </c>
      <c r="AP62" s="84" t="s">
        <v>1845</v>
      </c>
      <c r="AQ62" s="80" t="s">
        <v>2173</v>
      </c>
      <c r="AR62" s="81" t="s">
        <v>1892</v>
      </c>
      <c r="AS62" s="81" t="s">
        <v>3583</v>
      </c>
      <c r="AT62" s="81" t="s">
        <v>2548</v>
      </c>
      <c r="AU62" s="81" t="s">
        <v>878</v>
      </c>
      <c r="AV62" s="81" t="s">
        <v>950</v>
      </c>
    </row>
    <row r="63" spans="1:48">
      <c r="A63" s="80">
        <v>62</v>
      </c>
      <c r="B63" s="80" t="s">
        <v>3097</v>
      </c>
      <c r="C63" s="80" t="s">
        <v>1054</v>
      </c>
      <c r="D63" s="80" t="s">
        <v>1465</v>
      </c>
      <c r="E63" s="81" t="s">
        <v>2761</v>
      </c>
      <c r="F63" s="80" t="s">
        <v>415</v>
      </c>
      <c r="G63" s="80" t="s">
        <v>458</v>
      </c>
      <c r="H63" s="81" t="s">
        <v>4229</v>
      </c>
      <c r="I63" s="81" t="s">
        <v>1708</v>
      </c>
      <c r="J63" s="80" t="s">
        <v>504</v>
      </c>
      <c r="K63" s="80" t="s">
        <v>544</v>
      </c>
      <c r="L63" s="80" t="s">
        <v>1054</v>
      </c>
      <c r="M63" s="80" t="s">
        <v>3097</v>
      </c>
      <c r="N63" s="81" t="s">
        <v>3650</v>
      </c>
      <c r="O63" s="81" t="s">
        <v>3688</v>
      </c>
      <c r="P63" s="81" t="s">
        <v>3775</v>
      </c>
      <c r="Q63" s="81" t="s">
        <v>3255</v>
      </c>
      <c r="R63" s="81" t="s">
        <v>3155</v>
      </c>
      <c r="S63" s="81" t="s">
        <v>2523</v>
      </c>
      <c r="T63" s="81" t="s">
        <v>2604</v>
      </c>
      <c r="U63" s="80" t="s">
        <v>17</v>
      </c>
      <c r="V63" s="81" t="s">
        <v>3616</v>
      </c>
      <c r="W63" s="81" t="s">
        <v>1804</v>
      </c>
      <c r="X63" s="80" t="s">
        <v>2630</v>
      </c>
      <c r="Y63" s="80" t="s">
        <v>2674</v>
      </c>
      <c r="Z63" s="80" t="s">
        <v>2729</v>
      </c>
      <c r="AA63" s="80" t="s">
        <v>1397</v>
      </c>
      <c r="AB63" s="81" t="s">
        <v>2303</v>
      </c>
      <c r="AC63" s="81" t="s">
        <v>1557</v>
      </c>
      <c r="AD63" s="80" t="s">
        <v>1628</v>
      </c>
      <c r="AE63" s="81" t="s">
        <v>1993</v>
      </c>
      <c r="AF63" s="81" t="s">
        <v>1123</v>
      </c>
      <c r="AG63" s="81" t="s">
        <v>1334</v>
      </c>
      <c r="AH63" s="81" t="s">
        <v>3209</v>
      </c>
      <c r="AI63" s="81" t="s">
        <v>3376</v>
      </c>
      <c r="AJ63" s="81" t="s">
        <v>1166</v>
      </c>
      <c r="AK63" s="81" t="s">
        <v>2095</v>
      </c>
      <c r="AL63" s="80" t="s">
        <v>1502</v>
      </c>
      <c r="AM63" s="80" t="s">
        <v>3430</v>
      </c>
      <c r="AN63" s="81" t="s">
        <v>1065</v>
      </c>
      <c r="AO63" s="80" t="s">
        <v>3473</v>
      </c>
      <c r="AP63" s="84" t="s">
        <v>1846</v>
      </c>
      <c r="AQ63" s="80" t="s">
        <v>2174</v>
      </c>
      <c r="AR63" s="81" t="s">
        <v>1893</v>
      </c>
      <c r="AS63" s="81" t="s">
        <v>3584</v>
      </c>
      <c r="AT63" s="81" t="s">
        <v>2549</v>
      </c>
      <c r="AU63" s="81" t="s">
        <v>879</v>
      </c>
      <c r="AV63" s="81" t="s">
        <v>951</v>
      </c>
    </row>
    <row r="64" spans="1:48">
      <c r="A64" s="80">
        <v>63</v>
      </c>
      <c r="B64" s="80" t="s">
        <v>3098</v>
      </c>
      <c r="C64" s="80" t="s">
        <v>1055</v>
      </c>
      <c r="D64" s="80" t="s">
        <v>1466</v>
      </c>
      <c r="E64" s="81" t="s">
        <v>2762</v>
      </c>
      <c r="F64" s="80" t="s">
        <v>416</v>
      </c>
      <c r="G64" s="80" t="s">
        <v>459</v>
      </c>
      <c r="H64" s="81" t="s">
        <v>4230</v>
      </c>
      <c r="I64" s="81" t="s">
        <v>1709</v>
      </c>
      <c r="J64" s="80" t="s">
        <v>505</v>
      </c>
      <c r="K64" s="80" t="s">
        <v>232</v>
      </c>
      <c r="L64" s="80" t="s">
        <v>1055</v>
      </c>
      <c r="M64" s="80" t="s">
        <v>3098</v>
      </c>
      <c r="N64" s="81" t="s">
        <v>3651</v>
      </c>
      <c r="O64" s="81" t="s">
        <v>3689</v>
      </c>
      <c r="P64" s="81" t="s">
        <v>3776</v>
      </c>
      <c r="Q64" s="81" t="s">
        <v>3256</v>
      </c>
      <c r="R64" s="81" t="s">
        <v>3156</v>
      </c>
      <c r="S64" s="81" t="s">
        <v>2524</v>
      </c>
      <c r="T64" s="81" t="s">
        <v>2605</v>
      </c>
      <c r="U64" s="80" t="s">
        <v>18</v>
      </c>
      <c r="V64" s="81" t="s">
        <v>3617</v>
      </c>
      <c r="W64" s="81" t="s">
        <v>1805</v>
      </c>
      <c r="X64" s="80" t="s">
        <v>2631</v>
      </c>
      <c r="Y64" s="80" t="s">
        <v>2675</v>
      </c>
      <c r="Z64" s="80" t="s">
        <v>2730</v>
      </c>
      <c r="AA64" s="80" t="s">
        <v>1398</v>
      </c>
      <c r="AB64" s="81" t="s">
        <v>2304</v>
      </c>
      <c r="AC64" s="81" t="s">
        <v>1558</v>
      </c>
      <c r="AD64" s="80" t="s">
        <v>1629</v>
      </c>
      <c r="AE64" s="81" t="s">
        <v>1994</v>
      </c>
      <c r="AF64" s="81" t="s">
        <v>1124</v>
      </c>
      <c r="AG64" s="81" t="s">
        <v>1335</v>
      </c>
      <c r="AH64" s="81" t="s">
        <v>3210</v>
      </c>
      <c r="AI64" s="81" t="s">
        <v>3377</v>
      </c>
      <c r="AJ64" s="81" t="s">
        <v>1167</v>
      </c>
      <c r="AK64" s="81" t="s">
        <v>2096</v>
      </c>
      <c r="AL64" s="80" t="s">
        <v>1503</v>
      </c>
      <c r="AM64" s="80" t="s">
        <v>3431</v>
      </c>
      <c r="AN64" s="81" t="s">
        <v>1065</v>
      </c>
      <c r="AO64" s="80" t="s">
        <v>3474</v>
      </c>
      <c r="AP64" s="84" t="s">
        <v>1847</v>
      </c>
      <c r="AQ64" s="80" t="s">
        <v>2175</v>
      </c>
      <c r="AR64" s="81" t="s">
        <v>1894</v>
      </c>
      <c r="AS64" s="81" t="s">
        <v>3585</v>
      </c>
      <c r="AT64" s="81" t="s">
        <v>2550</v>
      </c>
      <c r="AU64" s="81" t="s">
        <v>880</v>
      </c>
      <c r="AV64" s="81" t="s">
        <v>952</v>
      </c>
    </row>
    <row r="65" spans="1:48">
      <c r="A65" s="80">
        <v>64</v>
      </c>
      <c r="B65" s="80" t="s">
        <v>3099</v>
      </c>
      <c r="C65" s="80" t="s">
        <v>1056</v>
      </c>
      <c r="D65" s="80" t="s">
        <v>1467</v>
      </c>
      <c r="E65" s="81" t="s">
        <v>2763</v>
      </c>
      <c r="F65" s="80" t="s">
        <v>417</v>
      </c>
      <c r="G65" s="80" t="s">
        <v>460</v>
      </c>
      <c r="H65" s="81" t="s">
        <v>2456</v>
      </c>
      <c r="I65" s="81" t="s">
        <v>1710</v>
      </c>
      <c r="J65" s="80" t="s">
        <v>506</v>
      </c>
      <c r="K65" s="81" t="s">
        <v>233</v>
      </c>
      <c r="L65" s="80" t="s">
        <v>2344</v>
      </c>
      <c r="M65" s="80" t="s">
        <v>3099</v>
      </c>
      <c r="N65" s="81" t="s">
        <v>3652</v>
      </c>
      <c r="O65" s="81" t="s">
        <v>3690</v>
      </c>
      <c r="P65" s="81" t="s">
        <v>3777</v>
      </c>
      <c r="Q65" s="81" t="s">
        <v>3257</v>
      </c>
      <c r="R65" s="81" t="s">
        <v>3157</v>
      </c>
      <c r="S65" s="81" t="s">
        <v>2525</v>
      </c>
      <c r="T65" s="81" t="s">
        <v>1259</v>
      </c>
      <c r="U65" s="80" t="s">
        <v>20</v>
      </c>
      <c r="V65" s="81" t="s">
        <v>3618</v>
      </c>
      <c r="W65" s="81" t="s">
        <v>1806</v>
      </c>
      <c r="X65" s="80" t="s">
        <v>2632</v>
      </c>
      <c r="Y65" s="80" t="s">
        <v>2676</v>
      </c>
      <c r="Z65" s="80" t="s">
        <v>2731</v>
      </c>
      <c r="AA65" s="80" t="s">
        <v>1399</v>
      </c>
      <c r="AB65" s="81" t="s">
        <v>2305</v>
      </c>
      <c r="AC65" s="81" t="s">
        <v>1559</v>
      </c>
      <c r="AD65" s="80" t="s">
        <v>1630</v>
      </c>
      <c r="AE65" s="81" t="s">
        <v>1995</v>
      </c>
      <c r="AF65" s="81" t="s">
        <v>1125</v>
      </c>
      <c r="AG65" s="81" t="s">
        <v>1336</v>
      </c>
      <c r="AH65" s="81" t="s">
        <v>3211</v>
      </c>
      <c r="AI65" s="81" t="s">
        <v>2390</v>
      </c>
      <c r="AJ65" s="81" t="s">
        <v>1168</v>
      </c>
      <c r="AK65" s="81" t="s">
        <v>2097</v>
      </c>
      <c r="AL65" s="81" t="s">
        <v>2143</v>
      </c>
      <c r="AM65" s="80" t="s">
        <v>3432</v>
      </c>
      <c r="AN65" s="81" t="s">
        <v>1066</v>
      </c>
      <c r="AO65" s="80" t="s">
        <v>3475</v>
      </c>
      <c r="AP65" s="84" t="s">
        <v>1877</v>
      </c>
      <c r="AQ65" s="80" t="s">
        <v>2176</v>
      </c>
      <c r="AR65" s="81" t="s">
        <v>1895</v>
      </c>
      <c r="AS65" s="81" t="s">
        <v>3586</v>
      </c>
      <c r="AT65" s="81" t="s">
        <v>2551</v>
      </c>
      <c r="AU65" s="81" t="s">
        <v>881</v>
      </c>
      <c r="AV65" s="81" t="s">
        <v>953</v>
      </c>
    </row>
    <row r="66" spans="1:48">
      <c r="A66" s="80">
        <v>65</v>
      </c>
      <c r="B66" s="80" t="s">
        <v>3100</v>
      </c>
      <c r="C66" s="80" t="s">
        <v>1057</v>
      </c>
      <c r="D66" s="80" t="s">
        <v>1468</v>
      </c>
      <c r="E66" s="81" t="s">
        <v>2764</v>
      </c>
      <c r="F66" s="80" t="s">
        <v>418</v>
      </c>
      <c r="G66" s="80" t="s">
        <v>461</v>
      </c>
      <c r="H66" s="81" t="s">
        <v>2457</v>
      </c>
      <c r="I66" s="81" t="s">
        <v>1711</v>
      </c>
      <c r="J66" s="80" t="s">
        <v>507</v>
      </c>
      <c r="K66" s="81" t="s">
        <v>234</v>
      </c>
      <c r="L66" s="80" t="s">
        <v>2345</v>
      </c>
      <c r="M66" s="80" t="s">
        <v>3100</v>
      </c>
      <c r="N66" s="81" t="s">
        <v>3653</v>
      </c>
      <c r="O66" s="81" t="s">
        <v>3691</v>
      </c>
      <c r="P66" s="81" t="s">
        <v>3778</v>
      </c>
      <c r="Q66" s="81" t="s">
        <v>3258</v>
      </c>
      <c r="R66" s="81" t="s">
        <v>3158</v>
      </c>
      <c r="S66" s="81" t="s">
        <v>2526</v>
      </c>
      <c r="T66" s="81" t="s">
        <v>1260</v>
      </c>
      <c r="U66" s="80" t="s">
        <v>21</v>
      </c>
      <c r="V66" s="81" t="s">
        <v>3619</v>
      </c>
      <c r="W66" s="81" t="s">
        <v>1807</v>
      </c>
      <c r="X66" s="80" t="s">
        <v>2633</v>
      </c>
      <c r="Y66" s="80" t="s">
        <v>2677</v>
      </c>
      <c r="Z66" s="80" t="s">
        <v>2732</v>
      </c>
      <c r="AA66" s="80" t="s">
        <v>1400</v>
      </c>
      <c r="AB66" s="81" t="s">
        <v>2306</v>
      </c>
      <c r="AC66" s="81" t="s">
        <v>1560</v>
      </c>
      <c r="AD66" s="80" t="s">
        <v>1631</v>
      </c>
      <c r="AE66" s="81" t="s">
        <v>1996</v>
      </c>
      <c r="AF66" s="81" t="s">
        <v>1126</v>
      </c>
      <c r="AG66" s="81" t="s">
        <v>1337</v>
      </c>
      <c r="AH66" s="81" t="s">
        <v>3212</v>
      </c>
      <c r="AI66" s="81" t="s">
        <v>2391</v>
      </c>
      <c r="AJ66" s="81" t="s">
        <v>1169</v>
      </c>
      <c r="AK66" s="81" t="s">
        <v>2098</v>
      </c>
      <c r="AL66" s="81" t="s">
        <v>2144</v>
      </c>
      <c r="AM66" s="80" t="s">
        <v>3433</v>
      </c>
      <c r="AN66" s="81" t="s">
        <v>1067</v>
      </c>
      <c r="AO66" s="80" t="s">
        <v>3476</v>
      </c>
      <c r="AP66" s="84" t="s">
        <v>1848</v>
      </c>
      <c r="AQ66" s="80" t="s">
        <v>2177</v>
      </c>
      <c r="AR66" s="81" t="s">
        <v>1896</v>
      </c>
      <c r="AS66" s="81" t="s">
        <v>3587</v>
      </c>
      <c r="AT66" s="81" t="s">
        <v>2552</v>
      </c>
      <c r="AU66" s="81" t="s">
        <v>882</v>
      </c>
      <c r="AV66" s="81" t="s">
        <v>954</v>
      </c>
    </row>
    <row r="67" spans="1:48">
      <c r="A67" s="80">
        <v>66</v>
      </c>
      <c r="B67" s="80" t="s">
        <v>3101</v>
      </c>
      <c r="C67" s="80" t="s">
        <v>1058</v>
      </c>
      <c r="D67" s="80" t="s">
        <v>1469</v>
      </c>
      <c r="E67" s="81" t="s">
        <v>2765</v>
      </c>
      <c r="F67" s="80" t="s">
        <v>419</v>
      </c>
      <c r="G67" s="80" t="s">
        <v>462</v>
      </c>
      <c r="H67" s="81" t="s">
        <v>2458</v>
      </c>
      <c r="I67" s="81" t="s">
        <v>1712</v>
      </c>
      <c r="J67" s="80" t="s">
        <v>508</v>
      </c>
      <c r="K67" s="81" t="s">
        <v>235</v>
      </c>
      <c r="L67" s="80" t="s">
        <v>2346</v>
      </c>
      <c r="M67" s="80" t="s">
        <v>3101</v>
      </c>
      <c r="N67" s="81" t="s">
        <v>3654</v>
      </c>
      <c r="O67" s="81" t="s">
        <v>3692</v>
      </c>
      <c r="P67" s="81" t="s">
        <v>3779</v>
      </c>
      <c r="Q67" s="81" t="s">
        <v>3259</v>
      </c>
      <c r="R67" s="81" t="s">
        <v>3159</v>
      </c>
      <c r="S67" s="81" t="s">
        <v>2527</v>
      </c>
      <c r="T67" s="81" t="s">
        <v>1261</v>
      </c>
      <c r="U67" s="80" t="s">
        <v>22</v>
      </c>
      <c r="V67" s="81" t="s">
        <v>3620</v>
      </c>
      <c r="W67" s="81" t="s">
        <v>1808</v>
      </c>
      <c r="X67" s="80" t="s">
        <v>2634</v>
      </c>
      <c r="Y67" s="80" t="s">
        <v>2678</v>
      </c>
      <c r="Z67" s="80" t="s">
        <v>2733</v>
      </c>
      <c r="AA67" s="80" t="s">
        <v>1401</v>
      </c>
      <c r="AB67" s="81" t="s">
        <v>2307</v>
      </c>
      <c r="AC67" s="81" t="s">
        <v>1561</v>
      </c>
      <c r="AD67" s="80" t="s">
        <v>1632</v>
      </c>
      <c r="AE67" s="81" t="s">
        <v>1997</v>
      </c>
      <c r="AF67" s="81" t="s">
        <v>1127</v>
      </c>
      <c r="AG67" s="81" t="s">
        <v>1338</v>
      </c>
      <c r="AH67" s="81" t="s">
        <v>3213</v>
      </c>
      <c r="AI67" s="81" t="s">
        <v>2392</v>
      </c>
      <c r="AJ67" s="81" t="s">
        <v>3361</v>
      </c>
      <c r="AK67" s="81" t="s">
        <v>2099</v>
      </c>
      <c r="AL67" s="81" t="s">
        <v>2145</v>
      </c>
      <c r="AM67" s="80" t="s">
        <v>3434</v>
      </c>
      <c r="AN67" s="81" t="s">
        <v>1068</v>
      </c>
      <c r="AO67" s="80" t="s">
        <v>3477</v>
      </c>
      <c r="AP67" s="84" t="s">
        <v>1849</v>
      </c>
      <c r="AQ67" s="80" t="s">
        <v>2176</v>
      </c>
      <c r="AR67" s="81" t="s">
        <v>1897</v>
      </c>
      <c r="AS67" s="81" t="s">
        <v>3588</v>
      </c>
      <c r="AT67" s="81" t="s">
        <v>2553</v>
      </c>
      <c r="AU67" s="81" t="s">
        <v>883</v>
      </c>
      <c r="AV67" s="81" t="s">
        <v>955</v>
      </c>
    </row>
    <row r="68" spans="1:48">
      <c r="A68" s="80">
        <v>67</v>
      </c>
      <c r="B68" s="80" t="s">
        <v>3102</v>
      </c>
      <c r="C68" s="80" t="s">
        <v>1059</v>
      </c>
      <c r="D68" s="80" t="s">
        <v>1470</v>
      </c>
      <c r="E68" s="81" t="s">
        <v>2766</v>
      </c>
      <c r="F68" s="80" t="s">
        <v>420</v>
      </c>
      <c r="G68" s="80" t="s">
        <v>463</v>
      </c>
      <c r="H68" s="81" t="s">
        <v>2459</v>
      </c>
      <c r="I68" s="81" t="s">
        <v>1713</v>
      </c>
      <c r="J68" s="80" t="s">
        <v>509</v>
      </c>
      <c r="K68" s="81" t="s">
        <v>236</v>
      </c>
      <c r="L68" s="80" t="s">
        <v>2347</v>
      </c>
      <c r="M68" s="80" t="s">
        <v>3102</v>
      </c>
      <c r="N68" s="81" t="s">
        <v>3655</v>
      </c>
      <c r="O68" s="81" t="s">
        <v>3693</v>
      </c>
      <c r="P68" s="81" t="s">
        <v>3780</v>
      </c>
      <c r="Q68" s="81" t="s">
        <v>3260</v>
      </c>
      <c r="R68" s="81" t="s">
        <v>3160</v>
      </c>
      <c r="S68" s="81" t="s">
        <v>2528</v>
      </c>
      <c r="T68" s="81" t="s">
        <v>1262</v>
      </c>
      <c r="U68" s="80" t="s">
        <v>23</v>
      </c>
      <c r="V68" s="81" t="s">
        <v>3621</v>
      </c>
      <c r="W68" s="81" t="s">
        <v>1809</v>
      </c>
      <c r="X68" s="80" t="s">
        <v>2635</v>
      </c>
      <c r="Y68" s="80" t="s">
        <v>2679</v>
      </c>
      <c r="Z68" s="80" t="s">
        <v>2734</v>
      </c>
      <c r="AA68" s="80" t="s">
        <v>1402</v>
      </c>
      <c r="AB68" s="81" t="s">
        <v>2308</v>
      </c>
      <c r="AC68" s="81" t="s">
        <v>1562</v>
      </c>
      <c r="AD68" s="80" t="s">
        <v>1633</v>
      </c>
      <c r="AE68" s="81" t="s">
        <v>1998</v>
      </c>
      <c r="AF68" s="81" t="s">
        <v>1128</v>
      </c>
      <c r="AG68" s="81" t="s">
        <v>1339</v>
      </c>
      <c r="AH68" s="81" t="s">
        <v>3214</v>
      </c>
      <c r="AI68" s="81" t="s">
        <v>2393</v>
      </c>
      <c r="AJ68" s="81" t="s">
        <v>3362</v>
      </c>
      <c r="AK68" s="81" t="s">
        <v>2100</v>
      </c>
      <c r="AL68" s="81" t="s">
        <v>2146</v>
      </c>
      <c r="AM68" s="80" t="s">
        <v>3435</v>
      </c>
      <c r="AN68" s="81" t="s">
        <v>1069</v>
      </c>
      <c r="AO68" s="80" t="s">
        <v>3478</v>
      </c>
      <c r="AP68" s="84" t="s">
        <v>1850</v>
      </c>
      <c r="AQ68" s="80" t="s">
        <v>2177</v>
      </c>
      <c r="AR68" s="81" t="s">
        <v>1898</v>
      </c>
      <c r="AS68" s="81" t="s">
        <v>3589</v>
      </c>
      <c r="AT68" s="81" t="s">
        <v>2554</v>
      </c>
      <c r="AU68" s="81" t="s">
        <v>884</v>
      </c>
      <c r="AV68" s="81" t="s">
        <v>956</v>
      </c>
    </row>
    <row r="69" spans="1:48">
      <c r="A69" s="80">
        <v>68</v>
      </c>
      <c r="B69" s="80" t="s">
        <v>3103</v>
      </c>
      <c r="C69" s="80" t="s">
        <v>1060</v>
      </c>
      <c r="D69" s="80" t="s">
        <v>1471</v>
      </c>
      <c r="E69" s="81" t="s">
        <v>2767</v>
      </c>
      <c r="F69" s="80" t="s">
        <v>421</v>
      </c>
      <c r="G69" s="80" t="s">
        <v>464</v>
      </c>
      <c r="H69" s="81" t="s">
        <v>2460</v>
      </c>
      <c r="I69" s="81" t="s">
        <v>1714</v>
      </c>
      <c r="J69" s="80" t="s">
        <v>510</v>
      </c>
      <c r="K69" s="81" t="s">
        <v>237</v>
      </c>
      <c r="L69" s="80" t="s">
        <v>2348</v>
      </c>
      <c r="M69" s="80" t="s">
        <v>3103</v>
      </c>
      <c r="N69" s="81" t="s">
        <v>3656</v>
      </c>
      <c r="O69" s="81" t="s">
        <v>3694</v>
      </c>
      <c r="P69" s="81" t="s">
        <v>3781</v>
      </c>
      <c r="Q69" s="81" t="s">
        <v>3261</v>
      </c>
      <c r="R69" s="81" t="s">
        <v>3161</v>
      </c>
      <c r="S69" s="81" t="s">
        <v>2529</v>
      </c>
      <c r="T69" s="81" t="s">
        <v>1263</v>
      </c>
      <c r="U69" s="80" t="s">
        <v>24</v>
      </c>
      <c r="V69" s="81" t="s">
        <v>3622</v>
      </c>
      <c r="W69" s="81" t="s">
        <v>1810</v>
      </c>
      <c r="X69" s="80" t="s">
        <v>2636</v>
      </c>
      <c r="Y69" s="80" t="s">
        <v>2680</v>
      </c>
      <c r="Z69" s="80" t="s">
        <v>2735</v>
      </c>
      <c r="AA69" s="80" t="s">
        <v>1403</v>
      </c>
      <c r="AB69" s="81" t="s">
        <v>2309</v>
      </c>
      <c r="AC69" s="81" t="s">
        <v>1563</v>
      </c>
      <c r="AD69" s="80" t="s">
        <v>1634</v>
      </c>
      <c r="AE69" s="81" t="s">
        <v>1999</v>
      </c>
      <c r="AF69" s="81" t="s">
        <v>1129</v>
      </c>
      <c r="AG69" s="81" t="s">
        <v>1340</v>
      </c>
      <c r="AH69" s="81" t="s">
        <v>3215</v>
      </c>
      <c r="AI69" s="81" t="s">
        <v>2394</v>
      </c>
      <c r="AJ69" s="81" t="s">
        <v>3363</v>
      </c>
      <c r="AK69" s="81" t="s">
        <v>2101</v>
      </c>
      <c r="AL69" s="81" t="s">
        <v>2147</v>
      </c>
      <c r="AM69" s="80" t="s">
        <v>3436</v>
      </c>
      <c r="AN69" s="81" t="s">
        <v>1070</v>
      </c>
      <c r="AO69" s="80" t="s">
        <v>3479</v>
      </c>
      <c r="AP69" s="84" t="s">
        <v>1851</v>
      </c>
      <c r="AQ69" s="80" t="s">
        <v>2176</v>
      </c>
      <c r="AR69" s="81" t="s">
        <v>1899</v>
      </c>
      <c r="AS69" s="81" t="s">
        <v>3590</v>
      </c>
      <c r="AT69" s="81" t="s">
        <v>2555</v>
      </c>
      <c r="AU69" s="81" t="s">
        <v>885</v>
      </c>
      <c r="AV69" s="81" t="s">
        <v>957</v>
      </c>
    </row>
    <row r="70" spans="1:48">
      <c r="A70" s="80">
        <v>69</v>
      </c>
      <c r="B70" s="80" t="s">
        <v>3104</v>
      </c>
      <c r="C70" s="80" t="s">
        <v>1061</v>
      </c>
      <c r="D70" s="80" t="s">
        <v>1472</v>
      </c>
      <c r="E70" s="81" t="s">
        <v>2768</v>
      </c>
      <c r="F70" s="80" t="s">
        <v>422</v>
      </c>
      <c r="G70" s="80" t="s">
        <v>465</v>
      </c>
      <c r="H70" s="81" t="s">
        <v>2461</v>
      </c>
      <c r="I70" s="81" t="s">
        <v>1715</v>
      </c>
      <c r="J70" s="80" t="s">
        <v>511</v>
      </c>
      <c r="K70" s="81" t="s">
        <v>238</v>
      </c>
      <c r="L70" s="80" t="s">
        <v>2349</v>
      </c>
      <c r="M70" s="80" t="s">
        <v>3104</v>
      </c>
      <c r="N70" s="81" t="s">
        <v>3657</v>
      </c>
      <c r="O70" s="81" t="s">
        <v>3695</v>
      </c>
      <c r="P70" s="81" t="s">
        <v>3782</v>
      </c>
      <c r="Q70" s="81" t="s">
        <v>3262</v>
      </c>
      <c r="R70" s="81" t="s">
        <v>3162</v>
      </c>
      <c r="S70" s="81" t="s">
        <v>2530</v>
      </c>
      <c r="T70" s="81" t="s">
        <v>1264</v>
      </c>
      <c r="U70" s="80" t="s">
        <v>25</v>
      </c>
      <c r="V70" s="81" t="s">
        <v>1748</v>
      </c>
      <c r="W70" s="81" t="s">
        <v>1811</v>
      </c>
      <c r="X70" s="80" t="s">
        <v>2637</v>
      </c>
      <c r="Y70" s="80" t="s">
        <v>2681</v>
      </c>
      <c r="Z70" s="80" t="s">
        <v>2736</v>
      </c>
      <c r="AA70" s="80" t="s">
        <v>1404</v>
      </c>
      <c r="AB70" s="81" t="s">
        <v>2310</v>
      </c>
      <c r="AC70" s="81" t="s">
        <v>1564</v>
      </c>
      <c r="AD70" s="80" t="s">
        <v>1635</v>
      </c>
      <c r="AE70" s="81" t="s">
        <v>2000</v>
      </c>
      <c r="AF70" s="81" t="s">
        <v>1130</v>
      </c>
      <c r="AG70" s="81" t="s">
        <v>1341</v>
      </c>
      <c r="AH70" s="81" t="s">
        <v>3216</v>
      </c>
      <c r="AI70" s="81" t="s">
        <v>2395</v>
      </c>
      <c r="AJ70" s="81" t="s">
        <v>3364</v>
      </c>
      <c r="AK70" s="81" t="s">
        <v>2102</v>
      </c>
      <c r="AL70" s="81" t="s">
        <v>2148</v>
      </c>
      <c r="AM70" s="80" t="s">
        <v>3437</v>
      </c>
      <c r="AN70" s="81" t="s">
        <v>1071</v>
      </c>
      <c r="AO70" s="80" t="s">
        <v>3480</v>
      </c>
      <c r="AP70" s="84" t="s">
        <v>1852</v>
      </c>
      <c r="AQ70" s="80" t="s">
        <v>2177</v>
      </c>
      <c r="AR70" s="81" t="s">
        <v>1900</v>
      </c>
      <c r="AS70" s="81" t="s">
        <v>3591</v>
      </c>
      <c r="AT70" s="81" t="s">
        <v>2556</v>
      </c>
      <c r="AU70" s="81" t="s">
        <v>886</v>
      </c>
      <c r="AV70" s="81" t="s">
        <v>958</v>
      </c>
    </row>
    <row r="71" spans="1:48">
      <c r="A71" s="80">
        <v>70</v>
      </c>
      <c r="B71" s="80" t="s">
        <v>3105</v>
      </c>
      <c r="C71" s="80" t="s">
        <v>1062</v>
      </c>
      <c r="D71" s="80" t="s">
        <v>1473</v>
      </c>
      <c r="E71" s="81" t="s">
        <v>2769</v>
      </c>
      <c r="F71" s="80" t="s">
        <v>423</v>
      </c>
      <c r="G71" s="80" t="s">
        <v>466</v>
      </c>
      <c r="H71" s="81" t="s">
        <v>2462</v>
      </c>
      <c r="I71" s="81" t="s">
        <v>1716</v>
      </c>
      <c r="J71" s="80" t="s">
        <v>512</v>
      </c>
      <c r="K71" s="81" t="s">
        <v>239</v>
      </c>
      <c r="L71" s="80" t="s">
        <v>2350</v>
      </c>
      <c r="M71" s="80" t="s">
        <v>3105</v>
      </c>
      <c r="N71" s="81" t="s">
        <v>3658</v>
      </c>
      <c r="O71" s="81" t="s">
        <v>3696</v>
      </c>
      <c r="P71" s="81" t="s">
        <v>3783</v>
      </c>
      <c r="Q71" s="81" t="s">
        <v>3263</v>
      </c>
      <c r="R71" s="81" t="s">
        <v>3163</v>
      </c>
      <c r="S71" s="81" t="s">
        <v>2531</v>
      </c>
      <c r="T71" s="81" t="s">
        <v>1265</v>
      </c>
      <c r="U71" s="80" t="s">
        <v>26</v>
      </c>
      <c r="V71" s="81" t="s">
        <v>1749</v>
      </c>
      <c r="W71" s="81" t="s">
        <v>1812</v>
      </c>
      <c r="X71" s="80" t="s">
        <v>2638</v>
      </c>
      <c r="Y71" s="80" t="s">
        <v>2695</v>
      </c>
      <c r="Z71" s="80" t="s">
        <v>2737</v>
      </c>
      <c r="AA71" s="80" t="s">
        <v>1405</v>
      </c>
      <c r="AB71" s="81" t="s">
        <v>2311</v>
      </c>
      <c r="AC71" s="81" t="s">
        <v>1565</v>
      </c>
      <c r="AD71" s="80" t="s">
        <v>1636</v>
      </c>
      <c r="AE71" s="81" t="s">
        <v>2001</v>
      </c>
      <c r="AF71" s="81" t="s">
        <v>1131</v>
      </c>
      <c r="AG71" s="81" t="s">
        <v>3513</v>
      </c>
      <c r="AH71" s="81" t="s">
        <v>3217</v>
      </c>
      <c r="AI71" s="81" t="s">
        <v>2396</v>
      </c>
      <c r="AJ71" s="81" t="s">
        <v>3365</v>
      </c>
      <c r="AK71" s="81" t="s">
        <v>2103</v>
      </c>
      <c r="AL71" s="81" t="s">
        <v>2149</v>
      </c>
      <c r="AM71" s="80" t="s">
        <v>3438</v>
      </c>
      <c r="AN71" s="81" t="s">
        <v>1072</v>
      </c>
      <c r="AO71" s="80" t="s">
        <v>3481</v>
      </c>
      <c r="AP71" s="84" t="s">
        <v>1853</v>
      </c>
      <c r="AQ71" s="80" t="s">
        <v>2176</v>
      </c>
      <c r="AR71" s="81" t="s">
        <v>1901</v>
      </c>
      <c r="AS71" s="81" t="s">
        <v>3592</v>
      </c>
      <c r="AT71" s="81" t="s">
        <v>2557</v>
      </c>
      <c r="AU71" s="81" t="s">
        <v>887</v>
      </c>
      <c r="AV71" s="81" t="s">
        <v>959</v>
      </c>
    </row>
    <row r="72" spans="1:48">
      <c r="A72" s="80">
        <v>71</v>
      </c>
      <c r="B72" s="80" t="s">
        <v>3106</v>
      </c>
      <c r="C72" s="80" t="s">
        <v>1063</v>
      </c>
      <c r="D72" s="80" t="s">
        <v>1474</v>
      </c>
      <c r="E72" s="81" t="s">
        <v>2770</v>
      </c>
      <c r="F72" s="80" t="s">
        <v>424</v>
      </c>
      <c r="G72" s="80" t="s">
        <v>467</v>
      </c>
      <c r="H72" s="81" t="s">
        <v>2463</v>
      </c>
      <c r="I72" s="81" t="s">
        <v>1717</v>
      </c>
      <c r="J72" s="80" t="s">
        <v>513</v>
      </c>
      <c r="K72" s="81" t="s">
        <v>240</v>
      </c>
      <c r="L72" s="80" t="s">
        <v>2351</v>
      </c>
      <c r="M72" s="80" t="s">
        <v>3106</v>
      </c>
      <c r="N72" s="81" t="s">
        <v>3659</v>
      </c>
      <c r="O72" s="81" t="s">
        <v>3697</v>
      </c>
      <c r="P72" s="81" t="s">
        <v>3784</v>
      </c>
      <c r="Q72" s="81" t="s">
        <v>3264</v>
      </c>
      <c r="R72" s="81" t="s">
        <v>3164</v>
      </c>
      <c r="S72" s="81" t="s">
        <v>2532</v>
      </c>
      <c r="T72" s="81" t="s">
        <v>1266</v>
      </c>
      <c r="U72" s="80" t="s">
        <v>27</v>
      </c>
      <c r="V72" s="81" t="s">
        <v>1750</v>
      </c>
      <c r="W72" s="81" t="s">
        <v>1813</v>
      </c>
      <c r="X72" s="80" t="s">
        <v>2639</v>
      </c>
      <c r="Y72" s="80" t="s">
        <v>2696</v>
      </c>
      <c r="Z72" s="80" t="s">
        <v>2738</v>
      </c>
      <c r="AA72" s="80" t="s">
        <v>1406</v>
      </c>
      <c r="AB72" s="81" t="s">
        <v>2312</v>
      </c>
      <c r="AC72" s="81" t="s">
        <v>1566</v>
      </c>
      <c r="AD72" s="80" t="s">
        <v>1637</v>
      </c>
      <c r="AE72" s="81" t="s">
        <v>2002</v>
      </c>
      <c r="AF72" s="81" t="s">
        <v>1132</v>
      </c>
      <c r="AG72" s="81" t="s">
        <v>3514</v>
      </c>
      <c r="AH72" s="81" t="s">
        <v>3218</v>
      </c>
      <c r="AI72" s="81" t="s">
        <v>2397</v>
      </c>
      <c r="AJ72" s="81" t="s">
        <v>3366</v>
      </c>
      <c r="AK72" s="81" t="s">
        <v>2104</v>
      </c>
      <c r="AL72" s="81" t="s">
        <v>2150</v>
      </c>
      <c r="AM72" s="80" t="s">
        <v>3439</v>
      </c>
      <c r="AN72" s="81" t="s">
        <v>1073</v>
      </c>
      <c r="AO72" s="80" t="s">
        <v>3482</v>
      </c>
      <c r="AP72" s="84" t="s">
        <v>1854</v>
      </c>
      <c r="AQ72" s="80" t="s">
        <v>2177</v>
      </c>
      <c r="AR72" s="81" t="s">
        <v>1902</v>
      </c>
      <c r="AS72" s="81" t="s">
        <v>3593</v>
      </c>
      <c r="AT72" s="81" t="s">
        <v>2558</v>
      </c>
      <c r="AU72" s="81" t="s">
        <v>888</v>
      </c>
      <c r="AV72" s="81" t="s">
        <v>960</v>
      </c>
    </row>
    <row r="73" spans="1:48">
      <c r="A73" s="80">
        <v>72</v>
      </c>
      <c r="B73" s="80" t="s">
        <v>3107</v>
      </c>
      <c r="C73" s="80" t="s">
        <v>2195</v>
      </c>
      <c r="D73" s="80" t="s">
        <v>1475</v>
      </c>
      <c r="E73" s="81" t="s">
        <v>2771</v>
      </c>
      <c r="F73" s="80" t="s">
        <v>425</v>
      </c>
      <c r="G73" s="80" t="s">
        <v>468</v>
      </c>
      <c r="H73" s="81" t="s">
        <v>4231</v>
      </c>
      <c r="I73" s="81" t="s">
        <v>1718</v>
      </c>
      <c r="J73" s="80" t="s">
        <v>514</v>
      </c>
      <c r="K73" s="81" t="s">
        <v>241</v>
      </c>
      <c r="L73" s="80" t="s">
        <v>2352</v>
      </c>
      <c r="M73" s="80" t="s">
        <v>3107</v>
      </c>
      <c r="N73" s="81" t="s">
        <v>557</v>
      </c>
      <c r="O73" s="81" t="s">
        <v>3698</v>
      </c>
      <c r="P73" s="80" t="s">
        <v>3785</v>
      </c>
      <c r="Q73" s="81" t="s">
        <v>3265</v>
      </c>
      <c r="R73" s="81" t="s">
        <v>2588</v>
      </c>
      <c r="S73" s="81" t="s">
        <v>2533</v>
      </c>
      <c r="T73" s="81" t="s">
        <v>1267</v>
      </c>
      <c r="U73" s="80" t="s">
        <v>28</v>
      </c>
      <c r="V73" s="81" t="s">
        <v>1751</v>
      </c>
      <c r="W73" s="81" t="s">
        <v>1814</v>
      </c>
      <c r="X73" s="80" t="s">
        <v>2640</v>
      </c>
      <c r="Y73" s="80" t="s">
        <v>2697</v>
      </c>
      <c r="Z73" s="80" t="s">
        <v>3107</v>
      </c>
      <c r="AA73" s="80" t="s">
        <v>1407</v>
      </c>
      <c r="AB73" s="81" t="s">
        <v>2313</v>
      </c>
      <c r="AC73" s="81" t="s">
        <v>1567</v>
      </c>
      <c r="AD73" s="80" t="s">
        <v>1638</v>
      </c>
      <c r="AE73" s="81" t="s">
        <v>2003</v>
      </c>
      <c r="AF73" s="81" t="s">
        <v>1133</v>
      </c>
      <c r="AG73" s="81" t="s">
        <v>3515</v>
      </c>
      <c r="AH73" s="81" t="s">
        <v>3219</v>
      </c>
      <c r="AI73" s="81" t="s">
        <v>2398</v>
      </c>
      <c r="AJ73" s="81" t="s">
        <v>3378</v>
      </c>
      <c r="AK73" s="81" t="s">
        <v>2105</v>
      </c>
      <c r="AL73" s="80" t="s">
        <v>3400</v>
      </c>
      <c r="AM73" s="80" t="s">
        <v>3440</v>
      </c>
      <c r="AN73" s="81" t="s">
        <v>1074</v>
      </c>
      <c r="AO73" s="80" t="s">
        <v>514</v>
      </c>
      <c r="AP73" s="84" t="s">
        <v>1855</v>
      </c>
      <c r="AQ73" s="80" t="s">
        <v>2178</v>
      </c>
      <c r="AR73" s="81" t="s">
        <v>1903</v>
      </c>
      <c r="AS73" s="81" t="s">
        <v>1350</v>
      </c>
      <c r="AT73" s="81" t="s">
        <v>3500</v>
      </c>
      <c r="AU73" s="81" t="s">
        <v>889</v>
      </c>
      <c r="AV73" s="81" t="s">
        <v>961</v>
      </c>
    </row>
    <row r="74" spans="1:48">
      <c r="A74" s="80">
        <v>73</v>
      </c>
      <c r="B74" s="80" t="s">
        <v>3108</v>
      </c>
      <c r="C74" s="80" t="s">
        <v>2196</v>
      </c>
      <c r="D74" s="80" t="s">
        <v>1476</v>
      </c>
      <c r="E74" s="81" t="s">
        <v>2772</v>
      </c>
      <c r="F74" s="80" t="s">
        <v>426</v>
      </c>
      <c r="G74" s="80" t="s">
        <v>469</v>
      </c>
      <c r="H74" s="81" t="s">
        <v>4232</v>
      </c>
      <c r="I74" s="81" t="s">
        <v>1719</v>
      </c>
      <c r="J74" s="80" t="s">
        <v>515</v>
      </c>
      <c r="K74" s="81" t="s">
        <v>242</v>
      </c>
      <c r="L74" s="80" t="s">
        <v>2353</v>
      </c>
      <c r="M74" s="80" t="s">
        <v>3108</v>
      </c>
      <c r="N74" s="81" t="s">
        <v>558</v>
      </c>
      <c r="O74" s="81" t="s">
        <v>3699</v>
      </c>
      <c r="P74" s="80" t="s">
        <v>3786</v>
      </c>
      <c r="Q74" s="81" t="s">
        <v>3266</v>
      </c>
      <c r="R74" s="81" t="s">
        <v>2589</v>
      </c>
      <c r="S74" s="81" t="s">
        <v>2534</v>
      </c>
      <c r="T74" s="81" t="s">
        <v>1268</v>
      </c>
      <c r="U74" s="80" t="s">
        <v>29</v>
      </c>
      <c r="V74" s="81" t="s">
        <v>1752</v>
      </c>
      <c r="W74" s="81" t="s">
        <v>1815</v>
      </c>
      <c r="X74" s="80" t="s">
        <v>2641</v>
      </c>
      <c r="Y74" s="80" t="s">
        <v>2698</v>
      </c>
      <c r="Z74" s="80" t="s">
        <v>3108</v>
      </c>
      <c r="AA74" s="80" t="s">
        <v>1408</v>
      </c>
      <c r="AB74" s="81" t="s">
        <v>2314</v>
      </c>
      <c r="AC74" s="81" t="s">
        <v>1568</v>
      </c>
      <c r="AD74" s="80" t="s">
        <v>1639</v>
      </c>
      <c r="AE74" s="81" t="s">
        <v>2004</v>
      </c>
      <c r="AF74" s="81" t="s">
        <v>1134</v>
      </c>
      <c r="AG74" s="81" t="s">
        <v>3516</v>
      </c>
      <c r="AH74" s="81" t="s">
        <v>3220</v>
      </c>
      <c r="AI74" s="81" t="s">
        <v>2399</v>
      </c>
      <c r="AJ74" s="81" t="s">
        <v>3379</v>
      </c>
      <c r="AK74" s="81" t="s">
        <v>2106</v>
      </c>
      <c r="AL74" s="80" t="s">
        <v>3401</v>
      </c>
      <c r="AM74" s="80" t="s">
        <v>3441</v>
      </c>
      <c r="AN74" s="81" t="s">
        <v>1075</v>
      </c>
      <c r="AO74" s="80" t="s">
        <v>515</v>
      </c>
      <c r="AP74" s="84" t="s">
        <v>1856</v>
      </c>
      <c r="AQ74" s="80" t="s">
        <v>2179</v>
      </c>
      <c r="AR74" s="81" t="s">
        <v>1904</v>
      </c>
      <c r="AS74" s="81" t="s">
        <v>1351</v>
      </c>
      <c r="AT74" s="81" t="s">
        <v>3501</v>
      </c>
      <c r="AU74" s="81" t="s">
        <v>890</v>
      </c>
      <c r="AV74" s="81" t="s">
        <v>962</v>
      </c>
    </row>
    <row r="75" spans="1:48">
      <c r="A75" s="80">
        <v>74</v>
      </c>
      <c r="B75" s="80" t="s">
        <v>3118</v>
      </c>
      <c r="C75" s="80" t="s">
        <v>2197</v>
      </c>
      <c r="D75" s="80" t="s">
        <v>1477</v>
      </c>
      <c r="E75" s="81" t="s">
        <v>2773</v>
      </c>
      <c r="F75" s="80" t="s">
        <v>427</v>
      </c>
      <c r="G75" s="80" t="s">
        <v>470</v>
      </c>
      <c r="H75" s="81" t="s">
        <v>4233</v>
      </c>
      <c r="I75" s="81" t="s">
        <v>1720</v>
      </c>
      <c r="J75" s="80" t="s">
        <v>516</v>
      </c>
      <c r="K75" s="81" t="s">
        <v>243</v>
      </c>
      <c r="L75" s="80" t="s">
        <v>2354</v>
      </c>
      <c r="M75" s="80" t="s">
        <v>3118</v>
      </c>
      <c r="N75" s="81" t="s">
        <v>559</v>
      </c>
      <c r="O75" s="81" t="s">
        <v>3700</v>
      </c>
      <c r="P75" s="80" t="s">
        <v>3787</v>
      </c>
      <c r="Q75" s="81" t="s">
        <v>3267</v>
      </c>
      <c r="R75" s="81" t="s">
        <v>2590</v>
      </c>
      <c r="S75" s="81" t="s">
        <v>2535</v>
      </c>
      <c r="T75" s="81" t="s">
        <v>1269</v>
      </c>
      <c r="U75" s="80" t="s">
        <v>30</v>
      </c>
      <c r="V75" s="81" t="s">
        <v>1753</v>
      </c>
      <c r="W75" s="81" t="s">
        <v>1816</v>
      </c>
      <c r="X75" s="80" t="s">
        <v>2642</v>
      </c>
      <c r="Y75" s="80" t="s">
        <v>2699</v>
      </c>
      <c r="Z75" s="80" t="s">
        <v>3118</v>
      </c>
      <c r="AA75" s="80" t="s">
        <v>1409</v>
      </c>
      <c r="AB75" s="81" t="s">
        <v>2315</v>
      </c>
      <c r="AC75" s="81" t="s">
        <v>1569</v>
      </c>
      <c r="AD75" s="80" t="s">
        <v>1640</v>
      </c>
      <c r="AE75" s="81" t="s">
        <v>2005</v>
      </c>
      <c r="AF75" s="81" t="s">
        <v>1135</v>
      </c>
      <c r="AG75" s="81" t="s">
        <v>3517</v>
      </c>
      <c r="AH75" s="81" t="s">
        <v>3221</v>
      </c>
      <c r="AI75" s="81" t="s">
        <v>2400</v>
      </c>
      <c r="AJ75" s="81" t="s">
        <v>3380</v>
      </c>
      <c r="AK75" s="81" t="s">
        <v>2107</v>
      </c>
      <c r="AL75" s="80" t="s">
        <v>3402</v>
      </c>
      <c r="AM75" s="80" t="s">
        <v>3442</v>
      </c>
      <c r="AN75" s="81" t="s">
        <v>1076</v>
      </c>
      <c r="AO75" s="80" t="s">
        <v>516</v>
      </c>
      <c r="AP75" s="84" t="s">
        <v>1857</v>
      </c>
      <c r="AQ75" s="80" t="s">
        <v>2180</v>
      </c>
      <c r="AR75" s="81" t="s">
        <v>1905</v>
      </c>
      <c r="AS75" s="81" t="s">
        <v>1352</v>
      </c>
      <c r="AT75" s="81" t="s">
        <v>3502</v>
      </c>
      <c r="AU75" s="81" t="s">
        <v>891</v>
      </c>
      <c r="AV75" s="81" t="s">
        <v>963</v>
      </c>
    </row>
    <row r="76" spans="1:48">
      <c r="A76" s="80">
        <v>75</v>
      </c>
      <c r="B76" s="80" t="s">
        <v>3109</v>
      </c>
      <c r="C76" s="80" t="s">
        <v>2198</v>
      </c>
      <c r="D76" s="80" t="s">
        <v>1478</v>
      </c>
      <c r="E76" s="81" t="s">
        <v>2774</v>
      </c>
      <c r="F76" s="80" t="s">
        <v>428</v>
      </c>
      <c r="G76" s="80" t="s">
        <v>471</v>
      </c>
      <c r="H76" s="81" t="s">
        <v>4234</v>
      </c>
      <c r="I76" s="81" t="s">
        <v>1721</v>
      </c>
      <c r="J76" s="80" t="s">
        <v>517</v>
      </c>
      <c r="K76" s="81" t="s">
        <v>244</v>
      </c>
      <c r="L76" s="80" t="s">
        <v>2355</v>
      </c>
      <c r="M76" s="80" t="s">
        <v>3109</v>
      </c>
      <c r="N76" s="81" t="s">
        <v>560</v>
      </c>
      <c r="O76" s="81" t="s">
        <v>3701</v>
      </c>
      <c r="P76" s="80" t="s">
        <v>3788</v>
      </c>
      <c r="Q76" s="81" t="s">
        <v>3268</v>
      </c>
      <c r="R76" s="81" t="s">
        <v>2591</v>
      </c>
      <c r="S76" s="81" t="s">
        <v>2536</v>
      </c>
      <c r="T76" s="81" t="s">
        <v>1270</v>
      </c>
      <c r="U76" s="80" t="s">
        <v>31</v>
      </c>
      <c r="V76" s="81" t="s">
        <v>1754</v>
      </c>
      <c r="W76" s="81" t="s">
        <v>1817</v>
      </c>
      <c r="X76" s="80" t="s">
        <v>2643</v>
      </c>
      <c r="Y76" s="80" t="s">
        <v>2700</v>
      </c>
      <c r="Z76" s="80" t="s">
        <v>3109</v>
      </c>
      <c r="AA76" s="80" t="s">
        <v>1410</v>
      </c>
      <c r="AB76" s="81" t="s">
        <v>2316</v>
      </c>
      <c r="AC76" s="81" t="s">
        <v>1570</v>
      </c>
      <c r="AD76" s="80" t="s">
        <v>1641</v>
      </c>
      <c r="AE76" s="81" t="s">
        <v>2006</v>
      </c>
      <c r="AF76" s="81" t="s">
        <v>1136</v>
      </c>
      <c r="AG76" s="81" t="s">
        <v>3518</v>
      </c>
      <c r="AH76" s="81" t="s">
        <v>3222</v>
      </c>
      <c r="AI76" s="81" t="s">
        <v>2401</v>
      </c>
      <c r="AJ76" s="81" t="s">
        <v>3381</v>
      </c>
      <c r="AK76" s="81" t="s">
        <v>2108</v>
      </c>
      <c r="AL76" s="80" t="s">
        <v>3403</v>
      </c>
      <c r="AM76" s="80" t="s">
        <v>3443</v>
      </c>
      <c r="AN76" s="81" t="s">
        <v>1077</v>
      </c>
      <c r="AO76" s="80" t="s">
        <v>517</v>
      </c>
      <c r="AP76" s="84" t="s">
        <v>1858</v>
      </c>
      <c r="AQ76" s="80" t="s">
        <v>2181</v>
      </c>
      <c r="AR76" s="81" t="s">
        <v>1906</v>
      </c>
      <c r="AS76" s="81" t="s">
        <v>1353</v>
      </c>
      <c r="AT76" s="81" t="s">
        <v>3503</v>
      </c>
      <c r="AU76" s="81" t="s">
        <v>892</v>
      </c>
      <c r="AV76" s="81" t="s">
        <v>964</v>
      </c>
    </row>
    <row r="77" spans="1:48">
      <c r="A77" s="80">
        <v>76</v>
      </c>
      <c r="B77" s="80" t="s">
        <v>3110</v>
      </c>
      <c r="C77" s="80" t="s">
        <v>2199</v>
      </c>
      <c r="D77" s="80" t="s">
        <v>1479</v>
      </c>
      <c r="E77" s="81" t="s">
        <v>2775</v>
      </c>
      <c r="F77" s="80" t="s">
        <v>429</v>
      </c>
      <c r="G77" s="80" t="s">
        <v>472</v>
      </c>
      <c r="H77" s="81" t="s">
        <v>4235</v>
      </c>
      <c r="I77" s="81" t="s">
        <v>1722</v>
      </c>
      <c r="J77" s="80" t="s">
        <v>518</v>
      </c>
      <c r="K77" s="81" t="s">
        <v>245</v>
      </c>
      <c r="L77" s="80" t="s">
        <v>2356</v>
      </c>
      <c r="M77" s="80" t="s">
        <v>3110</v>
      </c>
      <c r="N77" s="81" t="s">
        <v>561</v>
      </c>
      <c r="O77" s="81" t="s">
        <v>3702</v>
      </c>
      <c r="P77" s="80" t="s">
        <v>3789</v>
      </c>
      <c r="Q77" s="81" t="s">
        <v>3269</v>
      </c>
      <c r="R77" s="81" t="s">
        <v>2592</v>
      </c>
      <c r="S77" s="81" t="s">
        <v>2537</v>
      </c>
      <c r="T77" s="81" t="s">
        <v>1271</v>
      </c>
      <c r="U77" s="80" t="s">
        <v>32</v>
      </c>
      <c r="V77" s="81" t="s">
        <v>1755</v>
      </c>
      <c r="W77" s="81" t="s">
        <v>1818</v>
      </c>
      <c r="X77" s="80" t="s">
        <v>2644</v>
      </c>
      <c r="Y77" s="80" t="s">
        <v>2701</v>
      </c>
      <c r="Z77" s="80" t="s">
        <v>3110</v>
      </c>
      <c r="AA77" s="80" t="s">
        <v>1411</v>
      </c>
      <c r="AB77" s="81" t="s">
        <v>2317</v>
      </c>
      <c r="AC77" s="81" t="s">
        <v>1571</v>
      </c>
      <c r="AD77" s="80" t="s">
        <v>1642</v>
      </c>
      <c r="AE77" s="81" t="s">
        <v>2007</v>
      </c>
      <c r="AF77" s="81" t="s">
        <v>1137</v>
      </c>
      <c r="AG77" s="81" t="s">
        <v>3519</v>
      </c>
      <c r="AH77" s="81" t="s">
        <v>3223</v>
      </c>
      <c r="AI77" s="81" t="s">
        <v>2402</v>
      </c>
      <c r="AJ77" s="81" t="s">
        <v>3367</v>
      </c>
      <c r="AK77" s="81" t="s">
        <v>2109</v>
      </c>
      <c r="AL77" s="80" t="s">
        <v>3404</v>
      </c>
      <c r="AM77" s="80" t="s">
        <v>3444</v>
      </c>
      <c r="AN77" s="81" t="s">
        <v>1078</v>
      </c>
      <c r="AO77" s="80" t="s">
        <v>518</v>
      </c>
      <c r="AP77" s="84" t="s">
        <v>1859</v>
      </c>
      <c r="AQ77" s="80" t="s">
        <v>2182</v>
      </c>
      <c r="AR77" s="81" t="s">
        <v>1907</v>
      </c>
      <c r="AS77" s="81" t="s">
        <v>1354</v>
      </c>
      <c r="AT77" s="81" t="s">
        <v>3504</v>
      </c>
      <c r="AU77" s="81" t="s">
        <v>893</v>
      </c>
      <c r="AV77" s="81" t="s">
        <v>965</v>
      </c>
    </row>
    <row r="78" spans="1:48">
      <c r="A78" s="80">
        <v>77</v>
      </c>
      <c r="B78" s="80" t="s">
        <v>3111</v>
      </c>
      <c r="C78" s="80" t="s">
        <v>2200</v>
      </c>
      <c r="D78" s="80" t="s">
        <v>1480</v>
      </c>
      <c r="E78" s="81" t="s">
        <v>2776</v>
      </c>
      <c r="F78" s="80" t="s">
        <v>430</v>
      </c>
      <c r="G78" s="80" t="s">
        <v>473</v>
      </c>
      <c r="H78" s="81" t="s">
        <v>4236</v>
      </c>
      <c r="I78" s="81" t="s">
        <v>1723</v>
      </c>
      <c r="J78" s="80" t="s">
        <v>519</v>
      </c>
      <c r="K78" s="81" t="s">
        <v>246</v>
      </c>
      <c r="L78" s="80" t="s">
        <v>2357</v>
      </c>
      <c r="M78" s="80" t="s">
        <v>3111</v>
      </c>
      <c r="N78" s="81" t="s">
        <v>562</v>
      </c>
      <c r="O78" s="81" t="s">
        <v>3703</v>
      </c>
      <c r="P78" s="80" t="s">
        <v>1910</v>
      </c>
      <c r="Q78" s="81" t="s">
        <v>3270</v>
      </c>
      <c r="R78" s="81" t="s">
        <v>2593</v>
      </c>
      <c r="S78" s="81" t="s">
        <v>2538</v>
      </c>
      <c r="T78" s="81" t="s">
        <v>1272</v>
      </c>
      <c r="U78" s="80" t="s">
        <v>33</v>
      </c>
      <c r="V78" s="81" t="s">
        <v>1756</v>
      </c>
      <c r="W78" s="81" t="s">
        <v>1819</v>
      </c>
      <c r="X78" s="80" t="s">
        <v>2645</v>
      </c>
      <c r="Y78" s="80" t="s">
        <v>2702</v>
      </c>
      <c r="Z78" s="80" t="s">
        <v>3111</v>
      </c>
      <c r="AA78" s="80" t="s">
        <v>1412</v>
      </c>
      <c r="AB78" s="81" t="s">
        <v>2318</v>
      </c>
      <c r="AC78" s="81" t="s">
        <v>1572</v>
      </c>
      <c r="AD78" s="80" t="s">
        <v>1643</v>
      </c>
      <c r="AE78" s="81" t="s">
        <v>2008</v>
      </c>
      <c r="AF78" s="81" t="s">
        <v>1138</v>
      </c>
      <c r="AG78" s="81" t="s">
        <v>3520</v>
      </c>
      <c r="AH78" s="81" t="s">
        <v>3224</v>
      </c>
      <c r="AI78" s="81" t="s">
        <v>2403</v>
      </c>
      <c r="AJ78" s="81" t="s">
        <v>3368</v>
      </c>
      <c r="AK78" s="81" t="s">
        <v>2110</v>
      </c>
      <c r="AL78" s="80" t="s">
        <v>3405</v>
      </c>
      <c r="AM78" s="80" t="s">
        <v>3445</v>
      </c>
      <c r="AN78" s="81" t="s">
        <v>1079</v>
      </c>
      <c r="AO78" s="80" t="s">
        <v>519</v>
      </c>
      <c r="AP78" s="84" t="s">
        <v>1860</v>
      </c>
      <c r="AQ78" s="80" t="s">
        <v>2183</v>
      </c>
      <c r="AR78" s="81" t="s">
        <v>1908</v>
      </c>
      <c r="AS78" s="81" t="s">
        <v>1355</v>
      </c>
      <c r="AT78" s="81" t="s">
        <v>3505</v>
      </c>
      <c r="AU78" s="81" t="s">
        <v>894</v>
      </c>
      <c r="AV78" s="81" t="s">
        <v>966</v>
      </c>
    </row>
    <row r="79" spans="1:48">
      <c r="A79" s="80">
        <v>78</v>
      </c>
      <c r="B79" s="80" t="s">
        <v>3117</v>
      </c>
      <c r="C79" s="80" t="s">
        <v>2201</v>
      </c>
      <c r="D79" s="80" t="s">
        <v>1481</v>
      </c>
      <c r="E79" s="81" t="s">
        <v>2777</v>
      </c>
      <c r="F79" s="80" t="s">
        <v>431</v>
      </c>
      <c r="G79" s="80" t="s">
        <v>474</v>
      </c>
      <c r="H79" s="81" t="s">
        <v>4237</v>
      </c>
      <c r="I79" s="81" t="s">
        <v>1724</v>
      </c>
      <c r="J79" s="80" t="s">
        <v>520</v>
      </c>
      <c r="K79" s="81" t="s">
        <v>247</v>
      </c>
      <c r="L79" s="80" t="s">
        <v>2358</v>
      </c>
      <c r="M79" s="80" t="s">
        <v>3117</v>
      </c>
      <c r="N79" s="81" t="s">
        <v>563</v>
      </c>
      <c r="O79" s="81" t="s">
        <v>3704</v>
      </c>
      <c r="P79" s="80" t="s">
        <v>1911</v>
      </c>
      <c r="Q79" s="81" t="s">
        <v>3271</v>
      </c>
      <c r="R79" s="81" t="s">
        <v>2594</v>
      </c>
      <c r="S79" s="81" t="s">
        <v>2539</v>
      </c>
      <c r="T79" s="81" t="s">
        <v>1273</v>
      </c>
      <c r="U79" s="80" t="s">
        <v>34</v>
      </c>
      <c r="V79" s="81" t="s">
        <v>1757</v>
      </c>
      <c r="W79" s="81" t="s">
        <v>1820</v>
      </c>
      <c r="X79" s="80" t="s">
        <v>2646</v>
      </c>
      <c r="Y79" s="80" t="s">
        <v>2703</v>
      </c>
      <c r="Z79" s="80" t="s">
        <v>3117</v>
      </c>
      <c r="AA79" s="80" t="s">
        <v>1413</v>
      </c>
      <c r="AB79" s="81" t="s">
        <v>2319</v>
      </c>
      <c r="AC79" s="81" t="s">
        <v>1573</v>
      </c>
      <c r="AD79" s="80" t="s">
        <v>1644</v>
      </c>
      <c r="AE79" s="81" t="s">
        <v>2009</v>
      </c>
      <c r="AF79" s="81" t="s">
        <v>1139</v>
      </c>
      <c r="AG79" s="81" t="s">
        <v>3521</v>
      </c>
      <c r="AH79" s="81" t="s">
        <v>3225</v>
      </c>
      <c r="AI79" s="81" t="s">
        <v>2404</v>
      </c>
      <c r="AJ79" s="81" t="s">
        <v>3369</v>
      </c>
      <c r="AK79" s="81" t="s">
        <v>2111</v>
      </c>
      <c r="AL79" s="80" t="s">
        <v>3406</v>
      </c>
      <c r="AM79" s="80" t="s">
        <v>3446</v>
      </c>
      <c r="AN79" s="81" t="s">
        <v>1080</v>
      </c>
      <c r="AO79" s="80" t="s">
        <v>520</v>
      </c>
      <c r="AP79" s="84" t="s">
        <v>1861</v>
      </c>
      <c r="AQ79" s="80" t="s">
        <v>2184</v>
      </c>
      <c r="AR79" s="81" t="s">
        <v>1909</v>
      </c>
      <c r="AS79" s="81" t="s">
        <v>1356</v>
      </c>
      <c r="AT79" s="81" t="s">
        <v>3506</v>
      </c>
      <c r="AU79" s="81" t="s">
        <v>895</v>
      </c>
      <c r="AV79" s="81" t="s">
        <v>967</v>
      </c>
    </row>
    <row r="80" spans="1:48">
      <c r="A80" s="80">
        <v>79</v>
      </c>
      <c r="B80" s="80" t="s">
        <v>3116</v>
      </c>
      <c r="C80" s="80" t="s">
        <v>2202</v>
      </c>
      <c r="D80" s="80" t="s">
        <v>1482</v>
      </c>
      <c r="E80" s="81" t="s">
        <v>2778</v>
      </c>
      <c r="F80" s="80" t="s">
        <v>432</v>
      </c>
      <c r="G80" s="80" t="s">
        <v>475</v>
      </c>
      <c r="H80" s="81" t="s">
        <v>4238</v>
      </c>
      <c r="I80" s="81" t="s">
        <v>1725</v>
      </c>
      <c r="J80" s="80" t="s">
        <v>521</v>
      </c>
      <c r="K80" s="81" t="s">
        <v>248</v>
      </c>
      <c r="L80" s="80" t="s">
        <v>2359</v>
      </c>
      <c r="M80" s="80" t="s">
        <v>3116</v>
      </c>
      <c r="N80" s="81" t="s">
        <v>2567</v>
      </c>
      <c r="O80" s="81" t="s">
        <v>3705</v>
      </c>
      <c r="P80" s="80" t="s">
        <v>1912</v>
      </c>
      <c r="Q80" s="81" t="s">
        <v>3272</v>
      </c>
      <c r="R80" s="81" t="s">
        <v>2595</v>
      </c>
      <c r="S80" s="81" t="s">
        <v>2540</v>
      </c>
      <c r="T80" s="81" t="s">
        <v>1274</v>
      </c>
      <c r="U80" s="80" t="s">
        <v>35</v>
      </c>
      <c r="V80" s="81" t="s">
        <v>1758</v>
      </c>
      <c r="W80" s="81" t="s">
        <v>1821</v>
      </c>
      <c r="X80" s="80" t="s">
        <v>2647</v>
      </c>
      <c r="Y80" s="80" t="s">
        <v>2704</v>
      </c>
      <c r="Z80" s="80" t="s">
        <v>3116</v>
      </c>
      <c r="AA80" s="80" t="s">
        <v>1414</v>
      </c>
      <c r="AB80" s="81" t="s">
        <v>2320</v>
      </c>
      <c r="AC80" s="81" t="s">
        <v>1574</v>
      </c>
      <c r="AD80" s="80" t="s">
        <v>1645</v>
      </c>
      <c r="AE80" s="81" t="s">
        <v>2010</v>
      </c>
      <c r="AF80" s="81" t="s">
        <v>1140</v>
      </c>
      <c r="AG80" s="81" t="s">
        <v>3522</v>
      </c>
      <c r="AH80" s="81" t="s">
        <v>3226</v>
      </c>
      <c r="AI80" s="81" t="s">
        <v>2405</v>
      </c>
      <c r="AJ80" s="81" t="s">
        <v>3370</v>
      </c>
      <c r="AK80" s="81" t="s">
        <v>2112</v>
      </c>
      <c r="AL80" s="80" t="s">
        <v>3407</v>
      </c>
      <c r="AM80" s="80" t="s">
        <v>3447</v>
      </c>
      <c r="AN80" s="81" t="s">
        <v>1081</v>
      </c>
      <c r="AO80" s="80" t="s">
        <v>521</v>
      </c>
      <c r="AP80" s="84" t="s">
        <v>1862</v>
      </c>
      <c r="AQ80" s="80" t="s">
        <v>2185</v>
      </c>
      <c r="AR80" s="81" t="s">
        <v>3314</v>
      </c>
      <c r="AS80" s="81" t="s">
        <v>1357</v>
      </c>
      <c r="AT80" s="81" t="s">
        <v>3507</v>
      </c>
      <c r="AU80" s="81" t="s">
        <v>896</v>
      </c>
      <c r="AV80" s="81" t="s">
        <v>968</v>
      </c>
    </row>
    <row r="81" spans="1:48">
      <c r="A81" s="80">
        <v>80</v>
      </c>
      <c r="B81" s="80" t="s">
        <v>3112</v>
      </c>
      <c r="C81" s="80" t="s">
        <v>2203</v>
      </c>
      <c r="D81" s="80" t="s">
        <v>1483</v>
      </c>
      <c r="E81" s="81" t="s">
        <v>2779</v>
      </c>
      <c r="F81" s="80" t="s">
        <v>433</v>
      </c>
      <c r="G81" s="80" t="s">
        <v>476</v>
      </c>
      <c r="H81" s="81" t="s">
        <v>4239</v>
      </c>
      <c r="I81" s="81" t="s">
        <v>1726</v>
      </c>
      <c r="J81" s="80" t="s">
        <v>522</v>
      </c>
      <c r="K81" s="81" t="s">
        <v>249</v>
      </c>
      <c r="L81" s="80" t="s">
        <v>2360</v>
      </c>
      <c r="M81" s="80" t="s">
        <v>3112</v>
      </c>
      <c r="N81" s="81" t="s">
        <v>2568</v>
      </c>
      <c r="O81" s="81" t="s">
        <v>3706</v>
      </c>
      <c r="P81" s="80" t="s">
        <v>1913</v>
      </c>
      <c r="Q81" s="81" t="s">
        <v>3273</v>
      </c>
      <c r="R81" s="81" t="s">
        <v>2596</v>
      </c>
      <c r="S81" s="81" t="s">
        <v>2541</v>
      </c>
      <c r="T81" s="81" t="s">
        <v>1275</v>
      </c>
      <c r="U81" s="80" t="s">
        <v>36</v>
      </c>
      <c r="V81" s="81" t="s">
        <v>1759</v>
      </c>
      <c r="W81" s="81" t="s">
        <v>1822</v>
      </c>
      <c r="X81" s="80" t="s">
        <v>2648</v>
      </c>
      <c r="Y81" s="80" t="s">
        <v>2705</v>
      </c>
      <c r="Z81" s="80" t="s">
        <v>3112</v>
      </c>
      <c r="AA81" s="80" t="s">
        <v>1415</v>
      </c>
      <c r="AB81" s="81" t="s">
        <v>2321</v>
      </c>
      <c r="AC81" s="81" t="s">
        <v>1575</v>
      </c>
      <c r="AD81" s="80" t="s">
        <v>1646</v>
      </c>
      <c r="AE81" s="81" t="s">
        <v>2011</v>
      </c>
      <c r="AF81" s="81" t="s">
        <v>1141</v>
      </c>
      <c r="AG81" s="81" t="s">
        <v>3523</v>
      </c>
      <c r="AH81" s="81" t="s">
        <v>3227</v>
      </c>
      <c r="AI81" s="81" t="s">
        <v>2406</v>
      </c>
      <c r="AJ81" s="81" t="s">
        <v>3371</v>
      </c>
      <c r="AK81" s="81" t="s">
        <v>2113</v>
      </c>
      <c r="AL81" s="80" t="s">
        <v>3408</v>
      </c>
      <c r="AM81" s="80" t="s">
        <v>3448</v>
      </c>
      <c r="AN81" s="81" t="s">
        <v>1082</v>
      </c>
      <c r="AO81" s="80" t="s">
        <v>522</v>
      </c>
      <c r="AP81" s="84" t="s">
        <v>1863</v>
      </c>
      <c r="AQ81" s="80" t="s">
        <v>2186</v>
      </c>
      <c r="AR81" s="81" t="s">
        <v>3315</v>
      </c>
      <c r="AS81" s="81" t="s">
        <v>1358</v>
      </c>
      <c r="AT81" s="81" t="s">
        <v>3508</v>
      </c>
      <c r="AU81" s="81" t="s">
        <v>897</v>
      </c>
      <c r="AV81" s="81" t="s">
        <v>969</v>
      </c>
    </row>
    <row r="82" spans="1:48">
      <c r="A82" s="80">
        <v>81</v>
      </c>
      <c r="B82" s="80" t="s">
        <v>3113</v>
      </c>
      <c r="C82" s="80" t="s">
        <v>2204</v>
      </c>
      <c r="D82" s="80" t="s">
        <v>1484</v>
      </c>
      <c r="E82" s="81" t="s">
        <v>2780</v>
      </c>
      <c r="F82" s="80" t="s">
        <v>434</v>
      </c>
      <c r="G82" s="80" t="s">
        <v>477</v>
      </c>
      <c r="H82" s="81" t="s">
        <v>4240</v>
      </c>
      <c r="I82" s="81" t="s">
        <v>1727</v>
      </c>
      <c r="J82" s="80" t="s">
        <v>523</v>
      </c>
      <c r="K82" s="81" t="s">
        <v>250</v>
      </c>
      <c r="L82" s="80" t="s">
        <v>2361</v>
      </c>
      <c r="M82" s="80" t="s">
        <v>3113</v>
      </c>
      <c r="N82" s="81" t="s">
        <v>2569</v>
      </c>
      <c r="O82" s="81" t="s">
        <v>3707</v>
      </c>
      <c r="P82" s="80" t="s">
        <v>1914</v>
      </c>
      <c r="Q82" s="81" t="s">
        <v>3274</v>
      </c>
      <c r="R82" s="81" t="s">
        <v>2597</v>
      </c>
      <c r="S82" s="81" t="s">
        <v>2542</v>
      </c>
      <c r="T82" s="81" t="s">
        <v>1276</v>
      </c>
      <c r="U82" s="80" t="s">
        <v>37</v>
      </c>
      <c r="V82" s="81" t="s">
        <v>1760</v>
      </c>
      <c r="W82" s="81" t="s">
        <v>1823</v>
      </c>
      <c r="X82" s="80" t="s">
        <v>2649</v>
      </c>
      <c r="Y82" s="80" t="s">
        <v>2706</v>
      </c>
      <c r="Z82" s="80" t="s">
        <v>3113</v>
      </c>
      <c r="AA82" s="80" t="s">
        <v>1416</v>
      </c>
      <c r="AB82" s="81" t="s">
        <v>2322</v>
      </c>
      <c r="AC82" s="81" t="s">
        <v>1576</v>
      </c>
      <c r="AD82" s="80" t="s">
        <v>1647</v>
      </c>
      <c r="AE82" s="81" t="s">
        <v>2012</v>
      </c>
      <c r="AF82" s="81" t="s">
        <v>1142</v>
      </c>
      <c r="AG82" s="81" t="s">
        <v>3524</v>
      </c>
      <c r="AH82" s="81" t="s">
        <v>3228</v>
      </c>
      <c r="AI82" s="81" t="s">
        <v>2407</v>
      </c>
      <c r="AJ82" s="81" t="s">
        <v>3372</v>
      </c>
      <c r="AK82" s="81" t="s">
        <v>2114</v>
      </c>
      <c r="AL82" s="80" t="s">
        <v>3409</v>
      </c>
      <c r="AM82" s="80" t="s">
        <v>3449</v>
      </c>
      <c r="AN82" s="81" t="s">
        <v>1083</v>
      </c>
      <c r="AO82" s="80" t="s">
        <v>523</v>
      </c>
      <c r="AP82" s="84" t="s">
        <v>1864</v>
      </c>
      <c r="AQ82" s="80" t="s">
        <v>2187</v>
      </c>
      <c r="AR82" s="81" t="s">
        <v>3316</v>
      </c>
      <c r="AS82" s="81" t="s">
        <v>1359</v>
      </c>
      <c r="AT82" s="81" t="s">
        <v>3509</v>
      </c>
      <c r="AU82" s="81" t="s">
        <v>898</v>
      </c>
      <c r="AV82" s="81" t="s">
        <v>970</v>
      </c>
    </row>
    <row r="83" spans="1:48">
      <c r="A83" s="80">
        <v>82</v>
      </c>
      <c r="B83" s="80" t="s">
        <v>3114</v>
      </c>
      <c r="C83" s="80" t="s">
        <v>2205</v>
      </c>
      <c r="D83" s="80" t="s">
        <v>1485</v>
      </c>
      <c r="E83" s="81" t="s">
        <v>2781</v>
      </c>
      <c r="F83" s="80" t="s">
        <v>435</v>
      </c>
      <c r="G83" s="80" t="s">
        <v>478</v>
      </c>
      <c r="H83" s="81" t="s">
        <v>4241</v>
      </c>
      <c r="I83" s="81" t="s">
        <v>1728</v>
      </c>
      <c r="J83" s="80" t="s">
        <v>524</v>
      </c>
      <c r="K83" s="81" t="s">
        <v>251</v>
      </c>
      <c r="L83" s="80" t="s">
        <v>2362</v>
      </c>
      <c r="M83" s="80" t="s">
        <v>3114</v>
      </c>
      <c r="N83" s="81" t="s">
        <v>2570</v>
      </c>
      <c r="O83" s="81" t="s">
        <v>3708</v>
      </c>
      <c r="P83" s="80" t="s">
        <v>1915</v>
      </c>
      <c r="Q83" s="81" t="s">
        <v>3275</v>
      </c>
      <c r="R83" s="81" t="s">
        <v>2598</v>
      </c>
      <c r="S83" s="81" t="s">
        <v>2543</v>
      </c>
      <c r="T83" s="81" t="s">
        <v>1277</v>
      </c>
      <c r="U83" s="80" t="s">
        <v>38</v>
      </c>
      <c r="V83" s="81" t="s">
        <v>1761</v>
      </c>
      <c r="W83" s="81" t="s">
        <v>1824</v>
      </c>
      <c r="X83" s="80" t="s">
        <v>2650</v>
      </c>
      <c r="Y83" s="80" t="s">
        <v>2707</v>
      </c>
      <c r="Z83" s="80" t="s">
        <v>3114</v>
      </c>
      <c r="AA83" s="80" t="s">
        <v>1417</v>
      </c>
      <c r="AB83" s="81" t="s">
        <v>2323</v>
      </c>
      <c r="AC83" s="81" t="s">
        <v>1577</v>
      </c>
      <c r="AD83" s="80" t="s">
        <v>1648</v>
      </c>
      <c r="AE83" s="81" t="s">
        <v>2013</v>
      </c>
      <c r="AF83" s="81" t="s">
        <v>1143</v>
      </c>
      <c r="AG83" s="81" t="s">
        <v>3525</v>
      </c>
      <c r="AH83" s="81" t="s">
        <v>3229</v>
      </c>
      <c r="AI83" s="81" t="s">
        <v>2408</v>
      </c>
      <c r="AJ83" s="81" t="s">
        <v>3373</v>
      </c>
      <c r="AK83" s="81" t="s">
        <v>2115</v>
      </c>
      <c r="AL83" s="80" t="s">
        <v>3410</v>
      </c>
      <c r="AM83" s="80" t="s">
        <v>3450</v>
      </c>
      <c r="AN83" s="81" t="s">
        <v>1084</v>
      </c>
      <c r="AO83" s="80" t="s">
        <v>524</v>
      </c>
      <c r="AP83" s="84" t="s">
        <v>1865</v>
      </c>
      <c r="AQ83" s="80" t="s">
        <v>2188</v>
      </c>
      <c r="AR83" s="81" t="s">
        <v>3317</v>
      </c>
      <c r="AS83" s="81" t="s">
        <v>1360</v>
      </c>
      <c r="AT83" s="81" t="s">
        <v>3510</v>
      </c>
      <c r="AU83" s="81" t="s">
        <v>899</v>
      </c>
      <c r="AV83" s="81" t="s">
        <v>971</v>
      </c>
    </row>
    <row r="84" spans="1:48">
      <c r="A84" s="80">
        <v>83</v>
      </c>
      <c r="B84" s="80" t="s">
        <v>3115</v>
      </c>
      <c r="C84" s="80" t="s">
        <v>2206</v>
      </c>
      <c r="D84" s="80" t="s">
        <v>1486</v>
      </c>
      <c r="E84" s="81" t="s">
        <v>2782</v>
      </c>
      <c r="F84" s="80" t="s">
        <v>436</v>
      </c>
      <c r="G84" s="80" t="s">
        <v>479</v>
      </c>
      <c r="H84" s="81" t="s">
        <v>4242</v>
      </c>
      <c r="I84" s="81" t="s">
        <v>1729</v>
      </c>
      <c r="J84" s="80" t="s">
        <v>525</v>
      </c>
      <c r="K84" s="81" t="s">
        <v>252</v>
      </c>
      <c r="L84" s="80" t="s">
        <v>2363</v>
      </c>
      <c r="M84" s="80" t="s">
        <v>3115</v>
      </c>
      <c r="N84" s="81" t="s">
        <v>2571</v>
      </c>
      <c r="O84" s="81" t="s">
        <v>3709</v>
      </c>
      <c r="P84" s="80" t="s">
        <v>1916</v>
      </c>
      <c r="Q84" s="81" t="s">
        <v>3276</v>
      </c>
      <c r="R84" s="81" t="s">
        <v>2599</v>
      </c>
      <c r="S84" s="81" t="s">
        <v>2544</v>
      </c>
      <c r="T84" s="81" t="s">
        <v>1278</v>
      </c>
      <c r="U84" s="80" t="s">
        <v>39</v>
      </c>
      <c r="V84" s="81" t="s">
        <v>1762</v>
      </c>
      <c r="W84" s="81" t="s">
        <v>1825</v>
      </c>
      <c r="X84" s="80" t="s">
        <v>2651</v>
      </c>
      <c r="Y84" s="80" t="s">
        <v>2708</v>
      </c>
      <c r="Z84" s="80" t="s">
        <v>3115</v>
      </c>
      <c r="AA84" s="80" t="s">
        <v>1418</v>
      </c>
      <c r="AB84" s="81" t="s">
        <v>2324</v>
      </c>
      <c r="AC84" s="81" t="s">
        <v>1578</v>
      </c>
      <c r="AD84" s="80" t="s">
        <v>1649</v>
      </c>
      <c r="AE84" s="81" t="s">
        <v>2014</v>
      </c>
      <c r="AF84" s="81" t="s">
        <v>1144</v>
      </c>
      <c r="AG84" s="81" t="s">
        <v>3526</v>
      </c>
      <c r="AH84" s="81" t="s">
        <v>3230</v>
      </c>
      <c r="AI84" s="81" t="s">
        <v>2409</v>
      </c>
      <c r="AJ84" s="81" t="s">
        <v>3374</v>
      </c>
      <c r="AK84" s="81" t="s">
        <v>2116</v>
      </c>
      <c r="AL84" s="80" t="s">
        <v>3411</v>
      </c>
      <c r="AM84" s="80" t="s">
        <v>3451</v>
      </c>
      <c r="AN84" s="81" t="s">
        <v>1085</v>
      </c>
      <c r="AO84" s="80" t="s">
        <v>525</v>
      </c>
      <c r="AP84" s="84" t="s">
        <v>3498</v>
      </c>
      <c r="AQ84" s="80" t="s">
        <v>3498</v>
      </c>
      <c r="AR84" s="81" t="s">
        <v>3318</v>
      </c>
      <c r="AS84" s="81" t="s">
        <v>1361</v>
      </c>
      <c r="AT84" s="81" t="s">
        <v>3511</v>
      </c>
      <c r="AU84" s="81" t="s">
        <v>900</v>
      </c>
      <c r="AV84" s="81" t="s">
        <v>972</v>
      </c>
    </row>
    <row r="85" spans="1:48">
      <c r="A85" s="80">
        <v>84</v>
      </c>
      <c r="B85" s="80" t="s">
        <v>3325</v>
      </c>
      <c r="C85" s="80" t="s">
        <v>2207</v>
      </c>
      <c r="D85" s="80" t="s">
        <v>389</v>
      </c>
      <c r="E85" s="80" t="s">
        <v>407</v>
      </c>
      <c r="F85" s="80" t="s">
        <v>437</v>
      </c>
      <c r="G85" s="80" t="s">
        <v>480</v>
      </c>
      <c r="H85" s="80" t="s">
        <v>495</v>
      </c>
      <c r="I85" s="80" t="s">
        <v>764</v>
      </c>
      <c r="J85" s="80" t="s">
        <v>526</v>
      </c>
      <c r="K85" s="80" t="s">
        <v>545</v>
      </c>
      <c r="L85" s="80" t="s">
        <v>556</v>
      </c>
      <c r="M85" s="80" t="s">
        <v>3325</v>
      </c>
      <c r="N85" s="80" t="s">
        <v>2572</v>
      </c>
      <c r="O85" s="80" t="s">
        <v>2577</v>
      </c>
      <c r="P85" s="80" t="s">
        <v>3325</v>
      </c>
      <c r="Q85" s="80" t="s">
        <v>2587</v>
      </c>
      <c r="R85" s="80" t="s">
        <v>2600</v>
      </c>
      <c r="S85" s="80" t="s">
        <v>3325</v>
      </c>
      <c r="T85" s="80" t="s">
        <v>2606</v>
      </c>
      <c r="U85" s="80" t="s">
        <v>40</v>
      </c>
      <c r="V85" s="80" t="s">
        <v>3325</v>
      </c>
      <c r="W85" s="80" t="s">
        <v>2613</v>
      </c>
      <c r="X85" s="80" t="s">
        <v>2652</v>
      </c>
      <c r="Y85" s="80" t="s">
        <v>2709</v>
      </c>
      <c r="Z85" s="80" t="s">
        <v>2739</v>
      </c>
      <c r="AA85" s="80" t="s">
        <v>3325</v>
      </c>
      <c r="AB85" s="80" t="s">
        <v>1612</v>
      </c>
      <c r="AC85" s="80" t="s">
        <v>3325</v>
      </c>
      <c r="AD85" s="80" t="s">
        <v>1650</v>
      </c>
      <c r="AE85" s="80" t="s">
        <v>3325</v>
      </c>
      <c r="AF85" s="80" t="s">
        <v>3325</v>
      </c>
      <c r="AG85" s="80" t="s">
        <v>3325</v>
      </c>
      <c r="AH85" s="80" t="s">
        <v>1679</v>
      </c>
      <c r="AI85" s="80" t="s">
        <v>3325</v>
      </c>
      <c r="AJ85" s="80" t="s">
        <v>3382</v>
      </c>
      <c r="AK85" s="80" t="s">
        <v>3392</v>
      </c>
      <c r="AL85" s="80" t="s">
        <v>3412</v>
      </c>
      <c r="AM85" s="80" t="s">
        <v>3452</v>
      </c>
      <c r="AN85" s="80" t="s">
        <v>3325</v>
      </c>
      <c r="AO85" s="80" t="s">
        <v>3483</v>
      </c>
      <c r="AP85" s="80" t="s">
        <v>3499</v>
      </c>
      <c r="AQ85" s="80" t="s">
        <v>3499</v>
      </c>
      <c r="AR85" s="81" t="s">
        <v>1677</v>
      </c>
      <c r="AS85" s="80" t="s">
        <v>3496</v>
      </c>
      <c r="AT85" s="80" t="s">
        <v>3512</v>
      </c>
      <c r="AU85" s="80" t="s">
        <v>3325</v>
      </c>
      <c r="AV85" s="80" t="s">
        <v>1</v>
      </c>
    </row>
    <row r="86" spans="1:48" ht="15">
      <c r="A86" s="80">
        <v>85</v>
      </c>
      <c r="B86" s="80" t="s">
        <v>3326</v>
      </c>
      <c r="C86" s="80" t="s">
        <v>2208</v>
      </c>
      <c r="D86" s="80" t="s">
        <v>1487</v>
      </c>
      <c r="E86" s="81" t="s">
        <v>2798</v>
      </c>
      <c r="F86" s="80" t="s">
        <v>438</v>
      </c>
      <c r="G86" s="80" t="s">
        <v>481</v>
      </c>
      <c r="H86" s="83" t="s">
        <v>2455</v>
      </c>
      <c r="I86" s="81" t="s">
        <v>1730</v>
      </c>
      <c r="J86" s="80" t="s">
        <v>3326</v>
      </c>
      <c r="K86" s="81" t="s">
        <v>222</v>
      </c>
      <c r="L86" s="80" t="s">
        <v>2364</v>
      </c>
      <c r="M86" s="80" t="s">
        <v>3326</v>
      </c>
      <c r="N86" s="81" t="s">
        <v>3625</v>
      </c>
      <c r="O86" s="81" t="s">
        <v>3710</v>
      </c>
      <c r="P86" s="81" t="s">
        <v>1917</v>
      </c>
      <c r="Q86" s="81" t="s">
        <v>2850</v>
      </c>
      <c r="R86" s="81" t="s">
        <v>1743</v>
      </c>
      <c r="S86" s="81" t="s">
        <v>2545</v>
      </c>
      <c r="T86" s="88" t="s">
        <v>1228</v>
      </c>
      <c r="U86" s="80" t="s">
        <v>41</v>
      </c>
      <c r="V86" s="81" t="s">
        <v>1210</v>
      </c>
      <c r="W86" s="81" t="s">
        <v>1826</v>
      </c>
      <c r="X86" s="80" t="s">
        <v>2653</v>
      </c>
      <c r="Y86" s="80" t="s">
        <v>2710</v>
      </c>
      <c r="Z86" s="80" t="s">
        <v>2740</v>
      </c>
      <c r="AA86" s="80" t="s">
        <v>1419</v>
      </c>
      <c r="AB86" s="81" t="s">
        <v>2282</v>
      </c>
      <c r="AC86" s="81" t="s">
        <v>1579</v>
      </c>
      <c r="AD86" s="80" t="s">
        <v>3326</v>
      </c>
      <c r="AE86" s="81" t="s">
        <v>2015</v>
      </c>
      <c r="AF86" s="81" t="s">
        <v>2045</v>
      </c>
      <c r="AG86" s="81" t="s">
        <v>3527</v>
      </c>
      <c r="AH86" s="81" t="s">
        <v>2041</v>
      </c>
      <c r="AI86" s="81" t="s">
        <v>3383</v>
      </c>
      <c r="AJ86" s="81" t="s">
        <v>2374</v>
      </c>
      <c r="AK86" s="81" t="s">
        <v>2117</v>
      </c>
      <c r="AL86" s="81" t="s">
        <v>3413</v>
      </c>
      <c r="AM86" s="80" t="s">
        <v>3453</v>
      </c>
      <c r="AN86" s="81" t="s">
        <v>3300</v>
      </c>
      <c r="AO86" s="80" t="s">
        <v>3326</v>
      </c>
      <c r="AP86" s="84" t="s">
        <v>1866</v>
      </c>
      <c r="AQ86" s="80" t="s">
        <v>1866</v>
      </c>
      <c r="AR86" s="81" t="s">
        <v>806</v>
      </c>
      <c r="AS86" s="81" t="s">
        <v>2060</v>
      </c>
      <c r="AT86" s="81" t="s">
        <v>2559</v>
      </c>
      <c r="AU86" s="81" t="s">
        <v>901</v>
      </c>
      <c r="AV86" s="80" t="s">
        <v>973</v>
      </c>
    </row>
    <row r="87" spans="1:48" ht="15">
      <c r="A87" s="80">
        <v>86</v>
      </c>
      <c r="B87" s="80" t="s">
        <v>43</v>
      </c>
      <c r="C87" s="80" t="s">
        <v>49</v>
      </c>
      <c r="D87" s="80" t="s">
        <v>1488</v>
      </c>
      <c r="E87" s="81" t="s">
        <v>2799</v>
      </c>
      <c r="F87" s="80" t="s">
        <v>50</v>
      </c>
      <c r="G87" s="80" t="s">
        <v>43</v>
      </c>
      <c r="H87" s="83" t="s">
        <v>2464</v>
      </c>
      <c r="I87" s="81" t="s">
        <v>1731</v>
      </c>
      <c r="J87" s="80" t="s">
        <v>51</v>
      </c>
      <c r="K87" s="81" t="s">
        <v>253</v>
      </c>
      <c r="L87" s="80" t="s">
        <v>797</v>
      </c>
      <c r="M87" s="80" t="s">
        <v>43</v>
      </c>
      <c r="N87" s="81" t="s">
        <v>3660</v>
      </c>
      <c r="O87" s="81" t="s">
        <v>3711</v>
      </c>
      <c r="P87" s="81" t="s">
        <v>1918</v>
      </c>
      <c r="Q87" s="81" t="s">
        <v>2051</v>
      </c>
      <c r="R87" s="81" t="s">
        <v>3165</v>
      </c>
      <c r="S87" s="81" t="s">
        <v>2546</v>
      </c>
      <c r="T87" s="88" t="s">
        <v>1229</v>
      </c>
      <c r="U87" s="80" t="s">
        <v>42</v>
      </c>
      <c r="V87" s="81" t="s">
        <v>1763</v>
      </c>
      <c r="W87" s="81" t="s">
        <v>1827</v>
      </c>
      <c r="X87" s="80" t="s">
        <v>52</v>
      </c>
      <c r="Y87" s="80" t="s">
        <v>53</v>
      </c>
      <c r="Z87" s="80" t="s">
        <v>54</v>
      </c>
      <c r="AA87" s="80" t="s">
        <v>1420</v>
      </c>
      <c r="AB87" s="81" t="s">
        <v>42</v>
      </c>
      <c r="AC87" s="81" t="s">
        <v>1580</v>
      </c>
      <c r="AD87" s="80" t="s">
        <v>43</v>
      </c>
      <c r="AE87" s="81" t="s">
        <v>2016</v>
      </c>
      <c r="AF87" s="81" t="s">
        <v>2046</v>
      </c>
      <c r="AG87" s="81" t="s">
        <v>3528</v>
      </c>
      <c r="AH87" s="81" t="s">
        <v>2042</v>
      </c>
      <c r="AI87" s="81" t="s">
        <v>2410</v>
      </c>
      <c r="AJ87" s="81" t="s">
        <v>2036</v>
      </c>
      <c r="AK87" s="81" t="s">
        <v>2118</v>
      </c>
      <c r="AL87" s="81" t="s">
        <v>2151</v>
      </c>
      <c r="AM87" s="80" t="s">
        <v>55</v>
      </c>
      <c r="AN87" s="81" t="s">
        <v>2057</v>
      </c>
      <c r="AO87" s="80" t="s">
        <v>43</v>
      </c>
      <c r="AP87" s="84" t="s">
        <v>1032</v>
      </c>
      <c r="AQ87" s="80" t="s">
        <v>1032</v>
      </c>
      <c r="AR87" s="81" t="s">
        <v>805</v>
      </c>
      <c r="AS87" s="81" t="s">
        <v>2061</v>
      </c>
      <c r="AT87" s="81" t="s">
        <v>2560</v>
      </c>
      <c r="AU87" s="81" t="s">
        <v>902</v>
      </c>
      <c r="AV87" s="80" t="s">
        <v>974</v>
      </c>
    </row>
    <row r="88" spans="1:48" ht="15">
      <c r="A88" s="80">
        <v>87</v>
      </c>
      <c r="B88" s="80" t="s">
        <v>3327</v>
      </c>
      <c r="C88" s="80" t="s">
        <v>2209</v>
      </c>
      <c r="D88" s="80" t="s">
        <v>1489</v>
      </c>
      <c r="E88" s="81" t="s">
        <v>2800</v>
      </c>
      <c r="F88" s="80" t="s">
        <v>439</v>
      </c>
      <c r="G88" s="80" t="s">
        <v>482</v>
      </c>
      <c r="H88" s="83" t="s">
        <v>2465</v>
      </c>
      <c r="I88" s="81" t="s">
        <v>1732</v>
      </c>
      <c r="J88" s="80" t="s">
        <v>527</v>
      </c>
      <c r="K88" s="81" t="s">
        <v>254</v>
      </c>
      <c r="L88" s="80" t="s">
        <v>798</v>
      </c>
      <c r="M88" s="80" t="s">
        <v>3327</v>
      </c>
      <c r="N88" s="81" t="s">
        <v>3661</v>
      </c>
      <c r="O88" s="81" t="s">
        <v>3712</v>
      </c>
      <c r="P88" s="81" t="s">
        <v>1919</v>
      </c>
      <c r="Q88" s="81" t="s">
        <v>2052</v>
      </c>
      <c r="R88" s="81" t="s">
        <v>3166</v>
      </c>
      <c r="S88" s="81" t="s">
        <v>2547</v>
      </c>
      <c r="T88" s="88" t="s">
        <v>1230</v>
      </c>
      <c r="U88" s="80" t="s">
        <v>44</v>
      </c>
      <c r="V88" s="81" t="s">
        <v>1764</v>
      </c>
      <c r="W88" s="81" t="s">
        <v>1828</v>
      </c>
      <c r="X88" s="80" t="s">
        <v>2654</v>
      </c>
      <c r="Y88" s="80" t="s">
        <v>2711</v>
      </c>
      <c r="Z88" s="80" t="s">
        <v>2741</v>
      </c>
      <c r="AA88" s="80" t="s">
        <v>1421</v>
      </c>
      <c r="AB88" s="81" t="s">
        <v>44</v>
      </c>
      <c r="AC88" s="81" t="s">
        <v>1581</v>
      </c>
      <c r="AD88" s="80" t="s">
        <v>1651</v>
      </c>
      <c r="AE88" s="81" t="s">
        <v>2017</v>
      </c>
      <c r="AF88" s="81" t="s">
        <v>2047</v>
      </c>
      <c r="AG88" s="81" t="s">
        <v>3529</v>
      </c>
      <c r="AH88" s="81" t="s">
        <v>2043</v>
      </c>
      <c r="AI88" s="81" t="s">
        <v>2411</v>
      </c>
      <c r="AJ88" s="81" t="s">
        <v>2037</v>
      </c>
      <c r="AK88" s="81" t="s">
        <v>2119</v>
      </c>
      <c r="AL88" s="81" t="s">
        <v>2152</v>
      </c>
      <c r="AM88" s="80" t="s">
        <v>3454</v>
      </c>
      <c r="AN88" s="81" t="s">
        <v>2058</v>
      </c>
      <c r="AO88" s="80" t="s">
        <v>3484</v>
      </c>
      <c r="AP88" s="84" t="s">
        <v>1033</v>
      </c>
      <c r="AQ88" s="80" t="s">
        <v>1033</v>
      </c>
      <c r="AR88" s="81" t="s">
        <v>807</v>
      </c>
      <c r="AS88" s="81" t="s">
        <v>2062</v>
      </c>
      <c r="AT88" s="81" t="s">
        <v>2561</v>
      </c>
      <c r="AU88" s="81" t="s">
        <v>903</v>
      </c>
      <c r="AV88" s="80" t="s">
        <v>975</v>
      </c>
    </row>
    <row r="89" spans="1:48" ht="15">
      <c r="A89" s="80">
        <v>88</v>
      </c>
      <c r="B89" s="80" t="s">
        <v>3328</v>
      </c>
      <c r="C89" s="80" t="s">
        <v>2210</v>
      </c>
      <c r="D89" s="80" t="s">
        <v>1490</v>
      </c>
      <c r="E89" s="81" t="s">
        <v>2801</v>
      </c>
      <c r="F89" s="80" t="s">
        <v>440</v>
      </c>
      <c r="G89" s="80" t="s">
        <v>483</v>
      </c>
      <c r="H89" s="83" t="s">
        <v>2466</v>
      </c>
      <c r="I89" s="81" t="s">
        <v>1733</v>
      </c>
      <c r="J89" s="80" t="s">
        <v>528</v>
      </c>
      <c r="K89" s="81" t="s">
        <v>255</v>
      </c>
      <c r="L89" s="80" t="s">
        <v>799</v>
      </c>
      <c r="M89" s="80" t="s">
        <v>3328</v>
      </c>
      <c r="N89" s="81" t="s">
        <v>3662</v>
      </c>
      <c r="O89" s="81" t="s">
        <v>3713</v>
      </c>
      <c r="P89" s="81" t="s">
        <v>1920</v>
      </c>
      <c r="Q89" s="81" t="s">
        <v>2053</v>
      </c>
      <c r="R89" s="81" t="s">
        <v>3167</v>
      </c>
      <c r="S89" s="81" t="s">
        <v>1170</v>
      </c>
      <c r="T89" s="88" t="s">
        <v>1231</v>
      </c>
      <c r="U89" s="80" t="s">
        <v>1613</v>
      </c>
      <c r="V89" s="81" t="s">
        <v>1765</v>
      </c>
      <c r="W89" s="81" t="s">
        <v>1829</v>
      </c>
      <c r="X89" s="80" t="s">
        <v>2655</v>
      </c>
      <c r="Y89" s="80" t="s">
        <v>2712</v>
      </c>
      <c r="Z89" s="80" t="s">
        <v>2742</v>
      </c>
      <c r="AA89" s="80" t="s">
        <v>1422</v>
      </c>
      <c r="AB89" s="81" t="s">
        <v>1613</v>
      </c>
      <c r="AC89" s="81" t="s">
        <v>1582</v>
      </c>
      <c r="AD89" s="80" t="s">
        <v>1652</v>
      </c>
      <c r="AE89" s="81" t="s">
        <v>2018</v>
      </c>
      <c r="AF89" s="81" t="s">
        <v>2048</v>
      </c>
      <c r="AG89" s="81" t="s">
        <v>3530</v>
      </c>
      <c r="AH89" s="81" t="s">
        <v>2044</v>
      </c>
      <c r="AI89" s="81" t="s">
        <v>2412</v>
      </c>
      <c r="AJ89" s="81" t="s">
        <v>2038</v>
      </c>
      <c r="AK89" s="81" t="s">
        <v>2120</v>
      </c>
      <c r="AL89" s="81" t="s">
        <v>2153</v>
      </c>
      <c r="AM89" s="80" t="s">
        <v>3455</v>
      </c>
      <c r="AN89" s="81" t="s">
        <v>2059</v>
      </c>
      <c r="AO89" s="80" t="s">
        <v>3485</v>
      </c>
      <c r="AP89" s="84" t="s">
        <v>1034</v>
      </c>
      <c r="AQ89" s="80" t="s">
        <v>1034</v>
      </c>
      <c r="AR89" s="81" t="s">
        <v>808</v>
      </c>
      <c r="AS89" s="81" t="s">
        <v>2063</v>
      </c>
      <c r="AT89" s="81" t="s">
        <v>2562</v>
      </c>
      <c r="AU89" s="81" t="s">
        <v>904</v>
      </c>
      <c r="AV89" s="80" t="s">
        <v>976</v>
      </c>
    </row>
    <row r="90" spans="1:48" ht="15">
      <c r="A90" s="80">
        <v>89</v>
      </c>
      <c r="B90" s="80" t="s">
        <v>3329</v>
      </c>
      <c r="C90" s="80" t="s">
        <v>2211</v>
      </c>
      <c r="D90" s="80" t="s">
        <v>1491</v>
      </c>
      <c r="E90" s="81" t="s">
        <v>2802</v>
      </c>
      <c r="F90" s="80" t="s">
        <v>441</v>
      </c>
      <c r="G90" s="80" t="s">
        <v>484</v>
      </c>
      <c r="H90" s="83" t="s">
        <v>2467</v>
      </c>
      <c r="I90" s="81" t="s">
        <v>1734</v>
      </c>
      <c r="J90" s="80" t="s">
        <v>529</v>
      </c>
      <c r="K90" s="81" t="s">
        <v>546</v>
      </c>
      <c r="L90" s="80" t="s">
        <v>800</v>
      </c>
      <c r="M90" s="80" t="s">
        <v>3329</v>
      </c>
      <c r="N90" s="81" t="s">
        <v>3663</v>
      </c>
      <c r="O90" s="81" t="s">
        <v>3714</v>
      </c>
      <c r="P90" s="81" t="s">
        <v>1921</v>
      </c>
      <c r="Q90" s="81" t="s">
        <v>2054</v>
      </c>
      <c r="R90" s="81" t="s">
        <v>3168</v>
      </c>
      <c r="S90" s="81" t="s">
        <v>1171</v>
      </c>
      <c r="T90" s="88" t="s">
        <v>1232</v>
      </c>
      <c r="U90" s="80" t="s">
        <v>46</v>
      </c>
      <c r="V90" s="81" t="s">
        <v>1766</v>
      </c>
      <c r="W90" s="81" t="s">
        <v>1830</v>
      </c>
      <c r="X90" s="80" t="s">
        <v>2656</v>
      </c>
      <c r="Y90" s="80" t="s">
        <v>2713</v>
      </c>
      <c r="Z90" s="80" t="s">
        <v>1601</v>
      </c>
      <c r="AA90" s="80" t="s">
        <v>1423</v>
      </c>
      <c r="AB90" s="81" t="s">
        <v>802</v>
      </c>
      <c r="AC90" s="81" t="s">
        <v>1583</v>
      </c>
      <c r="AD90" s="80" t="s">
        <v>1653</v>
      </c>
      <c r="AE90" s="81" t="s">
        <v>2019</v>
      </c>
      <c r="AF90" s="81" t="s">
        <v>2049</v>
      </c>
      <c r="AG90" s="81" t="s">
        <v>3531</v>
      </c>
      <c r="AH90" s="81" t="s">
        <v>3231</v>
      </c>
      <c r="AI90" s="81" t="s">
        <v>2413</v>
      </c>
      <c r="AJ90" s="81" t="s">
        <v>2039</v>
      </c>
      <c r="AK90" s="81" t="s">
        <v>2121</v>
      </c>
      <c r="AL90" s="81" t="s">
        <v>2154</v>
      </c>
      <c r="AM90" s="80" t="s">
        <v>3456</v>
      </c>
      <c r="AN90" s="81" t="s">
        <v>1086</v>
      </c>
      <c r="AO90" s="80" t="s">
        <v>3486</v>
      </c>
      <c r="AP90" s="84" t="s">
        <v>1035</v>
      </c>
      <c r="AQ90" s="80" t="s">
        <v>1035</v>
      </c>
      <c r="AR90" s="81" t="s">
        <v>809</v>
      </c>
      <c r="AS90" s="81" t="s">
        <v>2064</v>
      </c>
      <c r="AT90" s="81" t="s">
        <v>836</v>
      </c>
      <c r="AU90" s="81" t="s">
        <v>905</v>
      </c>
      <c r="AV90" s="80" t="s">
        <v>977</v>
      </c>
    </row>
    <row r="91" spans="1:48" ht="15">
      <c r="A91" s="80">
        <v>90</v>
      </c>
      <c r="B91" s="80" t="s">
        <v>1044</v>
      </c>
      <c r="C91" s="80" t="s">
        <v>2212</v>
      </c>
      <c r="D91" s="80" t="s">
        <v>1492</v>
      </c>
      <c r="E91" s="81" t="s">
        <v>2803</v>
      </c>
      <c r="F91" s="80" t="s">
        <v>442</v>
      </c>
      <c r="G91" s="80" t="s">
        <v>485</v>
      </c>
      <c r="H91" s="83" t="s">
        <v>2468</v>
      </c>
      <c r="I91" s="81" t="s">
        <v>2468</v>
      </c>
      <c r="J91" s="80" t="s">
        <v>530</v>
      </c>
      <c r="K91" s="81" t="s">
        <v>547</v>
      </c>
      <c r="L91" s="80" t="s">
        <v>801</v>
      </c>
      <c r="M91" s="80" t="s">
        <v>1044</v>
      </c>
      <c r="N91" s="81" t="s">
        <v>3664</v>
      </c>
      <c r="O91" s="81" t="s">
        <v>3715</v>
      </c>
      <c r="P91" s="81" t="s">
        <v>1922</v>
      </c>
      <c r="Q91" s="81" t="s">
        <v>2055</v>
      </c>
      <c r="R91" s="81" t="s">
        <v>3169</v>
      </c>
      <c r="S91" s="81" t="s">
        <v>1172</v>
      </c>
      <c r="T91" s="88" t="s">
        <v>1233</v>
      </c>
      <c r="U91" s="80" t="s">
        <v>45</v>
      </c>
      <c r="V91" s="81" t="s">
        <v>1767</v>
      </c>
      <c r="W91" s="81" t="s">
        <v>1831</v>
      </c>
      <c r="X91" s="80" t="s">
        <v>2657</v>
      </c>
      <c r="Y91" s="80" t="s">
        <v>2713</v>
      </c>
      <c r="Z91" s="80" t="s">
        <v>1602</v>
      </c>
      <c r="AA91" s="80" t="s">
        <v>1424</v>
      </c>
      <c r="AB91" s="81" t="s">
        <v>803</v>
      </c>
      <c r="AC91" s="81" t="s">
        <v>1584</v>
      </c>
      <c r="AD91" s="80" t="s">
        <v>1654</v>
      </c>
      <c r="AE91" s="81" t="s">
        <v>2020</v>
      </c>
      <c r="AF91" s="81" t="s">
        <v>2050</v>
      </c>
      <c r="AG91" s="81" t="s">
        <v>3532</v>
      </c>
      <c r="AH91" s="81" t="s">
        <v>3232</v>
      </c>
      <c r="AI91" s="81" t="s">
        <v>2414</v>
      </c>
      <c r="AJ91" s="81" t="s">
        <v>2040</v>
      </c>
      <c r="AK91" s="81" t="s">
        <v>2122</v>
      </c>
      <c r="AL91" s="81" t="s">
        <v>2155</v>
      </c>
      <c r="AM91" s="80" t="s">
        <v>3457</v>
      </c>
      <c r="AN91" s="81" t="s">
        <v>1087</v>
      </c>
      <c r="AO91" s="80" t="s">
        <v>3487</v>
      </c>
      <c r="AP91" s="84" t="s">
        <v>1036</v>
      </c>
      <c r="AQ91" s="80" t="s">
        <v>1036</v>
      </c>
      <c r="AR91" s="81" t="s">
        <v>810</v>
      </c>
      <c r="AS91" s="81" t="s">
        <v>2065</v>
      </c>
      <c r="AT91" s="81" t="s">
        <v>2563</v>
      </c>
      <c r="AU91" s="81" t="s">
        <v>906</v>
      </c>
      <c r="AV91" s="80" t="s">
        <v>978</v>
      </c>
    </row>
    <row r="92" spans="1:48" ht="15">
      <c r="A92" s="80">
        <v>91</v>
      </c>
      <c r="B92" s="80" t="s">
        <v>1045</v>
      </c>
      <c r="C92" s="80" t="s">
        <v>2213</v>
      </c>
      <c r="D92" s="80" t="s">
        <v>1493</v>
      </c>
      <c r="E92" s="81" t="s">
        <v>2804</v>
      </c>
      <c r="F92" s="80" t="s">
        <v>443</v>
      </c>
      <c r="G92" s="80" t="s">
        <v>2213</v>
      </c>
      <c r="H92" s="83" t="s">
        <v>2469</v>
      </c>
      <c r="I92" s="81" t="s">
        <v>1735</v>
      </c>
      <c r="J92" s="80" t="s">
        <v>1045</v>
      </c>
      <c r="K92" s="81" t="s">
        <v>1045</v>
      </c>
      <c r="L92" s="80" t="s">
        <v>2213</v>
      </c>
      <c r="M92" s="80" t="s">
        <v>1045</v>
      </c>
      <c r="N92" s="81" t="s">
        <v>835</v>
      </c>
      <c r="O92" s="81" t="s">
        <v>1045</v>
      </c>
      <c r="P92" s="81" t="s">
        <v>1923</v>
      </c>
      <c r="Q92" s="81" t="s">
        <v>2056</v>
      </c>
      <c r="R92" s="81" t="s">
        <v>3170</v>
      </c>
      <c r="S92" s="81" t="s">
        <v>1173</v>
      </c>
      <c r="T92" s="88" t="s">
        <v>1234</v>
      </c>
      <c r="U92" s="80" t="s">
        <v>47</v>
      </c>
      <c r="V92" s="81" t="s">
        <v>1768</v>
      </c>
      <c r="W92" s="81" t="s">
        <v>1832</v>
      </c>
      <c r="X92" s="80" t="s">
        <v>2658</v>
      </c>
      <c r="Y92" s="80" t="s">
        <v>2262</v>
      </c>
      <c r="Z92" s="80" t="s">
        <v>1603</v>
      </c>
      <c r="AA92" s="80" t="s">
        <v>1425</v>
      </c>
      <c r="AB92" s="81" t="s">
        <v>804</v>
      </c>
      <c r="AC92" s="81" t="s">
        <v>1585</v>
      </c>
      <c r="AD92" s="80" t="s">
        <v>2213</v>
      </c>
      <c r="AE92" s="81" t="s">
        <v>1973</v>
      </c>
      <c r="AF92" s="81" t="s">
        <v>1145</v>
      </c>
      <c r="AG92" s="81" t="s">
        <v>3533</v>
      </c>
      <c r="AH92" s="81" t="s">
        <v>3233</v>
      </c>
      <c r="AI92" s="81" t="s">
        <v>2415</v>
      </c>
      <c r="AJ92" s="81" t="s">
        <v>2415</v>
      </c>
      <c r="AK92" s="81" t="s">
        <v>2123</v>
      </c>
      <c r="AL92" s="81" t="s">
        <v>2156</v>
      </c>
      <c r="AM92" s="80" t="s">
        <v>3458</v>
      </c>
      <c r="AN92" s="81" t="s">
        <v>1088</v>
      </c>
      <c r="AO92" s="80" t="s">
        <v>1045</v>
      </c>
      <c r="AP92" s="84" t="s">
        <v>1867</v>
      </c>
      <c r="AQ92" s="80" t="s">
        <v>1867</v>
      </c>
      <c r="AR92" s="81" t="s">
        <v>811</v>
      </c>
      <c r="AS92" s="81" t="s">
        <v>2066</v>
      </c>
      <c r="AT92" s="81" t="s">
        <v>3078</v>
      </c>
      <c r="AU92" s="81" t="s">
        <v>907</v>
      </c>
      <c r="AV92" s="80" t="s">
        <v>2</v>
      </c>
    </row>
    <row r="93" spans="1:48" ht="15">
      <c r="A93" s="80">
        <v>92</v>
      </c>
      <c r="B93" s="80" t="s">
        <v>1046</v>
      </c>
      <c r="C93" s="80" t="s">
        <v>2214</v>
      </c>
      <c r="D93" s="80" t="s">
        <v>390</v>
      </c>
      <c r="E93" s="81" t="s">
        <v>2783</v>
      </c>
      <c r="F93" s="80" t="s">
        <v>713</v>
      </c>
      <c r="G93" s="80" t="s">
        <v>486</v>
      </c>
      <c r="H93" s="83" t="s">
        <v>680</v>
      </c>
      <c r="I93" s="80" t="s">
        <v>496</v>
      </c>
      <c r="J93" s="80" t="s">
        <v>531</v>
      </c>
      <c r="K93" s="81" t="s">
        <v>227</v>
      </c>
      <c r="L93" s="80" t="s">
        <v>2338</v>
      </c>
      <c r="M93" s="80" t="s">
        <v>1046</v>
      </c>
      <c r="N93" s="81" t="s">
        <v>3665</v>
      </c>
      <c r="O93" s="81" t="s">
        <v>3716</v>
      </c>
      <c r="P93" s="81" t="s">
        <v>3763</v>
      </c>
      <c r="Q93" s="81" t="s">
        <v>3277</v>
      </c>
      <c r="R93" s="81" t="s">
        <v>3171</v>
      </c>
      <c r="S93" s="81" t="s">
        <v>1174</v>
      </c>
      <c r="T93" s="88" t="s">
        <v>1235</v>
      </c>
      <c r="U93" s="80" t="s">
        <v>48</v>
      </c>
      <c r="V93" s="81" t="s">
        <v>1769</v>
      </c>
      <c r="W93" s="81" t="s">
        <v>2614</v>
      </c>
      <c r="X93" s="80" t="s">
        <v>2659</v>
      </c>
      <c r="Y93" s="80" t="s">
        <v>2714</v>
      </c>
      <c r="Z93" s="80" t="s">
        <v>1604</v>
      </c>
      <c r="AA93" s="80" t="s">
        <v>1386</v>
      </c>
      <c r="AB93" s="81" t="s">
        <v>2325</v>
      </c>
      <c r="AC93" s="81" t="s">
        <v>1586</v>
      </c>
      <c r="AD93" s="80" t="s">
        <v>1655</v>
      </c>
      <c r="AE93" s="81" t="s">
        <v>2021</v>
      </c>
      <c r="AF93" s="81" t="s">
        <v>1146</v>
      </c>
      <c r="AG93" s="81" t="s">
        <v>3534</v>
      </c>
      <c r="AH93" s="81" t="s">
        <v>3234</v>
      </c>
      <c r="AI93" s="81" t="s">
        <v>2416</v>
      </c>
      <c r="AJ93" s="81" t="s">
        <v>2416</v>
      </c>
      <c r="AK93" s="81" t="s">
        <v>2124</v>
      </c>
      <c r="AL93" s="81" t="s">
        <v>3414</v>
      </c>
      <c r="AM93" s="80" t="s">
        <v>3459</v>
      </c>
      <c r="AN93" s="81" t="s">
        <v>1089</v>
      </c>
      <c r="AO93" s="80" t="s">
        <v>3488</v>
      </c>
      <c r="AP93" s="84" t="s">
        <v>1868</v>
      </c>
      <c r="AQ93" s="80" t="s">
        <v>2189</v>
      </c>
      <c r="AR93" s="81" t="s">
        <v>1656</v>
      </c>
      <c r="AS93" s="81" t="s">
        <v>3594</v>
      </c>
      <c r="AT93" s="81" t="s">
        <v>2564</v>
      </c>
      <c r="AU93" s="81" t="s">
        <v>867</v>
      </c>
      <c r="AV93" s="80" t="s">
        <v>979</v>
      </c>
    </row>
    <row r="94" spans="1:48" ht="15">
      <c r="A94" s="80">
        <v>93</v>
      </c>
      <c r="B94" s="80" t="s">
        <v>63</v>
      </c>
      <c r="C94" s="80" t="s">
        <v>391</v>
      </c>
      <c r="D94" s="80" t="s">
        <v>399</v>
      </c>
      <c r="E94" s="81" t="s">
        <v>2784</v>
      </c>
      <c r="F94" s="80" t="s">
        <v>444</v>
      </c>
      <c r="G94" s="80" t="s">
        <v>487</v>
      </c>
      <c r="H94" s="81" t="s">
        <v>4243</v>
      </c>
      <c r="I94" s="80" t="s">
        <v>765</v>
      </c>
      <c r="J94" s="80" t="s">
        <v>789</v>
      </c>
      <c r="K94" s="81" t="s">
        <v>548</v>
      </c>
      <c r="L94" s="80" t="s">
        <v>391</v>
      </c>
      <c r="M94" s="80" t="s">
        <v>63</v>
      </c>
      <c r="N94" s="81" t="s">
        <v>3666</v>
      </c>
      <c r="O94" s="81" t="s">
        <v>2578</v>
      </c>
      <c r="P94" s="81" t="s">
        <v>1924</v>
      </c>
      <c r="Q94" s="81" t="s">
        <v>548</v>
      </c>
      <c r="R94" s="81" t="s">
        <v>3172</v>
      </c>
      <c r="S94" s="81" t="s">
        <v>1175</v>
      </c>
      <c r="T94" s="88" t="s">
        <v>1236</v>
      </c>
      <c r="U94" s="80" t="s">
        <v>487</v>
      </c>
      <c r="V94" s="81" t="s">
        <v>1770</v>
      </c>
      <c r="W94" s="81" t="s">
        <v>2615</v>
      </c>
      <c r="X94" s="80" t="s">
        <v>3147</v>
      </c>
      <c r="Y94" s="80" t="s">
        <v>2259</v>
      </c>
      <c r="Z94" s="80" t="s">
        <v>2920</v>
      </c>
      <c r="AA94" s="80" t="s">
        <v>444</v>
      </c>
      <c r="AB94" s="81" t="s">
        <v>1614</v>
      </c>
      <c r="AC94" s="81" t="s">
        <v>1587</v>
      </c>
      <c r="AD94" s="80" t="s">
        <v>1656</v>
      </c>
      <c r="AE94" s="81" t="s">
        <v>2022</v>
      </c>
      <c r="AF94" s="81" t="s">
        <v>548</v>
      </c>
      <c r="AG94" s="81" t="s">
        <v>3535</v>
      </c>
      <c r="AH94" s="81" t="s">
        <v>3393</v>
      </c>
      <c r="AI94" s="81" t="s">
        <v>3384</v>
      </c>
      <c r="AJ94" s="81" t="s">
        <v>3384</v>
      </c>
      <c r="AK94" s="81" t="s">
        <v>3393</v>
      </c>
      <c r="AL94" s="80" t="s">
        <v>3415</v>
      </c>
      <c r="AM94" s="80" t="s">
        <v>702</v>
      </c>
      <c r="AN94" s="81" t="s">
        <v>1090</v>
      </c>
      <c r="AO94" s="80" t="s">
        <v>3032</v>
      </c>
      <c r="AP94" s="84" t="s">
        <v>3384</v>
      </c>
      <c r="AQ94" s="80" t="s">
        <v>3384</v>
      </c>
      <c r="AR94" s="81" t="s">
        <v>1656</v>
      </c>
      <c r="AS94" s="81" t="s">
        <v>3595</v>
      </c>
      <c r="AT94" s="81" t="s">
        <v>487</v>
      </c>
      <c r="AU94" s="81" t="s">
        <v>444</v>
      </c>
      <c r="AV94" s="80" t="s">
        <v>3</v>
      </c>
    </row>
    <row r="95" spans="1:48" ht="15">
      <c r="A95" s="80">
        <v>94</v>
      </c>
      <c r="B95" s="80" t="s">
        <v>68</v>
      </c>
      <c r="C95" s="80" t="s">
        <v>392</v>
      </c>
      <c r="D95" s="80" t="s">
        <v>400</v>
      </c>
      <c r="E95" s="81" t="s">
        <v>2785</v>
      </c>
      <c r="F95" s="80" t="s">
        <v>445</v>
      </c>
      <c r="G95" s="80" t="s">
        <v>488</v>
      </c>
      <c r="H95" s="81" t="s">
        <v>4244</v>
      </c>
      <c r="I95" s="80" t="s">
        <v>766</v>
      </c>
      <c r="J95" s="80" t="s">
        <v>532</v>
      </c>
      <c r="K95" s="81" t="s">
        <v>549</v>
      </c>
      <c r="L95" s="80" t="s">
        <v>392</v>
      </c>
      <c r="M95" s="80" t="s">
        <v>68</v>
      </c>
      <c r="N95" s="81" t="s">
        <v>3667</v>
      </c>
      <c r="O95" s="81" t="s">
        <v>2579</v>
      </c>
      <c r="P95" s="81" t="s">
        <v>1925</v>
      </c>
      <c r="Q95" s="81" t="s">
        <v>549</v>
      </c>
      <c r="R95" s="81" t="s">
        <v>3173</v>
      </c>
      <c r="S95" s="81" t="s">
        <v>1176</v>
      </c>
      <c r="T95" s="88" t="s">
        <v>1237</v>
      </c>
      <c r="U95" s="80" t="s">
        <v>488</v>
      </c>
      <c r="V95" s="81" t="s">
        <v>1771</v>
      </c>
      <c r="W95" s="81" t="s">
        <v>2616</v>
      </c>
      <c r="X95" s="80" t="s">
        <v>2660</v>
      </c>
      <c r="Y95" s="80" t="s">
        <v>2715</v>
      </c>
      <c r="Z95" s="80" t="s">
        <v>1605</v>
      </c>
      <c r="AA95" s="80" t="s">
        <v>1426</v>
      </c>
      <c r="AB95" s="81" t="s">
        <v>1615</v>
      </c>
      <c r="AC95" s="81" t="s">
        <v>1588</v>
      </c>
      <c r="AD95" s="80" t="s">
        <v>1657</v>
      </c>
      <c r="AE95" s="81" t="s">
        <v>2023</v>
      </c>
      <c r="AF95" s="81" t="s">
        <v>549</v>
      </c>
      <c r="AG95" s="81" t="s">
        <v>3536</v>
      </c>
      <c r="AH95" s="81" t="s">
        <v>532</v>
      </c>
      <c r="AI95" s="81" t="s">
        <v>3385</v>
      </c>
      <c r="AJ95" s="81" t="s">
        <v>3385</v>
      </c>
      <c r="AK95" s="81" t="s">
        <v>532</v>
      </c>
      <c r="AL95" s="80" t="s">
        <v>3416</v>
      </c>
      <c r="AM95" s="80" t="s">
        <v>3460</v>
      </c>
      <c r="AN95" s="81" t="s">
        <v>3489</v>
      </c>
      <c r="AO95" s="80" t="s">
        <v>3489</v>
      </c>
      <c r="AP95" s="84" t="s">
        <v>3385</v>
      </c>
      <c r="AQ95" s="80" t="s">
        <v>3385</v>
      </c>
      <c r="AR95" s="81" t="s">
        <v>1657</v>
      </c>
      <c r="AS95" s="81" t="s">
        <v>3596</v>
      </c>
      <c r="AT95" s="81" t="s">
        <v>488</v>
      </c>
      <c r="AU95" s="81" t="s">
        <v>445</v>
      </c>
      <c r="AV95" s="80" t="s">
        <v>4</v>
      </c>
    </row>
    <row r="96" spans="1:48" ht="15">
      <c r="A96" s="80">
        <v>95</v>
      </c>
      <c r="B96" s="80" t="s">
        <v>69</v>
      </c>
      <c r="C96" s="80" t="s">
        <v>393</v>
      </c>
      <c r="D96" s="80" t="s">
        <v>401</v>
      </c>
      <c r="E96" s="81" t="s">
        <v>2786</v>
      </c>
      <c r="F96" s="80" t="s">
        <v>446</v>
      </c>
      <c r="G96" s="80" t="s">
        <v>489</v>
      </c>
      <c r="H96" s="81" t="s">
        <v>4245</v>
      </c>
      <c r="I96" s="80" t="s">
        <v>767</v>
      </c>
      <c r="J96" s="80" t="s">
        <v>533</v>
      </c>
      <c r="K96" s="81" t="s">
        <v>550</v>
      </c>
      <c r="L96" s="80" t="s">
        <v>393</v>
      </c>
      <c r="M96" s="80" t="s">
        <v>69</v>
      </c>
      <c r="N96" s="81" t="s">
        <v>3668</v>
      </c>
      <c r="O96" s="81" t="s">
        <v>2580</v>
      </c>
      <c r="P96" s="81" t="s">
        <v>1926</v>
      </c>
      <c r="Q96" s="81" t="s">
        <v>550</v>
      </c>
      <c r="R96" s="81" t="s">
        <v>3174</v>
      </c>
      <c r="S96" s="81" t="s">
        <v>1177</v>
      </c>
      <c r="T96" s="88" t="s">
        <v>2607</v>
      </c>
      <c r="U96" s="80" t="s">
        <v>489</v>
      </c>
      <c r="V96" s="81" t="s">
        <v>1772</v>
      </c>
      <c r="W96" s="81" t="s">
        <v>2617</v>
      </c>
      <c r="X96" s="80" t="s">
        <v>2661</v>
      </c>
      <c r="Y96" s="80" t="s">
        <v>2716</v>
      </c>
      <c r="Z96" s="80" t="s">
        <v>1606</v>
      </c>
      <c r="AA96" s="80" t="s">
        <v>446</v>
      </c>
      <c r="AB96" s="81" t="s">
        <v>1616</v>
      </c>
      <c r="AC96" s="81" t="s">
        <v>1589</v>
      </c>
      <c r="AD96" s="80" t="s">
        <v>1658</v>
      </c>
      <c r="AE96" s="81" t="s">
        <v>2024</v>
      </c>
      <c r="AF96" s="81" t="s">
        <v>550</v>
      </c>
      <c r="AG96" s="81" t="s">
        <v>3537</v>
      </c>
      <c r="AH96" s="81" t="s">
        <v>533</v>
      </c>
      <c r="AI96" s="81" t="s">
        <v>3386</v>
      </c>
      <c r="AJ96" s="81" t="s">
        <v>3386</v>
      </c>
      <c r="AK96" s="81" t="s">
        <v>533</v>
      </c>
      <c r="AL96" s="80" t="s">
        <v>3417</v>
      </c>
      <c r="AM96" s="80" t="s">
        <v>3461</v>
      </c>
      <c r="AN96" s="81" t="s">
        <v>3490</v>
      </c>
      <c r="AO96" s="80" t="s">
        <v>3490</v>
      </c>
      <c r="AP96" s="84" t="s">
        <v>3386</v>
      </c>
      <c r="AQ96" s="80" t="s">
        <v>3386</v>
      </c>
      <c r="AR96" s="81" t="s">
        <v>1678</v>
      </c>
      <c r="AS96" s="81" t="s">
        <v>3597</v>
      </c>
      <c r="AT96" s="81" t="s">
        <v>489</v>
      </c>
      <c r="AU96" s="81" t="s">
        <v>446</v>
      </c>
      <c r="AV96" s="80" t="s">
        <v>5</v>
      </c>
    </row>
    <row r="97" spans="1:48" ht="15">
      <c r="A97" s="80">
        <v>96</v>
      </c>
      <c r="B97" s="80" t="s">
        <v>70</v>
      </c>
      <c r="C97" s="80" t="s">
        <v>394</v>
      </c>
      <c r="D97" s="80" t="s">
        <v>402</v>
      </c>
      <c r="E97" s="81" t="s">
        <v>2787</v>
      </c>
      <c r="F97" s="80" t="s">
        <v>447</v>
      </c>
      <c r="G97" s="80" t="s">
        <v>490</v>
      </c>
      <c r="H97" s="81" t="s">
        <v>4246</v>
      </c>
      <c r="I97" s="80" t="s">
        <v>768</v>
      </c>
      <c r="J97" s="80" t="s">
        <v>534</v>
      </c>
      <c r="K97" s="81" t="s">
        <v>551</v>
      </c>
      <c r="L97" s="80" t="s">
        <v>394</v>
      </c>
      <c r="M97" s="80" t="s">
        <v>70</v>
      </c>
      <c r="N97" s="81" t="s">
        <v>3669</v>
      </c>
      <c r="O97" s="81" t="s">
        <v>2581</v>
      </c>
      <c r="P97" s="81" t="s">
        <v>1927</v>
      </c>
      <c r="Q97" s="81" t="s">
        <v>551</v>
      </c>
      <c r="R97" s="81" t="s">
        <v>3175</v>
      </c>
      <c r="S97" s="81" t="s">
        <v>1178</v>
      </c>
      <c r="T97" s="88" t="s">
        <v>2608</v>
      </c>
      <c r="U97" s="80" t="s">
        <v>490</v>
      </c>
      <c r="V97" s="81" t="s">
        <v>1773</v>
      </c>
      <c r="W97" s="81" t="s">
        <v>2618</v>
      </c>
      <c r="X97" s="80" t="s">
        <v>2662</v>
      </c>
      <c r="Y97" s="80" t="s">
        <v>2717</v>
      </c>
      <c r="Z97" s="80" t="s">
        <v>1607</v>
      </c>
      <c r="AA97" s="80" t="s">
        <v>447</v>
      </c>
      <c r="AB97" s="81" t="s">
        <v>1617</v>
      </c>
      <c r="AC97" s="81" t="s">
        <v>1590</v>
      </c>
      <c r="AD97" s="80" t="s">
        <v>1659</v>
      </c>
      <c r="AE97" s="81" t="s">
        <v>2025</v>
      </c>
      <c r="AF97" s="81" t="s">
        <v>551</v>
      </c>
      <c r="AG97" s="81" t="s">
        <v>3538</v>
      </c>
      <c r="AH97" s="81" t="s">
        <v>534</v>
      </c>
      <c r="AI97" s="81" t="s">
        <v>3387</v>
      </c>
      <c r="AJ97" s="81" t="s">
        <v>3387</v>
      </c>
      <c r="AK97" s="81" t="s">
        <v>534</v>
      </c>
      <c r="AL97" s="80" t="s">
        <v>3418</v>
      </c>
      <c r="AM97" s="80" t="s">
        <v>3462</v>
      </c>
      <c r="AN97" s="81" t="s">
        <v>3491</v>
      </c>
      <c r="AO97" s="80" t="s">
        <v>3491</v>
      </c>
      <c r="AP97" s="84" t="s">
        <v>3387</v>
      </c>
      <c r="AQ97" s="80" t="s">
        <v>3387</v>
      </c>
      <c r="AR97" s="81" t="s">
        <v>1659</v>
      </c>
      <c r="AS97" s="81" t="s">
        <v>3598</v>
      </c>
      <c r="AT97" s="81" t="s">
        <v>490</v>
      </c>
      <c r="AU97" s="81" t="s">
        <v>447</v>
      </c>
      <c r="AV97" s="80" t="s">
        <v>6</v>
      </c>
    </row>
    <row r="98" spans="1:48" ht="15">
      <c r="A98" s="80">
        <v>97</v>
      </c>
      <c r="B98" s="80" t="s">
        <v>585</v>
      </c>
      <c r="C98" s="80" t="s">
        <v>395</v>
      </c>
      <c r="D98" s="80" t="s">
        <v>403</v>
      </c>
      <c r="E98" s="81" t="s">
        <v>2788</v>
      </c>
      <c r="F98" s="80" t="s">
        <v>448</v>
      </c>
      <c r="G98" s="80" t="s">
        <v>491</v>
      </c>
      <c r="H98" s="81" t="s">
        <v>4247</v>
      </c>
      <c r="I98" s="80" t="s">
        <v>769</v>
      </c>
      <c r="J98" s="80" t="s">
        <v>535</v>
      </c>
      <c r="K98" s="81" t="s">
        <v>552</v>
      </c>
      <c r="L98" s="80" t="s">
        <v>395</v>
      </c>
      <c r="M98" s="80" t="s">
        <v>585</v>
      </c>
      <c r="N98" s="81" t="s">
        <v>2573</v>
      </c>
      <c r="O98" s="81" t="s">
        <v>2582</v>
      </c>
      <c r="P98" s="81" t="s">
        <v>1928</v>
      </c>
      <c r="Q98" s="81" t="s">
        <v>552</v>
      </c>
      <c r="R98" s="81" t="s">
        <v>3176</v>
      </c>
      <c r="S98" s="81" t="s">
        <v>1179</v>
      </c>
      <c r="T98" s="88" t="s">
        <v>2609</v>
      </c>
      <c r="U98" s="80" t="s">
        <v>491</v>
      </c>
      <c r="V98" s="81" t="s">
        <v>1774</v>
      </c>
      <c r="W98" s="81" t="s">
        <v>2619</v>
      </c>
      <c r="X98" s="80" t="s">
        <v>2663</v>
      </c>
      <c r="Y98" s="80" t="s">
        <v>2718</v>
      </c>
      <c r="Z98" s="80" t="s">
        <v>1608</v>
      </c>
      <c r="AA98" s="80" t="s">
        <v>448</v>
      </c>
      <c r="AB98" s="81" t="s">
        <v>1618</v>
      </c>
      <c r="AC98" s="81" t="s">
        <v>1591</v>
      </c>
      <c r="AD98" s="80" t="s">
        <v>1660</v>
      </c>
      <c r="AE98" s="81" t="s">
        <v>2026</v>
      </c>
      <c r="AF98" s="81" t="s">
        <v>552</v>
      </c>
      <c r="AG98" s="81" t="s">
        <v>3539</v>
      </c>
      <c r="AH98" s="81" t="s">
        <v>535</v>
      </c>
      <c r="AI98" s="81" t="s">
        <v>3388</v>
      </c>
      <c r="AJ98" s="81" t="s">
        <v>3388</v>
      </c>
      <c r="AK98" s="81" t="s">
        <v>535</v>
      </c>
      <c r="AL98" s="80" t="s">
        <v>3419</v>
      </c>
      <c r="AM98" s="80" t="s">
        <v>3463</v>
      </c>
      <c r="AN98" s="81" t="s">
        <v>3492</v>
      </c>
      <c r="AO98" s="80" t="s">
        <v>3492</v>
      </c>
      <c r="AP98" s="84" t="s">
        <v>3388</v>
      </c>
      <c r="AQ98" s="80" t="s">
        <v>3388</v>
      </c>
      <c r="AR98" s="81" t="s">
        <v>1660</v>
      </c>
      <c r="AS98" s="81" t="s">
        <v>3497</v>
      </c>
      <c r="AT98" s="81" t="s">
        <v>491</v>
      </c>
      <c r="AU98" s="81" t="s">
        <v>448</v>
      </c>
      <c r="AV98" s="80" t="s">
        <v>7</v>
      </c>
    </row>
    <row r="99" spans="1:48" ht="15">
      <c r="A99" s="80">
        <v>98</v>
      </c>
      <c r="B99" s="80" t="s">
        <v>586</v>
      </c>
      <c r="C99" s="80" t="s">
        <v>396</v>
      </c>
      <c r="D99" s="80" t="s">
        <v>404</v>
      </c>
      <c r="E99" s="81" t="s">
        <v>2789</v>
      </c>
      <c r="F99" s="80" t="s">
        <v>449</v>
      </c>
      <c r="G99" s="80" t="s">
        <v>492</v>
      </c>
      <c r="H99" s="81" t="s">
        <v>4248</v>
      </c>
      <c r="I99" s="80" t="s">
        <v>770</v>
      </c>
      <c r="J99" s="80" t="s">
        <v>536</v>
      </c>
      <c r="K99" s="81" t="s">
        <v>553</v>
      </c>
      <c r="L99" s="80" t="s">
        <v>396</v>
      </c>
      <c r="M99" s="80" t="s">
        <v>586</v>
      </c>
      <c r="N99" s="81" t="s">
        <v>2574</v>
      </c>
      <c r="O99" s="81" t="s">
        <v>2583</v>
      </c>
      <c r="P99" s="81" t="s">
        <v>1929</v>
      </c>
      <c r="Q99" s="81" t="s">
        <v>553</v>
      </c>
      <c r="R99" s="81" t="s">
        <v>3177</v>
      </c>
      <c r="S99" s="81" t="s">
        <v>1180</v>
      </c>
      <c r="T99" s="88" t="s">
        <v>2610</v>
      </c>
      <c r="U99" s="80" t="s">
        <v>492</v>
      </c>
      <c r="V99" s="81" t="s">
        <v>1775</v>
      </c>
      <c r="W99" s="81" t="s">
        <v>2620</v>
      </c>
      <c r="X99" s="80" t="s">
        <v>2664</v>
      </c>
      <c r="Y99" s="80" t="s">
        <v>2719</v>
      </c>
      <c r="Z99" s="80" t="s">
        <v>1609</v>
      </c>
      <c r="AA99" s="80" t="s">
        <v>908</v>
      </c>
      <c r="AB99" s="81" t="s">
        <v>1619</v>
      </c>
      <c r="AC99" s="81" t="s">
        <v>1592</v>
      </c>
      <c r="AD99" s="80" t="s">
        <v>1661</v>
      </c>
      <c r="AE99" s="81" t="s">
        <v>2027</v>
      </c>
      <c r="AF99" s="81" t="s">
        <v>553</v>
      </c>
      <c r="AG99" s="81" t="s">
        <v>3540</v>
      </c>
      <c r="AH99" s="81" t="s">
        <v>536</v>
      </c>
      <c r="AI99" s="81" t="s">
        <v>3389</v>
      </c>
      <c r="AJ99" s="81" t="s">
        <v>3389</v>
      </c>
      <c r="AK99" s="81" t="s">
        <v>536</v>
      </c>
      <c r="AL99" s="80" t="s">
        <v>3420</v>
      </c>
      <c r="AM99" s="80" t="s">
        <v>3464</v>
      </c>
      <c r="AN99" s="81" t="s">
        <v>3493</v>
      </c>
      <c r="AO99" s="80" t="s">
        <v>3493</v>
      </c>
      <c r="AP99" s="84" t="s">
        <v>3389</v>
      </c>
      <c r="AQ99" s="80" t="s">
        <v>3389</v>
      </c>
      <c r="AR99" s="81" t="s">
        <v>1661</v>
      </c>
      <c r="AS99" s="81" t="s">
        <v>3599</v>
      </c>
      <c r="AT99" s="81" t="s">
        <v>492</v>
      </c>
      <c r="AU99" s="81" t="s">
        <v>908</v>
      </c>
      <c r="AV99" s="80" t="s">
        <v>8</v>
      </c>
    </row>
    <row r="100" spans="1:48" ht="15">
      <c r="A100" s="80">
        <v>99</v>
      </c>
      <c r="B100" s="80" t="s">
        <v>587</v>
      </c>
      <c r="C100" s="80" t="s">
        <v>397</v>
      </c>
      <c r="D100" s="80" t="s">
        <v>405</v>
      </c>
      <c r="E100" s="81" t="s">
        <v>2790</v>
      </c>
      <c r="F100" s="80" t="s">
        <v>450</v>
      </c>
      <c r="G100" s="80" t="s">
        <v>493</v>
      </c>
      <c r="H100" s="81" t="s">
        <v>4249</v>
      </c>
      <c r="I100" s="80" t="s">
        <v>771</v>
      </c>
      <c r="J100" s="80" t="s">
        <v>537</v>
      </c>
      <c r="K100" s="81" t="s">
        <v>554</v>
      </c>
      <c r="L100" s="80" t="s">
        <v>397</v>
      </c>
      <c r="M100" s="80" t="s">
        <v>587</v>
      </c>
      <c r="N100" s="81" t="s">
        <v>2575</v>
      </c>
      <c r="O100" s="81" t="s">
        <v>2584</v>
      </c>
      <c r="P100" s="81" t="s">
        <v>1930</v>
      </c>
      <c r="Q100" s="81" t="s">
        <v>554</v>
      </c>
      <c r="R100" s="81" t="s">
        <v>3178</v>
      </c>
      <c r="S100" s="81" t="s">
        <v>1181</v>
      </c>
      <c r="T100" s="88" t="s">
        <v>2611</v>
      </c>
      <c r="U100" s="80" t="s">
        <v>493</v>
      </c>
      <c r="V100" s="81" t="s">
        <v>1776</v>
      </c>
      <c r="W100" s="81" t="s">
        <v>2621</v>
      </c>
      <c r="X100" s="80" t="s">
        <v>2665</v>
      </c>
      <c r="Y100" s="80" t="s">
        <v>2720</v>
      </c>
      <c r="Z100" s="80" t="s">
        <v>1610</v>
      </c>
      <c r="AA100" s="80" t="s">
        <v>909</v>
      </c>
      <c r="AB100" s="81" t="s">
        <v>1620</v>
      </c>
      <c r="AC100" s="81" t="s">
        <v>1593</v>
      </c>
      <c r="AD100" s="80" t="s">
        <v>1662</v>
      </c>
      <c r="AE100" s="81" t="s">
        <v>2028</v>
      </c>
      <c r="AF100" s="81" t="s">
        <v>554</v>
      </c>
      <c r="AG100" s="81" t="s">
        <v>3541</v>
      </c>
      <c r="AH100" s="81" t="s">
        <v>537</v>
      </c>
      <c r="AI100" s="81" t="s">
        <v>3390</v>
      </c>
      <c r="AJ100" s="81" t="s">
        <v>3390</v>
      </c>
      <c r="AK100" s="81" t="s">
        <v>537</v>
      </c>
      <c r="AL100" s="80" t="s">
        <v>3421</v>
      </c>
      <c r="AM100" s="80" t="s">
        <v>3465</v>
      </c>
      <c r="AN100" s="81" t="s">
        <v>3494</v>
      </c>
      <c r="AO100" s="80" t="s">
        <v>3494</v>
      </c>
      <c r="AP100" s="84" t="s">
        <v>3390</v>
      </c>
      <c r="AQ100" s="80" t="s">
        <v>3390</v>
      </c>
      <c r="AR100" s="81" t="s">
        <v>1662</v>
      </c>
      <c r="AS100" s="81" t="s">
        <v>3600</v>
      </c>
      <c r="AT100" s="81" t="s">
        <v>493</v>
      </c>
      <c r="AU100" s="81" t="s">
        <v>909</v>
      </c>
      <c r="AV100" s="80" t="s">
        <v>9</v>
      </c>
    </row>
    <row r="101" spans="1:48" ht="15">
      <c r="A101" s="80">
        <v>100</v>
      </c>
      <c r="B101" s="80" t="s">
        <v>588</v>
      </c>
      <c r="C101" s="80" t="s">
        <v>398</v>
      </c>
      <c r="D101" s="80" t="s">
        <v>406</v>
      </c>
      <c r="E101" s="81" t="s">
        <v>2791</v>
      </c>
      <c r="F101" s="80" t="s">
        <v>451</v>
      </c>
      <c r="G101" s="80" t="s">
        <v>494</v>
      </c>
      <c r="H101" s="81" t="s">
        <v>4250</v>
      </c>
      <c r="I101" s="80" t="s">
        <v>772</v>
      </c>
      <c r="J101" s="80" t="s">
        <v>538</v>
      </c>
      <c r="K101" s="81" t="s">
        <v>555</v>
      </c>
      <c r="L101" s="80" t="s">
        <v>398</v>
      </c>
      <c r="M101" s="80" t="s">
        <v>588</v>
      </c>
      <c r="N101" s="81" t="s">
        <v>2576</v>
      </c>
      <c r="O101" s="81" t="s">
        <v>2585</v>
      </c>
      <c r="P101" s="81" t="s">
        <v>1931</v>
      </c>
      <c r="Q101" s="81" t="s">
        <v>555</v>
      </c>
      <c r="R101" s="81" t="s">
        <v>3179</v>
      </c>
      <c r="S101" s="81" t="s">
        <v>1182</v>
      </c>
      <c r="T101" s="88" t="s">
        <v>2612</v>
      </c>
      <c r="U101" s="80" t="s">
        <v>494</v>
      </c>
      <c r="V101" s="81" t="s">
        <v>1777</v>
      </c>
      <c r="W101" s="81" t="s">
        <v>2622</v>
      </c>
      <c r="X101" s="80" t="s">
        <v>2666</v>
      </c>
      <c r="Y101" s="80" t="s">
        <v>2721</v>
      </c>
      <c r="Z101" s="80" t="s">
        <v>1611</v>
      </c>
      <c r="AA101" s="80" t="s">
        <v>451</v>
      </c>
      <c r="AB101" s="81" t="s">
        <v>1621</v>
      </c>
      <c r="AC101" s="81" t="s">
        <v>1594</v>
      </c>
      <c r="AD101" s="80" t="s">
        <v>1663</v>
      </c>
      <c r="AE101" s="81" t="s">
        <v>2029</v>
      </c>
      <c r="AF101" s="81" t="s">
        <v>555</v>
      </c>
      <c r="AG101" s="81" t="s">
        <v>3542</v>
      </c>
      <c r="AH101" s="81" t="s">
        <v>538</v>
      </c>
      <c r="AI101" s="81" t="s">
        <v>3391</v>
      </c>
      <c r="AJ101" s="81" t="s">
        <v>3391</v>
      </c>
      <c r="AK101" s="81" t="s">
        <v>538</v>
      </c>
      <c r="AL101" s="80" t="s">
        <v>3422</v>
      </c>
      <c r="AM101" s="80" t="s">
        <v>3466</v>
      </c>
      <c r="AN101" s="81" t="s">
        <v>3495</v>
      </c>
      <c r="AO101" s="80" t="s">
        <v>3495</v>
      </c>
      <c r="AP101" s="84" t="s">
        <v>3391</v>
      </c>
      <c r="AQ101" s="80" t="s">
        <v>3391</v>
      </c>
      <c r="AR101" s="81" t="s">
        <v>1663</v>
      </c>
      <c r="AS101" s="81" t="s">
        <v>3601</v>
      </c>
      <c r="AT101" s="81" t="s">
        <v>494</v>
      </c>
      <c r="AU101" s="81" t="s">
        <v>451</v>
      </c>
      <c r="AV101" s="80" t="s">
        <v>10</v>
      </c>
    </row>
    <row r="102" spans="1:48" ht="15">
      <c r="A102" s="80">
        <v>101</v>
      </c>
      <c r="B102" s="80" t="s">
        <v>2689</v>
      </c>
      <c r="C102" s="80" t="s">
        <v>3330</v>
      </c>
      <c r="D102" s="80" t="s">
        <v>1494</v>
      </c>
      <c r="E102" s="81" t="s">
        <v>2792</v>
      </c>
      <c r="F102" s="80" t="s">
        <v>3334</v>
      </c>
      <c r="G102" s="80" t="s">
        <v>3344</v>
      </c>
      <c r="H102" s="81" t="s">
        <v>4251</v>
      </c>
      <c r="I102" s="81" t="s">
        <v>1736</v>
      </c>
      <c r="J102" s="80" t="s">
        <v>3350</v>
      </c>
      <c r="K102" s="81" t="s">
        <v>256</v>
      </c>
      <c r="L102" s="80" t="s">
        <v>2365</v>
      </c>
      <c r="M102" s="80" t="s">
        <v>2689</v>
      </c>
      <c r="N102" s="81" t="s">
        <v>3357</v>
      </c>
      <c r="O102" s="81" t="s">
        <v>3717</v>
      </c>
      <c r="P102" s="80" t="s">
        <v>1932</v>
      </c>
      <c r="Q102" s="81" t="s">
        <v>3278</v>
      </c>
      <c r="R102" s="81" t="s">
        <v>986</v>
      </c>
      <c r="S102" s="81" t="s">
        <v>1183</v>
      </c>
      <c r="T102" s="88" t="s">
        <v>1238</v>
      </c>
      <c r="U102" s="80" t="s">
        <v>3340</v>
      </c>
      <c r="V102" s="81" t="s">
        <v>1778</v>
      </c>
      <c r="W102" s="81" t="s">
        <v>1833</v>
      </c>
      <c r="X102" s="80" t="s">
        <v>990</v>
      </c>
      <c r="Y102" s="80" t="s">
        <v>996</v>
      </c>
      <c r="Z102" s="80" t="s">
        <v>2689</v>
      </c>
      <c r="AA102" s="80" t="s">
        <v>1427</v>
      </c>
      <c r="AB102" s="81" t="s">
        <v>2326</v>
      </c>
      <c r="AC102" s="81" t="s">
        <v>1595</v>
      </c>
      <c r="AD102" s="80" t="s">
        <v>1002</v>
      </c>
      <c r="AE102" s="81" t="s">
        <v>2030</v>
      </c>
      <c r="AF102" s="81" t="s">
        <v>1147</v>
      </c>
      <c r="AG102" s="81" t="s">
        <v>3543</v>
      </c>
      <c r="AH102" s="81" t="s">
        <v>3235</v>
      </c>
      <c r="AI102" s="81" t="s">
        <v>2417</v>
      </c>
      <c r="AJ102" s="81" t="s">
        <v>1007</v>
      </c>
      <c r="AK102" s="81" t="s">
        <v>2125</v>
      </c>
      <c r="AL102" s="80" t="s">
        <v>1009</v>
      </c>
      <c r="AM102" s="80" t="s">
        <v>1013</v>
      </c>
      <c r="AN102" s="81" t="s">
        <v>1091</v>
      </c>
      <c r="AO102" s="80" t="s">
        <v>3350</v>
      </c>
      <c r="AP102" s="84" t="s">
        <v>1869</v>
      </c>
      <c r="AQ102" s="80" t="s">
        <v>2190</v>
      </c>
      <c r="AR102" s="81" t="s">
        <v>3319</v>
      </c>
      <c r="AS102" s="81" t="s">
        <v>1362</v>
      </c>
      <c r="AT102" s="81" t="s">
        <v>1021</v>
      </c>
      <c r="AU102" s="81" t="s">
        <v>910</v>
      </c>
      <c r="AV102" s="80" t="s">
        <v>980</v>
      </c>
    </row>
    <row r="103" spans="1:48" ht="15">
      <c r="A103" s="80">
        <v>102</v>
      </c>
      <c r="B103" s="80" t="s">
        <v>2690</v>
      </c>
      <c r="C103" s="80" t="s">
        <v>3331</v>
      </c>
      <c r="D103" s="80" t="s">
        <v>1495</v>
      </c>
      <c r="E103" s="81" t="s">
        <v>2793</v>
      </c>
      <c r="F103" s="80" t="s">
        <v>3335</v>
      </c>
      <c r="G103" s="80" t="s">
        <v>3345</v>
      </c>
      <c r="H103" s="81" t="s">
        <v>4252</v>
      </c>
      <c r="I103" s="81" t="s">
        <v>1737</v>
      </c>
      <c r="J103" s="80" t="s">
        <v>3351</v>
      </c>
      <c r="K103" s="81" t="s">
        <v>257</v>
      </c>
      <c r="L103" s="80" t="s">
        <v>2366</v>
      </c>
      <c r="M103" s="80" t="s">
        <v>2690</v>
      </c>
      <c r="N103" s="81" t="s">
        <v>3358</v>
      </c>
      <c r="O103" s="81" t="s">
        <v>3718</v>
      </c>
      <c r="P103" s="80" t="s">
        <v>1933</v>
      </c>
      <c r="Q103" s="81" t="s">
        <v>3279</v>
      </c>
      <c r="R103" s="81" t="s">
        <v>987</v>
      </c>
      <c r="S103" s="81" t="s">
        <v>1184</v>
      </c>
      <c r="T103" s="88" t="s">
        <v>1239</v>
      </c>
      <c r="U103" s="80" t="s">
        <v>3341</v>
      </c>
      <c r="V103" s="81" t="s">
        <v>1779</v>
      </c>
      <c r="W103" s="81" t="s">
        <v>1834</v>
      </c>
      <c r="X103" s="80" t="s">
        <v>991</v>
      </c>
      <c r="Y103" s="80" t="s">
        <v>997</v>
      </c>
      <c r="Z103" s="80" t="s">
        <v>2690</v>
      </c>
      <c r="AA103" s="80" t="s">
        <v>1428</v>
      </c>
      <c r="AB103" s="81" t="s">
        <v>2327</v>
      </c>
      <c r="AC103" s="81" t="s">
        <v>1596</v>
      </c>
      <c r="AD103" s="80" t="s">
        <v>3351</v>
      </c>
      <c r="AE103" s="81" t="s">
        <v>2031</v>
      </c>
      <c r="AF103" s="81" t="s">
        <v>1148</v>
      </c>
      <c r="AG103" s="81" t="s">
        <v>3544</v>
      </c>
      <c r="AH103" s="81" t="s">
        <v>3236</v>
      </c>
      <c r="AI103" s="81" t="s">
        <v>2418</v>
      </c>
      <c r="AJ103" s="81" t="s">
        <v>1279</v>
      </c>
      <c r="AK103" s="81" t="s">
        <v>2126</v>
      </c>
      <c r="AL103" s="80" t="s">
        <v>1010</v>
      </c>
      <c r="AM103" s="80" t="s">
        <v>1014</v>
      </c>
      <c r="AN103" s="81" t="s">
        <v>1092</v>
      </c>
      <c r="AO103" s="80" t="s">
        <v>3356</v>
      </c>
      <c r="AP103" s="84" t="s">
        <v>1870</v>
      </c>
      <c r="AQ103" s="80" t="s">
        <v>2191</v>
      </c>
      <c r="AR103" s="81" t="s">
        <v>3320</v>
      </c>
      <c r="AS103" s="81" t="s">
        <v>1363</v>
      </c>
      <c r="AT103" s="81" t="s">
        <v>1022</v>
      </c>
      <c r="AU103" s="81" t="s">
        <v>911</v>
      </c>
      <c r="AV103" s="80" t="s">
        <v>981</v>
      </c>
    </row>
    <row r="104" spans="1:48" ht="15">
      <c r="A104" s="80">
        <v>103</v>
      </c>
      <c r="B104" s="80" t="s">
        <v>2691</v>
      </c>
      <c r="C104" s="80" t="s">
        <v>3332</v>
      </c>
      <c r="D104" s="80" t="s">
        <v>1496</v>
      </c>
      <c r="E104" s="81" t="s">
        <v>2794</v>
      </c>
      <c r="F104" s="80" t="s">
        <v>3336</v>
      </c>
      <c r="G104" s="80" t="s">
        <v>3346</v>
      </c>
      <c r="H104" s="81" t="s">
        <v>4253</v>
      </c>
      <c r="I104" s="81" t="s">
        <v>1738</v>
      </c>
      <c r="J104" s="80" t="s">
        <v>3352</v>
      </c>
      <c r="K104" s="81" t="s">
        <v>258</v>
      </c>
      <c r="L104" s="80" t="s">
        <v>2367</v>
      </c>
      <c r="M104" s="80" t="s">
        <v>2691</v>
      </c>
      <c r="N104" s="81" t="s">
        <v>3359</v>
      </c>
      <c r="O104" s="81" t="s">
        <v>3719</v>
      </c>
      <c r="P104" s="80" t="s">
        <v>1934</v>
      </c>
      <c r="Q104" s="81" t="s">
        <v>3280</v>
      </c>
      <c r="R104" s="81" t="s">
        <v>988</v>
      </c>
      <c r="S104" s="81" t="s">
        <v>1185</v>
      </c>
      <c r="T104" s="88" t="s">
        <v>1240</v>
      </c>
      <c r="U104" s="80" t="s">
        <v>3342</v>
      </c>
      <c r="V104" s="81" t="s">
        <v>1780</v>
      </c>
      <c r="W104" s="81" t="s">
        <v>1835</v>
      </c>
      <c r="X104" s="80" t="s">
        <v>992</v>
      </c>
      <c r="Y104" s="80" t="s">
        <v>998</v>
      </c>
      <c r="Z104" s="80" t="s">
        <v>2691</v>
      </c>
      <c r="AA104" s="80" t="s">
        <v>1429</v>
      </c>
      <c r="AB104" s="81" t="s">
        <v>2328</v>
      </c>
      <c r="AC104" s="81" t="s">
        <v>1597</v>
      </c>
      <c r="AD104" s="80" t="s">
        <v>1003</v>
      </c>
      <c r="AE104" s="81" t="s">
        <v>2032</v>
      </c>
      <c r="AF104" s="81" t="s">
        <v>1149</v>
      </c>
      <c r="AG104" s="81" t="s">
        <v>3545</v>
      </c>
      <c r="AH104" s="81" t="s">
        <v>3237</v>
      </c>
      <c r="AI104" s="81" t="s">
        <v>2419</v>
      </c>
      <c r="AJ104" s="81" t="s">
        <v>1008</v>
      </c>
      <c r="AK104" s="81" t="s">
        <v>2127</v>
      </c>
      <c r="AL104" s="80" t="s">
        <v>1011</v>
      </c>
      <c r="AM104" s="80" t="s">
        <v>1015</v>
      </c>
      <c r="AN104" s="81" t="s">
        <v>1093</v>
      </c>
      <c r="AO104" s="80" t="s">
        <v>3352</v>
      </c>
      <c r="AP104" s="84" t="s">
        <v>1871</v>
      </c>
      <c r="AQ104" s="80" t="s">
        <v>2192</v>
      </c>
      <c r="AR104" s="81" t="s">
        <v>3321</v>
      </c>
      <c r="AS104" s="81" t="s">
        <v>1364</v>
      </c>
      <c r="AT104" s="81" t="s">
        <v>1023</v>
      </c>
      <c r="AU104" s="81" t="s">
        <v>912</v>
      </c>
      <c r="AV104" s="80" t="s">
        <v>982</v>
      </c>
    </row>
    <row r="105" spans="1:48" ht="15">
      <c r="A105" s="80">
        <v>104</v>
      </c>
      <c r="B105" s="80" t="s">
        <v>2692</v>
      </c>
      <c r="C105" s="80" t="s">
        <v>3333</v>
      </c>
      <c r="D105" s="80" t="s">
        <v>1497</v>
      </c>
      <c r="E105" s="81" t="s">
        <v>2795</v>
      </c>
      <c r="F105" s="80" t="s">
        <v>3337</v>
      </c>
      <c r="G105" s="80" t="s">
        <v>3347</v>
      </c>
      <c r="H105" s="81" t="s">
        <v>4254</v>
      </c>
      <c r="I105" s="81" t="s">
        <v>1739</v>
      </c>
      <c r="J105" s="80" t="s">
        <v>3353</v>
      </c>
      <c r="K105" s="81" t="s">
        <v>259</v>
      </c>
      <c r="L105" s="80" t="s">
        <v>2368</v>
      </c>
      <c r="M105" s="80" t="s">
        <v>2692</v>
      </c>
      <c r="N105" s="81" t="s">
        <v>3360</v>
      </c>
      <c r="O105" s="81" t="s">
        <v>3720</v>
      </c>
      <c r="P105" s="80" t="s">
        <v>1935</v>
      </c>
      <c r="Q105" s="81" t="s">
        <v>3281</v>
      </c>
      <c r="R105" s="81" t="s">
        <v>989</v>
      </c>
      <c r="S105" s="81" t="s">
        <v>1186</v>
      </c>
      <c r="T105" s="88" t="s">
        <v>1241</v>
      </c>
      <c r="U105" s="80" t="s">
        <v>3343</v>
      </c>
      <c r="V105" s="81" t="s">
        <v>1781</v>
      </c>
      <c r="W105" s="81" t="s">
        <v>1836</v>
      </c>
      <c r="X105" s="80" t="s">
        <v>993</v>
      </c>
      <c r="Y105" s="80" t="s">
        <v>999</v>
      </c>
      <c r="Z105" s="80" t="s">
        <v>2692</v>
      </c>
      <c r="AA105" s="80" t="s">
        <v>1430</v>
      </c>
      <c r="AB105" s="81" t="s">
        <v>2329</v>
      </c>
      <c r="AC105" s="81" t="s">
        <v>1598</v>
      </c>
      <c r="AD105" s="80" t="s">
        <v>1004</v>
      </c>
      <c r="AE105" s="81" t="s">
        <v>2033</v>
      </c>
      <c r="AF105" s="81" t="s">
        <v>1150</v>
      </c>
      <c r="AG105" s="81" t="s">
        <v>3546</v>
      </c>
      <c r="AH105" s="81" t="s">
        <v>3238</v>
      </c>
      <c r="AI105" s="81" t="s">
        <v>2420</v>
      </c>
      <c r="AJ105" s="81" t="s">
        <v>1280</v>
      </c>
      <c r="AK105" s="81" t="s">
        <v>2128</v>
      </c>
      <c r="AL105" s="80" t="s">
        <v>1012</v>
      </c>
      <c r="AM105" s="80" t="s">
        <v>1016</v>
      </c>
      <c r="AN105" s="81" t="s">
        <v>1094</v>
      </c>
      <c r="AO105" s="80" t="s">
        <v>3353</v>
      </c>
      <c r="AP105" s="84" t="s">
        <v>1872</v>
      </c>
      <c r="AQ105" s="80" t="s">
        <v>2193</v>
      </c>
      <c r="AR105" s="81" t="s">
        <v>3322</v>
      </c>
      <c r="AS105" s="81" t="s">
        <v>1365</v>
      </c>
      <c r="AT105" s="81" t="s">
        <v>1024</v>
      </c>
      <c r="AU105" s="81" t="s">
        <v>913</v>
      </c>
      <c r="AV105" s="80" t="s">
        <v>983</v>
      </c>
    </row>
    <row r="106" spans="1:48" ht="15">
      <c r="A106" s="80">
        <v>105</v>
      </c>
      <c r="B106" s="80" t="s">
        <v>2693</v>
      </c>
      <c r="C106" s="80" t="s">
        <v>2693</v>
      </c>
      <c r="D106" s="80" t="s">
        <v>1498</v>
      </c>
      <c r="E106" s="81" t="s">
        <v>2796</v>
      </c>
      <c r="F106" s="80" t="s">
        <v>3338</v>
      </c>
      <c r="G106" s="80" t="s">
        <v>3348</v>
      </c>
      <c r="H106" s="81" t="s">
        <v>4255</v>
      </c>
      <c r="I106" s="81" t="s">
        <v>1740</v>
      </c>
      <c r="J106" s="80" t="s">
        <v>3354</v>
      </c>
      <c r="K106" s="81" t="s">
        <v>260</v>
      </c>
      <c r="L106" s="80" t="s">
        <v>2369</v>
      </c>
      <c r="M106" s="80" t="s">
        <v>2693</v>
      </c>
      <c r="N106" s="81" t="s">
        <v>3670</v>
      </c>
      <c r="O106" s="81" t="s">
        <v>3721</v>
      </c>
      <c r="P106" s="80" t="s">
        <v>1936</v>
      </c>
      <c r="Q106" s="81" t="s">
        <v>3282</v>
      </c>
      <c r="R106" s="81" t="s">
        <v>3180</v>
      </c>
      <c r="S106" s="81" t="s">
        <v>1187</v>
      </c>
      <c r="T106" s="88" t="s">
        <v>1242</v>
      </c>
      <c r="U106" s="80" t="s">
        <v>1041</v>
      </c>
      <c r="V106" s="81" t="s">
        <v>1782</v>
      </c>
      <c r="W106" s="81" t="s">
        <v>1837</v>
      </c>
      <c r="X106" s="80" t="s">
        <v>994</v>
      </c>
      <c r="Y106" s="80" t="s">
        <v>1000</v>
      </c>
      <c r="Z106" s="80" t="s">
        <v>2693</v>
      </c>
      <c r="AA106" s="80" t="s">
        <v>1431</v>
      </c>
      <c r="AB106" s="81" t="s">
        <v>2330</v>
      </c>
      <c r="AC106" s="81" t="s">
        <v>1599</v>
      </c>
      <c r="AD106" s="80" t="s">
        <v>2693</v>
      </c>
      <c r="AE106" s="81" t="s">
        <v>2034</v>
      </c>
      <c r="AF106" s="81" t="s">
        <v>1151</v>
      </c>
      <c r="AG106" s="81" t="s">
        <v>3547</v>
      </c>
      <c r="AH106" s="81" t="s">
        <v>3239</v>
      </c>
      <c r="AI106" s="81" t="s">
        <v>2421</v>
      </c>
      <c r="AJ106" s="81" t="s">
        <v>1281</v>
      </c>
      <c r="AK106" s="81" t="s">
        <v>2129</v>
      </c>
      <c r="AL106" s="81" t="s">
        <v>2157</v>
      </c>
      <c r="AM106" s="80" t="s">
        <v>1017</v>
      </c>
      <c r="AN106" s="81" t="s">
        <v>1095</v>
      </c>
      <c r="AO106" s="80" t="s">
        <v>2693</v>
      </c>
      <c r="AP106" s="84" t="s">
        <v>1019</v>
      </c>
      <c r="AQ106" s="80" t="s">
        <v>2194</v>
      </c>
      <c r="AR106" s="81" t="s">
        <v>3323</v>
      </c>
      <c r="AS106" s="81" t="s">
        <v>1358</v>
      </c>
      <c r="AT106" s="81" t="s">
        <v>2565</v>
      </c>
      <c r="AU106" s="81" t="s">
        <v>914</v>
      </c>
      <c r="AV106" s="80" t="s">
        <v>984</v>
      </c>
    </row>
    <row r="107" spans="1:48" ht="15">
      <c r="A107" s="80">
        <v>106</v>
      </c>
      <c r="B107" s="80" t="s">
        <v>2694</v>
      </c>
      <c r="C107" s="80" t="s">
        <v>2694</v>
      </c>
      <c r="D107" s="80" t="s">
        <v>1499</v>
      </c>
      <c r="E107" s="81" t="s">
        <v>2797</v>
      </c>
      <c r="F107" s="80" t="s">
        <v>3339</v>
      </c>
      <c r="G107" s="80" t="s">
        <v>3349</v>
      </c>
      <c r="H107" s="81" t="s">
        <v>4256</v>
      </c>
      <c r="I107" s="81" t="s">
        <v>1741</v>
      </c>
      <c r="J107" s="80" t="s">
        <v>3355</v>
      </c>
      <c r="K107" s="81" t="s">
        <v>261</v>
      </c>
      <c r="L107" s="80" t="s">
        <v>2370</v>
      </c>
      <c r="M107" s="80" t="s">
        <v>2694</v>
      </c>
      <c r="N107" s="81" t="s">
        <v>3671</v>
      </c>
      <c r="O107" s="81" t="s">
        <v>3722</v>
      </c>
      <c r="P107" s="80" t="s">
        <v>1937</v>
      </c>
      <c r="Q107" s="81" t="s">
        <v>3283</v>
      </c>
      <c r="R107" s="81" t="s">
        <v>3181</v>
      </c>
      <c r="S107" s="81" t="s">
        <v>1188</v>
      </c>
      <c r="T107" s="88" t="s">
        <v>1243</v>
      </c>
      <c r="U107" s="80" t="s">
        <v>1042</v>
      </c>
      <c r="V107" s="81" t="s">
        <v>1783</v>
      </c>
      <c r="W107" s="81" t="s">
        <v>1838</v>
      </c>
      <c r="X107" s="80" t="s">
        <v>995</v>
      </c>
      <c r="Y107" s="80" t="s">
        <v>1001</v>
      </c>
      <c r="Z107" s="80" t="s">
        <v>2694</v>
      </c>
      <c r="AA107" s="80" t="s">
        <v>1432</v>
      </c>
      <c r="AB107" s="81" t="s">
        <v>2331</v>
      </c>
      <c r="AC107" s="81" t="s">
        <v>1600</v>
      </c>
      <c r="AD107" s="80" t="s">
        <v>2694</v>
      </c>
      <c r="AE107" s="81" t="s">
        <v>2035</v>
      </c>
      <c r="AF107" s="81" t="s">
        <v>1152</v>
      </c>
      <c r="AG107" s="81" t="s">
        <v>3548</v>
      </c>
      <c r="AH107" s="81" t="s">
        <v>3240</v>
      </c>
      <c r="AI107" s="81" t="s">
        <v>2422</v>
      </c>
      <c r="AJ107" s="81" t="s">
        <v>1282</v>
      </c>
      <c r="AK107" s="81" t="s">
        <v>2130</v>
      </c>
      <c r="AL107" s="81" t="s">
        <v>2158</v>
      </c>
      <c r="AM107" s="80" t="s">
        <v>1018</v>
      </c>
      <c r="AN107" s="81" t="s">
        <v>1096</v>
      </c>
      <c r="AO107" s="80" t="s">
        <v>2694</v>
      </c>
      <c r="AP107" s="84" t="s">
        <v>1020</v>
      </c>
      <c r="AQ107" s="80" t="s">
        <v>0</v>
      </c>
      <c r="AR107" s="81" t="s">
        <v>3324</v>
      </c>
      <c r="AS107" s="81" t="s">
        <v>1359</v>
      </c>
      <c r="AT107" s="81" t="s">
        <v>2566</v>
      </c>
      <c r="AU107" s="81" t="s">
        <v>915</v>
      </c>
      <c r="AV107" s="80" t="s">
        <v>985</v>
      </c>
    </row>
    <row r="108" spans="1:48" ht="15">
      <c r="A108" s="80">
        <v>107</v>
      </c>
      <c r="B108" s="80" t="s">
        <v>4257</v>
      </c>
      <c r="C108" s="80" t="s">
        <v>4258</v>
      </c>
      <c r="D108" s="80" t="s">
        <v>4259</v>
      </c>
      <c r="E108" s="81" t="s">
        <v>4260</v>
      </c>
      <c r="F108" s="80" t="s">
        <v>4261</v>
      </c>
      <c r="G108" s="80" t="s">
        <v>4262</v>
      </c>
      <c r="H108" s="81" t="s">
        <v>4263</v>
      </c>
      <c r="I108" s="81" t="s">
        <v>4264</v>
      </c>
      <c r="J108" s="80" t="s">
        <v>4265</v>
      </c>
      <c r="K108" s="81" t="s">
        <v>4266</v>
      </c>
      <c r="L108" s="80" t="s">
        <v>4267</v>
      </c>
      <c r="M108" s="80" t="s">
        <v>4257</v>
      </c>
      <c r="N108" s="81" t="s">
        <v>4268</v>
      </c>
      <c r="O108" s="81" t="s">
        <v>4269</v>
      </c>
      <c r="P108" s="81" t="s">
        <v>4270</v>
      </c>
      <c r="Q108" s="81" t="s">
        <v>4271</v>
      </c>
      <c r="R108" s="81" t="s">
        <v>4272</v>
      </c>
      <c r="S108" s="81" t="s">
        <v>4273</v>
      </c>
      <c r="T108" s="88" t="s">
        <v>4274</v>
      </c>
      <c r="U108" s="80" t="s">
        <v>4275</v>
      </c>
      <c r="V108" s="81" t="s">
        <v>4276</v>
      </c>
      <c r="W108" s="81" t="s">
        <v>4277</v>
      </c>
      <c r="X108" s="80" t="s">
        <v>4278</v>
      </c>
      <c r="Y108" s="80" t="s">
        <v>4279</v>
      </c>
      <c r="Z108" s="80" t="s">
        <v>4280</v>
      </c>
      <c r="AA108" s="80" t="s">
        <v>4281</v>
      </c>
      <c r="AB108" s="81" t="s">
        <v>4282</v>
      </c>
      <c r="AC108" s="81" t="s">
        <v>4283</v>
      </c>
      <c r="AD108" s="80" t="s">
        <v>1005</v>
      </c>
      <c r="AE108" s="81" t="s">
        <v>4284</v>
      </c>
      <c r="AF108" s="81" t="s">
        <v>4285</v>
      </c>
      <c r="AG108" s="81" t="s">
        <v>4286</v>
      </c>
      <c r="AH108" s="81" t="s">
        <v>4287</v>
      </c>
      <c r="AI108" s="81" t="s">
        <v>4288</v>
      </c>
      <c r="AJ108" s="81" t="s">
        <v>4289</v>
      </c>
      <c r="AK108" s="81" t="s">
        <v>4290</v>
      </c>
      <c r="AL108" s="81" t="s">
        <v>4291</v>
      </c>
      <c r="AM108" s="80" t="s">
        <v>4292</v>
      </c>
      <c r="AN108" s="81" t="s">
        <v>4293</v>
      </c>
      <c r="AO108" s="80" t="s">
        <v>4294</v>
      </c>
      <c r="AP108" s="84" t="s">
        <v>4295</v>
      </c>
      <c r="AQ108" s="80" t="s">
        <v>4296</v>
      </c>
      <c r="AR108" s="81" t="s">
        <v>4297</v>
      </c>
      <c r="AS108" s="81" t="s">
        <v>4298</v>
      </c>
      <c r="AT108" s="81" t="s">
        <v>4299</v>
      </c>
      <c r="AU108" s="81" t="s">
        <v>4300</v>
      </c>
      <c r="AV108" s="81" t="s">
        <v>4301</v>
      </c>
    </row>
    <row r="109" spans="1:48" ht="15">
      <c r="B109" s="80" t="s">
        <v>4302</v>
      </c>
      <c r="C109" s="80" t="s">
        <v>4303</v>
      </c>
      <c r="D109" s="80" t="s">
        <v>4304</v>
      </c>
      <c r="E109" s="81" t="s">
        <v>4305</v>
      </c>
      <c r="F109" s="80" t="s">
        <v>4306</v>
      </c>
      <c r="G109" s="80" t="s">
        <v>4307</v>
      </c>
      <c r="H109" s="81" t="s">
        <v>4308</v>
      </c>
      <c r="I109" s="80" t="s">
        <v>4309</v>
      </c>
      <c r="J109" s="80" t="s">
        <v>4310</v>
      </c>
      <c r="K109" s="81" t="s">
        <v>4311</v>
      </c>
      <c r="L109" s="80" t="s">
        <v>4312</v>
      </c>
      <c r="M109" s="80" t="s">
        <v>4302</v>
      </c>
      <c r="N109" s="81" t="s">
        <v>4313</v>
      </c>
      <c r="O109" s="81" t="s">
        <v>4314</v>
      </c>
      <c r="P109" s="81" t="s">
        <v>4315</v>
      </c>
      <c r="Q109" s="81" t="s">
        <v>4316</v>
      </c>
      <c r="R109" s="81" t="s">
        <v>4317</v>
      </c>
      <c r="S109" s="81" t="s">
        <v>4318</v>
      </c>
      <c r="T109" s="88" t="s">
        <v>4319</v>
      </c>
      <c r="U109" s="80" t="s">
        <v>4320</v>
      </c>
      <c r="V109" s="81" t="s">
        <v>4321</v>
      </c>
      <c r="W109" s="81" t="s">
        <v>4322</v>
      </c>
      <c r="X109" s="80" t="s">
        <v>4323</v>
      </c>
      <c r="Y109" s="80" t="s">
        <v>4324</v>
      </c>
      <c r="Z109" s="80" t="s">
        <v>4302</v>
      </c>
      <c r="AA109" s="80" t="s">
        <v>4325</v>
      </c>
      <c r="AB109" s="81" t="s">
        <v>4326</v>
      </c>
      <c r="AC109" s="81" t="s">
        <v>4327</v>
      </c>
      <c r="AD109" s="80" t="s">
        <v>1006</v>
      </c>
      <c r="AE109" s="81" t="s">
        <v>4328</v>
      </c>
      <c r="AF109" s="81" t="s">
        <v>4329</v>
      </c>
      <c r="AG109" s="81" t="s">
        <v>4330</v>
      </c>
      <c r="AH109" s="81" t="s">
        <v>4331</v>
      </c>
      <c r="AI109" s="81" t="s">
        <v>4332</v>
      </c>
      <c r="AJ109" s="81" t="s">
        <v>4333</v>
      </c>
      <c r="AK109" s="81" t="s">
        <v>4334</v>
      </c>
      <c r="AL109" s="81" t="s">
        <v>4335</v>
      </c>
      <c r="AM109" s="80" t="s">
        <v>4336</v>
      </c>
      <c r="AN109" s="81" t="s">
        <v>4337</v>
      </c>
      <c r="AO109" s="80" t="s">
        <v>4338</v>
      </c>
      <c r="AP109" s="84" t="s">
        <v>4339</v>
      </c>
      <c r="AQ109" s="80" t="s">
        <v>4340</v>
      </c>
      <c r="AR109" s="81" t="s">
        <v>4341</v>
      </c>
      <c r="AS109" s="81" t="s">
        <v>4342</v>
      </c>
      <c r="AT109" s="81" t="s">
        <v>4343</v>
      </c>
      <c r="AU109" s="81" t="s">
        <v>4344</v>
      </c>
      <c r="AV109" s="81" t="s">
        <v>4345</v>
      </c>
    </row>
    <row r="111" spans="1:48">
      <c r="AR111" s="81"/>
    </row>
  </sheetData>
  <sheetProtection password="CEE2" sheet="1" objects="1" scenarios="1" selectLockedCells="1" selectUnlockedCells="1"/>
  <phoneticPr fontId="1" type="noConversion"/>
  <pageMargins left="0.75" right="0.75" top="1" bottom="1" header="0.5" footer="0.5"/>
  <pageSetup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0"/>
  <sheetViews>
    <sheetView showGridLines="0" workbookViewId="0">
      <selection activeCell="F15" sqref="F15"/>
    </sheetView>
  </sheetViews>
  <sheetFormatPr defaultColWidth="0" defaultRowHeight="13.8" zeroHeight="1"/>
  <cols>
    <col min="1" max="1" width="10.109375" style="1" customWidth="1"/>
    <col min="2" max="33" width="17.77734375" style="2" customWidth="1"/>
    <col min="34" max="34" width="8.88671875" style="2" customWidth="1"/>
    <col min="35" max="16384" width="8.88671875" style="2" hidden="1"/>
  </cols>
  <sheetData>
    <row r="1" spans="1:33" ht="15" customHeight="1"/>
    <row r="2" spans="1:33" ht="15" customHeight="1">
      <c r="A2" s="3" t="str">
        <f>'Group Stages'!H12&amp;"&gt;&gt;"</f>
        <v>Country&gt;&gt;</v>
      </c>
      <c r="B2" s="3" t="str">
        <f>'Dummy Table'!$B4</f>
        <v>Brazil</v>
      </c>
      <c r="C2" s="3" t="str">
        <f>'Dummy Table'!$B5</f>
        <v>Croatia</v>
      </c>
      <c r="D2" s="3" t="str">
        <f>'Dummy Table'!$B6</f>
        <v>Mexico</v>
      </c>
      <c r="E2" s="3" t="str">
        <f>'Dummy Table'!$B7</f>
        <v>Cameroon</v>
      </c>
      <c r="F2" s="3" t="str">
        <f>'Dummy Table'!$B11</f>
        <v>Spain</v>
      </c>
      <c r="G2" s="3" t="str">
        <f>'Dummy Table'!$B12</f>
        <v>Netherlands</v>
      </c>
      <c r="H2" s="3" t="str">
        <f>'Dummy Table'!$B13</f>
        <v>Chile</v>
      </c>
      <c r="I2" s="3" t="str">
        <f>'Dummy Table'!$B14</f>
        <v>Australia</v>
      </c>
      <c r="J2" s="3" t="str">
        <f>'Dummy Table'!$B18</f>
        <v>Colombia</v>
      </c>
      <c r="K2" s="3" t="str">
        <f>'Dummy Table'!$B19</f>
        <v>Greece</v>
      </c>
      <c r="L2" s="3" t="str">
        <f>'Dummy Table'!$B20</f>
        <v>Ivory Coast</v>
      </c>
      <c r="M2" s="3" t="str">
        <f>'Dummy Table'!$B21</f>
        <v>Japan</v>
      </c>
      <c r="N2" s="3" t="str">
        <f>'Dummy Table'!$B25</f>
        <v>Uruguay</v>
      </c>
      <c r="O2" s="3" t="str">
        <f>'Dummy Table'!$B26</f>
        <v>Costa Rica</v>
      </c>
      <c r="P2" s="3" t="str">
        <f>'Dummy Table'!$B27</f>
        <v>England</v>
      </c>
      <c r="Q2" s="3" t="str">
        <f>'Dummy Table'!$B28</f>
        <v>Italy</v>
      </c>
      <c r="R2" s="3" t="str">
        <f>'Dummy Table'!$B32</f>
        <v>Switzerland</v>
      </c>
      <c r="S2" s="3" t="str">
        <f>'Dummy Table'!$B33</f>
        <v>Ecuador</v>
      </c>
      <c r="T2" s="3" t="str">
        <f>'Dummy Table'!$B34</f>
        <v>France</v>
      </c>
      <c r="U2" s="3" t="str">
        <f>'Dummy Table'!$B35</f>
        <v>Honduras</v>
      </c>
      <c r="V2" s="3" t="str">
        <f>'Dummy Table'!$B39</f>
        <v>Argentina</v>
      </c>
      <c r="W2" s="3" t="str">
        <f>'Dummy Table'!$B40</f>
        <v>Bosnia-Herzegovina</v>
      </c>
      <c r="X2" s="3" t="str">
        <f>'Dummy Table'!$B41</f>
        <v>Iran</v>
      </c>
      <c r="Y2" s="3" t="str">
        <f>'Dummy Table'!$B42</f>
        <v>Nigeria</v>
      </c>
      <c r="Z2" s="3" t="str">
        <f>'Dummy Table'!$B46</f>
        <v>Germany</v>
      </c>
      <c r="AA2" s="3" t="str">
        <f>'Dummy Table'!$B47</f>
        <v>Portugal</v>
      </c>
      <c r="AB2" s="3" t="str">
        <f>'Dummy Table'!$B48</f>
        <v>Ghana</v>
      </c>
      <c r="AC2" s="3" t="str">
        <f>'Dummy Table'!$B49</f>
        <v>USA</v>
      </c>
      <c r="AD2" s="3" t="str">
        <f>'Dummy Table'!$B53</f>
        <v>Belgium</v>
      </c>
      <c r="AE2" s="3" t="str">
        <f>'Dummy Table'!$B54</f>
        <v>Algeria</v>
      </c>
      <c r="AF2" s="3" t="str">
        <f>'Dummy Table'!$B55</f>
        <v>Russia</v>
      </c>
      <c r="AG2" s="3" t="str">
        <f>'Dummy Table'!$B56</f>
        <v>South Korea</v>
      </c>
    </row>
    <row r="3" spans="1:33" ht="15" customHeight="1">
      <c r="A3" s="4" t="s">
        <v>3906</v>
      </c>
      <c r="B3" s="5" t="s">
        <v>4408</v>
      </c>
      <c r="C3" s="5" t="s">
        <v>4453</v>
      </c>
      <c r="D3" s="5" t="s">
        <v>4475</v>
      </c>
      <c r="E3" s="5" t="s">
        <v>4431</v>
      </c>
      <c r="F3" s="5" t="s">
        <v>5112</v>
      </c>
      <c r="G3" s="5" t="s">
        <v>4541</v>
      </c>
      <c r="H3" s="5" t="s">
        <v>5113</v>
      </c>
      <c r="I3" s="5" t="s">
        <v>4497</v>
      </c>
      <c r="J3" s="5" t="s">
        <v>4585</v>
      </c>
      <c r="K3" s="5" t="s">
        <v>4607</v>
      </c>
      <c r="L3" s="5" t="s">
        <v>4629</v>
      </c>
      <c r="M3" s="5" t="s">
        <v>4651</v>
      </c>
      <c r="N3" s="5" t="s">
        <v>4739</v>
      </c>
      <c r="O3" s="5" t="s">
        <v>4673</v>
      </c>
      <c r="P3" s="5" t="s">
        <v>4695</v>
      </c>
      <c r="Q3" s="5" t="s">
        <v>5114</v>
      </c>
      <c r="R3" s="5" t="s">
        <v>4827</v>
      </c>
      <c r="S3" s="5" t="s">
        <v>4761</v>
      </c>
      <c r="T3" s="5" t="s">
        <v>5115</v>
      </c>
      <c r="U3" s="5" t="s">
        <v>4805</v>
      </c>
      <c r="V3" s="5" t="s">
        <v>4849</v>
      </c>
      <c r="W3" s="5" t="s">
        <v>4871</v>
      </c>
      <c r="X3" s="5" t="s">
        <v>4893</v>
      </c>
      <c r="Y3" s="5" t="s">
        <v>5116</v>
      </c>
      <c r="Z3" s="5" t="s">
        <v>4937</v>
      </c>
      <c r="AA3" s="5" t="s">
        <v>4473</v>
      </c>
      <c r="AB3" s="5" t="s">
        <v>4959</v>
      </c>
      <c r="AC3" s="5" t="s">
        <v>5002</v>
      </c>
      <c r="AD3" s="5" t="s">
        <v>5046</v>
      </c>
      <c r="AE3" s="5" t="s">
        <v>5024</v>
      </c>
      <c r="AF3" s="5" t="s">
        <v>5068</v>
      </c>
      <c r="AG3" s="5" t="s">
        <v>5090</v>
      </c>
    </row>
    <row r="4" spans="1:33" ht="15" customHeight="1">
      <c r="A4" s="4" t="s">
        <v>3907</v>
      </c>
      <c r="B4" s="5" t="s">
        <v>4409</v>
      </c>
      <c r="C4" s="5" t="s">
        <v>4454</v>
      </c>
      <c r="D4" s="5" t="s">
        <v>4476</v>
      </c>
      <c r="E4" s="5" t="s">
        <v>4432</v>
      </c>
      <c r="F4" s="5" t="s">
        <v>4563</v>
      </c>
      <c r="G4" s="5" t="s">
        <v>4542</v>
      </c>
      <c r="H4" s="5" t="s">
        <v>4519</v>
      </c>
      <c r="I4" s="5" t="s">
        <v>4498</v>
      </c>
      <c r="J4" s="5" t="s">
        <v>4586</v>
      </c>
      <c r="K4" s="5" t="s">
        <v>4608</v>
      </c>
      <c r="L4" s="5" t="s">
        <v>4630</v>
      </c>
      <c r="M4" s="5" t="s">
        <v>4652</v>
      </c>
      <c r="N4" s="5" t="s">
        <v>5117</v>
      </c>
      <c r="O4" s="5" t="s">
        <v>4674</v>
      </c>
      <c r="P4" s="5" t="s">
        <v>4696</v>
      </c>
      <c r="Q4" s="5" t="s">
        <v>4717</v>
      </c>
      <c r="R4" s="5" t="s">
        <v>4828</v>
      </c>
      <c r="S4" s="5" t="s">
        <v>4762</v>
      </c>
      <c r="T4" s="5" t="s">
        <v>4783</v>
      </c>
      <c r="U4" s="5" t="s">
        <v>4806</v>
      </c>
      <c r="V4" s="5" t="s">
        <v>4850</v>
      </c>
      <c r="W4" s="5" t="s">
        <v>4872</v>
      </c>
      <c r="X4" s="5" t="s">
        <v>4894</v>
      </c>
      <c r="Y4" s="5" t="s">
        <v>4915</v>
      </c>
      <c r="Z4" s="5" t="s">
        <v>4938</v>
      </c>
      <c r="AA4" s="5" t="s">
        <v>4981</v>
      </c>
      <c r="AB4" s="5" t="s">
        <v>4960</v>
      </c>
      <c r="AC4" s="5" t="s">
        <v>5003</v>
      </c>
      <c r="AD4" s="5" t="s">
        <v>5047</v>
      </c>
      <c r="AE4" s="5" t="s">
        <v>5118</v>
      </c>
      <c r="AF4" s="5" t="s">
        <v>5069</v>
      </c>
      <c r="AG4" s="5" t="s">
        <v>5091</v>
      </c>
    </row>
    <row r="5" spans="1:33" ht="15" customHeight="1">
      <c r="A5" s="4" t="s">
        <v>3908</v>
      </c>
      <c r="B5" s="5" t="s">
        <v>4430</v>
      </c>
      <c r="C5" s="5" t="s">
        <v>4455</v>
      </c>
      <c r="D5" s="5" t="s">
        <v>4477</v>
      </c>
      <c r="E5" s="5" t="s">
        <v>4433</v>
      </c>
      <c r="F5" s="5" t="s">
        <v>4564</v>
      </c>
      <c r="G5" s="5" t="s">
        <v>4543</v>
      </c>
      <c r="H5" s="5" t="s">
        <v>4520</v>
      </c>
      <c r="I5" s="5" t="s">
        <v>4499</v>
      </c>
      <c r="J5" s="5" t="s">
        <v>5119</v>
      </c>
      <c r="K5" s="5" t="s">
        <v>4609</v>
      </c>
      <c r="L5" s="5" t="s">
        <v>4631</v>
      </c>
      <c r="M5" s="5" t="s">
        <v>4653</v>
      </c>
      <c r="N5" s="5" t="s">
        <v>4740</v>
      </c>
      <c r="O5" s="5" t="s">
        <v>4675</v>
      </c>
      <c r="P5" s="5" t="s">
        <v>4697</v>
      </c>
      <c r="Q5" s="5" t="s">
        <v>4718</v>
      </c>
      <c r="R5" s="5" t="s">
        <v>4829</v>
      </c>
      <c r="S5" s="5" t="s">
        <v>4763</v>
      </c>
      <c r="T5" s="5" t="s">
        <v>4784</v>
      </c>
      <c r="U5" s="5" t="s">
        <v>4807</v>
      </c>
      <c r="V5" s="5" t="s">
        <v>4851</v>
      </c>
      <c r="W5" s="5" t="s">
        <v>4873</v>
      </c>
      <c r="X5" s="5" t="s">
        <v>4895</v>
      </c>
      <c r="Y5" s="5" t="s">
        <v>4916</v>
      </c>
      <c r="Z5" s="5" t="s">
        <v>4939</v>
      </c>
      <c r="AA5" s="5" t="s">
        <v>4982</v>
      </c>
      <c r="AB5" s="5" t="s">
        <v>5120</v>
      </c>
      <c r="AC5" s="5" t="s">
        <v>5004</v>
      </c>
      <c r="AD5" s="5" t="s">
        <v>5048</v>
      </c>
      <c r="AE5" s="5" t="s">
        <v>5025</v>
      </c>
      <c r="AF5" s="5" t="s">
        <v>5070</v>
      </c>
      <c r="AG5" s="5" t="s">
        <v>5092</v>
      </c>
    </row>
    <row r="6" spans="1:33" ht="15" customHeight="1">
      <c r="A6" s="4" t="s">
        <v>3909</v>
      </c>
      <c r="B6" s="5" t="s">
        <v>4410</v>
      </c>
      <c r="C6" s="5" t="s">
        <v>4456</v>
      </c>
      <c r="D6" s="5" t="s">
        <v>5121</v>
      </c>
      <c r="E6" s="5" t="s">
        <v>4434</v>
      </c>
      <c r="F6" s="5" t="s">
        <v>4565</v>
      </c>
      <c r="G6" s="5" t="s">
        <v>4544</v>
      </c>
      <c r="H6" s="5" t="s">
        <v>4521</v>
      </c>
      <c r="I6" s="5" t="s">
        <v>4500</v>
      </c>
      <c r="J6" s="5" t="s">
        <v>4587</v>
      </c>
      <c r="K6" s="5" t="s">
        <v>4610</v>
      </c>
      <c r="L6" s="5" t="s">
        <v>4632</v>
      </c>
      <c r="M6" s="5" t="s">
        <v>4654</v>
      </c>
      <c r="N6" s="5" t="s">
        <v>4741</v>
      </c>
      <c r="O6" s="5" t="s">
        <v>4676</v>
      </c>
      <c r="P6" s="5" t="s">
        <v>5122</v>
      </c>
      <c r="Q6" s="5" t="s">
        <v>4719</v>
      </c>
      <c r="R6" s="5" t="s">
        <v>4830</v>
      </c>
      <c r="S6" s="5" t="s">
        <v>4764</v>
      </c>
      <c r="T6" s="5" t="s">
        <v>4785</v>
      </c>
      <c r="U6" s="5" t="s">
        <v>4808</v>
      </c>
      <c r="V6" s="5" t="s">
        <v>4852</v>
      </c>
      <c r="W6" s="5" t="s">
        <v>5123</v>
      </c>
      <c r="X6" s="5" t="s">
        <v>4896</v>
      </c>
      <c r="Y6" s="5" t="s">
        <v>4917</v>
      </c>
      <c r="Z6" s="5" t="s">
        <v>4940</v>
      </c>
      <c r="AA6" s="5" t="s">
        <v>4983</v>
      </c>
      <c r="AB6" s="5" t="s">
        <v>4961</v>
      </c>
      <c r="AC6" s="5" t="s">
        <v>5005</v>
      </c>
      <c r="AD6" s="5" t="s">
        <v>5124</v>
      </c>
      <c r="AE6" s="5" t="s">
        <v>5026</v>
      </c>
      <c r="AF6" s="5" t="s">
        <v>5071</v>
      </c>
      <c r="AG6" s="5" t="s">
        <v>5093</v>
      </c>
    </row>
    <row r="7" spans="1:33" ht="15" customHeight="1">
      <c r="A7" s="4" t="s">
        <v>3910</v>
      </c>
      <c r="B7" s="5" t="s">
        <v>4411</v>
      </c>
      <c r="C7" s="5" t="s">
        <v>4457</v>
      </c>
      <c r="D7" s="5" t="s">
        <v>4478</v>
      </c>
      <c r="E7" s="5" t="s">
        <v>4435</v>
      </c>
      <c r="F7" s="5" t="s">
        <v>4566</v>
      </c>
      <c r="G7" s="5" t="s">
        <v>4545</v>
      </c>
      <c r="H7" s="5" t="s">
        <v>4522</v>
      </c>
      <c r="I7" s="5" t="s">
        <v>4501</v>
      </c>
      <c r="J7" s="5" t="s">
        <v>4588</v>
      </c>
      <c r="K7" s="5" t="s">
        <v>4611</v>
      </c>
      <c r="L7" s="5" t="s">
        <v>4633</v>
      </c>
      <c r="M7" s="5" t="s">
        <v>4655</v>
      </c>
      <c r="N7" s="5" t="s">
        <v>4742</v>
      </c>
      <c r="O7" s="5" t="s">
        <v>4677</v>
      </c>
      <c r="P7" s="5" t="s">
        <v>4698</v>
      </c>
      <c r="Q7" s="5" t="s">
        <v>4720</v>
      </c>
      <c r="R7" s="5" t="s">
        <v>4831</v>
      </c>
      <c r="S7" s="5" t="s">
        <v>4765</v>
      </c>
      <c r="T7" s="5" t="s">
        <v>4786</v>
      </c>
      <c r="U7" s="5" t="s">
        <v>4809</v>
      </c>
      <c r="V7" s="5" t="s">
        <v>4853</v>
      </c>
      <c r="W7" s="5" t="s">
        <v>4874</v>
      </c>
      <c r="X7" s="5" t="s">
        <v>4897</v>
      </c>
      <c r="Y7" s="5" t="s">
        <v>4918</v>
      </c>
      <c r="Z7" s="5" t="s">
        <v>4941</v>
      </c>
      <c r="AA7" s="5" t="s">
        <v>4984</v>
      </c>
      <c r="AB7" s="5" t="s">
        <v>4962</v>
      </c>
      <c r="AC7" s="5" t="s">
        <v>5006</v>
      </c>
      <c r="AD7" s="5" t="s">
        <v>5049</v>
      </c>
      <c r="AE7" s="5" t="s">
        <v>5027</v>
      </c>
      <c r="AF7" s="5" t="s">
        <v>5072</v>
      </c>
      <c r="AG7" s="5" t="s">
        <v>5094</v>
      </c>
    </row>
    <row r="8" spans="1:33" ht="15" customHeight="1">
      <c r="A8" s="4" t="s">
        <v>3911</v>
      </c>
      <c r="B8" s="5" t="s">
        <v>4412</v>
      </c>
      <c r="C8" s="5" t="s">
        <v>4458</v>
      </c>
      <c r="D8" s="5" t="s">
        <v>4479</v>
      </c>
      <c r="E8" s="5" t="s">
        <v>4436</v>
      </c>
      <c r="F8" s="5" t="s">
        <v>4567</v>
      </c>
      <c r="G8" s="5" t="s">
        <v>4546</v>
      </c>
      <c r="H8" s="5" t="s">
        <v>4523</v>
      </c>
      <c r="I8" s="5" t="s">
        <v>4502</v>
      </c>
      <c r="J8" s="5" t="s">
        <v>4589</v>
      </c>
      <c r="K8" s="5" t="s">
        <v>4612</v>
      </c>
      <c r="L8" s="5" t="s">
        <v>4634</v>
      </c>
      <c r="M8" s="5" t="s">
        <v>4656</v>
      </c>
      <c r="N8" s="5" t="s">
        <v>4743</v>
      </c>
      <c r="O8" s="5" t="s">
        <v>4678</v>
      </c>
      <c r="P8" s="5" t="s">
        <v>4699</v>
      </c>
      <c r="Q8" s="5" t="s">
        <v>4721</v>
      </c>
      <c r="R8" s="5" t="s">
        <v>4832</v>
      </c>
      <c r="S8" s="5" t="s">
        <v>4766</v>
      </c>
      <c r="T8" s="5" t="s">
        <v>4787</v>
      </c>
      <c r="U8" s="5" t="s">
        <v>4810</v>
      </c>
      <c r="V8" s="5" t="s">
        <v>4854</v>
      </c>
      <c r="W8" s="5" t="s">
        <v>4875</v>
      </c>
      <c r="X8" s="5" t="s">
        <v>5125</v>
      </c>
      <c r="Y8" s="5" t="s">
        <v>4919</v>
      </c>
      <c r="Z8" s="5" t="s">
        <v>4942</v>
      </c>
      <c r="AA8" s="5" t="s">
        <v>4985</v>
      </c>
      <c r="AB8" s="5" t="s">
        <v>4963</v>
      </c>
      <c r="AC8" s="5" t="s">
        <v>5007</v>
      </c>
      <c r="AD8" s="5" t="s">
        <v>5050</v>
      </c>
      <c r="AE8" s="5" t="s">
        <v>5028</v>
      </c>
      <c r="AF8" s="5" t="s">
        <v>5073</v>
      </c>
      <c r="AG8" s="5" t="s">
        <v>5095</v>
      </c>
    </row>
    <row r="9" spans="1:33" ht="15" customHeight="1">
      <c r="A9" s="4" t="s">
        <v>3912</v>
      </c>
      <c r="B9" s="5" t="s">
        <v>4413</v>
      </c>
      <c r="C9" s="5" t="s">
        <v>4459</v>
      </c>
      <c r="D9" s="5" t="s">
        <v>4480</v>
      </c>
      <c r="E9" s="5" t="s">
        <v>4437</v>
      </c>
      <c r="F9" s="5" t="s">
        <v>4568</v>
      </c>
      <c r="G9" s="5" t="s">
        <v>4547</v>
      </c>
      <c r="H9" s="5" t="s">
        <v>4524</v>
      </c>
      <c r="I9" s="5" t="s">
        <v>4503</v>
      </c>
      <c r="J9" s="5" t="s">
        <v>4590</v>
      </c>
      <c r="K9" s="5" t="s">
        <v>4613</v>
      </c>
      <c r="L9" s="5" t="s">
        <v>4635</v>
      </c>
      <c r="M9" s="5" t="s">
        <v>4657</v>
      </c>
      <c r="N9" s="5" t="s">
        <v>4744</v>
      </c>
      <c r="O9" s="5" t="s">
        <v>4679</v>
      </c>
      <c r="P9" s="5" t="s">
        <v>4700</v>
      </c>
      <c r="Q9" s="5" t="s">
        <v>4722</v>
      </c>
      <c r="R9" s="5" t="s">
        <v>4833</v>
      </c>
      <c r="S9" s="5" t="s">
        <v>4767</v>
      </c>
      <c r="T9" s="5" t="s">
        <v>4788</v>
      </c>
      <c r="U9" s="5" t="s">
        <v>4811</v>
      </c>
      <c r="V9" s="5" t="s">
        <v>4855</v>
      </c>
      <c r="W9" s="5" t="s">
        <v>4876</v>
      </c>
      <c r="X9" s="5" t="s">
        <v>4898</v>
      </c>
      <c r="Y9" s="5" t="s">
        <v>4920</v>
      </c>
      <c r="Z9" s="5" t="s">
        <v>4943</v>
      </c>
      <c r="AA9" s="5" t="s">
        <v>5126</v>
      </c>
      <c r="AB9" s="5" t="s">
        <v>4964</v>
      </c>
      <c r="AC9" s="5" t="s">
        <v>5008</v>
      </c>
      <c r="AD9" s="5" t="s">
        <v>5051</v>
      </c>
      <c r="AE9" s="5" t="s">
        <v>5029</v>
      </c>
      <c r="AF9" s="5" t="s">
        <v>5074</v>
      </c>
      <c r="AG9" s="5" t="s">
        <v>5096</v>
      </c>
    </row>
    <row r="10" spans="1:33" ht="15" customHeight="1">
      <c r="A10" s="4" t="s">
        <v>3913</v>
      </c>
      <c r="B10" s="5" t="s">
        <v>4414</v>
      </c>
      <c r="C10" s="5" t="s">
        <v>4460</v>
      </c>
      <c r="D10" s="5" t="s">
        <v>4481</v>
      </c>
      <c r="E10" s="5" t="s">
        <v>4438</v>
      </c>
      <c r="F10" s="5" t="s">
        <v>4569</v>
      </c>
      <c r="G10" s="5" t="s">
        <v>4548</v>
      </c>
      <c r="H10" s="5" t="s">
        <v>4525</v>
      </c>
      <c r="I10" s="5" t="s">
        <v>4504</v>
      </c>
      <c r="J10" s="5" t="s">
        <v>4591</v>
      </c>
      <c r="K10" s="5" t="s">
        <v>4614</v>
      </c>
      <c r="L10" s="5" t="s">
        <v>4636</v>
      </c>
      <c r="M10" s="5" t="s">
        <v>4658</v>
      </c>
      <c r="N10" s="5" t="s">
        <v>4745</v>
      </c>
      <c r="O10" s="5" t="s">
        <v>4680</v>
      </c>
      <c r="P10" s="5" t="s">
        <v>4701</v>
      </c>
      <c r="Q10" s="5" t="s">
        <v>4723</v>
      </c>
      <c r="R10" s="5" t="s">
        <v>5127</v>
      </c>
      <c r="S10" s="5" t="s">
        <v>4768</v>
      </c>
      <c r="T10" s="5" t="s">
        <v>4789</v>
      </c>
      <c r="U10" s="5" t="s">
        <v>4812</v>
      </c>
      <c r="V10" s="5" t="s">
        <v>4856</v>
      </c>
      <c r="W10" s="5" t="s">
        <v>4877</v>
      </c>
      <c r="X10" s="5" t="s">
        <v>4899</v>
      </c>
      <c r="Y10" s="5" t="s">
        <v>4921</v>
      </c>
      <c r="Z10" s="5" t="s">
        <v>4944</v>
      </c>
      <c r="AA10" s="5" t="s">
        <v>4986</v>
      </c>
      <c r="AB10" s="5" t="s">
        <v>4965</v>
      </c>
      <c r="AC10" s="5" t="s">
        <v>5128</v>
      </c>
      <c r="AD10" s="5" t="s">
        <v>5052</v>
      </c>
      <c r="AE10" s="5" t="s">
        <v>5030</v>
      </c>
      <c r="AF10" s="5" t="s">
        <v>5075</v>
      </c>
      <c r="AG10" s="5" t="s">
        <v>5097</v>
      </c>
    </row>
    <row r="11" spans="1:33" ht="15" customHeight="1">
      <c r="A11" s="4" t="s">
        <v>3914</v>
      </c>
      <c r="B11" s="5" t="s">
        <v>4415</v>
      </c>
      <c r="C11" s="5" t="s">
        <v>4461</v>
      </c>
      <c r="D11" s="5" t="s">
        <v>4482</v>
      </c>
      <c r="E11" s="5" t="s">
        <v>5129</v>
      </c>
      <c r="F11" s="5" t="s">
        <v>4570</v>
      </c>
      <c r="G11" s="5" t="s">
        <v>5130</v>
      </c>
      <c r="H11" s="5" t="s">
        <v>4526</v>
      </c>
      <c r="I11" s="5" t="s">
        <v>4505</v>
      </c>
      <c r="J11" s="5" t="s">
        <v>4592</v>
      </c>
      <c r="K11" s="5" t="s">
        <v>4615</v>
      </c>
      <c r="L11" s="5" t="s">
        <v>4637</v>
      </c>
      <c r="M11" s="5" t="s">
        <v>4659</v>
      </c>
      <c r="N11" s="5" t="s">
        <v>4746</v>
      </c>
      <c r="O11" s="5" t="s">
        <v>4681</v>
      </c>
      <c r="P11" s="5" t="s">
        <v>4702</v>
      </c>
      <c r="Q11" s="5" t="s">
        <v>4724</v>
      </c>
      <c r="R11" s="5" t="s">
        <v>4834</v>
      </c>
      <c r="S11" s="5" t="s">
        <v>4769</v>
      </c>
      <c r="T11" s="5" t="s">
        <v>4790</v>
      </c>
      <c r="U11" s="5" t="s">
        <v>4813</v>
      </c>
      <c r="V11" s="5" t="s">
        <v>4857</v>
      </c>
      <c r="W11" s="5" t="s">
        <v>4878</v>
      </c>
      <c r="X11" s="5" t="s">
        <v>4900</v>
      </c>
      <c r="Y11" s="5" t="s">
        <v>4922</v>
      </c>
      <c r="Z11" s="5" t="s">
        <v>4945</v>
      </c>
      <c r="AA11" s="5" t="s">
        <v>4987</v>
      </c>
      <c r="AB11" s="5" t="s">
        <v>4966</v>
      </c>
      <c r="AC11" s="5" t="s">
        <v>5009</v>
      </c>
      <c r="AD11" s="5" t="s">
        <v>5053</v>
      </c>
      <c r="AE11" s="5" t="s">
        <v>5031</v>
      </c>
      <c r="AF11" s="5" t="s">
        <v>5076</v>
      </c>
      <c r="AG11" s="5" t="s">
        <v>5098</v>
      </c>
    </row>
    <row r="12" spans="1:33" ht="15" customHeight="1">
      <c r="A12" s="4" t="s">
        <v>3915</v>
      </c>
      <c r="B12" s="5" t="s">
        <v>4416</v>
      </c>
      <c r="C12" s="5" t="s">
        <v>4462</v>
      </c>
      <c r="D12" s="5" t="s">
        <v>4483</v>
      </c>
      <c r="E12" s="5" t="s">
        <v>4439</v>
      </c>
      <c r="F12" s="5" t="s">
        <v>4571</v>
      </c>
      <c r="G12" s="5" t="s">
        <v>4549</v>
      </c>
      <c r="H12" s="5" t="s">
        <v>4527</v>
      </c>
      <c r="I12" s="5" t="s">
        <v>4506</v>
      </c>
      <c r="J12" s="5" t="s">
        <v>4593</v>
      </c>
      <c r="K12" s="5" t="s">
        <v>5131</v>
      </c>
      <c r="L12" s="5" t="s">
        <v>4638</v>
      </c>
      <c r="M12" s="5" t="s">
        <v>4660</v>
      </c>
      <c r="N12" s="5" t="s">
        <v>4747</v>
      </c>
      <c r="O12" s="5" t="s">
        <v>5132</v>
      </c>
      <c r="P12" s="5" t="s">
        <v>4703</v>
      </c>
      <c r="Q12" s="5" t="s">
        <v>4725</v>
      </c>
      <c r="R12" s="5" t="s">
        <v>4835</v>
      </c>
      <c r="S12" s="5" t="s">
        <v>4770</v>
      </c>
      <c r="T12" s="5" t="s">
        <v>4791</v>
      </c>
      <c r="U12" s="5" t="s">
        <v>4814</v>
      </c>
      <c r="V12" s="5" t="s">
        <v>5133</v>
      </c>
      <c r="W12" s="5" t="s">
        <v>4879</v>
      </c>
      <c r="X12" s="5" t="s">
        <v>4901</v>
      </c>
      <c r="Y12" s="5" t="s">
        <v>4923</v>
      </c>
      <c r="Z12" s="5" t="s">
        <v>4946</v>
      </c>
      <c r="AA12" s="5" t="s">
        <v>4988</v>
      </c>
      <c r="AB12" s="5" t="s">
        <v>4967</v>
      </c>
      <c r="AC12" s="5" t="s">
        <v>5010</v>
      </c>
      <c r="AD12" s="5" t="s">
        <v>5054</v>
      </c>
      <c r="AE12" s="5" t="s">
        <v>5032</v>
      </c>
      <c r="AF12" s="5" t="s">
        <v>5077</v>
      </c>
      <c r="AG12" s="5" t="s">
        <v>5099</v>
      </c>
    </row>
    <row r="13" spans="1:33" ht="15" customHeight="1">
      <c r="A13" s="4" t="s">
        <v>3916</v>
      </c>
      <c r="B13" s="5" t="s">
        <v>4417</v>
      </c>
      <c r="C13" s="5" t="s">
        <v>5134</v>
      </c>
      <c r="D13" s="5" t="s">
        <v>4484</v>
      </c>
      <c r="E13" s="5" t="s">
        <v>4440</v>
      </c>
      <c r="F13" s="5" t="s">
        <v>4572</v>
      </c>
      <c r="G13" s="5" t="s">
        <v>4550</v>
      </c>
      <c r="H13" s="5" t="s">
        <v>4528</v>
      </c>
      <c r="I13" s="5" t="s">
        <v>4507</v>
      </c>
      <c r="J13" s="5" t="s">
        <v>4594</v>
      </c>
      <c r="K13" s="5" t="s">
        <v>4616</v>
      </c>
      <c r="L13" s="5" t="s">
        <v>5135</v>
      </c>
      <c r="M13" s="5" t="s">
        <v>4661</v>
      </c>
      <c r="N13" s="5" t="s">
        <v>4748</v>
      </c>
      <c r="O13" s="5" t="s">
        <v>4682</v>
      </c>
      <c r="P13" s="5" t="s">
        <v>4704</v>
      </c>
      <c r="Q13" s="5" t="s">
        <v>4726</v>
      </c>
      <c r="R13" s="5" t="s">
        <v>4836</v>
      </c>
      <c r="S13" s="5" t="s">
        <v>4771</v>
      </c>
      <c r="T13" s="5" t="s">
        <v>4792</v>
      </c>
      <c r="U13" s="5" t="s">
        <v>4815</v>
      </c>
      <c r="V13" s="5" t="s">
        <v>4858</v>
      </c>
      <c r="W13" s="5" t="s">
        <v>4880</v>
      </c>
      <c r="X13" s="5" t="s">
        <v>4902</v>
      </c>
      <c r="Y13" s="5" t="s">
        <v>4924</v>
      </c>
      <c r="Z13" s="5" t="s">
        <v>4947</v>
      </c>
      <c r="AA13" s="5" t="s">
        <v>4989</v>
      </c>
      <c r="AB13" s="5" t="s">
        <v>4968</v>
      </c>
      <c r="AC13" s="5" t="s">
        <v>5011</v>
      </c>
      <c r="AD13" s="5" t="s">
        <v>5055</v>
      </c>
      <c r="AE13" s="5" t="s">
        <v>5033</v>
      </c>
      <c r="AF13" s="5" t="s">
        <v>5078</v>
      </c>
      <c r="AG13" s="5" t="s">
        <v>5100</v>
      </c>
    </row>
    <row r="14" spans="1:33" ht="15" customHeight="1">
      <c r="A14" s="4" t="s">
        <v>3917</v>
      </c>
      <c r="B14" s="5" t="s">
        <v>4418</v>
      </c>
      <c r="C14" s="5" t="s">
        <v>4463</v>
      </c>
      <c r="D14" s="5" t="s">
        <v>4485</v>
      </c>
      <c r="E14" s="5" t="s">
        <v>4441</v>
      </c>
      <c r="F14" s="5" t="s">
        <v>4573</v>
      </c>
      <c r="G14" s="5" t="s">
        <v>4551</v>
      </c>
      <c r="H14" s="5" t="s">
        <v>4529</v>
      </c>
      <c r="I14" s="5" t="s">
        <v>4508</v>
      </c>
      <c r="J14" s="5" t="s">
        <v>4595</v>
      </c>
      <c r="K14" s="5" t="s">
        <v>4617</v>
      </c>
      <c r="L14" s="5" t="s">
        <v>4639</v>
      </c>
      <c r="M14" s="5" t="s">
        <v>4662</v>
      </c>
      <c r="N14" s="5" t="s">
        <v>4749</v>
      </c>
      <c r="O14" s="5" t="s">
        <v>4683</v>
      </c>
      <c r="P14" s="5" t="s">
        <v>4705</v>
      </c>
      <c r="Q14" s="5" t="s">
        <v>4727</v>
      </c>
      <c r="R14" s="5" t="s">
        <v>4837</v>
      </c>
      <c r="S14" s="5" t="s">
        <v>4772</v>
      </c>
      <c r="T14" s="5" t="s">
        <v>4793</v>
      </c>
      <c r="U14" s="5" t="s">
        <v>4816</v>
      </c>
      <c r="V14" s="5" t="s">
        <v>4859</v>
      </c>
      <c r="W14" s="5" t="s">
        <v>4881</v>
      </c>
      <c r="X14" s="5" t="s">
        <v>4903</v>
      </c>
      <c r="Y14" s="5" t="s">
        <v>4925</v>
      </c>
      <c r="Z14" s="5" t="s">
        <v>4948</v>
      </c>
      <c r="AA14" s="5" t="s">
        <v>4990</v>
      </c>
      <c r="AB14" s="5" t="s">
        <v>4969</v>
      </c>
      <c r="AC14" s="5" t="s">
        <v>5012</v>
      </c>
      <c r="AD14" s="5" t="s">
        <v>5056</v>
      </c>
      <c r="AE14" s="5" t="s">
        <v>5034</v>
      </c>
      <c r="AF14" s="5" t="s">
        <v>5079</v>
      </c>
      <c r="AG14" s="5" t="s">
        <v>5101</v>
      </c>
    </row>
    <row r="15" spans="1:33" ht="15" customHeight="1">
      <c r="A15" s="4" t="s">
        <v>3918</v>
      </c>
      <c r="B15" s="5" t="s">
        <v>4419</v>
      </c>
      <c r="C15" s="5" t="s">
        <v>4464</v>
      </c>
      <c r="D15" s="5" t="s">
        <v>4486</v>
      </c>
      <c r="E15" s="5" t="s">
        <v>4442</v>
      </c>
      <c r="F15" s="5" t="s">
        <v>4574</v>
      </c>
      <c r="G15" s="5" t="s">
        <v>4552</v>
      </c>
      <c r="H15" s="5" t="s">
        <v>4530</v>
      </c>
      <c r="I15" s="5" t="s">
        <v>4509</v>
      </c>
      <c r="J15" s="5" t="s">
        <v>4596</v>
      </c>
      <c r="K15" s="5" t="s">
        <v>4618</v>
      </c>
      <c r="L15" s="5" t="s">
        <v>4640</v>
      </c>
      <c r="M15" s="5" t="s">
        <v>4663</v>
      </c>
      <c r="N15" s="5" t="s">
        <v>4750</v>
      </c>
      <c r="O15" s="5" t="s">
        <v>4684</v>
      </c>
      <c r="P15" s="5" t="s">
        <v>4706</v>
      </c>
      <c r="Q15" s="5" t="s">
        <v>4728</v>
      </c>
      <c r="R15" s="5" t="s">
        <v>4838</v>
      </c>
      <c r="S15" s="5" t="s">
        <v>4773</v>
      </c>
      <c r="T15" s="5" t="s">
        <v>4794</v>
      </c>
      <c r="U15" s="5" t="s">
        <v>4817</v>
      </c>
      <c r="V15" s="5" t="s">
        <v>4860</v>
      </c>
      <c r="W15" s="5" t="s">
        <v>4882</v>
      </c>
      <c r="X15" s="5" t="s">
        <v>4904</v>
      </c>
      <c r="Y15" s="5" t="s">
        <v>4926</v>
      </c>
      <c r="Z15" s="5" t="s">
        <v>4949</v>
      </c>
      <c r="AA15" s="5" t="s">
        <v>4991</v>
      </c>
      <c r="AB15" s="5" t="s">
        <v>4970</v>
      </c>
      <c r="AC15" s="5" t="s">
        <v>5013</v>
      </c>
      <c r="AD15" s="5" t="s">
        <v>5057</v>
      </c>
      <c r="AE15" s="5" t="s">
        <v>5035</v>
      </c>
      <c r="AF15" s="5" t="s">
        <v>5080</v>
      </c>
      <c r="AG15" s="5" t="s">
        <v>5136</v>
      </c>
    </row>
    <row r="16" spans="1:33" ht="15" customHeight="1">
      <c r="A16" s="4" t="s">
        <v>3919</v>
      </c>
      <c r="B16" s="5" t="s">
        <v>4420</v>
      </c>
      <c r="C16" s="5" t="s">
        <v>4465</v>
      </c>
      <c r="D16" s="5" t="s">
        <v>4487</v>
      </c>
      <c r="E16" s="5" t="s">
        <v>4443</v>
      </c>
      <c r="F16" s="5" t="s">
        <v>4575</v>
      </c>
      <c r="G16" s="5" t="s">
        <v>4553</v>
      </c>
      <c r="H16" s="5" t="s">
        <v>4531</v>
      </c>
      <c r="I16" s="5" t="s">
        <v>4510</v>
      </c>
      <c r="J16" s="5" t="s">
        <v>4597</v>
      </c>
      <c r="K16" s="5" t="s">
        <v>4619</v>
      </c>
      <c r="L16" s="5" t="s">
        <v>4641</v>
      </c>
      <c r="M16" s="5" t="s">
        <v>4664</v>
      </c>
      <c r="N16" s="5" t="s">
        <v>4751</v>
      </c>
      <c r="O16" s="5" t="s">
        <v>4685</v>
      </c>
      <c r="P16" s="5" t="s">
        <v>4707</v>
      </c>
      <c r="Q16" s="5" t="s">
        <v>4729</v>
      </c>
      <c r="R16" s="5" t="s">
        <v>4839</v>
      </c>
      <c r="S16" s="5" t="s">
        <v>4774</v>
      </c>
      <c r="T16" s="5" t="s">
        <v>4795</v>
      </c>
      <c r="U16" s="5" t="s">
        <v>4818</v>
      </c>
      <c r="V16" s="5" t="s">
        <v>4861</v>
      </c>
      <c r="W16" s="5" t="s">
        <v>4883</v>
      </c>
      <c r="X16" s="5" t="s">
        <v>4905</v>
      </c>
      <c r="Y16" s="5" t="s">
        <v>4927</v>
      </c>
      <c r="Z16" s="5" t="s">
        <v>4950</v>
      </c>
      <c r="AA16" s="5" t="s">
        <v>4992</v>
      </c>
      <c r="AB16" s="5" t="s">
        <v>4971</v>
      </c>
      <c r="AC16" s="5" t="s">
        <v>5014</v>
      </c>
      <c r="AD16" s="5" t="s">
        <v>5058</v>
      </c>
      <c r="AE16" s="5" t="s">
        <v>5036</v>
      </c>
      <c r="AF16" s="5" t="s">
        <v>5137</v>
      </c>
      <c r="AG16" s="5" t="s">
        <v>5102</v>
      </c>
    </row>
    <row r="17" spans="1:33" ht="15" customHeight="1">
      <c r="A17" s="4" t="s">
        <v>3920</v>
      </c>
      <c r="B17" s="5" t="s">
        <v>4421</v>
      </c>
      <c r="C17" s="5" t="s">
        <v>4466</v>
      </c>
      <c r="D17" s="5" t="s">
        <v>4488</v>
      </c>
      <c r="E17" s="5" t="s">
        <v>4444</v>
      </c>
      <c r="F17" s="5" t="s">
        <v>4576</v>
      </c>
      <c r="G17" s="5" t="s">
        <v>4554</v>
      </c>
      <c r="H17" s="5" t="s">
        <v>4532</v>
      </c>
      <c r="I17" s="5" t="s">
        <v>5138</v>
      </c>
      <c r="J17" s="5" t="s">
        <v>4598</v>
      </c>
      <c r="K17" s="5" t="s">
        <v>4620</v>
      </c>
      <c r="L17" s="5" t="s">
        <v>4642</v>
      </c>
      <c r="M17" s="5" t="s">
        <v>4665</v>
      </c>
      <c r="N17" s="5" t="s">
        <v>4752</v>
      </c>
      <c r="O17" s="5" t="s">
        <v>4686</v>
      </c>
      <c r="P17" s="5" t="s">
        <v>4708</v>
      </c>
      <c r="Q17" s="5" t="s">
        <v>4730</v>
      </c>
      <c r="R17" s="5" t="s">
        <v>4840</v>
      </c>
      <c r="S17" s="5" t="s">
        <v>4775</v>
      </c>
      <c r="T17" s="5" t="s">
        <v>4796</v>
      </c>
      <c r="U17" s="5" t="s">
        <v>4819</v>
      </c>
      <c r="V17" s="5" t="s">
        <v>4862</v>
      </c>
      <c r="W17" s="5" t="s">
        <v>4884</v>
      </c>
      <c r="X17" s="5" t="s">
        <v>4906</v>
      </c>
      <c r="Y17" s="5" t="s">
        <v>4928</v>
      </c>
      <c r="Z17" s="5" t="s">
        <v>4951</v>
      </c>
      <c r="AA17" s="5" t="s">
        <v>4993</v>
      </c>
      <c r="AB17" s="5" t="s">
        <v>4972</v>
      </c>
      <c r="AC17" s="5" t="s">
        <v>5015</v>
      </c>
      <c r="AD17" s="5" t="s">
        <v>5059</v>
      </c>
      <c r="AE17" s="5" t="s">
        <v>5037</v>
      </c>
      <c r="AF17" s="5" t="s">
        <v>5081</v>
      </c>
      <c r="AG17" s="5" t="s">
        <v>5103</v>
      </c>
    </row>
    <row r="18" spans="1:33" ht="15" customHeight="1">
      <c r="A18" s="4" t="s">
        <v>3921</v>
      </c>
      <c r="B18" s="5" t="s">
        <v>4422</v>
      </c>
      <c r="C18" s="5" t="s">
        <v>4467</v>
      </c>
      <c r="D18" s="5" t="s">
        <v>4489</v>
      </c>
      <c r="E18" s="5" t="s">
        <v>4445</v>
      </c>
      <c r="F18" s="5" t="s">
        <v>4577</v>
      </c>
      <c r="G18" s="5" t="s">
        <v>4555</v>
      </c>
      <c r="H18" s="5" t="s">
        <v>4533</v>
      </c>
      <c r="I18" s="5" t="s">
        <v>4511</v>
      </c>
      <c r="J18" s="5" t="s">
        <v>4599</v>
      </c>
      <c r="K18" s="5" t="s">
        <v>4621</v>
      </c>
      <c r="L18" s="5" t="s">
        <v>4643</v>
      </c>
      <c r="M18" s="5" t="s">
        <v>4666</v>
      </c>
      <c r="N18" s="5" t="s">
        <v>4753</v>
      </c>
      <c r="O18" s="5" t="s">
        <v>4687</v>
      </c>
      <c r="P18" s="5" t="s">
        <v>4709</v>
      </c>
      <c r="Q18" s="5" t="s">
        <v>4731</v>
      </c>
      <c r="R18" s="5" t="s">
        <v>4841</v>
      </c>
      <c r="S18" s="5" t="s">
        <v>5139</v>
      </c>
      <c r="T18" s="5" t="s">
        <v>4797</v>
      </c>
      <c r="U18" s="5" t="s">
        <v>4820</v>
      </c>
      <c r="V18" s="5" t="s">
        <v>4863</v>
      </c>
      <c r="W18" s="5" t="s">
        <v>4885</v>
      </c>
      <c r="X18" s="5" t="s">
        <v>4907</v>
      </c>
      <c r="Y18" s="5" t="s">
        <v>4929</v>
      </c>
      <c r="Z18" s="5" t="s">
        <v>5140</v>
      </c>
      <c r="AA18" s="5" t="s">
        <v>4994</v>
      </c>
      <c r="AB18" s="5" t="s">
        <v>4973</v>
      </c>
      <c r="AC18" s="5" t="s">
        <v>5016</v>
      </c>
      <c r="AD18" s="5" t="s">
        <v>5060</v>
      </c>
      <c r="AE18" s="5" t="s">
        <v>5038</v>
      </c>
      <c r="AF18" s="5" t="s">
        <v>5082</v>
      </c>
      <c r="AG18" s="5" t="s">
        <v>5104</v>
      </c>
    </row>
    <row r="19" spans="1:33" ht="15" customHeight="1">
      <c r="A19" s="4" t="s">
        <v>3922</v>
      </c>
      <c r="B19" s="5" t="s">
        <v>4423</v>
      </c>
      <c r="C19" s="5" t="s">
        <v>4468</v>
      </c>
      <c r="D19" s="5" t="s">
        <v>4490</v>
      </c>
      <c r="E19" s="5" t="s">
        <v>4446</v>
      </c>
      <c r="F19" s="5" t="s">
        <v>4578</v>
      </c>
      <c r="G19" s="5" t="s">
        <v>4556</v>
      </c>
      <c r="H19" s="5" t="s">
        <v>4534</v>
      </c>
      <c r="I19" s="5" t="s">
        <v>4512</v>
      </c>
      <c r="J19" s="5" t="s">
        <v>4600</v>
      </c>
      <c r="K19" s="5" t="s">
        <v>4622</v>
      </c>
      <c r="L19" s="5" t="s">
        <v>4644</v>
      </c>
      <c r="M19" s="5" t="s">
        <v>5141</v>
      </c>
      <c r="N19" s="5" t="s">
        <v>4754</v>
      </c>
      <c r="O19" s="5" t="s">
        <v>4688</v>
      </c>
      <c r="P19" s="5" t="s">
        <v>4710</v>
      </c>
      <c r="Q19" s="5" t="s">
        <v>4732</v>
      </c>
      <c r="R19" s="5" t="s">
        <v>4842</v>
      </c>
      <c r="S19" s="5" t="s">
        <v>4776</v>
      </c>
      <c r="T19" s="5" t="s">
        <v>4798</v>
      </c>
      <c r="U19" s="5" t="s">
        <v>4821</v>
      </c>
      <c r="V19" s="5" t="s">
        <v>4864</v>
      </c>
      <c r="W19" s="5" t="s">
        <v>4886</v>
      </c>
      <c r="X19" s="5" t="s">
        <v>4908</v>
      </c>
      <c r="Y19" s="5" t="s">
        <v>4930</v>
      </c>
      <c r="Z19" s="5" t="s">
        <v>4952</v>
      </c>
      <c r="AA19" s="5" t="s">
        <v>4995</v>
      </c>
      <c r="AB19" s="5" t="s">
        <v>4974</v>
      </c>
      <c r="AC19" s="5" t="s">
        <v>5017</v>
      </c>
      <c r="AD19" s="5" t="s">
        <v>5061</v>
      </c>
      <c r="AE19" s="5" t="s">
        <v>5039</v>
      </c>
      <c r="AF19" s="5" t="s">
        <v>5083</v>
      </c>
      <c r="AG19" s="5" t="s">
        <v>5105</v>
      </c>
    </row>
    <row r="20" spans="1:33" ht="15" customHeight="1">
      <c r="A20" s="4" t="s">
        <v>3923</v>
      </c>
      <c r="B20" s="5" t="s">
        <v>4424</v>
      </c>
      <c r="C20" s="5" t="s">
        <v>4469</v>
      </c>
      <c r="D20" s="5" t="s">
        <v>4491</v>
      </c>
      <c r="E20" s="5" t="s">
        <v>4447</v>
      </c>
      <c r="F20" s="5" t="s">
        <v>4579</v>
      </c>
      <c r="G20" s="5" t="s">
        <v>4557</v>
      </c>
      <c r="H20" s="5" t="s">
        <v>4535</v>
      </c>
      <c r="I20" s="5" t="s">
        <v>4513</v>
      </c>
      <c r="J20" s="5" t="s">
        <v>4601</v>
      </c>
      <c r="K20" s="5" t="s">
        <v>4623</v>
      </c>
      <c r="L20" s="5" t="s">
        <v>4645</v>
      </c>
      <c r="M20" s="5" t="s">
        <v>4667</v>
      </c>
      <c r="N20" s="5" t="s">
        <v>4755</v>
      </c>
      <c r="O20" s="5" t="s">
        <v>4689</v>
      </c>
      <c r="P20" s="5" t="s">
        <v>4711</v>
      </c>
      <c r="Q20" s="5" t="s">
        <v>4733</v>
      </c>
      <c r="R20" s="5" t="s">
        <v>4843</v>
      </c>
      <c r="S20" s="5" t="s">
        <v>4777</v>
      </c>
      <c r="T20" s="5" t="s">
        <v>4799</v>
      </c>
      <c r="U20" s="5" t="s">
        <v>5142</v>
      </c>
      <c r="V20" s="5" t="s">
        <v>4865</v>
      </c>
      <c r="W20" s="5" t="s">
        <v>4887</v>
      </c>
      <c r="X20" s="5" t="s">
        <v>4909</v>
      </c>
      <c r="Y20" s="5" t="s">
        <v>4931</v>
      </c>
      <c r="Z20" s="5" t="s">
        <v>4953</v>
      </c>
      <c r="AA20" s="5" t="s">
        <v>4996</v>
      </c>
      <c r="AB20" s="5" t="s">
        <v>4975</v>
      </c>
      <c r="AC20" s="5" t="s">
        <v>5018</v>
      </c>
      <c r="AD20" s="5" t="s">
        <v>5062</v>
      </c>
      <c r="AE20" s="5" t="s">
        <v>5040</v>
      </c>
      <c r="AF20" s="5" t="s">
        <v>5084</v>
      </c>
      <c r="AG20" s="5" t="s">
        <v>5106</v>
      </c>
    </row>
    <row r="21" spans="1:33" ht="15" customHeight="1">
      <c r="A21" s="4" t="s">
        <v>3924</v>
      </c>
      <c r="B21" s="5" t="s">
        <v>4425</v>
      </c>
      <c r="C21" s="5" t="s">
        <v>4470</v>
      </c>
      <c r="D21" s="5" t="s">
        <v>4492</v>
      </c>
      <c r="E21" s="5" t="s">
        <v>4448</v>
      </c>
      <c r="F21" s="5" t="s">
        <v>4580</v>
      </c>
      <c r="G21" s="5" t="s">
        <v>4558</v>
      </c>
      <c r="H21" s="5" t="s">
        <v>4536</v>
      </c>
      <c r="I21" s="5" t="s">
        <v>4514</v>
      </c>
      <c r="J21" s="5" t="s">
        <v>4602</v>
      </c>
      <c r="K21" s="5" t="s">
        <v>4624</v>
      </c>
      <c r="L21" s="5" t="s">
        <v>4646</v>
      </c>
      <c r="M21" s="5" t="s">
        <v>4668</v>
      </c>
      <c r="N21" s="5" t="s">
        <v>4756</v>
      </c>
      <c r="O21" s="5" t="s">
        <v>4690</v>
      </c>
      <c r="P21" s="5" t="s">
        <v>4712</v>
      </c>
      <c r="Q21" s="5" t="s">
        <v>4734</v>
      </c>
      <c r="R21" s="5" t="s">
        <v>4844</v>
      </c>
      <c r="S21" s="5" t="s">
        <v>4778</v>
      </c>
      <c r="T21" s="5" t="s">
        <v>4800</v>
      </c>
      <c r="U21" s="5" t="s">
        <v>4822</v>
      </c>
      <c r="V21" s="5" t="s">
        <v>4866</v>
      </c>
      <c r="W21" s="5" t="s">
        <v>4888</v>
      </c>
      <c r="X21" s="5" t="s">
        <v>4910</v>
      </c>
      <c r="Y21" s="5" t="s">
        <v>4932</v>
      </c>
      <c r="Z21" s="5" t="s">
        <v>4954</v>
      </c>
      <c r="AA21" s="5" t="s">
        <v>4997</v>
      </c>
      <c r="AB21" s="5" t="s">
        <v>4976</v>
      </c>
      <c r="AC21" s="5" t="s">
        <v>5019</v>
      </c>
      <c r="AD21" s="5" t="s">
        <v>5063</v>
      </c>
      <c r="AE21" s="5" t="s">
        <v>5041</v>
      </c>
      <c r="AF21" s="5" t="s">
        <v>5085</v>
      </c>
      <c r="AG21" s="5" t="s">
        <v>5107</v>
      </c>
    </row>
    <row r="22" spans="1:33" ht="15" customHeight="1">
      <c r="A22" s="4" t="s">
        <v>3925</v>
      </c>
      <c r="B22" s="5" t="s">
        <v>4426</v>
      </c>
      <c r="C22" s="5" t="s">
        <v>4471</v>
      </c>
      <c r="D22" s="5" t="s">
        <v>4493</v>
      </c>
      <c r="E22" s="5" t="s">
        <v>4449</v>
      </c>
      <c r="F22" s="5" t="s">
        <v>4581</v>
      </c>
      <c r="G22" s="5" t="s">
        <v>4559</v>
      </c>
      <c r="H22" s="5" t="s">
        <v>4537</v>
      </c>
      <c r="I22" s="5" t="s">
        <v>4515</v>
      </c>
      <c r="J22" s="5" t="s">
        <v>4603</v>
      </c>
      <c r="K22" s="5" t="s">
        <v>4625</v>
      </c>
      <c r="L22" s="5" t="s">
        <v>4647</v>
      </c>
      <c r="M22" s="5" t="s">
        <v>4669</v>
      </c>
      <c r="N22" s="5" t="s">
        <v>4757</v>
      </c>
      <c r="O22" s="5" t="s">
        <v>4691</v>
      </c>
      <c r="P22" s="5" t="s">
        <v>4713</v>
      </c>
      <c r="Q22" s="5" t="s">
        <v>4735</v>
      </c>
      <c r="R22" s="5" t="s">
        <v>4845</v>
      </c>
      <c r="S22" s="5" t="s">
        <v>4779</v>
      </c>
      <c r="T22" s="5" t="s">
        <v>4801</v>
      </c>
      <c r="U22" s="5" t="s">
        <v>4823</v>
      </c>
      <c r="V22" s="5" t="s">
        <v>4867</v>
      </c>
      <c r="W22" s="5" t="s">
        <v>4889</v>
      </c>
      <c r="X22" s="5" t="s">
        <v>4911</v>
      </c>
      <c r="Y22" s="5" t="s">
        <v>4933</v>
      </c>
      <c r="Z22" s="5" t="s">
        <v>4955</v>
      </c>
      <c r="AA22" s="5" t="s">
        <v>4998</v>
      </c>
      <c r="AB22" s="5" t="s">
        <v>4977</v>
      </c>
      <c r="AC22" s="5" t="s">
        <v>5020</v>
      </c>
      <c r="AD22" s="5" t="s">
        <v>5064</v>
      </c>
      <c r="AE22" s="5" t="s">
        <v>5042</v>
      </c>
      <c r="AF22" s="5" t="s">
        <v>5086</v>
      </c>
      <c r="AG22" s="5" t="s">
        <v>5108</v>
      </c>
    </row>
    <row r="23" spans="1:33" ht="15" customHeight="1">
      <c r="A23" s="4" t="s">
        <v>3926</v>
      </c>
      <c r="B23" s="5" t="s">
        <v>4427</v>
      </c>
      <c r="C23" s="5" t="s">
        <v>4472</v>
      </c>
      <c r="D23" s="5" t="s">
        <v>4494</v>
      </c>
      <c r="E23" s="5" t="s">
        <v>4450</v>
      </c>
      <c r="F23" s="5" t="s">
        <v>4582</v>
      </c>
      <c r="G23" s="5" t="s">
        <v>4560</v>
      </c>
      <c r="H23" s="5" t="s">
        <v>4538</v>
      </c>
      <c r="I23" s="5" t="s">
        <v>4516</v>
      </c>
      <c r="J23" s="5" t="s">
        <v>4604</v>
      </c>
      <c r="K23" s="5" t="s">
        <v>4626</v>
      </c>
      <c r="L23" s="5" t="s">
        <v>4648</v>
      </c>
      <c r="M23" s="5" t="s">
        <v>4670</v>
      </c>
      <c r="N23" s="5" t="s">
        <v>4758</v>
      </c>
      <c r="O23" s="5" t="s">
        <v>4692</v>
      </c>
      <c r="P23" s="5" t="s">
        <v>4714</v>
      </c>
      <c r="Q23" s="5" t="s">
        <v>4736</v>
      </c>
      <c r="R23" s="5" t="s">
        <v>4846</v>
      </c>
      <c r="S23" s="5" t="s">
        <v>4780</v>
      </c>
      <c r="T23" s="5" t="s">
        <v>4802</v>
      </c>
      <c r="U23" s="5" t="s">
        <v>4824</v>
      </c>
      <c r="V23" s="5" t="s">
        <v>4868</v>
      </c>
      <c r="W23" s="5" t="s">
        <v>4890</v>
      </c>
      <c r="X23" s="5" t="s">
        <v>4912</v>
      </c>
      <c r="Y23" s="5" t="s">
        <v>4934</v>
      </c>
      <c r="Z23" s="5" t="s">
        <v>4956</v>
      </c>
      <c r="AA23" s="5" t="s">
        <v>4999</v>
      </c>
      <c r="AB23" s="5" t="s">
        <v>4978</v>
      </c>
      <c r="AC23" s="5" t="s">
        <v>5021</v>
      </c>
      <c r="AD23" s="5" t="s">
        <v>5065</v>
      </c>
      <c r="AE23" s="5" t="s">
        <v>5043</v>
      </c>
      <c r="AF23" s="5" t="s">
        <v>5087</v>
      </c>
      <c r="AG23" s="5" t="s">
        <v>5109</v>
      </c>
    </row>
    <row r="24" spans="1:33" ht="15" customHeight="1">
      <c r="A24" s="4" t="s">
        <v>3927</v>
      </c>
      <c r="B24" s="5" t="s">
        <v>4428</v>
      </c>
      <c r="C24" s="5" t="s">
        <v>4473</v>
      </c>
      <c r="D24" s="5" t="s">
        <v>4495</v>
      </c>
      <c r="E24" s="5" t="s">
        <v>4451</v>
      </c>
      <c r="F24" s="5" t="s">
        <v>4583</v>
      </c>
      <c r="G24" s="5" t="s">
        <v>4561</v>
      </c>
      <c r="H24" s="5" t="s">
        <v>4539</v>
      </c>
      <c r="I24" s="5" t="s">
        <v>4517</v>
      </c>
      <c r="J24" s="5" t="s">
        <v>4605</v>
      </c>
      <c r="K24" s="5" t="s">
        <v>4627</v>
      </c>
      <c r="L24" s="5" t="s">
        <v>4649</v>
      </c>
      <c r="M24" s="5" t="s">
        <v>4671</v>
      </c>
      <c r="N24" s="5" t="s">
        <v>4759</v>
      </c>
      <c r="O24" s="5" t="s">
        <v>4693</v>
      </c>
      <c r="P24" s="5" t="s">
        <v>4715</v>
      </c>
      <c r="Q24" s="5" t="s">
        <v>4737</v>
      </c>
      <c r="R24" s="5" t="s">
        <v>4847</v>
      </c>
      <c r="S24" s="5" t="s">
        <v>4781</v>
      </c>
      <c r="T24" s="5" t="s">
        <v>4803</v>
      </c>
      <c r="U24" s="5" t="s">
        <v>4825</v>
      </c>
      <c r="V24" s="5" t="s">
        <v>4869</v>
      </c>
      <c r="W24" s="5" t="s">
        <v>4891</v>
      </c>
      <c r="X24" s="5" t="s">
        <v>4913</v>
      </c>
      <c r="Y24" s="5" t="s">
        <v>4935</v>
      </c>
      <c r="Z24" s="5" t="s">
        <v>4957</v>
      </c>
      <c r="AA24" s="5" t="s">
        <v>5000</v>
      </c>
      <c r="AB24" s="5" t="s">
        <v>4979</v>
      </c>
      <c r="AC24" s="5" t="s">
        <v>5022</v>
      </c>
      <c r="AD24" s="5" t="s">
        <v>5066</v>
      </c>
      <c r="AE24" s="5" t="s">
        <v>5044</v>
      </c>
      <c r="AF24" s="5" t="s">
        <v>5088</v>
      </c>
      <c r="AG24" s="5" t="s">
        <v>5110</v>
      </c>
    </row>
    <row r="25" spans="1:33" ht="15" customHeight="1">
      <c r="A25" s="4" t="s">
        <v>3928</v>
      </c>
      <c r="B25" s="5" t="s">
        <v>4429</v>
      </c>
      <c r="C25" s="5" t="s">
        <v>4474</v>
      </c>
      <c r="D25" s="5" t="s">
        <v>4496</v>
      </c>
      <c r="E25" s="5" t="s">
        <v>4452</v>
      </c>
      <c r="F25" s="5" t="s">
        <v>4584</v>
      </c>
      <c r="G25" s="5" t="s">
        <v>4562</v>
      </c>
      <c r="H25" s="5" t="s">
        <v>4540</v>
      </c>
      <c r="I25" s="5" t="s">
        <v>4518</v>
      </c>
      <c r="J25" s="5" t="s">
        <v>4606</v>
      </c>
      <c r="K25" s="5" t="s">
        <v>4628</v>
      </c>
      <c r="L25" s="5" t="s">
        <v>4650</v>
      </c>
      <c r="M25" s="5" t="s">
        <v>4672</v>
      </c>
      <c r="N25" s="5" t="s">
        <v>4760</v>
      </c>
      <c r="O25" s="5" t="s">
        <v>4694</v>
      </c>
      <c r="P25" s="5" t="s">
        <v>4716</v>
      </c>
      <c r="Q25" s="5" t="s">
        <v>4738</v>
      </c>
      <c r="R25" s="5" t="s">
        <v>4848</v>
      </c>
      <c r="S25" s="5" t="s">
        <v>4782</v>
      </c>
      <c r="T25" s="5" t="s">
        <v>4804</v>
      </c>
      <c r="U25" s="5" t="s">
        <v>4826</v>
      </c>
      <c r="V25" s="5" t="s">
        <v>4870</v>
      </c>
      <c r="W25" s="5" t="s">
        <v>4892</v>
      </c>
      <c r="X25" s="5" t="s">
        <v>4914</v>
      </c>
      <c r="Y25" s="5" t="s">
        <v>4936</v>
      </c>
      <c r="Z25" s="5" t="s">
        <v>4958</v>
      </c>
      <c r="AA25" s="5" t="s">
        <v>5001</v>
      </c>
      <c r="AB25" s="5" t="s">
        <v>4980</v>
      </c>
      <c r="AC25" s="5" t="s">
        <v>5023</v>
      </c>
      <c r="AD25" s="5" t="s">
        <v>5067</v>
      </c>
      <c r="AE25" s="5" t="s">
        <v>5045</v>
      </c>
      <c r="AF25" s="5" t="s">
        <v>5089</v>
      </c>
      <c r="AG25" s="5" t="s">
        <v>5111</v>
      </c>
    </row>
    <row r="26" spans="1:33" ht="15" customHeight="1"/>
    <row r="27" spans="1:33"/>
    <row r="28" spans="1:33"/>
    <row r="29" spans="1:33"/>
    <row r="30" spans="1:33"/>
    <row r="31" spans="1:33"/>
    <row r="32" spans="1:33"/>
    <row r="33"/>
    <row r="34"/>
    <row r="35"/>
    <row r="36"/>
    <row r="37"/>
    <row r="38"/>
    <row r="39"/>
    <row r="40"/>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J738"/>
  <sheetViews>
    <sheetView showGridLines="0" topLeftCell="A181" zoomScaleNormal="100" workbookViewId="0">
      <selection activeCell="H210" sqref="H210"/>
    </sheetView>
  </sheetViews>
  <sheetFormatPr defaultRowHeight="13.2"/>
  <cols>
    <col min="1" max="1" width="8.88671875" style="77"/>
    <col min="2" max="2" width="9.88671875" style="77" bestFit="1" customWidth="1"/>
    <col min="3" max="3" width="11.88671875" style="77" bestFit="1" customWidth="1"/>
    <col min="4" max="4" width="13.33203125" style="77" bestFit="1" customWidth="1"/>
    <col min="5" max="75" width="8.88671875" style="77"/>
    <col min="76" max="76" width="13.33203125" style="77" bestFit="1" customWidth="1"/>
    <col min="77" max="104" width="8.88671875" style="77"/>
    <col min="105" max="105" width="15.109375" style="77" bestFit="1" customWidth="1"/>
    <col min="106" max="106" width="9.5546875" style="77" customWidth="1"/>
    <col min="107" max="107" width="20.6640625" style="77" bestFit="1" customWidth="1"/>
    <col min="108" max="108" width="11.109375" style="77" bestFit="1" customWidth="1"/>
    <col min="109" max="16384" width="8.88671875" style="77"/>
  </cols>
  <sheetData>
    <row r="1" spans="1:114">
      <c r="B1" s="77">
        <f>'Player Database'!B1</f>
        <v>0</v>
      </c>
      <c r="C1" s="77">
        <f>'Player Database'!C1</f>
        <v>0</v>
      </c>
      <c r="D1" s="77">
        <f>'Player Database'!D1</f>
        <v>0</v>
      </c>
      <c r="E1" s="77">
        <f>'Player Database'!E1</f>
        <v>0</v>
      </c>
      <c r="F1" s="77">
        <f>'Player Database'!F1</f>
        <v>0</v>
      </c>
      <c r="G1" s="77">
        <f>'Player Database'!G1</f>
        <v>0</v>
      </c>
      <c r="H1" s="77">
        <f>'Player Database'!H1</f>
        <v>0</v>
      </c>
      <c r="I1" s="77">
        <f>'Player Database'!I1</f>
        <v>0</v>
      </c>
      <c r="J1" s="77">
        <f>'Player Database'!J1</f>
        <v>0</v>
      </c>
      <c r="K1" s="77">
        <f>'Player Database'!K1</f>
        <v>0</v>
      </c>
      <c r="L1" s="77">
        <f>'Player Database'!L1</f>
        <v>0</v>
      </c>
      <c r="M1" s="77">
        <f>'Player Database'!M1</f>
        <v>0</v>
      </c>
      <c r="N1" s="77">
        <f>'Player Database'!N1</f>
        <v>0</v>
      </c>
      <c r="O1" s="77">
        <f>'Player Database'!O1</f>
        <v>0</v>
      </c>
      <c r="P1" s="77">
        <f>'Player Database'!P1</f>
        <v>0</v>
      </c>
      <c r="Q1" s="77">
        <f>'Player Database'!Q1</f>
        <v>0</v>
      </c>
      <c r="R1" s="77">
        <f>'Player Database'!R1</f>
        <v>0</v>
      </c>
      <c r="S1" s="77">
        <f>'Player Database'!S1</f>
        <v>0</v>
      </c>
      <c r="T1" s="77">
        <f>'Player Database'!T1</f>
        <v>0</v>
      </c>
      <c r="U1" s="77">
        <f>'Player Database'!U1</f>
        <v>0</v>
      </c>
      <c r="V1" s="77">
        <f>'Player Database'!V1</f>
        <v>0</v>
      </c>
      <c r="W1" s="77">
        <f>'Player Database'!W1</f>
        <v>0</v>
      </c>
      <c r="X1" s="77">
        <f>'Player Database'!X1</f>
        <v>0</v>
      </c>
      <c r="Y1" s="77">
        <f>'Player Database'!Y1</f>
        <v>0</v>
      </c>
      <c r="Z1" s="77">
        <f>'Player Database'!Z1</f>
        <v>0</v>
      </c>
      <c r="AA1" s="77">
        <f>'Player Database'!AA1</f>
        <v>0</v>
      </c>
      <c r="AB1" s="77">
        <f>'Player Database'!AB1</f>
        <v>0</v>
      </c>
      <c r="AC1" s="77">
        <f>'Player Database'!AC1</f>
        <v>0</v>
      </c>
      <c r="AD1" s="77">
        <f>'Player Database'!AD1</f>
        <v>0</v>
      </c>
      <c r="AE1" s="77">
        <f>'Player Database'!AE1</f>
        <v>0</v>
      </c>
      <c r="AF1" s="77">
        <f>'Player Database'!AF1</f>
        <v>0</v>
      </c>
      <c r="AG1" s="77">
        <f>'Player Database'!AG1</f>
        <v>0</v>
      </c>
      <c r="AI1" s="77">
        <v>1</v>
      </c>
      <c r="AJ1" s="77">
        <v>2</v>
      </c>
      <c r="AK1" s="77">
        <v>3</v>
      </c>
      <c r="AL1" s="77">
        <v>4</v>
      </c>
      <c r="AM1" s="77">
        <v>5</v>
      </c>
      <c r="AN1" s="77">
        <v>6</v>
      </c>
      <c r="AO1" s="77">
        <v>7</v>
      </c>
      <c r="AP1" s="77">
        <v>8</v>
      </c>
      <c r="AQ1" s="77">
        <v>9</v>
      </c>
      <c r="AR1" s="77">
        <v>10</v>
      </c>
      <c r="AS1" s="77">
        <v>11</v>
      </c>
      <c r="AT1" s="77">
        <v>12</v>
      </c>
      <c r="AU1" s="77">
        <v>13</v>
      </c>
      <c r="AV1" s="77">
        <v>14</v>
      </c>
      <c r="AW1" s="77">
        <v>15</v>
      </c>
      <c r="AX1" s="77">
        <v>16</v>
      </c>
      <c r="AZ1" s="77">
        <v>1</v>
      </c>
      <c r="BA1" s="77">
        <v>2</v>
      </c>
      <c r="BB1" s="77">
        <v>3</v>
      </c>
      <c r="BC1" s="77">
        <v>4</v>
      </c>
      <c r="BD1" s="77">
        <v>5</v>
      </c>
      <c r="BE1" s="77">
        <v>6</v>
      </c>
      <c r="BF1" s="77">
        <v>7</v>
      </c>
      <c r="BG1" s="77">
        <v>8</v>
      </c>
      <c r="BI1" s="77">
        <v>1</v>
      </c>
      <c r="BJ1" s="77">
        <v>2</v>
      </c>
      <c r="BK1" s="77">
        <v>3</v>
      </c>
      <c r="BL1" s="77">
        <v>4</v>
      </c>
      <c r="BN1" s="77">
        <v>31</v>
      </c>
      <c r="BO1" s="77">
        <v>32</v>
      </c>
      <c r="BQ1" s="77">
        <v>1</v>
      </c>
      <c r="BR1" s="77">
        <v>2</v>
      </c>
      <c r="BX1" s="77" t="s">
        <v>3884</v>
      </c>
      <c r="CC1" s="77">
        <f t="shared" ref="CC1:CP1" ca="1" si="0">IF(CC2&lt;&gt;0,CD1+1,CD1)</f>
        <v>15</v>
      </c>
      <c r="CD1" s="77">
        <f t="shared" ca="1" si="0"/>
        <v>14</v>
      </c>
      <c r="CE1" s="77">
        <f t="shared" ca="1" si="0"/>
        <v>13</v>
      </c>
      <c r="CF1" s="77">
        <f t="shared" ca="1" si="0"/>
        <v>12</v>
      </c>
      <c r="CG1" s="77">
        <f t="shared" ca="1" si="0"/>
        <v>11</v>
      </c>
      <c r="CH1" s="77">
        <f t="shared" ca="1" si="0"/>
        <v>10</v>
      </c>
      <c r="CI1" s="77">
        <f t="shared" ca="1" si="0"/>
        <v>9</v>
      </c>
      <c r="CJ1" s="77">
        <f t="shared" ca="1" si="0"/>
        <v>8</v>
      </c>
      <c r="CK1" s="77">
        <f t="shared" ca="1" si="0"/>
        <v>7</v>
      </c>
      <c r="CL1" s="77">
        <f t="shared" ca="1" si="0"/>
        <v>6</v>
      </c>
      <c r="CM1" s="77">
        <f t="shared" ca="1" si="0"/>
        <v>5</v>
      </c>
      <c r="CN1" s="77">
        <f t="shared" ca="1" si="0"/>
        <v>4</v>
      </c>
      <c r="CO1" s="77">
        <f t="shared" ca="1" si="0"/>
        <v>3</v>
      </c>
      <c r="CP1" s="77">
        <f t="shared" ca="1" si="0"/>
        <v>2</v>
      </c>
      <c r="CQ1" s="77">
        <f ca="1">IF(CQ2&lt;&gt;0,CR1+1,CR1)</f>
        <v>1</v>
      </c>
      <c r="CR1" s="77">
        <v>0</v>
      </c>
    </row>
    <row r="2" spans="1:114" ht="13.8">
      <c r="A2" s="77">
        <v>1</v>
      </c>
      <c r="B2" s="78" t="str">
        <f>'Dummy Table'!$B4</f>
        <v>Brazil</v>
      </c>
      <c r="C2" s="78" t="str">
        <f>'Dummy Table'!$B5</f>
        <v>Croatia</v>
      </c>
      <c r="D2" s="78" t="str">
        <f>'Dummy Table'!$B6</f>
        <v>Mexico</v>
      </c>
      <c r="E2" s="78" t="str">
        <f>'Dummy Table'!$B7</f>
        <v>Cameroon</v>
      </c>
      <c r="F2" s="78" t="str">
        <f>'Dummy Table'!$B11</f>
        <v>Spain</v>
      </c>
      <c r="G2" s="78" t="str">
        <f>'Dummy Table'!$B12</f>
        <v>Netherlands</v>
      </c>
      <c r="H2" s="78" t="str">
        <f>'Dummy Table'!$B13</f>
        <v>Chile</v>
      </c>
      <c r="I2" s="78" t="str">
        <f>'Dummy Table'!$B14</f>
        <v>Australia</v>
      </c>
      <c r="J2" s="78" t="str">
        <f>'Dummy Table'!$B18</f>
        <v>Colombia</v>
      </c>
      <c r="K2" s="78" t="str">
        <f>'Dummy Table'!$B19</f>
        <v>Greece</v>
      </c>
      <c r="L2" s="78" t="str">
        <f>'Dummy Table'!$B20</f>
        <v>Ivory Coast</v>
      </c>
      <c r="M2" s="78" t="str">
        <f>'Dummy Table'!$B21</f>
        <v>Japan</v>
      </c>
      <c r="N2" s="78" t="str">
        <f>'Dummy Table'!$B25</f>
        <v>Uruguay</v>
      </c>
      <c r="O2" s="78" t="str">
        <f>'Dummy Table'!$B26</f>
        <v>Costa Rica</v>
      </c>
      <c r="P2" s="78" t="str">
        <f>'Dummy Table'!$B27</f>
        <v>England</v>
      </c>
      <c r="Q2" s="78" t="str">
        <f>'Dummy Table'!$B28</f>
        <v>Italy</v>
      </c>
      <c r="R2" s="78" t="str">
        <f>'Dummy Table'!$B32</f>
        <v>Switzerland</v>
      </c>
      <c r="S2" s="78" t="str">
        <f>'Dummy Table'!$B33</f>
        <v>Ecuador</v>
      </c>
      <c r="T2" s="78" t="str">
        <f>'Dummy Table'!$B34</f>
        <v>France</v>
      </c>
      <c r="U2" s="78" t="str">
        <f>'Dummy Table'!$B35</f>
        <v>Honduras</v>
      </c>
      <c r="V2" s="78" t="str">
        <f>'Dummy Table'!$B39</f>
        <v>Argentina</v>
      </c>
      <c r="W2" s="78" t="str">
        <f>'Dummy Table'!$B40</f>
        <v>Bosnia-Herzegovina</v>
      </c>
      <c r="X2" s="78" t="str">
        <f>'Dummy Table'!$B41</f>
        <v>Iran</v>
      </c>
      <c r="Y2" s="78" t="str">
        <f>'Dummy Table'!$B42</f>
        <v>Nigeria</v>
      </c>
      <c r="Z2" s="78" t="str">
        <f>'Dummy Table'!$B46</f>
        <v>Germany</v>
      </c>
      <c r="AA2" s="78" t="str">
        <f>'Dummy Table'!$B47</f>
        <v>Portugal</v>
      </c>
      <c r="AB2" s="78" t="str">
        <f>'Dummy Table'!$B48</f>
        <v>Ghana</v>
      </c>
      <c r="AC2" s="78" t="str">
        <f>'Dummy Table'!$B49</f>
        <v>USA</v>
      </c>
      <c r="AD2" s="78" t="str">
        <f>'Dummy Table'!$B53</f>
        <v>Belgium</v>
      </c>
      <c r="AE2" s="78" t="str">
        <f>'Dummy Table'!$B54</f>
        <v>Algeria</v>
      </c>
      <c r="AF2" s="78" t="str">
        <f>'Dummy Table'!$B55</f>
        <v>Russia</v>
      </c>
      <c r="AG2" s="78" t="str">
        <f>'Dummy Table'!$B56</f>
        <v>South Korea</v>
      </c>
      <c r="AI2" s="77" t="str">
        <f ca="1">'Knock Out Stages'!$H41</f>
        <v>Group A Winner</v>
      </c>
      <c r="AJ2" s="77" t="str">
        <f ca="1">'Knock Out Stages'!$H42</f>
        <v>Group B Runner Up</v>
      </c>
      <c r="AK2" s="77" t="str">
        <f ca="1">'Knock Out Stages'!$H43</f>
        <v>Group C Winner</v>
      </c>
      <c r="AL2" s="77" t="str">
        <f ca="1">'Knock Out Stages'!$H44</f>
        <v>Group D Runner Up</v>
      </c>
      <c r="AM2" s="77" t="str">
        <f ca="1">'Knock Out Stages'!$H45</f>
        <v>Group B Winner</v>
      </c>
      <c r="AN2" s="77" t="str">
        <f ca="1">'Knock Out Stages'!$H46</f>
        <v>Group A Runner Up</v>
      </c>
      <c r="AO2" s="77" t="str">
        <f ca="1">'Knock Out Stages'!$H47</f>
        <v>Group D Winner</v>
      </c>
      <c r="AP2" s="77" t="str">
        <f ca="1">'Knock Out Stages'!$H48</f>
        <v>Group C Runner Up</v>
      </c>
      <c r="AQ2" s="77" t="str">
        <f ca="1">'Knock Out Stages'!$H49</f>
        <v>Group E Winner</v>
      </c>
      <c r="AR2" s="77" t="str">
        <f ca="1">'Knock Out Stages'!$H50</f>
        <v>Group F Runner Up</v>
      </c>
      <c r="AS2" s="77" t="str">
        <f ca="1">'Knock Out Stages'!$H51</f>
        <v>Group G Winner</v>
      </c>
      <c r="AT2" s="77" t="str">
        <f ca="1">'Knock Out Stages'!$H52</f>
        <v>Group H Runner Up</v>
      </c>
      <c r="AU2" s="77" t="str">
        <f ca="1">'Knock Out Stages'!$H53</f>
        <v>Group F Winner</v>
      </c>
      <c r="AV2" s="77" t="str">
        <f ca="1">'Knock Out Stages'!$H54</f>
        <v>Group E Runner Up</v>
      </c>
      <c r="AW2" s="77" t="str">
        <f ca="1">'Knock Out Stages'!$H55</f>
        <v>Group H Winner</v>
      </c>
      <c r="AX2" s="77" t="str">
        <f ca="1">'Knock Out Stages'!$H56</f>
        <v>Group G Runner Up</v>
      </c>
      <c r="AZ2" s="77" t="str">
        <f>'Knock Out Stages'!$H60</f>
        <v>Match 49 Winner</v>
      </c>
      <c r="BA2" s="77" t="str">
        <f>'Knock Out Stages'!$H61</f>
        <v>Match 50 Winner</v>
      </c>
      <c r="BB2" s="77" t="str">
        <f>'Knock Out Stages'!$H62</f>
        <v>Match 53 Winner</v>
      </c>
      <c r="BC2" s="77" t="str">
        <f>'Knock Out Stages'!$H63</f>
        <v>Match 54 Winner</v>
      </c>
      <c r="BD2" s="77" t="str">
        <f>'Knock Out Stages'!$H64</f>
        <v>Match 51 Winner</v>
      </c>
      <c r="BE2" s="77" t="str">
        <f>'Knock Out Stages'!$H65</f>
        <v>Match 52 Winner</v>
      </c>
      <c r="BF2" s="77" t="str">
        <f>'Knock Out Stages'!$H66</f>
        <v>Match 55 Winner</v>
      </c>
      <c r="BG2" s="77" t="str">
        <f>'Knock Out Stages'!$H67</f>
        <v>Match 56 Winner</v>
      </c>
      <c r="BI2" s="77" t="str">
        <f>'Knock Out Stages'!$H71</f>
        <v>Match 57 Winner</v>
      </c>
      <c r="BJ2" s="77" t="str">
        <f>'Knock Out Stages'!$H72</f>
        <v>Match 58 Winner</v>
      </c>
      <c r="BK2" s="77" t="str">
        <f>'Knock Out Stages'!$H73</f>
        <v>Match 59 Winner</v>
      </c>
      <c r="BL2" s="77" t="str">
        <f>'Knock Out Stages'!$H74</f>
        <v>Match 60 Winner</v>
      </c>
      <c r="BN2" s="77" t="str">
        <f>'Knock Out Stages'!$H78</f>
        <v>Match 61 Loser</v>
      </c>
      <c r="BO2" s="77" t="str">
        <f>'Knock Out Stages'!$H79</f>
        <v>Match 62 Loser</v>
      </c>
      <c r="BQ2" s="77" t="str">
        <f>'Knock Out Stages'!$H83</f>
        <v>Match 61 Winner</v>
      </c>
      <c r="BR2" s="77" t="str">
        <f>'Knock Out Stages'!$H84</f>
        <v>Match 62 Winner</v>
      </c>
      <c r="CC2" s="77">
        <f ca="1">COUNTA(CC4:CC45)</f>
        <v>42</v>
      </c>
      <c r="CD2" s="77">
        <f t="shared" ref="CD2:CQ2" ca="1" si="1">COUNTA(CD4:CD45)</f>
        <v>42</v>
      </c>
      <c r="CE2" s="77">
        <f t="shared" ca="1" si="1"/>
        <v>42</v>
      </c>
      <c r="CF2" s="77">
        <f t="shared" ca="1" si="1"/>
        <v>42</v>
      </c>
      <c r="CG2" s="77">
        <f t="shared" ca="1" si="1"/>
        <v>42</v>
      </c>
      <c r="CH2" s="77">
        <f t="shared" ca="1" si="1"/>
        <v>42</v>
      </c>
      <c r="CI2" s="77">
        <f t="shared" ca="1" si="1"/>
        <v>42</v>
      </c>
      <c r="CJ2" s="77">
        <f t="shared" ca="1" si="1"/>
        <v>42</v>
      </c>
      <c r="CK2" s="77">
        <f t="shared" ca="1" si="1"/>
        <v>42</v>
      </c>
      <c r="CL2" s="77">
        <f t="shared" ca="1" si="1"/>
        <v>42</v>
      </c>
      <c r="CM2" s="77">
        <f t="shared" ca="1" si="1"/>
        <v>42</v>
      </c>
      <c r="CN2" s="77">
        <f t="shared" ca="1" si="1"/>
        <v>42</v>
      </c>
      <c r="CO2" s="77">
        <f t="shared" ca="1" si="1"/>
        <v>42</v>
      </c>
      <c r="CP2" s="77">
        <f t="shared" ca="1" si="1"/>
        <v>42</v>
      </c>
      <c r="CQ2" s="77">
        <f t="shared" ca="1" si="1"/>
        <v>42</v>
      </c>
      <c r="DG2" s="77">
        <f ca="1">IF(SUM(Tournament!V13:V58)&lt;&gt;96,0,1)</f>
        <v>0</v>
      </c>
    </row>
    <row r="3" spans="1:114">
      <c r="A3" s="77">
        <v>1</v>
      </c>
      <c r="B3" s="77" t="str">
        <f>IF(ISERR(FIND(" ",'Player Database'!B3)),'Player Database'!B3,LEFT('Player Database'!B3,1)&amp;"."&amp;RIGHT('Player Database'!B3,LEN('Player Database'!B3)-LEN(LEFT('Player Database'!B3,FIND(" ",'Player Database'!B3)))+1))</f>
        <v>Jefferson</v>
      </c>
      <c r="C3" s="77" t="str">
        <f>IF(ISERR(FIND(" ",'Player Database'!C3)),'Player Database'!C3,LEFT('Player Database'!C3,1)&amp;"."&amp;RIGHT('Player Database'!C3,LEN('Player Database'!C3)-LEN(LEFT('Player Database'!C3,FIND(" ",'Player Database'!C3)))+1))</f>
        <v>S. Pletikosa</v>
      </c>
      <c r="D3" s="77" t="str">
        <f>IF(ISERR(FIND(" ",'Player Database'!D3)),'Player Database'!D3,LEFT('Player Database'!D3,1)&amp;"."&amp;RIGHT('Player Database'!D3,LEN('Player Database'!D3)-LEN(LEFT('Player Database'!D3,FIND(" ",'Player Database'!D3)))+1))</f>
        <v>J. de Jesús Corona</v>
      </c>
      <c r="E3" s="77" t="str">
        <f>IF(ISERR(FIND(" ",'Player Database'!E3)),'Player Database'!E3,LEFT('Player Database'!E3,1)&amp;"."&amp;RIGHT('Player Database'!E3,LEN('Player Database'!E3)-LEN(LEFT('Player Database'!E3,FIND(" ",'Player Database'!E3)))+1))</f>
        <v>L. Feudjou</v>
      </c>
      <c r="F3" s="77" t="str">
        <f>IF(ISERR(FIND(" ",'Player Database'!F3)),'Player Database'!F3,LEFT('Player Database'!F3,1)&amp;"."&amp;RIGHT('Player Database'!F3,LEN('Player Database'!F3)-LEN(LEFT('Player Database'!F3,FIND(" ",'Player Database'!F3)))+1))</f>
        <v xml:space="preserve">I. Casillas </v>
      </c>
      <c r="G3" s="77" t="str">
        <f>IF(ISERR(FIND(" ",'Player Database'!G3)),'Player Database'!G3,LEFT('Player Database'!G3,1)&amp;"."&amp;RIGHT('Player Database'!G3,LEN('Player Database'!G3)-LEN(LEFT('Player Database'!G3,FIND(" ",'Player Database'!G3)))+1))</f>
        <v>J. Cillessen</v>
      </c>
      <c r="H3" s="77" t="str">
        <f>IF(ISERR(FIND(" ",'Player Database'!H3)),'Player Database'!H3,LEFT('Player Database'!H3,1)&amp;"."&amp;RIGHT('Player Database'!H3,LEN('Player Database'!H3)-LEN(LEFT('Player Database'!H3,FIND(" ",'Player Database'!H3)))+1))</f>
        <v xml:space="preserve">C. Bravo </v>
      </c>
      <c r="I3" s="77" t="str">
        <f>IF(ISERR(FIND(" ",'Player Database'!I3)),'Player Database'!I3,LEFT('Player Database'!I3,1)&amp;"."&amp;RIGHT('Player Database'!I3,LEN('Player Database'!I3)-LEN(LEFT('Player Database'!I3,FIND(" ",'Player Database'!I3)))+1))</f>
        <v>M. Ryan</v>
      </c>
      <c r="J3" s="77" t="str">
        <f>IF(ISERR(FIND(" ",'Player Database'!J3)),'Player Database'!J3,LEFT('Player Database'!J3,1)&amp;"."&amp;RIGHT('Player Database'!J3,LEN('Player Database'!J3)-LEN(LEFT('Player Database'!J3,FIND(" ",'Player Database'!J3)))+1))</f>
        <v>D. Ospina</v>
      </c>
      <c r="K3" s="77" t="str">
        <f>IF(ISERR(FIND(" ",'Player Database'!K3)),'Player Database'!K3,LEFT('Player Database'!K3,1)&amp;"."&amp;RIGHT('Player Database'!K3,LEN('Player Database'!K3)-LEN(LEFT('Player Database'!K3,FIND(" ",'Player Database'!K3)))+1))</f>
        <v>O. Karnezis</v>
      </c>
      <c r="L3" s="77" t="str">
        <f>IF(ISERR(FIND(" ",'Player Database'!L3)),'Player Database'!L3,LEFT('Player Database'!L3,1)&amp;"."&amp;RIGHT('Player Database'!L3,LEN('Player Database'!L3)-LEN(LEFT('Player Database'!L3,FIND(" ",'Player Database'!L3)))+1))</f>
        <v>B. Barry</v>
      </c>
      <c r="M3" s="77" t="str">
        <f>IF(ISERR(FIND(" ",'Player Database'!M3)),'Player Database'!M3,LEFT('Player Database'!M3,1)&amp;"."&amp;RIGHT('Player Database'!M3,LEN('Player Database'!M3)-LEN(LEFT('Player Database'!M3,FIND(" ",'Player Database'!M3)))+1))</f>
        <v>E. Kawashima</v>
      </c>
      <c r="N3" s="77" t="str">
        <f>IF(ISERR(FIND(" ",'Player Database'!N3)),'Player Database'!N3,LEFT('Player Database'!N3,1)&amp;"."&amp;RIGHT('Player Database'!N3,LEN('Player Database'!N3)-LEN(LEFT('Player Database'!N3,FIND(" ",'Player Database'!N3)))+1))</f>
        <v>F. Muslera</v>
      </c>
      <c r="O3" s="77" t="str">
        <f>IF(ISERR(FIND(" ",'Player Database'!O3)),'Player Database'!O3,LEFT('Player Database'!O3,1)&amp;"."&amp;RIGHT('Player Database'!O3,LEN('Player Database'!O3)-LEN(LEFT('Player Database'!O3,FIND(" ",'Player Database'!O3)))+1))</f>
        <v>K. Navas</v>
      </c>
      <c r="P3" s="77" t="str">
        <f>IF(ISERR(FIND(" ",'Player Database'!P3)),'Player Database'!P3,LEFT('Player Database'!P3,1)&amp;"."&amp;RIGHT('Player Database'!P3,LEN('Player Database'!P3)-LEN(LEFT('Player Database'!P3,FIND(" ",'Player Database'!P3)))+1))</f>
        <v>J. Hart</v>
      </c>
      <c r="Q3" s="77" t="str">
        <f>IF(ISERR(FIND(" ",'Player Database'!Q3)),'Player Database'!Q3,LEFT('Player Database'!Q3,1)&amp;"."&amp;RIGHT('Player Database'!Q3,LEN('Player Database'!Q3)-LEN(LEFT('Player Database'!Q3,FIND(" ",'Player Database'!Q3)))+1))</f>
        <v xml:space="preserve">G. Buffon </v>
      </c>
      <c r="R3" s="77" t="str">
        <f>IF(ISERR(FIND(" ",'Player Database'!R3)),'Player Database'!R3,LEFT('Player Database'!R3,1)&amp;"."&amp;RIGHT('Player Database'!R3,LEN('Player Database'!R3)-LEN(LEFT('Player Database'!R3,FIND(" ",'Player Database'!R3)))+1))</f>
        <v>D. Benaglio</v>
      </c>
      <c r="S3" s="77" t="str">
        <f>IF(ISERR(FIND(" ",'Player Database'!S3)),'Player Database'!S3,LEFT('Player Database'!S3,1)&amp;"."&amp;RIGHT('Player Database'!S3,LEN('Player Database'!S3)-LEN(LEFT('Player Database'!S3,FIND(" ",'Player Database'!S3)))+1))</f>
        <v>M. Banguera</v>
      </c>
      <c r="T3" s="77" t="str">
        <f>IF(ISERR(FIND(" ",'Player Database'!T3)),'Player Database'!T3,LEFT('Player Database'!T3,1)&amp;"."&amp;RIGHT('Player Database'!T3,LEN('Player Database'!T3)-LEN(LEFT('Player Database'!T3,FIND(" ",'Player Database'!T3)))+1))</f>
        <v xml:space="preserve">H. Lloris </v>
      </c>
      <c r="U3" s="77" t="str">
        <f>IF(ISERR(FIND(" ",'Player Database'!U3)),'Player Database'!U3,LEFT('Player Database'!U3,1)&amp;"."&amp;RIGHT('Player Database'!U3,LEN('Player Database'!U3)-LEN(LEFT('Player Database'!U3,FIND(" ",'Player Database'!U3)))+1))</f>
        <v>L. López</v>
      </c>
      <c r="V3" s="77" t="str">
        <f>IF(ISERR(FIND(" ",'Player Database'!V3)),'Player Database'!V3,LEFT('Player Database'!V3,1)&amp;"."&amp;RIGHT('Player Database'!V3,LEN('Player Database'!V3)-LEN(LEFT('Player Database'!V3,FIND(" ",'Player Database'!V3)))+1))</f>
        <v>S. Romero</v>
      </c>
      <c r="W3" s="77" t="str">
        <f>IF(ISERR(FIND(" ",'Player Database'!W3)),'Player Database'!W3,LEFT('Player Database'!W3,1)&amp;"."&amp;RIGHT('Player Database'!W3,LEN('Player Database'!W3)-LEN(LEFT('Player Database'!W3,FIND(" ",'Player Database'!W3)))+1))</f>
        <v>A. Begović</v>
      </c>
      <c r="X3" s="77" t="str">
        <f>IF(ISERR(FIND(" ",'Player Database'!X3)),'Player Database'!X3,LEFT('Player Database'!X3,1)&amp;"."&amp;RIGHT('Player Database'!X3,LEN('Player Database'!X3)-LEN(LEFT('Player Database'!X3,FIND(" ",'Player Database'!X3)))+1))</f>
        <v>R. Ahmadi</v>
      </c>
      <c r="Y3" s="77" t="str">
        <f>IF(ISERR(FIND(" ",'Player Database'!Y3)),'Player Database'!Y3,LEFT('Player Database'!Y3,1)&amp;"."&amp;RIGHT('Player Database'!Y3,LEN('Player Database'!Y3)-LEN(LEFT('Player Database'!Y3,FIND(" ",'Player Database'!Y3)))+1))</f>
        <v xml:space="preserve">V. Enyeama </v>
      </c>
      <c r="Z3" s="77" t="str">
        <f>IF(ISERR(FIND(" ",'Player Database'!Z3)),'Player Database'!Z3,LEFT('Player Database'!Z3,1)&amp;"."&amp;RIGHT('Player Database'!Z3,LEN('Player Database'!Z3)-LEN(LEFT('Player Database'!Z3,FIND(" ",'Player Database'!Z3)))+1))</f>
        <v>M. Neuer</v>
      </c>
      <c r="AA3" s="77" t="str">
        <f>IF(ISERR(FIND(" ",'Player Database'!AA3)),'Player Database'!AA3,LEFT('Player Database'!AA3,1)&amp;"."&amp;RIGHT('Player Database'!AA3,LEN('Player Database'!AA3)-LEN(LEFT('Player Database'!AA3,FIND(" ",'Player Database'!AA3)))+1))</f>
        <v>Eduardo</v>
      </c>
      <c r="AB3" s="77" t="str">
        <f>IF(ISERR(FIND(" ",'Player Database'!AB3)),'Player Database'!AB3,LEFT('Player Database'!AB3,1)&amp;"."&amp;RIGHT('Player Database'!AB3,LEN('Player Database'!AB3)-LEN(LEFT('Player Database'!AB3,FIND(" ",'Player Database'!AB3)))+1))</f>
        <v>S. Adams</v>
      </c>
      <c r="AC3" s="77" t="str">
        <f>IF(ISERR(FIND(" ",'Player Database'!AC3)),'Player Database'!AC3,LEFT('Player Database'!AC3,1)&amp;"."&amp;RIGHT('Player Database'!AC3,LEN('Player Database'!AC3)-LEN(LEFT('Player Database'!AC3,FIND(" ",'Player Database'!AC3)))+1))</f>
        <v>T. Howard</v>
      </c>
      <c r="AD3" s="77" t="str">
        <f>IF(ISERR(FIND(" ",'Player Database'!AD3)),'Player Database'!AD3,LEFT('Player Database'!AD3,1)&amp;"."&amp;RIGHT('Player Database'!AD3,LEN('Player Database'!AD3)-LEN(LEFT('Player Database'!AD3,FIND(" ",'Player Database'!AD3)))+1))</f>
        <v>T. Courtois</v>
      </c>
      <c r="AE3" s="77" t="str">
        <f>IF(ISERR(FIND(" ",'Player Database'!AE3)),'Player Database'!AE3,LEFT('Player Database'!AE3,1)&amp;"."&amp;RIGHT('Player Database'!AE3,LEN('Player Database'!AE3)-LEN(LEFT('Player Database'!AE3,FIND(" ",'Player Database'!AE3)))+1))</f>
        <v>C. Si Mohamed</v>
      </c>
      <c r="AF3" s="77" t="str">
        <f>IF(ISERR(FIND(" ",'Player Database'!AF3)),'Player Database'!AF3,LEFT('Player Database'!AF3,1)&amp;"."&amp;RIGHT('Player Database'!AF3,LEN('Player Database'!AF3)-LEN(LEFT('Player Database'!AF3,FIND(" ",'Player Database'!AF3)))+1))</f>
        <v>I. Akinfeev</v>
      </c>
      <c r="AG3" s="77" t="str">
        <f>IF(ISERR(FIND(" ",'Player Database'!AG3)),'Player Database'!AG3,LEFT('Player Database'!AG3,1)&amp;"."&amp;RIGHT('Player Database'!AG3,LEN('Player Database'!AG3)-LEN(LEFT('Player Database'!AG3,FIND(" ",'Player Database'!AG3)))+1))</f>
        <v>J. Sung-ryong</v>
      </c>
      <c r="AI3" s="77" t="str">
        <f t="shared" ref="AI3:AX3" ca="1" si="2">IFERROR(INDEX($B$3:$AG$25,$A3,MATCH(AI$2,$B$2:$AG$2,0)),"")</f>
        <v/>
      </c>
      <c r="AJ3" s="77" t="str">
        <f t="shared" ca="1" si="2"/>
        <v/>
      </c>
      <c r="AK3" s="77" t="str">
        <f t="shared" ca="1" si="2"/>
        <v/>
      </c>
      <c r="AL3" s="77" t="str">
        <f t="shared" ca="1" si="2"/>
        <v/>
      </c>
      <c r="AM3" s="77" t="str">
        <f t="shared" ca="1" si="2"/>
        <v/>
      </c>
      <c r="AN3" s="77" t="str">
        <f t="shared" ca="1" si="2"/>
        <v/>
      </c>
      <c r="AO3" s="77" t="str">
        <f t="shared" ca="1" si="2"/>
        <v/>
      </c>
      <c r="AP3" s="77" t="str">
        <f t="shared" ca="1" si="2"/>
        <v/>
      </c>
      <c r="AQ3" s="77" t="str">
        <f t="shared" ca="1" si="2"/>
        <v/>
      </c>
      <c r="AR3" s="77" t="str">
        <f t="shared" ca="1" si="2"/>
        <v/>
      </c>
      <c r="AS3" s="77" t="str">
        <f t="shared" ca="1" si="2"/>
        <v/>
      </c>
      <c r="AT3" s="77" t="str">
        <f t="shared" ca="1" si="2"/>
        <v/>
      </c>
      <c r="AU3" s="77" t="str">
        <f t="shared" ca="1" si="2"/>
        <v/>
      </c>
      <c r="AV3" s="77" t="str">
        <f t="shared" ca="1" si="2"/>
        <v/>
      </c>
      <c r="AW3" s="77" t="str">
        <f t="shared" ca="1" si="2"/>
        <v/>
      </c>
      <c r="AX3" s="77" t="str">
        <f t="shared" ca="1" si="2"/>
        <v/>
      </c>
      <c r="AZ3" s="77" t="str">
        <f t="shared" ref="AZ3:BG3" si="3">IFERROR(INDEX($B$3:$AG$25,$A3,MATCH(AZ$2,$B$2:$AG$2,0)),"")</f>
        <v/>
      </c>
      <c r="BA3" s="77" t="str">
        <f t="shared" si="3"/>
        <v/>
      </c>
      <c r="BB3" s="77" t="str">
        <f t="shared" si="3"/>
        <v/>
      </c>
      <c r="BC3" s="77" t="str">
        <f t="shared" si="3"/>
        <v/>
      </c>
      <c r="BD3" s="77" t="str">
        <f t="shared" si="3"/>
        <v/>
      </c>
      <c r="BE3" s="77" t="str">
        <f t="shared" si="3"/>
        <v/>
      </c>
      <c r="BF3" s="77" t="str">
        <f t="shared" si="3"/>
        <v/>
      </c>
      <c r="BG3" s="77" t="str">
        <f t="shared" si="3"/>
        <v/>
      </c>
      <c r="BI3" s="77" t="str">
        <f>IFERROR(INDEX($B$3:$AG$25,$A3,MATCH(BI$2,$B$2:$AG$2,0)),"")</f>
        <v/>
      </c>
      <c r="BJ3" s="77" t="str">
        <f>IFERROR(INDEX($B$3:$AG$25,$A3,MATCH(BJ$2,$B$2:$AG$2,0)),"")</f>
        <v/>
      </c>
      <c r="BK3" s="77" t="str">
        <f>IFERROR(INDEX($B$3:$AG$25,$A3,MATCH(BK$2,$B$2:$AG$2,0)),"")</f>
        <v/>
      </c>
      <c r="BL3" s="77" t="str">
        <f>IFERROR(INDEX($B$3:$AG$25,$A3,MATCH(BL$2,$B$2:$AG$2,0)),"")</f>
        <v/>
      </c>
      <c r="BN3" s="77" t="str">
        <f>IFERROR(INDEX($B$3:$AG$25,$A3,MATCH(BN$2,$B$2:$AG$2,0)),"")</f>
        <v/>
      </c>
      <c r="BO3" s="77" t="str">
        <f>IFERROR(INDEX($B$3:$AG$25,$A3,MATCH(BO$2,$B$2:$AG$2,0)),"")</f>
        <v/>
      </c>
      <c r="BQ3" s="77" t="str">
        <f>IFERROR(INDEX($B$3:$AG$25,$A3,MATCH(BQ$2,$B$2:$AG$2,0)),"")</f>
        <v/>
      </c>
      <c r="BR3" s="77" t="str">
        <f>IFERROR(INDEX($B$3:$AG$25,$A3,MATCH(BR$2,$B$2:$AG$2,0)),"")</f>
        <v/>
      </c>
      <c r="BT3" s="77" t="str">
        <f>B2</f>
        <v>Brazil</v>
      </c>
      <c r="BU3" s="77">
        <v>1</v>
      </c>
      <c r="BW3" s="77">
        <v>1</v>
      </c>
      <c r="BX3" s="77" t="str">
        <f t="shared" ref="BX3:BX25" si="4">B3</f>
        <v>Jefferson</v>
      </c>
      <c r="BY3" s="77">
        <f>COUNTIF('Group Stages'!$L$14:$S$110,BX3)+COUNTIF('Knock Out Stages'!$N$41:$U$84,BX3)</f>
        <v>0</v>
      </c>
      <c r="CA3" s="77" t="str">
        <f>'Player Database'!B3</f>
        <v>Jefferson</v>
      </c>
      <c r="CC3" s="77">
        <v>1</v>
      </c>
      <c r="CD3" s="77">
        <v>2</v>
      </c>
      <c r="CE3" s="77">
        <v>3</v>
      </c>
      <c r="CF3" s="77">
        <v>4</v>
      </c>
      <c r="CG3" s="77">
        <v>5</v>
      </c>
      <c r="CH3" s="77">
        <v>6</v>
      </c>
      <c r="CI3" s="77">
        <v>7</v>
      </c>
      <c r="CJ3" s="77">
        <v>8</v>
      </c>
      <c r="CK3" s="77">
        <v>9</v>
      </c>
      <c r="CL3" s="77">
        <v>10</v>
      </c>
      <c r="CM3" s="77">
        <v>11</v>
      </c>
      <c r="CN3" s="77">
        <v>12</v>
      </c>
      <c r="CO3" s="77">
        <v>13</v>
      </c>
      <c r="CP3" s="77">
        <v>14</v>
      </c>
      <c r="CQ3" s="77">
        <v>15</v>
      </c>
      <c r="CW3" s="77">
        <v>0</v>
      </c>
      <c r="DG3" s="77" t="s">
        <v>4006</v>
      </c>
      <c r="DH3" s="77">
        <v>16</v>
      </c>
      <c r="DI3" s="77">
        <v>8</v>
      </c>
      <c r="DJ3" s="77">
        <v>4</v>
      </c>
    </row>
    <row r="4" spans="1:114">
      <c r="A4" s="77">
        <v>2</v>
      </c>
      <c r="B4" s="77" t="str">
        <f>IF(ISERR(FIND(" ",'Player Database'!B4)),'Player Database'!B4,LEFT('Player Database'!B4,1)&amp;"."&amp;RIGHT('Player Database'!B4,LEN('Player Database'!B4)-LEN(LEFT('Player Database'!B4,FIND(" ",'Player Database'!B4)))+1))</f>
        <v>D. Alves</v>
      </c>
      <c r="C4" s="77" t="str">
        <f>IF(ISERR(FIND(" ",'Player Database'!C4)),'Player Database'!C4,LEFT('Player Database'!C4,1)&amp;"."&amp;RIGHT('Player Database'!C4,LEN('Player Database'!C4)-LEN(LEFT('Player Database'!C4,FIND(" ",'Player Database'!C4)))+1))</f>
        <v>Š. Vrsaljko</v>
      </c>
      <c r="D4" s="77" t="str">
        <f>IF(ISERR(FIND(" ",'Player Database'!D4)),'Player Database'!D4,LEFT('Player Database'!D4,1)&amp;"."&amp;RIGHT('Player Database'!D4,LEN('Player Database'!D4)-LEN(LEFT('Player Database'!D4,FIND(" ",'Player Database'!D4)))+1))</f>
        <v>F. Javier Rodríguez</v>
      </c>
      <c r="E4" s="77" t="str">
        <f>IF(ISERR(FIND(" ",'Player Database'!E4)),'Player Database'!E4,LEFT('Player Database'!E4,1)&amp;"."&amp;RIGHT('Player Database'!E4,LEN('Player Database'!E4)-LEN(LEFT('Player Database'!E4,FIND(" ",'Player Database'!E4)))+1))</f>
        <v>B. Assou-Ekotto</v>
      </c>
      <c r="F4" s="77" t="str">
        <f>IF(ISERR(FIND(" ",'Player Database'!F4)),'Player Database'!F4,LEFT('Player Database'!F4,1)&amp;"."&amp;RIGHT('Player Database'!F4,LEN('Player Database'!F4)-LEN(LEFT('Player Database'!F4,FIND(" ",'Player Database'!F4)))+1))</f>
        <v>R. Albiol</v>
      </c>
      <c r="G4" s="77" t="str">
        <f>IF(ISERR(FIND(" ",'Player Database'!G4)),'Player Database'!G4,LEFT('Player Database'!G4,1)&amp;"."&amp;RIGHT('Player Database'!G4,LEN('Player Database'!G4)-LEN(LEFT('Player Database'!G4,FIND(" ",'Player Database'!G4)))+1))</f>
        <v>R. Vlaar</v>
      </c>
      <c r="H4" s="77" t="str">
        <f>IF(ISERR(FIND(" ",'Player Database'!H4)),'Player Database'!H4,LEFT('Player Database'!H4,1)&amp;"."&amp;RIGHT('Player Database'!H4,LEN('Player Database'!H4)-LEN(LEFT('Player Database'!H4,FIND(" ",'Player Database'!H4)))+1))</f>
        <v>E. Mena</v>
      </c>
      <c r="I4" s="77" t="str">
        <f>IF(ISERR(FIND(" ",'Player Database'!I4)),'Player Database'!I4,LEFT('Player Database'!I4,1)&amp;"."&amp;RIGHT('Player Database'!I4,LEN('Player Database'!I4)-LEN(LEFT('Player Database'!I4,FIND(" ",'Player Database'!I4)))+1))</f>
        <v>I. Franjić</v>
      </c>
      <c r="J4" s="77" t="str">
        <f>IF(ISERR(FIND(" ",'Player Database'!J4)),'Player Database'!J4,LEFT('Player Database'!J4,1)&amp;"."&amp;RIGHT('Player Database'!J4,LEN('Player Database'!J4)-LEN(LEFT('Player Database'!J4,FIND(" ",'Player Database'!J4)))+1))</f>
        <v>C. Zapata</v>
      </c>
      <c r="K4" s="77" t="str">
        <f>IF(ISERR(FIND(" ",'Player Database'!K4)),'Player Database'!K4,LEFT('Player Database'!K4,1)&amp;"."&amp;RIGHT('Player Database'!K4,LEN('Player Database'!K4)-LEN(LEFT('Player Database'!K4,FIND(" ",'Player Database'!K4)))+1))</f>
        <v>G. Maniatis</v>
      </c>
      <c r="L4" s="77" t="str">
        <f>IF(ISERR(FIND(" ",'Player Database'!L4)),'Player Database'!L4,LEFT('Player Database'!L4,1)&amp;"."&amp;RIGHT('Player Database'!L4,LEN('Player Database'!L4)-LEN(LEFT('Player Database'!L4,FIND(" ",'Player Database'!L4)))+1))</f>
        <v>O. Viera</v>
      </c>
      <c r="M4" s="77" t="str">
        <f>IF(ISERR(FIND(" ",'Player Database'!M4)),'Player Database'!M4,LEFT('Player Database'!M4,1)&amp;"."&amp;RIGHT('Player Database'!M4,LEN('Player Database'!M4)-LEN(LEFT('Player Database'!M4,FIND(" ",'Player Database'!M4)))+1))</f>
        <v>A. Uchida</v>
      </c>
      <c r="N4" s="77" t="str">
        <f>IF(ISERR(FIND(" ",'Player Database'!N4)),'Player Database'!N4,LEFT('Player Database'!N4,1)&amp;"."&amp;RIGHT('Player Database'!N4,LEN('Player Database'!N4)-LEN(LEFT('Player Database'!N4,FIND(" ",'Player Database'!N4)))+1))</f>
        <v xml:space="preserve">D. Lugano </v>
      </c>
      <c r="O4" s="77" t="str">
        <f>IF(ISERR(FIND(" ",'Player Database'!O4)),'Player Database'!O4,LEFT('Player Database'!O4,1)&amp;"."&amp;RIGHT('Player Database'!O4,LEN('Player Database'!O4)-LEN(LEFT('Player Database'!O4,FIND(" ",'Player Database'!O4)))+1))</f>
        <v>J. Acosta</v>
      </c>
      <c r="P4" s="77" t="str">
        <f>IF(ISERR(FIND(" ",'Player Database'!P4)),'Player Database'!P4,LEFT('Player Database'!P4,1)&amp;"."&amp;RIGHT('Player Database'!P4,LEN('Player Database'!P4)-LEN(LEFT('Player Database'!P4,FIND(" ",'Player Database'!P4)))+1))</f>
        <v>G. Johnson</v>
      </c>
      <c r="Q4" s="77" t="str">
        <f>IF(ISERR(FIND(" ",'Player Database'!Q4)),'Player Database'!Q4,LEFT('Player Database'!Q4,1)&amp;"."&amp;RIGHT('Player Database'!Q4,LEN('Player Database'!Q4)-LEN(LEFT('Player Database'!Q4,FIND(" ",'Player Database'!Q4)))+1))</f>
        <v>M. De Sciglio</v>
      </c>
      <c r="R4" s="77" t="str">
        <f>IF(ISERR(FIND(" ",'Player Database'!R4)),'Player Database'!R4,LEFT('Player Database'!R4,1)&amp;"."&amp;RIGHT('Player Database'!R4,LEN('Player Database'!R4)-LEN(LEFT('Player Database'!R4,FIND(" ",'Player Database'!R4)))+1))</f>
        <v>S. Lichtsteiner</v>
      </c>
      <c r="S4" s="77" t="str">
        <f>IF(ISERR(FIND(" ",'Player Database'!S4)),'Player Database'!S4,LEFT('Player Database'!S4,1)&amp;"."&amp;RIGHT('Player Database'!S4,LEN('Player Database'!S4)-LEN(LEFT('Player Database'!S4,FIND(" ",'Player Database'!S4)))+1))</f>
        <v>J. Guagua</v>
      </c>
      <c r="T4" s="77" t="str">
        <f>IF(ISERR(FIND(" ",'Player Database'!T4)),'Player Database'!T4,LEFT('Player Database'!T4,1)&amp;"."&amp;RIGHT('Player Database'!T4,LEN('Player Database'!T4)-LEN(LEFT('Player Database'!T4,FIND(" ",'Player Database'!T4)))+1))</f>
        <v>M. Debuchy</v>
      </c>
      <c r="U4" s="77" t="str">
        <f>IF(ISERR(FIND(" ",'Player Database'!U4)),'Player Database'!U4,LEFT('Player Database'!U4,1)&amp;"."&amp;RIGHT('Player Database'!U4,LEN('Player Database'!U4)-LEN(LEFT('Player Database'!U4,FIND(" ",'Player Database'!U4)))+1))</f>
        <v>O. Chávez</v>
      </c>
      <c r="V4" s="77" t="str">
        <f>IF(ISERR(FIND(" ",'Player Database'!V4)),'Player Database'!V4,LEFT('Player Database'!V4,1)&amp;"."&amp;RIGHT('Player Database'!V4,LEN('Player Database'!V4)-LEN(LEFT('Player Database'!V4,FIND(" ",'Player Database'!V4)))+1))</f>
        <v>E. Garay</v>
      </c>
      <c r="W4" s="77" t="str">
        <f>IF(ISERR(FIND(" ",'Player Database'!W4)),'Player Database'!W4,LEFT('Player Database'!W4,1)&amp;"."&amp;RIGHT('Player Database'!W4,LEN('Player Database'!W4)-LEN(LEFT('Player Database'!W4,FIND(" ",'Player Database'!W4)))+1))</f>
        <v>A. Vršajević</v>
      </c>
      <c r="X4" s="77" t="str">
        <f>IF(ISERR(FIND(" ",'Player Database'!X4)),'Player Database'!X4,LEFT('Player Database'!X4,1)&amp;"."&amp;RIGHT('Player Database'!X4,LEN('Player Database'!X4)-LEN(LEFT('Player Database'!X4,FIND(" ",'Player Database'!X4)))+1))</f>
        <v>K. Heydari</v>
      </c>
      <c r="Y4" s="77" t="str">
        <f>IF(ISERR(FIND(" ",'Player Database'!Y4)),'Player Database'!Y4,LEFT('Player Database'!Y4,1)&amp;"."&amp;RIGHT('Player Database'!Y4,LEN('Player Database'!Y4)-LEN(LEFT('Player Database'!Y4,FIND(" ",'Player Database'!Y4)))+1))</f>
        <v>J. Yobo</v>
      </c>
      <c r="Z4" s="77" t="str">
        <f>IF(ISERR(FIND(" ",'Player Database'!Z4)),'Player Database'!Z4,LEFT('Player Database'!Z4,1)&amp;"."&amp;RIGHT('Player Database'!Z4,LEN('Player Database'!Z4)-LEN(LEFT('Player Database'!Z4,FIND(" ",'Player Database'!Z4)))+1))</f>
        <v>K. Großkreutz</v>
      </c>
      <c r="AA4" s="77" t="str">
        <f>IF(ISERR(FIND(" ",'Player Database'!AA4)),'Player Database'!AA4,LEFT('Player Database'!AA4,1)&amp;"."&amp;RIGHT('Player Database'!AA4,LEN('Player Database'!AA4)-LEN(LEFT('Player Database'!AA4,FIND(" ",'Player Database'!AA4)))+1))</f>
        <v>B. Alves</v>
      </c>
      <c r="AB4" s="77" t="str">
        <f>IF(ISERR(FIND(" ",'Player Database'!AB4)),'Player Database'!AB4,LEFT('Player Database'!AB4,1)&amp;"."&amp;RIGHT('Player Database'!AB4,LEN('Player Database'!AB4)-LEN(LEFT('Player Database'!AB4,FIND(" ",'Player Database'!AB4)))+1))</f>
        <v>S. Inkoom</v>
      </c>
      <c r="AC4" s="77" t="str">
        <f>IF(ISERR(FIND(" ",'Player Database'!AC4)),'Player Database'!AC4,LEFT('Player Database'!AC4,1)&amp;"."&amp;RIGHT('Player Database'!AC4,LEN('Player Database'!AC4)-LEN(LEFT('Player Database'!AC4,FIND(" ",'Player Database'!AC4)))+1))</f>
        <v>D. Yedlin</v>
      </c>
      <c r="AD4" s="77" t="str">
        <f>IF(ISERR(FIND(" ",'Player Database'!AD4)),'Player Database'!AD4,LEFT('Player Database'!AD4,1)&amp;"."&amp;RIGHT('Player Database'!AD4,LEN('Player Database'!AD4)-LEN(LEFT('Player Database'!AD4,FIND(" ",'Player Database'!AD4)))+1))</f>
        <v>T. Alderweireld</v>
      </c>
      <c r="AE4" s="77" t="str">
        <f>IF(ISERR(FIND(" ",'Player Database'!AE4)),'Player Database'!AE4,LEFT('Player Database'!AE4,1)&amp;"."&amp;RIGHT('Player Database'!AE4,LEN('Player Database'!AE4)-LEN(LEFT('Player Database'!AE4,FIND(" ",'Player Database'!AE4)))+1))</f>
        <v xml:space="preserve">M. Bougherra </v>
      </c>
      <c r="AF4" s="77" t="str">
        <f>IF(ISERR(FIND(" ",'Player Database'!AF4)),'Player Database'!AF4,LEFT('Player Database'!AF4,1)&amp;"."&amp;RIGHT('Player Database'!AF4,LEN('Player Database'!AF4)-LEN(LEFT('Player Database'!AF4,FIND(" ",'Player Database'!AF4)))+1))</f>
        <v>A. Kozlov</v>
      </c>
      <c r="AG4" s="77" t="str">
        <f>IF(ISERR(FIND(" ",'Player Database'!AG4)),'Player Database'!AG4,LEFT('Player Database'!AG4,1)&amp;"."&amp;RIGHT('Player Database'!AG4,LEN('Player Database'!AG4)-LEN(LEFT('Player Database'!AG4,FIND(" ",'Player Database'!AG4)))+1))</f>
        <v>K. Chang-soo</v>
      </c>
      <c r="AI4" s="77" t="str">
        <f t="shared" ref="AI4:AX19" ca="1" si="5">IFERROR(INDEX($B$3:$AG$25,$A4,MATCH(AI$2,$B$2:$AG$2,0)),"")</f>
        <v/>
      </c>
      <c r="AJ4" s="77" t="str">
        <f t="shared" ca="1" si="5"/>
        <v/>
      </c>
      <c r="AK4" s="77" t="str">
        <f t="shared" ca="1" si="5"/>
        <v/>
      </c>
      <c r="AL4" s="77" t="str">
        <f t="shared" ca="1" si="5"/>
        <v/>
      </c>
      <c r="AM4" s="77" t="str">
        <f t="shared" ca="1" si="5"/>
        <v/>
      </c>
      <c r="AN4" s="77" t="str">
        <f t="shared" ca="1" si="5"/>
        <v/>
      </c>
      <c r="AO4" s="77" t="str">
        <f t="shared" ca="1" si="5"/>
        <v/>
      </c>
      <c r="AP4" s="77" t="str">
        <f t="shared" ca="1" si="5"/>
        <v/>
      </c>
      <c r="AQ4" s="77" t="str">
        <f t="shared" ca="1" si="5"/>
        <v/>
      </c>
      <c r="AR4" s="77" t="str">
        <f t="shared" ca="1" si="5"/>
        <v/>
      </c>
      <c r="AS4" s="77" t="str">
        <f t="shared" ca="1" si="5"/>
        <v/>
      </c>
      <c r="AT4" s="77" t="str">
        <f t="shared" ca="1" si="5"/>
        <v/>
      </c>
      <c r="AU4" s="77" t="str">
        <f t="shared" ca="1" si="5"/>
        <v/>
      </c>
      <c r="AV4" s="77" t="str">
        <f t="shared" ca="1" si="5"/>
        <v/>
      </c>
      <c r="AW4" s="77" t="str">
        <f t="shared" ca="1" si="5"/>
        <v/>
      </c>
      <c r="AX4" s="77" t="str">
        <f t="shared" ca="1" si="5"/>
        <v/>
      </c>
      <c r="AZ4" s="77" t="str">
        <f t="shared" ref="AZ4:BG25" si="6">IFERROR(INDEX($B$3:$AG$25,$A4,MATCH(AZ$2,$B$2:$AG$2,0)),"")</f>
        <v/>
      </c>
      <c r="BA4" s="77" t="str">
        <f t="shared" si="6"/>
        <v/>
      </c>
      <c r="BB4" s="77" t="str">
        <f t="shared" si="6"/>
        <v/>
      </c>
      <c r="BC4" s="77" t="str">
        <f t="shared" si="6"/>
        <v/>
      </c>
      <c r="BD4" s="77" t="str">
        <f t="shared" si="6"/>
        <v/>
      </c>
      <c r="BE4" s="77" t="str">
        <f t="shared" si="6"/>
        <v/>
      </c>
      <c r="BF4" s="77" t="str">
        <f t="shared" si="6"/>
        <v/>
      </c>
      <c r="BG4" s="77" t="str">
        <f t="shared" si="6"/>
        <v/>
      </c>
      <c r="BI4" s="77" t="str">
        <f t="shared" ref="BI4:BL25" si="7">IFERROR(INDEX($B$3:$AG$25,$A4,MATCH(BI$2,$B$2:$AG$2,0)),"")</f>
        <v/>
      </c>
      <c r="BJ4" s="77" t="str">
        <f t="shared" si="7"/>
        <v/>
      </c>
      <c r="BK4" s="77" t="str">
        <f t="shared" si="7"/>
        <v/>
      </c>
      <c r="BL4" s="77" t="str">
        <f t="shared" si="7"/>
        <v/>
      </c>
      <c r="BN4" s="77" t="str">
        <f t="shared" ref="BN4:BO25" si="8">IFERROR(INDEX($B$3:$AG$25,$A4,MATCH(BN$2,$B$2:$AG$2,0)),"")</f>
        <v/>
      </c>
      <c r="BO4" s="77" t="str">
        <f t="shared" si="8"/>
        <v/>
      </c>
      <c r="BQ4" s="77" t="str">
        <f t="shared" ref="BQ4:BR25" si="9">IFERROR(INDEX($B$3:$AG$25,$A4,MATCH(BQ$2,$B$2:$AG$2,0)),"")</f>
        <v/>
      </c>
      <c r="BR4" s="77" t="str">
        <f t="shared" si="9"/>
        <v/>
      </c>
      <c r="BT4" s="77" t="str">
        <f>BT3</f>
        <v>Brazil</v>
      </c>
      <c r="BU4" s="77">
        <f>BU3+1</f>
        <v>2</v>
      </c>
      <c r="BW4" s="77">
        <v>1</v>
      </c>
      <c r="BX4" s="77" t="str">
        <f t="shared" si="4"/>
        <v>D. Alves</v>
      </c>
      <c r="BY4" s="77">
        <f>COUNTIF('Group Stages'!$L$14:$S$110,BX4)+COUNTIF('Knock Out Stages'!$N$41:$U$84,BX4)</f>
        <v>0</v>
      </c>
      <c r="CA4" s="77" t="str">
        <f>'Player Database'!B4</f>
        <v>Dani Alves</v>
      </c>
      <c r="CB4" s="77">
        <v>1</v>
      </c>
      <c r="CC4" s="77" t="str">
        <f t="array" aca="1" ref="CC4" ca="1">IFERROR(INDEX($BX$3:$BX$738, SMALL(IF(COUNTIF(CC$3, $BY$3:$BY$738), ROW($BX$3:$BX$738)-MIN(ROW($BX$3:$BX$738))+1), $CB4), 0),"")</f>
        <v/>
      </c>
      <c r="CD4" s="77" t="str">
        <f t="array" aca="1" ref="CD4" ca="1">IFERROR(INDEX($BX$3:$BX$738, SMALL(IF(COUNTIF(CD$3, $BY$3:$BY$738), ROW($BX$3:$BX$738)-MIN(ROW($BX$3:$BX$738))+1), $CB4), 0),"")</f>
        <v/>
      </c>
      <c r="CE4" s="77" t="str">
        <f t="array" aca="1" ref="CE4" ca="1">IFERROR(INDEX($BX$3:$BX$738, SMALL(IF(COUNTIF(CE$3, $BY$3:$BY$738), ROW($BX$3:$BX$738)-MIN(ROW($BX$3:$BX$738))+1), $CB4), 0),"")</f>
        <v/>
      </c>
      <c r="CF4" s="77" t="str">
        <f t="array" aca="1" ref="CF4" ca="1">IFERROR(INDEX($BX$3:$BX$738, SMALL(IF(COUNTIF(CF$3, $BY$3:$BY$738), ROW($BX$3:$BX$738)-MIN(ROW($BX$3:$BX$738))+1), $CB4), 0),"")</f>
        <v/>
      </c>
      <c r="CG4" s="77" t="str">
        <f t="array" aca="1" ref="CG4" ca="1">IFERROR(INDEX($BX$3:$BX$738, SMALL(IF(COUNTIF(CG$3, $BY$3:$BY$738), ROW($BX$3:$BX$738)-MIN(ROW($BX$3:$BX$738))+1), $CB4), 0),"")</f>
        <v/>
      </c>
      <c r="CH4" s="77" t="str">
        <f t="array" aca="1" ref="CH4" ca="1">IFERROR(INDEX($BX$3:$BX$738, SMALL(IF(COUNTIF(CH$3, $BY$3:$BY$738), ROW($BX$3:$BX$738)-MIN(ROW($BX$3:$BX$738))+1), $CB4), 0),"")</f>
        <v/>
      </c>
      <c r="CI4" s="77" t="str">
        <f t="array" aca="1" ref="CI4" ca="1">IFERROR(INDEX($BX$3:$BX$738, SMALL(IF(COUNTIF(CI$3, $BY$3:$BY$738), ROW($BX$3:$BX$738)-MIN(ROW($BX$3:$BX$738))+1), $CB4), 0),"")</f>
        <v/>
      </c>
      <c r="CJ4" s="77" t="str">
        <f t="array" aca="1" ref="CJ4" ca="1">IFERROR(INDEX($BX$3:$BX$738, SMALL(IF(COUNTIF(CJ$3, $BY$3:$BY$738), ROW($BX$3:$BX$738)-MIN(ROW($BX$3:$BX$738))+1), $CB4), 0),"")</f>
        <v/>
      </c>
      <c r="CK4" s="77" t="str">
        <f t="array" aca="1" ref="CK4" ca="1">IFERROR(INDEX($BX$3:$BX$738, SMALL(IF(COUNTIF(CK$3, $BY$3:$BY$738), ROW($BX$3:$BX$738)-MIN(ROW($BX$3:$BX$738))+1), $CB4), 0),"")</f>
        <v/>
      </c>
      <c r="CL4" s="77" t="str">
        <f t="array" aca="1" ref="CL4" ca="1">IFERROR(INDEX($BX$3:$BX$738, SMALL(IF(COUNTIF(CL$3, $BY$3:$BY$738), ROW($BX$3:$BX$738)-MIN(ROW($BX$3:$BX$738))+1), $CB4), 0),"")</f>
        <v/>
      </c>
      <c r="CM4" s="77" t="str">
        <f t="array" aca="1" ref="CM4" ca="1">IFERROR(INDEX($BX$3:$BX$738, SMALL(IF(COUNTIF(CM$3, $BY$3:$BY$738), ROW($BX$3:$BX$738)-MIN(ROW($BX$3:$BX$738))+1), $CB4), 0),"")</f>
        <v/>
      </c>
      <c r="CN4" s="77" t="str">
        <f t="array" aca="1" ref="CN4" ca="1">IFERROR(INDEX($BX$3:$BX$738, SMALL(IF(COUNTIF(CN$3, $BY$3:$BY$738), ROW($BX$3:$BX$738)-MIN(ROW($BX$3:$BX$738))+1), $CB4), 0),"")</f>
        <v/>
      </c>
      <c r="CO4" s="77" t="str">
        <f t="array" aca="1" ref="CO4" ca="1">IFERROR(INDEX($BX$3:$BX$738, SMALL(IF(COUNTIF(CO$3, $BY$3:$BY$738), ROW($BX$3:$BX$738)-MIN(ROW($BX$3:$BX$738))+1), $CB4), 0),"")</f>
        <v/>
      </c>
      <c r="CP4" s="77" t="str">
        <f t="array" aca="1" ref="CP4" ca="1">IFERROR(INDEX($BX$3:$BX$738, SMALL(IF(COUNTIF(CP$3, $BY$3:$BY$738), ROW($BX$3:$BX$738)-MIN(ROW($BX$3:$BX$738))+1), $CB4), 0),"")</f>
        <v/>
      </c>
      <c r="CQ4" s="77" t="str">
        <f t="array" aca="1" ref="CQ4" ca="1">IFERROR(INDEX($BX$3:$BX$738, SMALL(IF(COUNTIF(CQ$3, $BY$3:$BY$738), ROW($BX$3:$BX$738)-MIN(ROW($BX$3:$BX$738))+1), $CB4), 0),"")</f>
        <v/>
      </c>
      <c r="CS4" s="77">
        <v>1</v>
      </c>
      <c r="CT4" s="77">
        <v>1</v>
      </c>
      <c r="CV4" s="77" t="str">
        <f t="shared" ref="CV4:CV45" ca="1" si="10">CQ4</f>
        <v/>
      </c>
      <c r="CW4" s="77">
        <f ca="1">IF(CV4&lt;&gt;"",CW3+1,CW3)</f>
        <v>0</v>
      </c>
      <c r="CZ4" s="77">
        <v>1</v>
      </c>
      <c r="DA4" s="77" t="str">
        <f ca="1">IFERROR(INDEX($CV$4:$CV$633,MATCH(CZ4,$CW$4:$CW$633,0),0),"")</f>
        <v/>
      </c>
      <c r="DB4" s="77" t="str">
        <f ca="1">IFERROR(VLOOKUP(DA4,$BX$3:$BY$738,2,FALSE),"")</f>
        <v/>
      </c>
      <c r="DC4" s="77" t="str">
        <f ca="1">IFERROR(VLOOKUP(DA4,$BX$3:$CA$738,4,FALSE),"")</f>
        <v/>
      </c>
      <c r="DD4" s="77" t="str">
        <f ca="1">IFERROR(INDEX($BT$3:$BT$738,MATCH(DA4,$BX$3:$BX$738,0),0),"")</f>
        <v/>
      </c>
      <c r="DG4" s="77" t="str">
        <f ca="1">IF($DG$2=1,Tournament!T15,"")</f>
        <v/>
      </c>
      <c r="DH4" s="77" t="str">
        <f>IF(AND(Tournament!J67&lt;&gt;"",Tournament!L67&lt;&gt;""),IF(Tournament!J67&lt;Tournament!L67,Tournament!H67,Tournament!N67),"")</f>
        <v/>
      </c>
      <c r="DI4" s="77" t="str">
        <f>IF(AND(Tournament!AA67&lt;&gt;"",Tournament!AC67&lt;&gt;""),IF(Tournament!AA67&lt;Tournament!AC67,Tournament!Y67,Tournament!AE67),"")</f>
        <v/>
      </c>
      <c r="DJ4" s="77" t="str">
        <f>IF(AND(Tournament!AA90&lt;&gt;"",Tournament!AC90&lt;&gt;""),IF(Tournament!AA90&lt;Tournament!AC90,Tournament!Y90,Tournament!AE90),"")</f>
        <v/>
      </c>
    </row>
    <row r="5" spans="1:114">
      <c r="A5" s="77">
        <v>3</v>
      </c>
      <c r="B5" s="77" t="str">
        <f>IF(ISERR(FIND(" ",'Player Database'!B5)),'Player Database'!B5,LEFT('Player Database'!B5,1)&amp;"."&amp;RIGHT('Player Database'!B5,LEN('Player Database'!B5)-LEN(LEFT('Player Database'!B5,FIND(" ",'Player Database'!B5)))+1))</f>
        <v>T. Silva</v>
      </c>
      <c r="C5" s="77" t="str">
        <f>IF(ISERR(FIND(" ",'Player Database'!C5)),'Player Database'!C5,LEFT('Player Database'!C5,1)&amp;"."&amp;RIGHT('Player Database'!C5,LEN('Player Database'!C5)-LEN(LEFT('Player Database'!C5,FIND(" ",'Player Database'!C5)))+1))</f>
        <v>D. Pranjić</v>
      </c>
      <c r="D5" s="77" t="str">
        <f>IF(ISERR(FIND(" ",'Player Database'!D5)),'Player Database'!D5,LEFT('Player Database'!D5,1)&amp;"."&amp;RIGHT('Player Database'!D5,LEN('Player Database'!D5)-LEN(LEFT('Player Database'!D5,FIND(" ",'Player Database'!D5)))+1))</f>
        <v>C. Salcido</v>
      </c>
      <c r="E5" s="77" t="str">
        <f>IF(ISERR(FIND(" ",'Player Database'!E5)),'Player Database'!E5,LEFT('Player Database'!E5,1)&amp;"."&amp;RIGHT('Player Database'!E5,LEN('Player Database'!E5)-LEN(LEFT('Player Database'!E5,FIND(" ",'Player Database'!E5)))+1))</f>
        <v>N. N'Koulou</v>
      </c>
      <c r="F5" s="77" t="str">
        <f>IF(ISERR(FIND(" ",'Player Database'!F5)),'Player Database'!F5,LEFT('Player Database'!F5,1)&amp;"."&amp;RIGHT('Player Database'!F5,LEN('Player Database'!F5)-LEN(LEFT('Player Database'!F5,FIND(" ",'Player Database'!F5)))+1))</f>
        <v>G. Piqué</v>
      </c>
      <c r="G5" s="77" t="str">
        <f>IF(ISERR(FIND(" ",'Player Database'!G5)),'Player Database'!G5,LEFT('Player Database'!G5,1)&amp;"."&amp;RIGHT('Player Database'!G5,LEN('Player Database'!G5)-LEN(LEFT('Player Database'!G5,FIND(" ",'Player Database'!G5)))+1))</f>
        <v>S. de Vrij</v>
      </c>
      <c r="H5" s="77" t="str">
        <f>IF(ISERR(FIND(" ",'Player Database'!H5)),'Player Database'!H5,LEFT('Player Database'!H5,1)&amp;"."&amp;RIGHT('Player Database'!H5,LEN('Player Database'!H5)-LEN(LEFT('Player Database'!H5,FIND(" ",'Player Database'!H5)))+1))</f>
        <v>M. Albornoz</v>
      </c>
      <c r="I5" s="77" t="str">
        <f>IF(ISERR(FIND(" ",'Player Database'!I5)),'Player Database'!I5,LEFT('Player Database'!I5,1)&amp;"."&amp;RIGHT('Player Database'!I5,LEN('Player Database'!I5)-LEN(LEFT('Player Database'!I5,FIND(" ",'Player Database'!I5)))+1))</f>
        <v>J. Davidson</v>
      </c>
      <c r="J5" s="77" t="str">
        <f>IF(ISERR(FIND(" ",'Player Database'!J5)),'Player Database'!J5,LEFT('Player Database'!J5,1)&amp;"."&amp;RIGHT('Player Database'!J5,LEN('Player Database'!J5)-LEN(LEFT('Player Database'!J5,FIND(" ",'Player Database'!J5)))+1))</f>
        <v xml:space="preserve">M. Yepes </v>
      </c>
      <c r="K5" s="77" t="str">
        <f>IF(ISERR(FIND(" ",'Player Database'!K5)),'Player Database'!K5,LEFT('Player Database'!K5,1)&amp;"."&amp;RIGHT('Player Database'!K5,LEN('Player Database'!K5)-LEN(LEFT('Player Database'!K5,FIND(" ",'Player Database'!K5)))+1))</f>
        <v>G. Tzavellas</v>
      </c>
      <c r="L5" s="77" t="str">
        <f>IF(ISERR(FIND(" ",'Player Database'!L5)),'Player Database'!L5,LEFT('Player Database'!L5,1)&amp;"."&amp;RIGHT('Player Database'!L5,LEN('Player Database'!L5)-LEN(LEFT('Player Database'!L5,FIND(" ",'Player Database'!L5)))+1))</f>
        <v>A. Boka</v>
      </c>
      <c r="M5" s="77" t="str">
        <f>IF(ISERR(FIND(" ",'Player Database'!M5)),'Player Database'!M5,LEFT('Player Database'!M5,1)&amp;"."&amp;RIGHT('Player Database'!M5,LEN('Player Database'!M5)-LEN(LEFT('Player Database'!M5,FIND(" ",'Player Database'!M5)))+1))</f>
        <v>G. Sakai</v>
      </c>
      <c r="N5" s="77" t="str">
        <f>IF(ISERR(FIND(" ",'Player Database'!N5)),'Player Database'!N5,LEFT('Player Database'!N5,1)&amp;"."&amp;RIGHT('Player Database'!N5,LEN('Player Database'!N5)-LEN(LEFT('Player Database'!N5,FIND(" ",'Player Database'!N5)))+1))</f>
        <v>D. Godín</v>
      </c>
      <c r="O5" s="77" t="str">
        <f>IF(ISERR(FIND(" ",'Player Database'!O5)),'Player Database'!O5,LEFT('Player Database'!O5,1)&amp;"."&amp;RIGHT('Player Database'!O5,LEN('Player Database'!O5)-LEN(LEFT('Player Database'!O5,FIND(" ",'Player Database'!O5)))+1))</f>
        <v>G. González</v>
      </c>
      <c r="P5" s="77" t="str">
        <f>IF(ISERR(FIND(" ",'Player Database'!P5)),'Player Database'!P5,LEFT('Player Database'!P5,1)&amp;"."&amp;RIGHT('Player Database'!P5,LEN('Player Database'!P5)-LEN(LEFT('Player Database'!P5,FIND(" ",'Player Database'!P5)))+1))</f>
        <v>L. Baines</v>
      </c>
      <c r="Q5" s="77" t="str">
        <f>IF(ISERR(FIND(" ",'Player Database'!Q5)),'Player Database'!Q5,LEFT('Player Database'!Q5,1)&amp;"."&amp;RIGHT('Player Database'!Q5,LEN('Player Database'!Q5)-LEN(LEFT('Player Database'!Q5,FIND(" ",'Player Database'!Q5)))+1))</f>
        <v>G. Chiellini</v>
      </c>
      <c r="R5" s="77" t="str">
        <f>IF(ISERR(FIND(" ",'Player Database'!R5)),'Player Database'!R5,LEFT('Player Database'!R5,1)&amp;"."&amp;RIGHT('Player Database'!R5,LEN('Player Database'!R5)-LEN(LEFT('Player Database'!R5,FIND(" ",'Player Database'!R5)))+1))</f>
        <v>R. Ziegler</v>
      </c>
      <c r="S5" s="77" t="str">
        <f>IF(ISERR(FIND(" ",'Player Database'!S5)),'Player Database'!S5,LEFT('Player Database'!S5,1)&amp;"."&amp;RIGHT('Player Database'!S5,LEN('Player Database'!S5)-LEN(LEFT('Player Database'!S5,FIND(" ",'Player Database'!S5)))+1))</f>
        <v>F. Erazo</v>
      </c>
      <c r="T5" s="77" t="str">
        <f>IF(ISERR(FIND(" ",'Player Database'!T5)),'Player Database'!T5,LEFT('Player Database'!T5,1)&amp;"."&amp;RIGHT('Player Database'!T5,LEN('Player Database'!T5)-LEN(LEFT('Player Database'!T5,FIND(" ",'Player Database'!T5)))+1))</f>
        <v>P. Evra</v>
      </c>
      <c r="U5" s="77" t="str">
        <f>IF(ISERR(FIND(" ",'Player Database'!U5)),'Player Database'!U5,LEFT('Player Database'!U5,1)&amp;"."&amp;RIGHT('Player Database'!U5,LEN('Player Database'!U5)-LEN(LEFT('Player Database'!U5,FIND(" ",'Player Database'!U5)))+1))</f>
        <v>M. Figueroa</v>
      </c>
      <c r="V5" s="77" t="str">
        <f>IF(ISERR(FIND(" ",'Player Database'!V5)),'Player Database'!V5,LEFT('Player Database'!V5,1)&amp;"."&amp;RIGHT('Player Database'!V5,LEN('Player Database'!V5)-LEN(LEFT('Player Database'!V5,FIND(" ",'Player Database'!V5)))+1))</f>
        <v>H. Campagnaro</v>
      </c>
      <c r="W5" s="77" t="str">
        <f>IF(ISERR(FIND(" ",'Player Database'!W5)),'Player Database'!W5,LEFT('Player Database'!W5,1)&amp;"."&amp;RIGHT('Player Database'!W5,LEN('Player Database'!W5)-LEN(LEFT('Player Database'!W5,FIND(" ",'Player Database'!W5)))+1))</f>
        <v>E. Bičakčić</v>
      </c>
      <c r="X5" s="77" t="str">
        <f>IF(ISERR(FIND(" ",'Player Database'!X5)),'Player Database'!X5,LEFT('Player Database'!X5,1)&amp;"."&amp;RIGHT('Player Database'!X5,LEN('Player Database'!X5)-LEN(LEFT('Player Database'!X5,FIND(" ",'Player Database'!X5)))+1))</f>
        <v>E. Hajsafi</v>
      </c>
      <c r="Y5" s="77" t="str">
        <f>IF(ISERR(FIND(" ",'Player Database'!Y5)),'Player Database'!Y5,LEFT('Player Database'!Y5,1)&amp;"."&amp;RIGHT('Player Database'!Y5,LEN('Player Database'!Y5)-LEN(LEFT('Player Database'!Y5,FIND(" ",'Player Database'!Y5)))+1))</f>
        <v>E. Uzoenyi</v>
      </c>
      <c r="Z5" s="77" t="str">
        <f>IF(ISERR(FIND(" ",'Player Database'!Z5)),'Player Database'!Z5,LEFT('Player Database'!Z5,1)&amp;"."&amp;RIGHT('Player Database'!Z5,LEN('Player Database'!Z5)-LEN(LEFT('Player Database'!Z5,FIND(" ",'Player Database'!Z5)))+1))</f>
        <v>M. Ginter</v>
      </c>
      <c r="AA5" s="77" t="str">
        <f>IF(ISERR(FIND(" ",'Player Database'!AA5)),'Player Database'!AA5,LEFT('Player Database'!AA5,1)&amp;"."&amp;RIGHT('Player Database'!AA5,LEN('Player Database'!AA5)-LEN(LEFT('Player Database'!AA5,FIND(" ",'Player Database'!AA5)))+1))</f>
        <v>Pepe</v>
      </c>
      <c r="AB5" s="77" t="str">
        <f>IF(ISERR(FIND(" ",'Player Database'!AB5)),'Player Database'!AB5,LEFT('Player Database'!AB5,1)&amp;"."&amp;RIGHT('Player Database'!AB5,LEN('Player Database'!AB5)-LEN(LEFT('Player Database'!AB5,FIND(" ",'Player Database'!AB5)))+1))</f>
        <v xml:space="preserve">A. Gyan </v>
      </c>
      <c r="AC5" s="77" t="str">
        <f>IF(ISERR(FIND(" ",'Player Database'!AC5)),'Player Database'!AC5,LEFT('Player Database'!AC5,1)&amp;"."&amp;RIGHT('Player Database'!AC5,LEN('Player Database'!AC5)-LEN(LEFT('Player Database'!AC5,FIND(" ",'Player Database'!AC5)))+1))</f>
        <v>O. Gonzalez</v>
      </c>
      <c r="AD5" s="77" t="str">
        <f>IF(ISERR(FIND(" ",'Player Database'!AD5)),'Player Database'!AD5,LEFT('Player Database'!AD5,1)&amp;"."&amp;RIGHT('Player Database'!AD5,LEN('Player Database'!AD5)-LEN(LEFT('Player Database'!AD5,FIND(" ",'Player Database'!AD5)))+1))</f>
        <v>T. Vermaelen</v>
      </c>
      <c r="AE5" s="77" t="str">
        <f>IF(ISERR(FIND(" ",'Player Database'!AE5)),'Player Database'!AE5,LEFT('Player Database'!AE5,1)&amp;"."&amp;RIGHT('Player Database'!AE5,LEN('Player Database'!AE5)-LEN(LEFT('Player Database'!AE5,FIND(" ",'Player Database'!AE5)))+1))</f>
        <v>F. Ghoulam</v>
      </c>
      <c r="AF5" s="77" t="str">
        <f>IF(ISERR(FIND(" ",'Player Database'!AF5)),'Player Database'!AF5,LEFT('Player Database'!AF5,1)&amp;"."&amp;RIGHT('Player Database'!AF5,LEN('Player Database'!AF5)-LEN(LEFT('Player Database'!AF5,FIND(" ",'Player Database'!AF5)))+1))</f>
        <v>G. Shchennikov</v>
      </c>
      <c r="AG5" s="77" t="str">
        <f>IF(ISERR(FIND(" ",'Player Database'!AG5)),'Player Database'!AG5,LEFT('Player Database'!AG5,1)&amp;"."&amp;RIGHT('Player Database'!AG5,LEN('Player Database'!AG5)-LEN(LEFT('Player Database'!AG5,FIND(" ",'Player Database'!AG5)))+1))</f>
        <v>Y. Suk-young</v>
      </c>
      <c r="AI5" s="77" t="str">
        <f t="shared" ca="1" si="5"/>
        <v/>
      </c>
      <c r="AJ5" s="77" t="str">
        <f t="shared" ca="1" si="5"/>
        <v/>
      </c>
      <c r="AK5" s="77" t="str">
        <f t="shared" ca="1" si="5"/>
        <v/>
      </c>
      <c r="AL5" s="77" t="str">
        <f t="shared" ca="1" si="5"/>
        <v/>
      </c>
      <c r="AM5" s="77" t="str">
        <f t="shared" ca="1" si="5"/>
        <v/>
      </c>
      <c r="AN5" s="77" t="str">
        <f t="shared" ca="1" si="5"/>
        <v/>
      </c>
      <c r="AO5" s="77" t="str">
        <f t="shared" ca="1" si="5"/>
        <v/>
      </c>
      <c r="AP5" s="77" t="str">
        <f t="shared" ca="1" si="5"/>
        <v/>
      </c>
      <c r="AQ5" s="77" t="str">
        <f t="shared" ca="1" si="5"/>
        <v/>
      </c>
      <c r="AR5" s="77" t="str">
        <f t="shared" ca="1" si="5"/>
        <v/>
      </c>
      <c r="AS5" s="77" t="str">
        <f t="shared" ca="1" si="5"/>
        <v/>
      </c>
      <c r="AT5" s="77" t="str">
        <f t="shared" ca="1" si="5"/>
        <v/>
      </c>
      <c r="AU5" s="77" t="str">
        <f t="shared" ca="1" si="5"/>
        <v/>
      </c>
      <c r="AV5" s="77" t="str">
        <f t="shared" ca="1" si="5"/>
        <v/>
      </c>
      <c r="AW5" s="77" t="str">
        <f t="shared" ca="1" si="5"/>
        <v/>
      </c>
      <c r="AX5" s="77" t="str">
        <f t="shared" ca="1" si="5"/>
        <v/>
      </c>
      <c r="AZ5" s="77" t="str">
        <f t="shared" si="6"/>
        <v/>
      </c>
      <c r="BA5" s="77" t="str">
        <f t="shared" si="6"/>
        <v/>
      </c>
      <c r="BB5" s="77" t="str">
        <f t="shared" si="6"/>
        <v/>
      </c>
      <c r="BC5" s="77" t="str">
        <f t="shared" si="6"/>
        <v/>
      </c>
      <c r="BD5" s="77" t="str">
        <f t="shared" si="6"/>
        <v/>
      </c>
      <c r="BE5" s="77" t="str">
        <f t="shared" si="6"/>
        <v/>
      </c>
      <c r="BF5" s="77" t="str">
        <f t="shared" si="6"/>
        <v/>
      </c>
      <c r="BG5" s="77" t="str">
        <f t="shared" si="6"/>
        <v/>
      </c>
      <c r="BI5" s="77" t="str">
        <f t="shared" si="7"/>
        <v/>
      </c>
      <c r="BJ5" s="77" t="str">
        <f t="shared" si="7"/>
        <v/>
      </c>
      <c r="BK5" s="77" t="str">
        <f t="shared" si="7"/>
        <v/>
      </c>
      <c r="BL5" s="77" t="str">
        <f t="shared" si="7"/>
        <v/>
      </c>
      <c r="BN5" s="77" t="str">
        <f t="shared" si="8"/>
        <v/>
      </c>
      <c r="BO5" s="77" t="str">
        <f t="shared" si="8"/>
        <v/>
      </c>
      <c r="BQ5" s="77" t="str">
        <f t="shared" si="9"/>
        <v/>
      </c>
      <c r="BR5" s="77" t="str">
        <f t="shared" si="9"/>
        <v/>
      </c>
      <c r="BT5" s="77" t="str">
        <f t="shared" ref="BT5:BT25" si="11">BT4</f>
        <v>Brazil</v>
      </c>
      <c r="BU5" s="77">
        <f t="shared" ref="BU5:BU68" si="12">BU4+1</f>
        <v>3</v>
      </c>
      <c r="BW5" s="77">
        <v>1</v>
      </c>
      <c r="BX5" s="77" t="str">
        <f t="shared" si="4"/>
        <v>T. Silva</v>
      </c>
      <c r="BY5" s="77">
        <f>COUNTIF('Group Stages'!$L$14:$S$110,BX5)+COUNTIF('Knock Out Stages'!$N$41:$U$84,BX5)</f>
        <v>0</v>
      </c>
      <c r="CA5" s="77" t="str">
        <f>'Player Database'!B5</f>
        <v>Thiago Silva</v>
      </c>
      <c r="CB5" s="77">
        <v>2</v>
      </c>
      <c r="CC5" s="77" t="str">
        <f t="array" aca="1" ref="CC5" ca="1">IFERROR(INDEX($BX$3:$BX$738, SMALL(IF(COUNTIF(CC$3, $BY$3:$BY$738), ROW($BX$3:$BX$738)-MIN(ROW($BX$3:$BX$738))+1), $CB5), 0),"")</f>
        <v/>
      </c>
      <c r="CD5" s="77" t="str">
        <f t="array" aca="1" ref="CD5" ca="1">IFERROR(INDEX($BX$3:$BX$738, SMALL(IF(COUNTIF(CD$3, $BY$3:$BY$738), ROW($BX$3:$BX$738)-MIN(ROW($BX$3:$BX$738))+1), $CB5), 0),"")</f>
        <v/>
      </c>
      <c r="CE5" s="77" t="str">
        <f t="array" aca="1" ref="CE5" ca="1">IFERROR(INDEX($BX$3:$BX$738, SMALL(IF(COUNTIF(CE$3, $BY$3:$BY$738), ROW($BX$3:$BX$738)-MIN(ROW($BX$3:$BX$738))+1), $CB5), 0),"")</f>
        <v/>
      </c>
      <c r="CF5" s="77" t="str">
        <f t="array" aca="1" ref="CF5" ca="1">IFERROR(INDEX($BX$3:$BX$738, SMALL(IF(COUNTIF(CF$3, $BY$3:$BY$738), ROW($BX$3:$BX$738)-MIN(ROW($BX$3:$BX$738))+1), $CB5), 0),"")</f>
        <v/>
      </c>
      <c r="CG5" s="77" t="str">
        <f t="array" aca="1" ref="CG5" ca="1">IFERROR(INDEX($BX$3:$BX$738, SMALL(IF(COUNTIF(CG$3, $BY$3:$BY$738), ROW($BX$3:$BX$738)-MIN(ROW($BX$3:$BX$738))+1), $CB5), 0),"")</f>
        <v/>
      </c>
      <c r="CH5" s="77" t="str">
        <f t="array" aca="1" ref="CH5" ca="1">IFERROR(INDEX($BX$3:$BX$738, SMALL(IF(COUNTIF(CH$3, $BY$3:$BY$738), ROW($BX$3:$BX$738)-MIN(ROW($BX$3:$BX$738))+1), $CB5), 0),"")</f>
        <v/>
      </c>
      <c r="CI5" s="77" t="str">
        <f t="array" aca="1" ref="CI5" ca="1">IFERROR(INDEX($BX$3:$BX$738, SMALL(IF(COUNTIF(CI$3, $BY$3:$BY$738), ROW($BX$3:$BX$738)-MIN(ROW($BX$3:$BX$738))+1), $CB5), 0),"")</f>
        <v/>
      </c>
      <c r="CJ5" s="77" t="str">
        <f t="array" aca="1" ref="CJ5" ca="1">IFERROR(INDEX($BX$3:$BX$738, SMALL(IF(COUNTIF(CJ$3, $BY$3:$BY$738), ROW($BX$3:$BX$738)-MIN(ROW($BX$3:$BX$738))+1), $CB5), 0),"")</f>
        <v/>
      </c>
      <c r="CK5" s="77" t="str">
        <f t="array" aca="1" ref="CK5" ca="1">IFERROR(INDEX($BX$3:$BX$738, SMALL(IF(COUNTIF(CK$3, $BY$3:$BY$738), ROW($BX$3:$BX$738)-MIN(ROW($BX$3:$BX$738))+1), $CB5), 0),"")</f>
        <v/>
      </c>
      <c r="CL5" s="77" t="str">
        <f t="array" aca="1" ref="CL5" ca="1">IFERROR(INDEX($BX$3:$BX$738, SMALL(IF(COUNTIF(CL$3, $BY$3:$BY$738), ROW($BX$3:$BX$738)-MIN(ROW($BX$3:$BX$738))+1), $CB5), 0),"")</f>
        <v/>
      </c>
      <c r="CM5" s="77" t="str">
        <f t="array" aca="1" ref="CM5" ca="1">IFERROR(INDEX($BX$3:$BX$738, SMALL(IF(COUNTIF(CM$3, $BY$3:$BY$738), ROW($BX$3:$BX$738)-MIN(ROW($BX$3:$BX$738))+1), $CB5), 0),"")</f>
        <v/>
      </c>
      <c r="CN5" s="77" t="str">
        <f t="array" aca="1" ref="CN5" ca="1">IFERROR(INDEX($BX$3:$BX$738, SMALL(IF(COUNTIF(CN$3, $BY$3:$BY$738), ROW($BX$3:$BX$738)-MIN(ROW($BX$3:$BX$738))+1), $CB5), 0),"")</f>
        <v/>
      </c>
      <c r="CO5" s="77" t="str">
        <f t="array" aca="1" ref="CO5" ca="1">IFERROR(INDEX($BX$3:$BX$738, SMALL(IF(COUNTIF(CO$3, $BY$3:$BY$738), ROW($BX$3:$BX$738)-MIN(ROW($BX$3:$BX$738))+1), $CB5), 0),"")</f>
        <v/>
      </c>
      <c r="CP5" s="77" t="str">
        <f t="array" aca="1" ref="CP5" ca="1">IFERROR(INDEX($BX$3:$BX$738, SMALL(IF(COUNTIF(CP$3, $BY$3:$BY$738), ROW($BX$3:$BX$738)-MIN(ROW($BX$3:$BX$738))+1), $CB5), 0),"")</f>
        <v/>
      </c>
      <c r="CQ5" s="77" t="str">
        <f t="array" aca="1" ref="CQ5" ca="1">IFERROR(INDEX($BX$3:$BX$738, SMALL(IF(COUNTIF(CQ$3, $BY$3:$BY$738), ROW($BX$3:$BX$738)-MIN(ROW($BX$3:$BX$738))+1), $CB5), 0),"")</f>
        <v/>
      </c>
      <c r="CS5" s="77">
        <v>2</v>
      </c>
      <c r="CT5" s="77">
        <v>1</v>
      </c>
      <c r="CV5" s="77" t="str">
        <f t="shared" ca="1" si="10"/>
        <v/>
      </c>
      <c r="CW5" s="77">
        <f t="shared" ref="CW5:CW68" ca="1" si="13">IF(CV5&lt;&gt;"",CW4+1,CW4)</f>
        <v>0</v>
      </c>
      <c r="CZ5" s="77">
        <v>2</v>
      </c>
      <c r="DA5" s="77" t="str">
        <f t="shared" ref="DA5:DA68" ca="1" si="14">IFERROR(INDEX($CV$4:$CV$633,MATCH(CZ5,$CW$4:$CW$633,0),0),"")</f>
        <v/>
      </c>
      <c r="DB5" s="77" t="str">
        <f t="shared" ref="DB5:DB68" ca="1" si="15">IFERROR(VLOOKUP(DA5,$BX$3:$BY$738,2,FALSE),"")</f>
        <v/>
      </c>
      <c r="DC5" s="77" t="str">
        <f t="shared" ref="DC5:DC6" ca="1" si="16">IFERROR(VLOOKUP(DA5,$BX$3:$CA$738,4,FALSE),"")</f>
        <v/>
      </c>
      <c r="DD5" s="77" t="str">
        <f t="shared" ref="DD5:DD68" ca="1" si="17">IFERROR(INDEX($BT$3:$BT$738,MATCH(DA5,$BX$3:$BX$738,0),0),"")</f>
        <v/>
      </c>
      <c r="DG5" s="77" t="str">
        <f ca="1">IF($DG$2=1,Tournament!T16,"")</f>
        <v/>
      </c>
      <c r="DH5" s="77" t="str">
        <f>IF(AND(Tournament!J73&lt;&gt;"",Tournament!L73&lt;&gt;""),IF(Tournament!J73&lt;Tournament!L73,Tournament!H73,Tournament!N73),"")</f>
        <v/>
      </c>
      <c r="DI5" s="77" t="str">
        <f>IF(AND(Tournament!AA72&lt;&gt;"",Tournament!AC72&lt;&gt;""),IF(Tournament!AA72&lt;Tournament!AC72,Tournament!Y72,Tournament!AE72),"")</f>
        <v/>
      </c>
      <c r="DJ5" s="77" t="str">
        <f>IF(AND(Tournament!AA95&lt;&gt;"",Tournament!AC95&lt;&gt;""),IF(Tournament!AA95&lt;Tournament!AC95,Tournament!Y95,Tournament!AE95),"")</f>
        <v/>
      </c>
    </row>
    <row r="6" spans="1:114">
      <c r="A6" s="77">
        <v>4</v>
      </c>
      <c r="B6" s="77" t="str">
        <f>IF(ISERR(FIND(" ",'Player Database'!B6)),'Player Database'!B6,LEFT('Player Database'!B6,1)&amp;"."&amp;RIGHT('Player Database'!B6,LEN('Player Database'!B6)-LEN(LEFT('Player Database'!B6,FIND(" ",'Player Database'!B6)))+1))</f>
        <v>D. Luiz</v>
      </c>
      <c r="C6" s="77" t="str">
        <f>IF(ISERR(FIND(" ",'Player Database'!C6)),'Player Database'!C6,LEFT('Player Database'!C6,1)&amp;"."&amp;RIGHT('Player Database'!C6,LEN('Player Database'!C6)-LEN(LEFT('Player Database'!C6,FIND(" ",'Player Database'!C6)))+1))</f>
        <v>I. Perišić</v>
      </c>
      <c r="D6" s="77" t="str">
        <f>IF(ISERR(FIND(" ",'Player Database'!D6)),'Player Database'!D6,LEFT('Player Database'!D6,1)&amp;"."&amp;RIGHT('Player Database'!D6,LEN('Player Database'!D6)-LEN(LEFT('Player Database'!D6,FIND(" ",'Player Database'!D6)))+1))</f>
        <v xml:space="preserve">R. Márquez </v>
      </c>
      <c r="E6" s="77" t="str">
        <f>IF(ISERR(FIND(" ",'Player Database'!E6)),'Player Database'!E6,LEFT('Player Database'!E6,1)&amp;"."&amp;RIGHT('Player Database'!E6,LEN('Player Database'!E6)-LEN(LEFT('Player Database'!E6,FIND(" ",'Player Database'!E6)))+1))</f>
        <v>C. Djeugoué</v>
      </c>
      <c r="F6" s="77" t="str">
        <f>IF(ISERR(FIND(" ",'Player Database'!F6)),'Player Database'!F6,LEFT('Player Database'!F6,1)&amp;"."&amp;RIGHT('Player Database'!F6,LEN('Player Database'!F6)-LEN(LEFT('Player Database'!F6,FIND(" ",'Player Database'!F6)))+1))</f>
        <v>J. Martínez</v>
      </c>
      <c r="G6" s="77" t="str">
        <f>IF(ISERR(FIND(" ",'Player Database'!G6)),'Player Database'!G6,LEFT('Player Database'!G6,1)&amp;"."&amp;RIGHT('Player Database'!G6,LEN('Player Database'!G6)-LEN(LEFT('Player Database'!G6,FIND(" ",'Player Database'!G6)))+1))</f>
        <v>B. Martins Indi</v>
      </c>
      <c r="H6" s="77" t="str">
        <f>IF(ISERR(FIND(" ",'Player Database'!H6)),'Player Database'!H6,LEFT('Player Database'!H6,1)&amp;"."&amp;RIGHT('Player Database'!H6,LEN('Player Database'!H6)-LEN(LEFT('Player Database'!H6,FIND(" ",'Player Database'!H6)))+1))</f>
        <v>M. Isla</v>
      </c>
      <c r="I6" s="77" t="str">
        <f>IF(ISERR(FIND(" ",'Player Database'!I6)),'Player Database'!I6,LEFT('Player Database'!I6,1)&amp;"."&amp;RIGHT('Player Database'!I6,LEN('Player Database'!I6)-LEN(LEFT('Player Database'!I6,FIND(" ",'Player Database'!I6)))+1))</f>
        <v>T. Cahill</v>
      </c>
      <c r="J6" s="77" t="str">
        <f>IF(ISERR(FIND(" ",'Player Database'!J6)),'Player Database'!J6,LEFT('Player Database'!J6,1)&amp;"."&amp;RIGHT('Player Database'!J6,LEN('Player Database'!J6)-LEN(LEFT('Player Database'!J6,FIND(" ",'Player Database'!J6)))+1))</f>
        <v>S. Arias</v>
      </c>
      <c r="K6" s="77" t="str">
        <f>IF(ISERR(FIND(" ",'Player Database'!K6)),'Player Database'!K6,LEFT('Player Database'!K6,1)&amp;"."&amp;RIGHT('Player Database'!K6,LEN('Player Database'!K6)-LEN(LEFT('Player Database'!K6,FIND(" ",'Player Database'!K6)))+1))</f>
        <v>K. Manolas</v>
      </c>
      <c r="L6" s="77" t="str">
        <f>IF(ISERR(FIND(" ",'Player Database'!L6)),'Player Database'!L6,LEFT('Player Database'!L6,1)&amp;"."&amp;RIGHT('Player Database'!L6,LEN('Player Database'!L6)-LEN(LEFT('Player Database'!L6,FIND(" ",'Player Database'!L6)))+1))</f>
        <v>K. Touré</v>
      </c>
      <c r="M6" s="77" t="str">
        <f>IF(ISERR(FIND(" ",'Player Database'!M6)),'Player Database'!M6,LEFT('Player Database'!M6,1)&amp;"."&amp;RIGHT('Player Database'!M6,LEN('Player Database'!M6)-LEN(LEFT('Player Database'!M6,FIND(" ",'Player Database'!M6)))+1))</f>
        <v>K. Honda</v>
      </c>
      <c r="N6" s="77" t="str">
        <f>IF(ISERR(FIND(" ",'Player Database'!N6)),'Player Database'!N6,LEFT('Player Database'!N6,1)&amp;"."&amp;RIGHT('Player Database'!N6,LEN('Player Database'!N6)-LEN(LEFT('Player Database'!N6,FIND(" ",'Player Database'!N6)))+1))</f>
        <v>S. Coates</v>
      </c>
      <c r="O6" s="77" t="str">
        <f>IF(ISERR(FIND(" ",'Player Database'!O6)),'Player Database'!O6,LEFT('Player Database'!O6,1)&amp;"."&amp;RIGHT('Player Database'!O6,LEN('Player Database'!O6)-LEN(LEFT('Player Database'!O6,FIND(" ",'Player Database'!O6)))+1))</f>
        <v>M. Umaña</v>
      </c>
      <c r="P6" s="77" t="str">
        <f>IF(ISERR(FIND(" ",'Player Database'!P6)),'Player Database'!P6,LEFT('Player Database'!P6,1)&amp;"."&amp;RIGHT('Player Database'!P6,LEN('Player Database'!P6)-LEN(LEFT('Player Database'!P6,FIND(" ",'Player Database'!P6)))+1))</f>
        <v xml:space="preserve">S. Gerrard </v>
      </c>
      <c r="Q6" s="77" t="str">
        <f>IF(ISERR(FIND(" ",'Player Database'!Q6)),'Player Database'!Q6,LEFT('Player Database'!Q6,1)&amp;"."&amp;RIGHT('Player Database'!Q6,LEN('Player Database'!Q6)-LEN(LEFT('Player Database'!Q6,FIND(" ",'Player Database'!Q6)))+1))</f>
        <v>M. Darmian</v>
      </c>
      <c r="R6" s="77" t="str">
        <f>IF(ISERR(FIND(" ",'Player Database'!R6)),'Player Database'!R6,LEFT('Player Database'!R6,1)&amp;"."&amp;RIGHT('Player Database'!R6,LEN('Player Database'!R6)-LEN(LEFT('Player Database'!R6,FIND(" ",'Player Database'!R6)))+1))</f>
        <v>P. Senderos</v>
      </c>
      <c r="S6" s="77" t="str">
        <f>IF(ISERR(FIND(" ",'Player Database'!S6)),'Player Database'!S6,LEFT('Player Database'!S6,1)&amp;"."&amp;RIGHT('Player Database'!S6,LEN('Player Database'!S6)-LEN(LEFT('Player Database'!S6,FIND(" ",'Player Database'!S6)))+1))</f>
        <v>J. Carlos Paredes</v>
      </c>
      <c r="T6" s="77" t="str">
        <f>IF(ISERR(FIND(" ",'Player Database'!T6)),'Player Database'!T6,LEFT('Player Database'!T6,1)&amp;"."&amp;RIGHT('Player Database'!T6,LEN('Player Database'!T6)-LEN(LEFT('Player Database'!T6,FIND(" ",'Player Database'!T6)))+1))</f>
        <v>R. Varane</v>
      </c>
      <c r="U6" s="77" t="str">
        <f>IF(ISERR(FIND(" ",'Player Database'!U6)),'Player Database'!U6,LEFT('Player Database'!U6,1)&amp;"."&amp;RIGHT('Player Database'!U6,LEN('Player Database'!U6)-LEN(LEFT('Player Database'!U6,FIND(" ",'Player Database'!U6)))+1))</f>
        <v>J. Pablo Montes</v>
      </c>
      <c r="V6" s="77" t="str">
        <f>IF(ISERR(FIND(" ",'Player Database'!V6)),'Player Database'!V6,LEFT('Player Database'!V6,1)&amp;"."&amp;RIGHT('Player Database'!V6,LEN('Player Database'!V6)-LEN(LEFT('Player Database'!V6,FIND(" ",'Player Database'!V6)))+1))</f>
        <v>P. Zabaleta</v>
      </c>
      <c r="W6" s="77" t="str">
        <f>IF(ISERR(FIND(" ",'Player Database'!W6)),'Player Database'!W6,LEFT('Player Database'!W6,1)&amp;"."&amp;RIGHT('Player Database'!W6,LEN('Player Database'!W6)-LEN(LEFT('Player Database'!W6,FIND(" ",'Player Database'!W6)))+1))</f>
        <v xml:space="preserve">E. Spahić </v>
      </c>
      <c r="X6" s="77" t="str">
        <f>IF(ISERR(FIND(" ",'Player Database'!X6)),'Player Database'!X6,LEFT('Player Database'!X6,1)&amp;"."&amp;RIGHT('Player Database'!X6,LEN('Player Database'!X6)-LEN(LEFT('Player Database'!X6,FIND(" ",'Player Database'!X6)))+1))</f>
        <v>J. Hosseini</v>
      </c>
      <c r="Y6" s="77" t="str">
        <f>IF(ISERR(FIND(" ",'Player Database'!Y6)),'Player Database'!Y6,LEFT('Player Database'!Y6,1)&amp;"."&amp;RIGHT('Player Database'!Y6,LEN('Player Database'!Y6)-LEN(LEFT('Player Database'!Y6,FIND(" ",'Player Database'!Y6)))+1))</f>
        <v>R. Gabriel</v>
      </c>
      <c r="Z6" s="77" t="str">
        <f>IF(ISERR(FIND(" ",'Player Database'!Z6)),'Player Database'!Z6,LEFT('Player Database'!Z6,1)&amp;"."&amp;RIGHT('Player Database'!Z6,LEN('Player Database'!Z6)-LEN(LEFT('Player Database'!Z6,FIND(" ",'Player Database'!Z6)))+1))</f>
        <v>B. Höwedes</v>
      </c>
      <c r="AA6" s="77" t="str">
        <f>IF(ISERR(FIND(" ",'Player Database'!AA6)),'Player Database'!AA6,LEFT('Player Database'!AA6,1)&amp;"."&amp;RIGHT('Player Database'!AA6,LEN('Player Database'!AA6)-LEN(LEFT('Player Database'!AA6,FIND(" ",'Player Database'!AA6)))+1))</f>
        <v>M. Veloso</v>
      </c>
      <c r="AB6" s="77" t="str">
        <f>IF(ISERR(FIND(" ",'Player Database'!AB6)),'Player Database'!AB6,LEFT('Player Database'!AB6,1)&amp;"."&amp;RIGHT('Player Database'!AB6,LEN('Player Database'!AB6)-LEN(LEFT('Player Database'!AB6,FIND(" ",'Player Database'!AB6)))+1))</f>
        <v>D. Opare</v>
      </c>
      <c r="AC6" s="77" t="str">
        <f>IF(ISERR(FIND(" ",'Player Database'!AC6)),'Player Database'!AC6,LEFT('Player Database'!AC6,1)&amp;"."&amp;RIGHT('Player Database'!AC6,LEN('Player Database'!AC6)-LEN(LEFT('Player Database'!AC6,FIND(" ",'Player Database'!AC6)))+1))</f>
        <v>M. Bradley</v>
      </c>
      <c r="AD6" s="77" t="str">
        <f>IF(ISERR(FIND(" ",'Player Database'!AD6)),'Player Database'!AD6,LEFT('Player Database'!AD6,1)&amp;"."&amp;RIGHT('Player Database'!AD6,LEN('Player Database'!AD6)-LEN(LEFT('Player Database'!AD6,FIND(" ",'Player Database'!AD6)))+1))</f>
        <v xml:space="preserve">V. Kompany </v>
      </c>
      <c r="AE6" s="77" t="str">
        <f>IF(ISERR(FIND(" ",'Player Database'!AE6)),'Player Database'!AE6,LEFT('Player Database'!AE6,1)&amp;"."&amp;RIGHT('Player Database'!AE6,LEN('Player Database'!AE6)-LEN(LEFT('Player Database'!AE6,FIND(" ",'Player Database'!AE6)))+1))</f>
        <v>E. Belkalem</v>
      </c>
      <c r="AF6" s="77" t="str">
        <f>IF(ISERR(FIND(" ",'Player Database'!AF6)),'Player Database'!AF6,LEFT('Player Database'!AF6,1)&amp;"."&amp;RIGHT('Player Database'!AF6,LEN('Player Database'!AF6)-LEN(LEFT('Player Database'!AF6,FIND(" ",'Player Database'!AF6)))+1))</f>
        <v>S. Ignashevich</v>
      </c>
      <c r="AG6" s="77" t="str">
        <f>IF(ISERR(FIND(" ",'Player Database'!AG6)),'Player Database'!AG6,LEFT('Player Database'!AG6,1)&amp;"."&amp;RIGHT('Player Database'!AG6,LEN('Player Database'!AG6)-LEN(LEFT('Player Database'!AG6,FIND(" ",'Player Database'!AG6)))+1))</f>
        <v>K. Tae-hwi</v>
      </c>
      <c r="AI6" s="77" t="str">
        <f t="shared" ca="1" si="5"/>
        <v/>
      </c>
      <c r="AJ6" s="77" t="str">
        <f t="shared" ca="1" si="5"/>
        <v/>
      </c>
      <c r="AK6" s="77" t="str">
        <f t="shared" ca="1" si="5"/>
        <v/>
      </c>
      <c r="AL6" s="77" t="str">
        <f t="shared" ca="1" si="5"/>
        <v/>
      </c>
      <c r="AM6" s="77" t="str">
        <f t="shared" ca="1" si="5"/>
        <v/>
      </c>
      <c r="AN6" s="77" t="str">
        <f t="shared" ca="1" si="5"/>
        <v/>
      </c>
      <c r="AO6" s="77" t="str">
        <f t="shared" ca="1" si="5"/>
        <v/>
      </c>
      <c r="AP6" s="77" t="str">
        <f t="shared" ca="1" si="5"/>
        <v/>
      </c>
      <c r="AQ6" s="77" t="str">
        <f t="shared" ca="1" si="5"/>
        <v/>
      </c>
      <c r="AR6" s="77" t="str">
        <f t="shared" ca="1" si="5"/>
        <v/>
      </c>
      <c r="AS6" s="77" t="str">
        <f t="shared" ca="1" si="5"/>
        <v/>
      </c>
      <c r="AT6" s="77" t="str">
        <f t="shared" ca="1" si="5"/>
        <v/>
      </c>
      <c r="AU6" s="77" t="str">
        <f t="shared" ca="1" si="5"/>
        <v/>
      </c>
      <c r="AV6" s="77" t="str">
        <f t="shared" ca="1" si="5"/>
        <v/>
      </c>
      <c r="AW6" s="77" t="str">
        <f t="shared" ca="1" si="5"/>
        <v/>
      </c>
      <c r="AX6" s="77" t="str">
        <f t="shared" ca="1" si="5"/>
        <v/>
      </c>
      <c r="AZ6" s="77" t="str">
        <f t="shared" si="6"/>
        <v/>
      </c>
      <c r="BA6" s="77" t="str">
        <f t="shared" si="6"/>
        <v/>
      </c>
      <c r="BB6" s="77" t="str">
        <f t="shared" si="6"/>
        <v/>
      </c>
      <c r="BC6" s="77" t="str">
        <f t="shared" si="6"/>
        <v/>
      </c>
      <c r="BD6" s="77" t="str">
        <f t="shared" si="6"/>
        <v/>
      </c>
      <c r="BE6" s="77" t="str">
        <f t="shared" si="6"/>
        <v/>
      </c>
      <c r="BF6" s="77" t="str">
        <f t="shared" si="6"/>
        <v/>
      </c>
      <c r="BG6" s="77" t="str">
        <f t="shared" si="6"/>
        <v/>
      </c>
      <c r="BI6" s="77" t="str">
        <f t="shared" si="7"/>
        <v/>
      </c>
      <c r="BJ6" s="77" t="str">
        <f t="shared" si="7"/>
        <v/>
      </c>
      <c r="BK6" s="77" t="str">
        <f t="shared" si="7"/>
        <v/>
      </c>
      <c r="BL6" s="77" t="str">
        <f t="shared" si="7"/>
        <v/>
      </c>
      <c r="BN6" s="77" t="str">
        <f t="shared" si="8"/>
        <v/>
      </c>
      <c r="BO6" s="77" t="str">
        <f t="shared" si="8"/>
        <v/>
      </c>
      <c r="BQ6" s="77" t="str">
        <f t="shared" si="9"/>
        <v/>
      </c>
      <c r="BR6" s="77" t="str">
        <f t="shared" si="9"/>
        <v/>
      </c>
      <c r="BT6" s="77" t="str">
        <f t="shared" si="11"/>
        <v>Brazil</v>
      </c>
      <c r="BU6" s="77">
        <f t="shared" si="12"/>
        <v>4</v>
      </c>
      <c r="BW6" s="77">
        <v>1</v>
      </c>
      <c r="BX6" s="77" t="str">
        <f t="shared" si="4"/>
        <v>D. Luiz</v>
      </c>
      <c r="BY6" s="77">
        <f>COUNTIF('Group Stages'!$L$14:$S$110,BX6)+COUNTIF('Knock Out Stages'!$N$41:$U$84,BX6)</f>
        <v>0</v>
      </c>
      <c r="CA6" s="77" t="str">
        <f>'Player Database'!B6</f>
        <v>David Luiz</v>
      </c>
      <c r="CB6" s="77">
        <v>3</v>
      </c>
      <c r="CC6" s="77" t="str">
        <f t="array" aca="1" ref="CC6" ca="1">IFERROR(INDEX($BX$3:$BX$738, SMALL(IF(COUNTIF(CC$3, $BY$3:$BY$738), ROW($BX$3:$BX$738)-MIN(ROW($BX$3:$BX$738))+1), $CB6), 0),"")</f>
        <v/>
      </c>
      <c r="CD6" s="77" t="str">
        <f t="array" aca="1" ref="CD6" ca="1">IFERROR(INDEX($BX$3:$BX$738, SMALL(IF(COUNTIF(CD$3, $BY$3:$BY$738), ROW($BX$3:$BX$738)-MIN(ROW($BX$3:$BX$738))+1), $CB6), 0),"")</f>
        <v/>
      </c>
      <c r="CE6" s="77" t="str">
        <f t="array" aca="1" ref="CE6" ca="1">IFERROR(INDEX($BX$3:$BX$738, SMALL(IF(COUNTIF(CE$3, $BY$3:$BY$738), ROW($BX$3:$BX$738)-MIN(ROW($BX$3:$BX$738))+1), $CB6), 0),"")</f>
        <v/>
      </c>
      <c r="CF6" s="77" t="str">
        <f t="array" aca="1" ref="CF6" ca="1">IFERROR(INDEX($BX$3:$BX$738, SMALL(IF(COUNTIF(CF$3, $BY$3:$BY$738), ROW($BX$3:$BX$738)-MIN(ROW($BX$3:$BX$738))+1), $CB6), 0),"")</f>
        <v/>
      </c>
      <c r="CG6" s="77" t="str">
        <f t="array" aca="1" ref="CG6" ca="1">IFERROR(INDEX($BX$3:$BX$738, SMALL(IF(COUNTIF(CG$3, $BY$3:$BY$738), ROW($BX$3:$BX$738)-MIN(ROW($BX$3:$BX$738))+1), $CB6), 0),"")</f>
        <v/>
      </c>
      <c r="CH6" s="77" t="str">
        <f t="array" aca="1" ref="CH6" ca="1">IFERROR(INDEX($BX$3:$BX$738, SMALL(IF(COUNTIF(CH$3, $BY$3:$BY$738), ROW($BX$3:$BX$738)-MIN(ROW($BX$3:$BX$738))+1), $CB6), 0),"")</f>
        <v/>
      </c>
      <c r="CI6" s="77" t="str">
        <f t="array" aca="1" ref="CI6" ca="1">IFERROR(INDEX($BX$3:$BX$738, SMALL(IF(COUNTIF(CI$3, $BY$3:$BY$738), ROW($BX$3:$BX$738)-MIN(ROW($BX$3:$BX$738))+1), $CB6), 0),"")</f>
        <v/>
      </c>
      <c r="CJ6" s="77" t="str">
        <f t="array" aca="1" ref="CJ6" ca="1">IFERROR(INDEX($BX$3:$BX$738, SMALL(IF(COUNTIF(CJ$3, $BY$3:$BY$738), ROW($BX$3:$BX$738)-MIN(ROW($BX$3:$BX$738))+1), $CB6), 0),"")</f>
        <v/>
      </c>
      <c r="CK6" s="77" t="str">
        <f t="array" aca="1" ref="CK6" ca="1">IFERROR(INDEX($BX$3:$BX$738, SMALL(IF(COUNTIF(CK$3, $BY$3:$BY$738), ROW($BX$3:$BX$738)-MIN(ROW($BX$3:$BX$738))+1), $CB6), 0),"")</f>
        <v/>
      </c>
      <c r="CL6" s="77" t="str">
        <f t="array" aca="1" ref="CL6" ca="1">IFERROR(INDEX($BX$3:$BX$738, SMALL(IF(COUNTIF(CL$3, $BY$3:$BY$738), ROW($BX$3:$BX$738)-MIN(ROW($BX$3:$BX$738))+1), $CB6), 0),"")</f>
        <v/>
      </c>
      <c r="CM6" s="77" t="str">
        <f t="array" aca="1" ref="CM6" ca="1">IFERROR(INDEX($BX$3:$BX$738, SMALL(IF(COUNTIF(CM$3, $BY$3:$BY$738), ROW($BX$3:$BX$738)-MIN(ROW($BX$3:$BX$738))+1), $CB6), 0),"")</f>
        <v/>
      </c>
      <c r="CN6" s="77" t="str">
        <f t="array" aca="1" ref="CN6" ca="1">IFERROR(INDEX($BX$3:$BX$738, SMALL(IF(COUNTIF(CN$3, $BY$3:$BY$738), ROW($BX$3:$BX$738)-MIN(ROW($BX$3:$BX$738))+1), $CB6), 0),"")</f>
        <v/>
      </c>
      <c r="CO6" s="77" t="str">
        <f t="array" aca="1" ref="CO6" ca="1">IFERROR(INDEX($BX$3:$BX$738, SMALL(IF(COUNTIF(CO$3, $BY$3:$BY$738), ROW($BX$3:$BX$738)-MIN(ROW($BX$3:$BX$738))+1), $CB6), 0),"")</f>
        <v/>
      </c>
      <c r="CP6" s="77" t="str">
        <f t="array" aca="1" ref="CP6" ca="1">IFERROR(INDEX($BX$3:$BX$738, SMALL(IF(COUNTIF(CP$3, $BY$3:$BY$738), ROW($BX$3:$BX$738)-MIN(ROW($BX$3:$BX$738))+1), $CB6), 0),"")</f>
        <v/>
      </c>
      <c r="CQ6" s="77" t="str">
        <f t="array" aca="1" ref="CQ6" ca="1">IFERROR(INDEX($BX$3:$BX$738, SMALL(IF(COUNTIF(CQ$3, $BY$3:$BY$738), ROW($BX$3:$BX$738)-MIN(ROW($BX$3:$BX$738))+1), $CB6), 0),"")</f>
        <v/>
      </c>
      <c r="CS6" s="77">
        <v>3</v>
      </c>
      <c r="CT6" s="77">
        <v>1</v>
      </c>
      <c r="CV6" s="77" t="str">
        <f t="shared" ca="1" si="10"/>
        <v/>
      </c>
      <c r="CW6" s="77">
        <f t="shared" ca="1" si="13"/>
        <v>0</v>
      </c>
      <c r="CZ6" s="77">
        <v>3</v>
      </c>
      <c r="DA6" s="77" t="str">
        <f t="shared" ca="1" si="14"/>
        <v/>
      </c>
      <c r="DB6" s="77" t="str">
        <f t="shared" ca="1" si="15"/>
        <v/>
      </c>
      <c r="DC6" s="77" t="str">
        <f t="shared" ca="1" si="16"/>
        <v/>
      </c>
      <c r="DD6" s="77" t="str">
        <f t="shared" ca="1" si="17"/>
        <v/>
      </c>
      <c r="DG6" s="77" t="str">
        <f ca="1">IF($DG$2=1,Tournament!T21,"")</f>
        <v/>
      </c>
      <c r="DH6" s="77" t="str">
        <f>IF(AND(Tournament!J79&lt;&gt;"",Tournament!L79&lt;&gt;""),IF(Tournament!J79&lt;Tournament!L79,Tournament!H79,Tournament!N79),"")</f>
        <v/>
      </c>
      <c r="DI6" s="77" t="str">
        <f>IF(AND(Tournament!AA77&lt;&gt;"",Tournament!AC77&lt;&gt;""),IF(Tournament!AA77&lt;Tournament!AC77,Tournament!Y77,Tournament!AE77),"")</f>
        <v/>
      </c>
    </row>
    <row r="7" spans="1:114">
      <c r="A7" s="77">
        <v>5</v>
      </c>
      <c r="B7" s="77" t="str">
        <f>IF(ISERR(FIND(" ",'Player Database'!B7)),'Player Database'!B7,LEFT('Player Database'!B7,1)&amp;"."&amp;RIGHT('Player Database'!B7,LEN('Player Database'!B7)-LEN(LEFT('Player Database'!B7,FIND(" ",'Player Database'!B7)))+1))</f>
        <v>Fernandinho</v>
      </c>
      <c r="C7" s="77" t="str">
        <f>IF(ISERR(FIND(" ",'Player Database'!C7)),'Player Database'!C7,LEFT('Player Database'!C7,1)&amp;"."&amp;RIGHT('Player Database'!C7,LEN('Player Database'!C7)-LEN(LEFT('Player Database'!C7,FIND(" ",'Player Database'!C7)))+1))</f>
        <v>V. Ćorluka</v>
      </c>
      <c r="D7" s="77" t="str">
        <f>IF(ISERR(FIND(" ",'Player Database'!D7)),'Player Database'!D7,LEFT('Player Database'!D7,1)&amp;"."&amp;RIGHT('Player Database'!D7,LEN('Player Database'!D7)-LEN(LEFT('Player Database'!D7,FIND(" ",'Player Database'!D7)))+1))</f>
        <v>D. Reyes</v>
      </c>
      <c r="E7" s="77" t="str">
        <f>IF(ISERR(FIND(" ",'Player Database'!E7)),'Player Database'!E7,LEFT('Player Database'!E7,1)&amp;"."&amp;RIGHT('Player Database'!E7,LEN('Player Database'!E7)-LEN(LEFT('Player Database'!E7,FIND(" ",'Player Database'!E7)))+1))</f>
        <v>D. Nounkeu</v>
      </c>
      <c r="F7" s="77" t="str">
        <f>IF(ISERR(FIND(" ",'Player Database'!F7)),'Player Database'!F7,LEFT('Player Database'!F7,1)&amp;"."&amp;RIGHT('Player Database'!F7,LEN('Player Database'!F7)-LEN(LEFT('Player Database'!F7,FIND(" ",'Player Database'!F7)))+1))</f>
        <v>Juanfran</v>
      </c>
      <c r="G7" s="77" t="str">
        <f>IF(ISERR(FIND(" ",'Player Database'!G7)),'Player Database'!G7,LEFT('Player Database'!G7,1)&amp;"."&amp;RIGHT('Player Database'!G7,LEN('Player Database'!G7)-LEN(LEFT('Player Database'!G7,FIND(" ",'Player Database'!G7)))+1))</f>
        <v>D. Blind</v>
      </c>
      <c r="H7" s="77" t="str">
        <f>IF(ISERR(FIND(" ",'Player Database'!H7)),'Player Database'!H7,LEFT('Player Database'!H7,1)&amp;"."&amp;RIGHT('Player Database'!H7,LEN('Player Database'!H7)-LEN(LEFT('Player Database'!H7,FIND(" ",'Player Database'!H7)))+1))</f>
        <v>F. Silva</v>
      </c>
      <c r="I7" s="77" t="str">
        <f>IF(ISERR(FIND(" ",'Player Database'!I7)),'Player Database'!I7,LEFT('Player Database'!I7,1)&amp;"."&amp;RIGHT('Player Database'!I7,LEN('Player Database'!I7)-LEN(LEFT('Player Database'!I7,FIND(" ",'Player Database'!I7)))+1))</f>
        <v>M. Milligan</v>
      </c>
      <c r="J7" s="77" t="str">
        <f>IF(ISERR(FIND(" ",'Player Database'!J7)),'Player Database'!J7,LEFT('Player Database'!J7,1)&amp;"."&amp;RIGHT('Player Database'!J7,LEN('Player Database'!J7)-LEN(LEFT('Player Database'!J7,FIND(" ",'Player Database'!J7)))+1))</f>
        <v>C. Carbonero</v>
      </c>
      <c r="K7" s="77" t="str">
        <f>IF(ISERR(FIND(" ",'Player Database'!K7)),'Player Database'!K7,LEFT('Player Database'!K7,1)&amp;"."&amp;RIGHT('Player Database'!K7,LEN('Player Database'!K7)-LEN(LEFT('Player Database'!K7,FIND(" ",'Player Database'!K7)))+1))</f>
        <v>V. Moras</v>
      </c>
      <c r="L7" s="77" t="str">
        <f>IF(ISERR(FIND(" ",'Player Database'!L7)),'Player Database'!L7,LEFT('Player Database'!L7,1)&amp;"."&amp;RIGHT('Player Database'!L7,LEN('Player Database'!L7)-LEN(LEFT('Player Database'!L7,FIND(" ",'Player Database'!L7)))+1))</f>
        <v>D. Zokora</v>
      </c>
      <c r="M7" s="77" t="str">
        <f>IF(ISERR(FIND(" ",'Player Database'!M7)),'Player Database'!M7,LEFT('Player Database'!M7,1)&amp;"."&amp;RIGHT('Player Database'!M7,LEN('Player Database'!M7)-LEN(LEFT('Player Database'!M7,FIND(" ",'Player Database'!M7)))+1))</f>
        <v>Y. Nagatomo</v>
      </c>
      <c r="N7" s="77" t="str">
        <f>IF(ISERR(FIND(" ",'Player Database'!N7)),'Player Database'!N7,LEFT('Player Database'!N7,1)&amp;"."&amp;RIGHT('Player Database'!N7,LEN('Player Database'!N7)-LEN(LEFT('Player Database'!N7,FIND(" ",'Player Database'!N7)))+1))</f>
        <v>W. Gargano</v>
      </c>
      <c r="O7" s="77" t="str">
        <f>IF(ISERR(FIND(" ",'Player Database'!O7)),'Player Database'!O7,LEFT('Player Database'!O7,1)&amp;"."&amp;RIGHT('Player Database'!O7,LEN('Player Database'!O7)-LEN(LEFT('Player Database'!O7,FIND(" ",'Player Database'!O7)))+1))</f>
        <v>C. Borges</v>
      </c>
      <c r="P7" s="77" t="str">
        <f>IF(ISERR(FIND(" ",'Player Database'!P7)),'Player Database'!P7,LEFT('Player Database'!P7,1)&amp;"."&amp;RIGHT('Player Database'!P7,LEN('Player Database'!P7)-LEN(LEFT('Player Database'!P7,FIND(" ",'Player Database'!P7)))+1))</f>
        <v>G. Cahill</v>
      </c>
      <c r="Q7" s="77" t="str">
        <f>IF(ISERR(FIND(" ",'Player Database'!Q7)),'Player Database'!Q7,LEFT('Player Database'!Q7,1)&amp;"."&amp;RIGHT('Player Database'!Q7,LEN('Player Database'!Q7)-LEN(LEFT('Player Database'!Q7,FIND(" ",'Player Database'!Q7)))+1))</f>
        <v>T. Motta</v>
      </c>
      <c r="R7" s="77" t="str">
        <f>IF(ISERR(FIND(" ",'Player Database'!R7)),'Player Database'!R7,LEFT('Player Database'!R7,1)&amp;"."&amp;RIGHT('Player Database'!R7,LEN('Player Database'!R7)-LEN(LEFT('Player Database'!R7,FIND(" ",'Player Database'!R7)))+1))</f>
        <v>S. von Bergen</v>
      </c>
      <c r="S7" s="77" t="str">
        <f>IF(ISERR(FIND(" ",'Player Database'!S7)),'Player Database'!S7,LEFT('Player Database'!S7,1)&amp;"."&amp;RIGHT('Player Database'!S7,LEN('Player Database'!S7)-LEN(LEFT('Player Database'!S7,FIND(" ",'Player Database'!S7)))+1))</f>
        <v>R. Ibarra</v>
      </c>
      <c r="T7" s="77" t="str">
        <f>IF(ISERR(FIND(" ",'Player Database'!T7)),'Player Database'!T7,LEFT('Player Database'!T7,1)&amp;"."&amp;RIGHT('Player Database'!T7,LEN('Player Database'!T7)-LEN(LEFT('Player Database'!T7,FIND(" ",'Player Database'!T7)))+1))</f>
        <v>M. Sakho</v>
      </c>
      <c r="U7" s="77" t="str">
        <f>IF(ISERR(FIND(" ",'Player Database'!U7)),'Player Database'!U7,LEFT('Player Database'!U7,1)&amp;"."&amp;RIGHT('Player Database'!U7,LEN('Player Database'!U7)-LEN(LEFT('Player Database'!U7,FIND(" ",'Player Database'!U7)))+1))</f>
        <v>V. Bernárdez</v>
      </c>
      <c r="V7" s="77" t="str">
        <f>IF(ISERR(FIND(" ",'Player Database'!V7)),'Player Database'!V7,LEFT('Player Database'!V7,1)&amp;"."&amp;RIGHT('Player Database'!V7,LEN('Player Database'!V7)-LEN(LEFT('Player Database'!V7,FIND(" ",'Player Database'!V7)))+1))</f>
        <v>F. Gago</v>
      </c>
      <c r="W7" s="77" t="str">
        <f>IF(ISERR(FIND(" ",'Player Database'!W7)),'Player Database'!W7,LEFT('Player Database'!W7,1)&amp;"."&amp;RIGHT('Player Database'!W7,LEN('Player Database'!W7)-LEN(LEFT('Player Database'!W7,FIND(" ",'Player Database'!W7)))+1))</f>
        <v>S. Kolašinac</v>
      </c>
      <c r="X7" s="77" t="str">
        <f>IF(ISERR(FIND(" ",'Player Database'!X7)),'Player Database'!X7,LEFT('Player Database'!X7,1)&amp;"."&amp;RIGHT('Player Database'!X7,LEN('Player Database'!X7)-LEN(LEFT('Player Database'!X7,FIND(" ",'Player Database'!X7)))+1))</f>
        <v>A. Hossein Sadeghi</v>
      </c>
      <c r="Y7" s="77" t="str">
        <f>IF(ISERR(FIND(" ",'Player Database'!Y7)),'Player Database'!Y7,LEFT('Player Database'!Y7,1)&amp;"."&amp;RIGHT('Player Database'!Y7,LEN('Player Database'!Y7)-LEN(LEFT('Player Database'!Y7,FIND(" ",'Player Database'!Y7)))+1))</f>
        <v>E. Ambrose</v>
      </c>
      <c r="Z7" s="77" t="str">
        <f>IF(ISERR(FIND(" ",'Player Database'!Z7)),'Player Database'!Z7,LEFT('Player Database'!Z7,1)&amp;"."&amp;RIGHT('Player Database'!Z7,LEN('Player Database'!Z7)-LEN(LEFT('Player Database'!Z7,FIND(" ",'Player Database'!Z7)))+1))</f>
        <v>M. Hummels</v>
      </c>
      <c r="AA7" s="77" t="str">
        <f>IF(ISERR(FIND(" ",'Player Database'!AA7)),'Player Database'!AA7,LEFT('Player Database'!AA7,1)&amp;"."&amp;RIGHT('Player Database'!AA7,LEN('Player Database'!AA7)-LEN(LEFT('Player Database'!AA7,FIND(" ",'Player Database'!AA7)))+1))</f>
        <v>F. Coentrão</v>
      </c>
      <c r="AB7" s="77" t="str">
        <f>IF(ISERR(FIND(" ",'Player Database'!AB7)),'Player Database'!AB7,LEFT('Player Database'!AB7,1)&amp;"."&amp;RIGHT('Player Database'!AB7,LEN('Player Database'!AB7)-LEN(LEFT('Player Database'!AB7,FIND(" ",'Player Database'!AB7)))+1))</f>
        <v>M. Essien</v>
      </c>
      <c r="AC7" s="77" t="str">
        <f>IF(ISERR(FIND(" ",'Player Database'!AC7)),'Player Database'!AC7,LEFT('Player Database'!AC7,1)&amp;"."&amp;RIGHT('Player Database'!AC7,LEN('Player Database'!AC7)-LEN(LEFT('Player Database'!AC7,FIND(" ",'Player Database'!AC7)))+1))</f>
        <v>M. Besler</v>
      </c>
      <c r="AD7" s="77" t="str">
        <f>IF(ISERR(FIND(" ",'Player Database'!AD7)),'Player Database'!AD7,LEFT('Player Database'!AD7,1)&amp;"."&amp;RIGHT('Player Database'!AD7,LEN('Player Database'!AD7)-LEN(LEFT('Player Database'!AD7,FIND(" ",'Player Database'!AD7)))+1))</f>
        <v>J. Vertonghen</v>
      </c>
      <c r="AE7" s="77" t="str">
        <f>IF(ISERR(FIND(" ",'Player Database'!AE7)),'Player Database'!AE7,LEFT('Player Database'!AE7,1)&amp;"."&amp;RIGHT('Player Database'!AE7,LEN('Player Database'!AE7)-LEN(LEFT('Player Database'!AE7,FIND(" ",'Player Database'!AE7)))+1))</f>
        <v>R. Halliche</v>
      </c>
      <c r="AF7" s="77" t="str">
        <f>IF(ISERR(FIND(" ",'Player Database'!AF7)),'Player Database'!AF7,LEFT('Player Database'!AF7,1)&amp;"."&amp;RIGHT('Player Database'!AF7,LEN('Player Database'!AF7)-LEN(LEFT('Player Database'!AF7,FIND(" ",'Player Database'!AF7)))+1))</f>
        <v>A. Semyonov</v>
      </c>
      <c r="AG7" s="77" t="str">
        <f>IF(ISERR(FIND(" ",'Player Database'!AG7)),'Player Database'!AG7,LEFT('Player Database'!AG7,1)&amp;"."&amp;RIGHT('Player Database'!AG7,LEN('Player Database'!AG7)-LEN(LEFT('Player Database'!AG7,FIND(" ",'Player Database'!AG7)))+1))</f>
        <v>K. Young-gwon</v>
      </c>
      <c r="AI7" s="77" t="str">
        <f t="shared" ca="1" si="5"/>
        <v/>
      </c>
      <c r="AJ7" s="77" t="str">
        <f t="shared" ca="1" si="5"/>
        <v/>
      </c>
      <c r="AK7" s="77" t="str">
        <f t="shared" ca="1" si="5"/>
        <v/>
      </c>
      <c r="AL7" s="77" t="str">
        <f t="shared" ca="1" si="5"/>
        <v/>
      </c>
      <c r="AM7" s="77" t="str">
        <f t="shared" ca="1" si="5"/>
        <v/>
      </c>
      <c r="AN7" s="77" t="str">
        <f t="shared" ca="1" si="5"/>
        <v/>
      </c>
      <c r="AO7" s="77" t="str">
        <f t="shared" ca="1" si="5"/>
        <v/>
      </c>
      <c r="AP7" s="77" t="str">
        <f t="shared" ca="1" si="5"/>
        <v/>
      </c>
      <c r="AQ7" s="77" t="str">
        <f t="shared" ca="1" si="5"/>
        <v/>
      </c>
      <c r="AR7" s="77" t="str">
        <f t="shared" ca="1" si="5"/>
        <v/>
      </c>
      <c r="AS7" s="77" t="str">
        <f t="shared" ca="1" si="5"/>
        <v/>
      </c>
      <c r="AT7" s="77" t="str">
        <f t="shared" ca="1" si="5"/>
        <v/>
      </c>
      <c r="AU7" s="77" t="str">
        <f t="shared" ca="1" si="5"/>
        <v/>
      </c>
      <c r="AV7" s="77" t="str">
        <f t="shared" ca="1" si="5"/>
        <v/>
      </c>
      <c r="AW7" s="77" t="str">
        <f t="shared" ca="1" si="5"/>
        <v/>
      </c>
      <c r="AX7" s="77" t="str">
        <f t="shared" ca="1" si="5"/>
        <v/>
      </c>
      <c r="AZ7" s="77" t="str">
        <f t="shared" si="6"/>
        <v/>
      </c>
      <c r="BA7" s="77" t="str">
        <f t="shared" si="6"/>
        <v/>
      </c>
      <c r="BB7" s="77" t="str">
        <f t="shared" si="6"/>
        <v/>
      </c>
      <c r="BC7" s="77" t="str">
        <f t="shared" si="6"/>
        <v/>
      </c>
      <c r="BD7" s="77" t="str">
        <f t="shared" si="6"/>
        <v/>
      </c>
      <c r="BE7" s="77" t="str">
        <f t="shared" si="6"/>
        <v/>
      </c>
      <c r="BF7" s="77" t="str">
        <f t="shared" si="6"/>
        <v/>
      </c>
      <c r="BG7" s="77" t="str">
        <f t="shared" si="6"/>
        <v/>
      </c>
      <c r="BI7" s="77" t="str">
        <f t="shared" si="7"/>
        <v/>
      </c>
      <c r="BJ7" s="77" t="str">
        <f t="shared" si="7"/>
        <v/>
      </c>
      <c r="BK7" s="77" t="str">
        <f t="shared" si="7"/>
        <v/>
      </c>
      <c r="BL7" s="77" t="str">
        <f t="shared" si="7"/>
        <v/>
      </c>
      <c r="BN7" s="77" t="str">
        <f t="shared" si="8"/>
        <v/>
      </c>
      <c r="BO7" s="77" t="str">
        <f t="shared" si="8"/>
        <v/>
      </c>
      <c r="BQ7" s="77" t="str">
        <f t="shared" si="9"/>
        <v/>
      </c>
      <c r="BR7" s="77" t="str">
        <f t="shared" si="9"/>
        <v/>
      </c>
      <c r="BT7" s="77" t="str">
        <f t="shared" si="11"/>
        <v>Brazil</v>
      </c>
      <c r="BU7" s="77">
        <f t="shared" si="12"/>
        <v>5</v>
      </c>
      <c r="BW7" s="77">
        <v>1</v>
      </c>
      <c r="BX7" s="77" t="str">
        <f t="shared" si="4"/>
        <v>Fernandinho</v>
      </c>
      <c r="BY7" s="77">
        <f>COUNTIF('Group Stages'!$L$14:$S$110,BX7)+COUNTIF('Knock Out Stages'!$N$41:$U$84,BX7)</f>
        <v>0</v>
      </c>
      <c r="CA7" s="77" t="str">
        <f>'Player Database'!B7</f>
        <v>Fernandinho</v>
      </c>
      <c r="CB7" s="77">
        <v>4</v>
      </c>
      <c r="CC7" s="77" t="str">
        <f t="array" aca="1" ref="CC7" ca="1">IFERROR(INDEX($BX$3:$BX$738, SMALL(IF(COUNTIF(CC$3, $BY$3:$BY$738), ROW($BX$3:$BX$738)-MIN(ROW($BX$3:$BX$738))+1), $CB7), 0),"")</f>
        <v/>
      </c>
      <c r="CD7" s="77" t="str">
        <f t="array" aca="1" ref="CD7" ca="1">IFERROR(INDEX($BX$3:$BX$738, SMALL(IF(COUNTIF(CD$3, $BY$3:$BY$738), ROW($BX$3:$BX$738)-MIN(ROW($BX$3:$BX$738))+1), $CB7), 0),"")</f>
        <v/>
      </c>
      <c r="CE7" s="77" t="str">
        <f t="array" aca="1" ref="CE7" ca="1">IFERROR(INDEX($BX$3:$BX$738, SMALL(IF(COUNTIF(CE$3, $BY$3:$BY$738), ROW($BX$3:$BX$738)-MIN(ROW($BX$3:$BX$738))+1), $CB7), 0),"")</f>
        <v/>
      </c>
      <c r="CF7" s="77" t="str">
        <f t="array" aca="1" ref="CF7" ca="1">IFERROR(INDEX($BX$3:$BX$738, SMALL(IF(COUNTIF(CF$3, $BY$3:$BY$738), ROW($BX$3:$BX$738)-MIN(ROW($BX$3:$BX$738))+1), $CB7), 0),"")</f>
        <v/>
      </c>
      <c r="CG7" s="77" t="str">
        <f t="array" aca="1" ref="CG7" ca="1">IFERROR(INDEX($BX$3:$BX$738, SMALL(IF(COUNTIF(CG$3, $BY$3:$BY$738), ROW($BX$3:$BX$738)-MIN(ROW($BX$3:$BX$738))+1), $CB7), 0),"")</f>
        <v/>
      </c>
      <c r="CH7" s="77" t="str">
        <f t="array" aca="1" ref="CH7" ca="1">IFERROR(INDEX($BX$3:$BX$738, SMALL(IF(COUNTIF(CH$3, $BY$3:$BY$738), ROW($BX$3:$BX$738)-MIN(ROW($BX$3:$BX$738))+1), $CB7), 0),"")</f>
        <v/>
      </c>
      <c r="CI7" s="77" t="str">
        <f t="array" aca="1" ref="CI7" ca="1">IFERROR(INDEX($BX$3:$BX$738, SMALL(IF(COUNTIF(CI$3, $BY$3:$BY$738), ROW($BX$3:$BX$738)-MIN(ROW($BX$3:$BX$738))+1), $CB7), 0),"")</f>
        <v/>
      </c>
      <c r="CJ7" s="77" t="str">
        <f t="array" aca="1" ref="CJ7" ca="1">IFERROR(INDEX($BX$3:$BX$738, SMALL(IF(COUNTIF(CJ$3, $BY$3:$BY$738), ROW($BX$3:$BX$738)-MIN(ROW($BX$3:$BX$738))+1), $CB7), 0),"")</f>
        <v/>
      </c>
      <c r="CK7" s="77" t="str">
        <f t="array" aca="1" ref="CK7" ca="1">IFERROR(INDEX($BX$3:$BX$738, SMALL(IF(COUNTIF(CK$3, $BY$3:$BY$738), ROW($BX$3:$BX$738)-MIN(ROW($BX$3:$BX$738))+1), $CB7), 0),"")</f>
        <v/>
      </c>
      <c r="CL7" s="77" t="str">
        <f t="array" aca="1" ref="CL7" ca="1">IFERROR(INDEX($BX$3:$BX$738, SMALL(IF(COUNTIF(CL$3, $BY$3:$BY$738), ROW($BX$3:$BX$738)-MIN(ROW($BX$3:$BX$738))+1), $CB7), 0),"")</f>
        <v/>
      </c>
      <c r="CM7" s="77" t="str">
        <f t="array" aca="1" ref="CM7" ca="1">IFERROR(INDEX($BX$3:$BX$738, SMALL(IF(COUNTIF(CM$3, $BY$3:$BY$738), ROW($BX$3:$BX$738)-MIN(ROW($BX$3:$BX$738))+1), $CB7), 0),"")</f>
        <v/>
      </c>
      <c r="CN7" s="77" t="str">
        <f t="array" aca="1" ref="CN7" ca="1">IFERROR(INDEX($BX$3:$BX$738, SMALL(IF(COUNTIF(CN$3, $BY$3:$BY$738), ROW($BX$3:$BX$738)-MIN(ROW($BX$3:$BX$738))+1), $CB7), 0),"")</f>
        <v/>
      </c>
      <c r="CO7" s="77" t="str">
        <f t="array" aca="1" ref="CO7" ca="1">IFERROR(INDEX($BX$3:$BX$738, SMALL(IF(COUNTIF(CO$3, $BY$3:$BY$738), ROW($BX$3:$BX$738)-MIN(ROW($BX$3:$BX$738))+1), $CB7), 0),"")</f>
        <v/>
      </c>
      <c r="CP7" s="77" t="str">
        <f t="array" aca="1" ref="CP7" ca="1">IFERROR(INDEX($BX$3:$BX$738, SMALL(IF(COUNTIF(CP$3, $BY$3:$BY$738), ROW($BX$3:$BX$738)-MIN(ROW($BX$3:$BX$738))+1), $CB7), 0),"")</f>
        <v/>
      </c>
      <c r="CQ7" s="77" t="str">
        <f t="array" aca="1" ref="CQ7" ca="1">IFERROR(INDEX($BX$3:$BX$738, SMALL(IF(COUNTIF(CQ$3, $BY$3:$BY$738), ROW($BX$3:$BX$738)-MIN(ROW($BX$3:$BX$738))+1), $CB7), 0),"")</f>
        <v/>
      </c>
      <c r="CS7" s="77">
        <v>4</v>
      </c>
      <c r="CT7" s="77">
        <v>1</v>
      </c>
      <c r="CV7" s="77" t="str">
        <f t="shared" ca="1" si="10"/>
        <v/>
      </c>
      <c r="CW7" s="77">
        <f t="shared" ca="1" si="13"/>
        <v>0</v>
      </c>
      <c r="CZ7" s="77">
        <v>4</v>
      </c>
      <c r="DA7" s="77" t="str">
        <f t="shared" ca="1" si="14"/>
        <v/>
      </c>
      <c r="DB7" s="77" t="str">
        <f t="shared" ca="1" si="15"/>
        <v/>
      </c>
      <c r="DC7" s="77" t="str">
        <f t="shared" ref="DC7:DC8" ca="1" si="18">IFERROR(VLOOKUP(DA7,$BX$3:$CA$738,4,FALSE),"")</f>
        <v/>
      </c>
      <c r="DD7" s="77" t="str">
        <f t="shared" ca="1" si="17"/>
        <v/>
      </c>
      <c r="DG7" s="77" t="str">
        <f ca="1">IF($DG$2=1,Tournament!T22,"")</f>
        <v/>
      </c>
      <c r="DH7" s="77" t="str">
        <f>IF(AND(Tournament!J85&lt;&gt;"",Tournament!L85&lt;&gt;""),IF(Tournament!J85&lt;Tournament!L85,Tournament!H85,Tournament!N85),"")</f>
        <v/>
      </c>
      <c r="DI7" s="77" t="str">
        <f>IF(AND(Tournament!AA82&lt;&gt;"",Tournament!AC82&lt;&gt;""),IF(Tournament!AA82&lt;Tournament!AC82,Tournament!Y82,Tournament!AE82),"")</f>
        <v/>
      </c>
    </row>
    <row r="8" spans="1:114">
      <c r="A8" s="77">
        <v>6</v>
      </c>
      <c r="B8" s="77" t="str">
        <f>IF(ISERR(FIND(" ",'Player Database'!B8)),'Player Database'!B8,LEFT('Player Database'!B8,1)&amp;"."&amp;RIGHT('Player Database'!B8,LEN('Player Database'!B8)-LEN(LEFT('Player Database'!B8,FIND(" ",'Player Database'!B8)))+1))</f>
        <v>Marcelo</v>
      </c>
      <c r="C8" s="77" t="str">
        <f>IF(ISERR(FIND(" ",'Player Database'!C8)),'Player Database'!C8,LEFT('Player Database'!C8,1)&amp;"."&amp;RIGHT('Player Database'!C8,LEN('Player Database'!C8)-LEN(LEFT('Player Database'!C8,FIND(" ",'Player Database'!C8)))+1))</f>
        <v>D. Lovren</v>
      </c>
      <c r="D8" s="77" t="str">
        <f>IF(ISERR(FIND(" ",'Player Database'!D8)),'Player Database'!D8,LEFT('Player Database'!D8,1)&amp;"."&amp;RIGHT('Player Database'!D8,LEN('Player Database'!D8)-LEN(LEFT('Player Database'!D8,FIND(" ",'Player Database'!D8)))+1))</f>
        <v>H. Herrera</v>
      </c>
      <c r="E8" s="77" t="str">
        <f>IF(ISERR(FIND(" ",'Player Database'!E8)),'Player Database'!E8,LEFT('Player Database'!E8,1)&amp;"."&amp;RIGHT('Player Database'!E8,LEN('Player Database'!E8)-LEN(LEFT('Player Database'!E8,FIND(" ",'Player Database'!E8)))+1))</f>
        <v>A. Song</v>
      </c>
      <c r="F8" s="77" t="str">
        <f>IF(ISERR(FIND(" ",'Player Database'!F8)),'Player Database'!F8,LEFT('Player Database'!F8,1)&amp;"."&amp;RIGHT('Player Database'!F8,LEN('Player Database'!F8)-LEN(LEFT('Player Database'!F8,FIND(" ",'Player Database'!F8)))+1))</f>
        <v>A. Iniesta</v>
      </c>
      <c r="G8" s="77" t="str">
        <f>IF(ISERR(FIND(" ",'Player Database'!G8)),'Player Database'!G8,LEFT('Player Database'!G8,1)&amp;"."&amp;RIGHT('Player Database'!G8,LEN('Player Database'!G8)-LEN(LEFT('Player Database'!G8,FIND(" ",'Player Database'!G8)))+1))</f>
        <v>J. de Guzmán</v>
      </c>
      <c r="H8" s="77" t="str">
        <f>IF(ISERR(FIND(" ",'Player Database'!H8)),'Player Database'!H8,LEFT('Player Database'!H8,1)&amp;"."&amp;RIGHT('Player Database'!H8,LEN('Player Database'!H8)-LEN(LEFT('Player Database'!H8,FIND(" ",'Player Database'!H8)))+1))</f>
        <v>C. Carmona</v>
      </c>
      <c r="I8" s="77" t="str">
        <f>IF(ISERR(FIND(" ",'Player Database'!I8)),'Player Database'!I8,LEFT('Player Database'!I8,1)&amp;"."&amp;RIGHT('Player Database'!I8,LEN('Player Database'!I8)-LEN(LEFT('Player Database'!I8,FIND(" ",'Player Database'!I8)))+1))</f>
        <v>M. Špiranović</v>
      </c>
      <c r="J8" s="77" t="str">
        <f>IF(ISERR(FIND(" ",'Player Database'!J8)),'Player Database'!J8,LEFT('Player Database'!J8,1)&amp;"."&amp;RIGHT('Player Database'!J8,LEN('Player Database'!J8)-LEN(LEFT('Player Database'!J8,FIND(" ",'Player Database'!J8)))+1))</f>
        <v>C. Sánchez</v>
      </c>
      <c r="K8" s="77" t="str">
        <f>IF(ISERR(FIND(" ",'Player Database'!K8)),'Player Database'!K8,LEFT('Player Database'!K8,1)&amp;"."&amp;RIGHT('Player Database'!K8,LEN('Player Database'!K8)-LEN(LEFT('Player Database'!K8,FIND(" ",'Player Database'!K8)))+1))</f>
        <v>A. Tziolis</v>
      </c>
      <c r="L8" s="77" t="str">
        <f>IF(ISERR(FIND(" ",'Player Database'!L8)),'Player Database'!L8,LEFT('Player Database'!L8,1)&amp;"."&amp;RIGHT('Player Database'!L8,LEN('Player Database'!L8)-LEN(LEFT('Player Database'!L8,FIND(" ",'Player Database'!L8)))+1))</f>
        <v>M. Bolly</v>
      </c>
      <c r="M8" s="77" t="str">
        <f>IF(ISERR(FIND(" ",'Player Database'!M8)),'Player Database'!M8,LEFT('Player Database'!M8,1)&amp;"."&amp;RIGHT('Player Database'!M8,LEN('Player Database'!M8)-LEN(LEFT('Player Database'!M8,FIND(" ",'Player Database'!M8)))+1))</f>
        <v>M. Morishige</v>
      </c>
      <c r="N8" s="77" t="str">
        <f>IF(ISERR(FIND(" ",'Player Database'!N8)),'Player Database'!N8,LEFT('Player Database'!N8,1)&amp;"."&amp;RIGHT('Player Database'!N8,LEN('Player Database'!N8)-LEN(LEFT('Player Database'!N8,FIND(" ",'Player Database'!N8)))+1))</f>
        <v>Á. Pereira</v>
      </c>
      <c r="O8" s="77" t="str">
        <f>IF(ISERR(FIND(" ",'Player Database'!O8)),'Player Database'!O8,LEFT('Player Database'!O8,1)&amp;"."&amp;RIGHT('Player Database'!O8,LEN('Player Database'!O8)-LEN(LEFT('Player Database'!O8,FIND(" ",'Player Database'!O8)))+1))</f>
        <v>Ó. Duarte</v>
      </c>
      <c r="P8" s="77" t="str">
        <f>IF(ISERR(FIND(" ",'Player Database'!P8)),'Player Database'!P8,LEFT('Player Database'!P8,1)&amp;"."&amp;RIGHT('Player Database'!P8,LEN('Player Database'!P8)-LEN(LEFT('Player Database'!P8,FIND(" ",'Player Database'!P8)))+1))</f>
        <v>P. Jagielka</v>
      </c>
      <c r="Q8" s="77" t="str">
        <f>IF(ISERR(FIND(" ",'Player Database'!Q8)),'Player Database'!Q8,LEFT('Player Database'!Q8,1)&amp;"."&amp;RIGHT('Player Database'!Q8,LEN('Player Database'!Q8)-LEN(LEFT('Player Database'!Q8,FIND(" ",'Player Database'!Q8)))+1))</f>
        <v>A. Candreva</v>
      </c>
      <c r="R8" s="77" t="str">
        <f>IF(ISERR(FIND(" ",'Player Database'!R8)),'Player Database'!R8,LEFT('Player Database'!R8,1)&amp;"."&amp;RIGHT('Player Database'!R8,LEN('Player Database'!R8)-LEN(LEFT('Player Database'!R8,FIND(" ",'Player Database'!R8)))+1))</f>
        <v>M. Lang</v>
      </c>
      <c r="S8" s="77" t="str">
        <f>IF(ISERR(FIND(" ",'Player Database'!S8)),'Player Database'!S8,LEFT('Player Database'!S8,1)&amp;"."&amp;RIGHT('Player Database'!S8,LEN('Player Database'!S8)-LEN(LEFT('Player Database'!S8,FIND(" ",'Player Database'!S8)))+1))</f>
        <v>C. Noboa</v>
      </c>
      <c r="T8" s="77" t="str">
        <f>IF(ISERR(FIND(" ",'Player Database'!T8)),'Player Database'!T8,LEFT('Player Database'!T8,1)&amp;"."&amp;RIGHT('Player Database'!T8,LEN('Player Database'!T8)-LEN(LEFT('Player Database'!T8,FIND(" ",'Player Database'!T8)))+1))</f>
        <v>Y. Cabaye</v>
      </c>
      <c r="U8" s="77" t="str">
        <f>IF(ISERR(FIND(" ",'Player Database'!U8)),'Player Database'!U8,LEFT('Player Database'!U8,1)&amp;"."&amp;RIGHT('Player Database'!U8,LEN('Player Database'!U8)-LEN(LEFT('Player Database'!U8,FIND(" ",'Player Database'!U8)))+1))</f>
        <v>J. Carlos García</v>
      </c>
      <c r="V8" s="77" t="str">
        <f>IF(ISERR(FIND(" ",'Player Database'!V8)),'Player Database'!V8,LEFT('Player Database'!V8,1)&amp;"."&amp;RIGHT('Player Database'!V8,LEN('Player Database'!V8)-LEN(LEFT('Player Database'!V8,FIND(" ",'Player Database'!V8)))+1))</f>
        <v>L. Biglia</v>
      </c>
      <c r="W8" s="77" t="str">
        <f>IF(ISERR(FIND(" ",'Player Database'!W8)),'Player Database'!W8,LEFT('Player Database'!W8,1)&amp;"."&amp;RIGHT('Player Database'!W8,LEN('Player Database'!W8)-LEN(LEFT('Player Database'!W8,FIND(" ",'Player Database'!W8)))+1))</f>
        <v>O. Vranješ</v>
      </c>
      <c r="X8" s="77" t="str">
        <f>IF(ISERR(FIND(" ",'Player Database'!X8)),'Player Database'!X8,LEFT('Player Database'!X8,1)&amp;"."&amp;RIGHT('Player Database'!X8,LEN('Player Database'!X8)-LEN(LEFT('Player Database'!X8,FIND(" ",'Player Database'!X8)))+1))</f>
        <v xml:space="preserve">J. Nekounam </v>
      </c>
      <c r="Y8" s="77" t="str">
        <f>IF(ISERR(FIND(" ",'Player Database'!Y8)),'Player Database'!Y8,LEFT('Player Database'!Y8,1)&amp;"."&amp;RIGHT('Player Database'!Y8,LEN('Player Database'!Y8)-LEN(LEFT('Player Database'!Y8,FIND(" ",'Player Database'!Y8)))+1))</f>
        <v>A. Egwuekwe</v>
      </c>
      <c r="Z8" s="77" t="str">
        <f>IF(ISERR(FIND(" ",'Player Database'!Z8)),'Player Database'!Z8,LEFT('Player Database'!Z8,1)&amp;"."&amp;RIGHT('Player Database'!Z8,LEN('Player Database'!Z8)-LEN(LEFT('Player Database'!Z8,FIND(" ",'Player Database'!Z8)))+1))</f>
        <v>S. Khedira</v>
      </c>
      <c r="AA8" s="77" t="str">
        <f>IF(ISERR(FIND(" ",'Player Database'!AA8)),'Player Database'!AA8,LEFT('Player Database'!AA8,1)&amp;"."&amp;RIGHT('Player Database'!AA8,LEN('Player Database'!AA8)-LEN(LEFT('Player Database'!AA8,FIND(" ",'Player Database'!AA8)))+1))</f>
        <v>W. Carvalho</v>
      </c>
      <c r="AB8" s="77" t="str">
        <f>IF(ISERR(FIND(" ",'Player Database'!AB8)),'Player Database'!AB8,LEFT('Player Database'!AB8,1)&amp;"."&amp;RIGHT('Player Database'!AB8,LEN('Player Database'!AB8)-LEN(LEFT('Player Database'!AB8,FIND(" ",'Player Database'!AB8)))+1))</f>
        <v>A. Acquah</v>
      </c>
      <c r="AC8" s="77" t="str">
        <f>IF(ISERR(FIND(" ",'Player Database'!AC8)),'Player Database'!AC8,LEFT('Player Database'!AC8,1)&amp;"."&amp;RIGHT('Player Database'!AC8,LEN('Player Database'!AC8)-LEN(LEFT('Player Database'!AC8,FIND(" ",'Player Database'!AC8)))+1))</f>
        <v>J. Brooks</v>
      </c>
      <c r="AD8" s="77" t="str">
        <f>IF(ISERR(FIND(" ",'Player Database'!AD8)),'Player Database'!AD8,LEFT('Player Database'!AD8,1)&amp;"."&amp;RIGHT('Player Database'!AD8,LEN('Player Database'!AD8)-LEN(LEFT('Player Database'!AD8,FIND(" ",'Player Database'!AD8)))+1))</f>
        <v>A. Witsel</v>
      </c>
      <c r="AE8" s="77" t="str">
        <f>IF(ISERR(FIND(" ",'Player Database'!AE8)),'Player Database'!AE8,LEFT('Player Database'!AE8,1)&amp;"."&amp;RIGHT('Player Database'!AE8,LEN('Player Database'!AE8)-LEN(LEFT('Player Database'!AE8,FIND(" ",'Player Database'!AE8)))+1))</f>
        <v>D. Mesbah</v>
      </c>
      <c r="AF8" s="77" t="str">
        <f>IF(ISERR(FIND(" ",'Player Database'!AF8)),'Player Database'!AF8,LEFT('Player Database'!AF8,1)&amp;"."&amp;RIGHT('Player Database'!AF8,LEN('Player Database'!AF8)-LEN(LEFT('Player Database'!AF8,FIND(" ",'Player Database'!AF8)))+1))</f>
        <v>M. Kanunnikov</v>
      </c>
      <c r="AG8" s="77" t="str">
        <f>IF(ISERR(FIND(" ",'Player Database'!AG8)),'Player Database'!AG8,LEFT('Player Database'!AG8,1)&amp;"."&amp;RIGHT('Player Database'!AG8,LEN('Player Database'!AG8)-LEN(LEFT('Player Database'!AG8,FIND(" ",'Player Database'!AG8)))+1))</f>
        <v>H. Seok-ho</v>
      </c>
      <c r="AI8" s="77" t="str">
        <f t="shared" ca="1" si="5"/>
        <v/>
      </c>
      <c r="AJ8" s="77" t="str">
        <f t="shared" ca="1" si="5"/>
        <v/>
      </c>
      <c r="AK8" s="77" t="str">
        <f t="shared" ca="1" si="5"/>
        <v/>
      </c>
      <c r="AL8" s="77" t="str">
        <f t="shared" ca="1" si="5"/>
        <v/>
      </c>
      <c r="AM8" s="77" t="str">
        <f t="shared" ca="1" si="5"/>
        <v/>
      </c>
      <c r="AN8" s="77" t="str">
        <f t="shared" ca="1" si="5"/>
        <v/>
      </c>
      <c r="AO8" s="77" t="str">
        <f t="shared" ca="1" si="5"/>
        <v/>
      </c>
      <c r="AP8" s="77" t="str">
        <f t="shared" ca="1" si="5"/>
        <v/>
      </c>
      <c r="AQ8" s="77" t="str">
        <f t="shared" ca="1" si="5"/>
        <v/>
      </c>
      <c r="AR8" s="77" t="str">
        <f t="shared" ca="1" si="5"/>
        <v/>
      </c>
      <c r="AS8" s="77" t="str">
        <f t="shared" ca="1" si="5"/>
        <v/>
      </c>
      <c r="AT8" s="77" t="str">
        <f t="shared" ca="1" si="5"/>
        <v/>
      </c>
      <c r="AU8" s="77" t="str">
        <f t="shared" ca="1" si="5"/>
        <v/>
      </c>
      <c r="AV8" s="77" t="str">
        <f t="shared" ca="1" si="5"/>
        <v/>
      </c>
      <c r="AW8" s="77" t="str">
        <f t="shared" ca="1" si="5"/>
        <v/>
      </c>
      <c r="AX8" s="77" t="str">
        <f t="shared" ca="1" si="5"/>
        <v/>
      </c>
      <c r="AZ8" s="77" t="str">
        <f t="shared" si="6"/>
        <v/>
      </c>
      <c r="BA8" s="77" t="str">
        <f t="shared" si="6"/>
        <v/>
      </c>
      <c r="BB8" s="77" t="str">
        <f t="shared" si="6"/>
        <v/>
      </c>
      <c r="BC8" s="77" t="str">
        <f t="shared" si="6"/>
        <v/>
      </c>
      <c r="BD8" s="77" t="str">
        <f t="shared" si="6"/>
        <v/>
      </c>
      <c r="BE8" s="77" t="str">
        <f t="shared" si="6"/>
        <v/>
      </c>
      <c r="BF8" s="77" t="str">
        <f t="shared" si="6"/>
        <v/>
      </c>
      <c r="BG8" s="77" t="str">
        <f t="shared" si="6"/>
        <v/>
      </c>
      <c r="BI8" s="77" t="str">
        <f t="shared" si="7"/>
        <v/>
      </c>
      <c r="BJ8" s="77" t="str">
        <f t="shared" si="7"/>
        <v/>
      </c>
      <c r="BK8" s="77" t="str">
        <f t="shared" si="7"/>
        <v/>
      </c>
      <c r="BL8" s="77" t="str">
        <f t="shared" si="7"/>
        <v/>
      </c>
      <c r="BN8" s="77" t="str">
        <f t="shared" si="8"/>
        <v/>
      </c>
      <c r="BO8" s="77" t="str">
        <f t="shared" si="8"/>
        <v/>
      </c>
      <c r="BQ8" s="77" t="str">
        <f t="shared" si="9"/>
        <v/>
      </c>
      <c r="BR8" s="77" t="str">
        <f t="shared" si="9"/>
        <v/>
      </c>
      <c r="BT8" s="77" t="str">
        <f t="shared" si="11"/>
        <v>Brazil</v>
      </c>
      <c r="BU8" s="77">
        <f t="shared" si="12"/>
        <v>6</v>
      </c>
      <c r="BW8" s="77">
        <v>1</v>
      </c>
      <c r="BX8" s="77" t="str">
        <f t="shared" si="4"/>
        <v>Marcelo</v>
      </c>
      <c r="BY8" s="77">
        <f>COUNTIF('Group Stages'!$L$14:$S$110,BX8)+COUNTIF('Knock Out Stages'!$N$41:$U$84,BX8)</f>
        <v>0</v>
      </c>
      <c r="CA8" s="77" t="str">
        <f>'Player Database'!B8</f>
        <v>Marcelo</v>
      </c>
      <c r="CB8" s="77">
        <v>5</v>
      </c>
      <c r="CC8" s="77" t="str">
        <f t="array" aca="1" ref="CC8" ca="1">IFERROR(INDEX($BX$3:$BX$738, SMALL(IF(COUNTIF(CC$3, $BY$3:$BY$738), ROW($BX$3:$BX$738)-MIN(ROW($BX$3:$BX$738))+1), $CB8), 0),"")</f>
        <v/>
      </c>
      <c r="CD8" s="77" t="str">
        <f t="array" aca="1" ref="CD8" ca="1">IFERROR(INDEX($BX$3:$BX$738, SMALL(IF(COUNTIF(CD$3, $BY$3:$BY$738), ROW($BX$3:$BX$738)-MIN(ROW($BX$3:$BX$738))+1), $CB8), 0),"")</f>
        <v/>
      </c>
      <c r="CE8" s="77" t="str">
        <f t="array" aca="1" ref="CE8" ca="1">IFERROR(INDEX($BX$3:$BX$738, SMALL(IF(COUNTIF(CE$3, $BY$3:$BY$738), ROW($BX$3:$BX$738)-MIN(ROW($BX$3:$BX$738))+1), $CB8), 0),"")</f>
        <v/>
      </c>
      <c r="CF8" s="77" t="str">
        <f t="array" aca="1" ref="CF8" ca="1">IFERROR(INDEX($BX$3:$BX$738, SMALL(IF(COUNTIF(CF$3, $BY$3:$BY$738), ROW($BX$3:$BX$738)-MIN(ROW($BX$3:$BX$738))+1), $CB8), 0),"")</f>
        <v/>
      </c>
      <c r="CG8" s="77" t="str">
        <f t="array" aca="1" ref="CG8" ca="1">IFERROR(INDEX($BX$3:$BX$738, SMALL(IF(COUNTIF(CG$3, $BY$3:$BY$738), ROW($BX$3:$BX$738)-MIN(ROW($BX$3:$BX$738))+1), $CB8), 0),"")</f>
        <v/>
      </c>
      <c r="CH8" s="77" t="str">
        <f t="array" aca="1" ref="CH8" ca="1">IFERROR(INDEX($BX$3:$BX$738, SMALL(IF(COUNTIF(CH$3, $BY$3:$BY$738), ROW($BX$3:$BX$738)-MIN(ROW($BX$3:$BX$738))+1), $CB8), 0),"")</f>
        <v/>
      </c>
      <c r="CI8" s="77" t="str">
        <f t="array" aca="1" ref="CI8" ca="1">IFERROR(INDEX($BX$3:$BX$738, SMALL(IF(COUNTIF(CI$3, $BY$3:$BY$738), ROW($BX$3:$BX$738)-MIN(ROW($BX$3:$BX$738))+1), $CB8), 0),"")</f>
        <v/>
      </c>
      <c r="CJ8" s="77" t="str">
        <f t="array" aca="1" ref="CJ8" ca="1">IFERROR(INDEX($BX$3:$BX$738, SMALL(IF(COUNTIF(CJ$3, $BY$3:$BY$738), ROW($BX$3:$BX$738)-MIN(ROW($BX$3:$BX$738))+1), $CB8), 0),"")</f>
        <v/>
      </c>
      <c r="CK8" s="77" t="str">
        <f t="array" aca="1" ref="CK8" ca="1">IFERROR(INDEX($BX$3:$BX$738, SMALL(IF(COUNTIF(CK$3, $BY$3:$BY$738), ROW($BX$3:$BX$738)-MIN(ROW($BX$3:$BX$738))+1), $CB8), 0),"")</f>
        <v/>
      </c>
      <c r="CL8" s="77" t="str">
        <f t="array" aca="1" ref="CL8" ca="1">IFERROR(INDEX($BX$3:$BX$738, SMALL(IF(COUNTIF(CL$3, $BY$3:$BY$738), ROW($BX$3:$BX$738)-MIN(ROW($BX$3:$BX$738))+1), $CB8), 0),"")</f>
        <v/>
      </c>
      <c r="CM8" s="77" t="str">
        <f t="array" aca="1" ref="CM8" ca="1">IFERROR(INDEX($BX$3:$BX$738, SMALL(IF(COUNTIF(CM$3, $BY$3:$BY$738), ROW($BX$3:$BX$738)-MIN(ROW($BX$3:$BX$738))+1), $CB8), 0),"")</f>
        <v/>
      </c>
      <c r="CN8" s="77" t="str">
        <f t="array" aca="1" ref="CN8" ca="1">IFERROR(INDEX($BX$3:$BX$738, SMALL(IF(COUNTIF(CN$3, $BY$3:$BY$738), ROW($BX$3:$BX$738)-MIN(ROW($BX$3:$BX$738))+1), $CB8), 0),"")</f>
        <v/>
      </c>
      <c r="CO8" s="77" t="str">
        <f t="array" aca="1" ref="CO8" ca="1">IFERROR(INDEX($BX$3:$BX$738, SMALL(IF(COUNTIF(CO$3, $BY$3:$BY$738), ROW($BX$3:$BX$738)-MIN(ROW($BX$3:$BX$738))+1), $CB8), 0),"")</f>
        <v/>
      </c>
      <c r="CP8" s="77" t="str">
        <f t="array" aca="1" ref="CP8" ca="1">IFERROR(INDEX($BX$3:$BX$738, SMALL(IF(COUNTIF(CP$3, $BY$3:$BY$738), ROW($BX$3:$BX$738)-MIN(ROW($BX$3:$BX$738))+1), $CB8), 0),"")</f>
        <v/>
      </c>
      <c r="CQ8" s="77" t="str">
        <f t="array" aca="1" ref="CQ8" ca="1">IFERROR(INDEX($BX$3:$BX$738, SMALL(IF(COUNTIF(CQ$3, $BY$3:$BY$738), ROW($BX$3:$BX$738)-MIN(ROW($BX$3:$BX$738))+1), $CB8), 0),"")</f>
        <v/>
      </c>
      <c r="CS8" s="77">
        <v>5</v>
      </c>
      <c r="CT8" s="77">
        <v>1</v>
      </c>
      <c r="CV8" s="77" t="str">
        <f t="shared" ca="1" si="10"/>
        <v/>
      </c>
      <c r="CW8" s="77">
        <f t="shared" ca="1" si="13"/>
        <v>0</v>
      </c>
      <c r="CZ8" s="77">
        <v>5</v>
      </c>
      <c r="DA8" s="77" t="str">
        <f t="shared" ca="1" si="14"/>
        <v/>
      </c>
      <c r="DB8" s="77" t="str">
        <f t="shared" ca="1" si="15"/>
        <v/>
      </c>
      <c r="DC8" s="77" t="str">
        <f t="shared" ca="1" si="18"/>
        <v/>
      </c>
      <c r="DD8" s="77" t="str">
        <f t="shared" ca="1" si="17"/>
        <v/>
      </c>
      <c r="DG8" s="77" t="str">
        <f ca="1">IF($DG$2=1,Tournament!T27,"")</f>
        <v/>
      </c>
      <c r="DH8" s="77" t="str">
        <f>IF(AND(Tournament!J91&lt;&gt;"",Tournament!L91&lt;&gt;""),IF(Tournament!J91&lt;Tournament!L91,Tournament!H91,Tournament!N91),"")</f>
        <v/>
      </c>
    </row>
    <row r="9" spans="1:114">
      <c r="A9" s="77">
        <v>7</v>
      </c>
      <c r="B9" s="77" t="str">
        <f>IF(ISERR(FIND(" ",'Player Database'!B9)),'Player Database'!B9,LEFT('Player Database'!B9,1)&amp;"."&amp;RIGHT('Player Database'!B9,LEN('Player Database'!B9)-LEN(LEFT('Player Database'!B9,FIND(" ",'Player Database'!B9)))+1))</f>
        <v>Hulk</v>
      </c>
      <c r="C9" s="77" t="str">
        <f>IF(ISERR(FIND(" ",'Player Database'!C9)),'Player Database'!C9,LEFT('Player Database'!C9,1)&amp;"."&amp;RIGHT('Player Database'!C9,LEN('Player Database'!C9)-LEN(LEFT('Player Database'!C9,FIND(" ",'Player Database'!C9)))+1))</f>
        <v>I. Rakitić</v>
      </c>
      <c r="D9" s="77" t="str">
        <f>IF(ISERR(FIND(" ",'Player Database'!D9)),'Player Database'!D9,LEFT('Player Database'!D9,1)&amp;"."&amp;RIGHT('Player Database'!D9,LEN('Player Database'!D9)-LEN(LEFT('Player Database'!D9,FIND(" ",'Player Database'!D9)))+1))</f>
        <v>M. Layún</v>
      </c>
      <c r="E9" s="77" t="str">
        <f>IF(ISERR(FIND(" ",'Player Database'!E9)),'Player Database'!E9,LEFT('Player Database'!E9,1)&amp;"."&amp;RIGHT('Player Database'!E9,LEN('Player Database'!E9)-LEN(LEFT('Player Database'!E9,FIND(" ",'Player Database'!E9)))+1))</f>
        <v>L. N'Guémo</v>
      </c>
      <c r="F9" s="77" t="str">
        <f>IF(ISERR(FIND(" ",'Player Database'!F9)),'Player Database'!F9,LEFT('Player Database'!F9,1)&amp;"."&amp;RIGHT('Player Database'!F9,LEN('Player Database'!F9)-LEN(LEFT('Player Database'!F9,FIND(" ",'Player Database'!F9)))+1))</f>
        <v>D. Villa</v>
      </c>
      <c r="G9" s="77" t="str">
        <f>IF(ISERR(FIND(" ",'Player Database'!G9)),'Player Database'!G9,LEFT('Player Database'!G9,1)&amp;"."&amp;RIGHT('Player Database'!G9,LEN('Player Database'!G9)-LEN(LEFT('Player Database'!G9,FIND(" ",'Player Database'!G9)))+1))</f>
        <v>D. Janmaat</v>
      </c>
      <c r="H9" s="77" t="str">
        <f>IF(ISERR(FIND(" ",'Player Database'!H9)),'Player Database'!H9,LEFT('Player Database'!H9,1)&amp;"."&amp;RIGHT('Player Database'!H9,LEN('Player Database'!H9)-LEN(LEFT('Player Database'!H9,FIND(" ",'Player Database'!H9)))+1))</f>
        <v>A. Sánchez</v>
      </c>
      <c r="I9" s="77" t="str">
        <f>IF(ISERR(FIND(" ",'Player Database'!I9)),'Player Database'!I9,LEFT('Player Database'!I9,1)&amp;"."&amp;RIGHT('Player Database'!I9,LEN('Player Database'!I9)-LEN(LEFT('Player Database'!I9,FIND(" ",'Player Database'!I9)))+1))</f>
        <v>M. Leckie</v>
      </c>
      <c r="J9" s="77" t="str">
        <f>IF(ISERR(FIND(" ",'Player Database'!J9)),'Player Database'!J9,LEFT('Player Database'!J9,1)&amp;"."&amp;RIGHT('Player Database'!J9,LEN('Player Database'!J9)-LEN(LEFT('Player Database'!J9,FIND(" ",'Player Database'!J9)))+1))</f>
        <v>P. Armero</v>
      </c>
      <c r="K9" s="77" t="str">
        <f>IF(ISERR(FIND(" ",'Player Database'!K9)),'Player Database'!K9,LEFT('Player Database'!K9,1)&amp;"."&amp;RIGHT('Player Database'!K9,LEN('Player Database'!K9)-LEN(LEFT('Player Database'!K9,FIND(" ",'Player Database'!K9)))+1))</f>
        <v>G. Samaras</v>
      </c>
      <c r="L9" s="77" t="str">
        <f>IF(ISERR(FIND(" ",'Player Database'!L9)),'Player Database'!L9,LEFT('Player Database'!L9,1)&amp;"."&amp;RIGHT('Player Database'!L9,LEN('Player Database'!L9)-LEN(LEFT('Player Database'!L9,FIND(" ",'Player Database'!L9)))+1))</f>
        <v>J. Akpa-Akpro</v>
      </c>
      <c r="M9" s="77" t="str">
        <f>IF(ISERR(FIND(" ",'Player Database'!M9)),'Player Database'!M9,LEFT('Player Database'!M9,1)&amp;"."&amp;RIGHT('Player Database'!M9,LEN('Player Database'!M9)-LEN(LEFT('Player Database'!M9,FIND(" ",'Player Database'!M9)))+1))</f>
        <v>Y. Endō</v>
      </c>
      <c r="N9" s="77" t="str">
        <f>IF(ISERR(FIND(" ",'Player Database'!N9)),'Player Database'!N9,LEFT('Player Database'!N9,1)&amp;"."&amp;RIGHT('Player Database'!N9,LEN('Player Database'!N9)-LEN(LEFT('Player Database'!N9,FIND(" ",'Player Database'!N9)))+1))</f>
        <v>C. Rodríguez</v>
      </c>
      <c r="O9" s="77" t="str">
        <f>IF(ISERR(FIND(" ",'Player Database'!O9)),'Player Database'!O9,LEFT('Player Database'!O9,1)&amp;"."&amp;RIGHT('Player Database'!O9,LEN('Player Database'!O9)-LEN(LEFT('Player Database'!O9,FIND(" ",'Player Database'!O9)))+1))</f>
        <v>C. Bolaños</v>
      </c>
      <c r="P9" s="77" t="str">
        <f>IF(ISERR(FIND(" ",'Player Database'!P9)),'Player Database'!P9,LEFT('Player Database'!P9,1)&amp;"."&amp;RIGHT('Player Database'!P9,LEN('Player Database'!P9)-LEN(LEFT('Player Database'!P9,FIND(" ",'Player Database'!P9)))+1))</f>
        <v>J. Wilshere</v>
      </c>
      <c r="Q9" s="77" t="str">
        <f>IF(ISERR(FIND(" ",'Player Database'!Q9)),'Player Database'!Q9,LEFT('Player Database'!Q9,1)&amp;"."&amp;RIGHT('Player Database'!Q9,LEN('Player Database'!Q9)-LEN(LEFT('Player Database'!Q9,FIND(" ",'Player Database'!Q9)))+1))</f>
        <v>I. Abate</v>
      </c>
      <c r="R9" s="77" t="str">
        <f>IF(ISERR(FIND(" ",'Player Database'!R9)),'Player Database'!R9,LEFT('Player Database'!R9,1)&amp;"."&amp;RIGHT('Player Database'!R9,LEN('Player Database'!R9)-LEN(LEFT('Player Database'!R9,FIND(" ",'Player Database'!R9)))+1))</f>
        <v>T. Barnetta</v>
      </c>
      <c r="S9" s="77" t="str">
        <f>IF(ISERR(FIND(" ",'Player Database'!S9)),'Player Database'!S9,LEFT('Player Database'!S9,1)&amp;"."&amp;RIGHT('Player Database'!S9,LEN('Player Database'!S9)-LEN(LEFT('Player Database'!S9,FIND(" ",'Player Database'!S9)))+1))</f>
        <v>J. Montero</v>
      </c>
      <c r="T9" s="77" t="str">
        <f>IF(ISERR(FIND(" ",'Player Database'!T9)),'Player Database'!T9,LEFT('Player Database'!T9,1)&amp;"."&amp;RIGHT('Player Database'!T9,LEN('Player Database'!T9)-LEN(LEFT('Player Database'!T9,FIND(" ",'Player Database'!T9)))+1))</f>
        <v>R. Cabella[38]</v>
      </c>
      <c r="U9" s="77" t="str">
        <f>IF(ISERR(FIND(" ",'Player Database'!U9)),'Player Database'!U9,LEFT('Player Database'!U9,1)&amp;"."&amp;RIGHT('Player Database'!U9,LEN('Player Database'!U9)-LEN(LEFT('Player Database'!U9,FIND(" ",'Player Database'!U9)))+1))</f>
        <v>E. Izaguirre</v>
      </c>
      <c r="V9" s="77" t="str">
        <f>IF(ISERR(FIND(" ",'Player Database'!V9)),'Player Database'!V9,LEFT('Player Database'!V9,1)&amp;"."&amp;RIGHT('Player Database'!V9,LEN('Player Database'!V9)-LEN(LEFT('Player Database'!V9,FIND(" ",'Player Database'!V9)))+1))</f>
        <v>Á. di María</v>
      </c>
      <c r="W9" s="77" t="str">
        <f>IF(ISERR(FIND(" ",'Player Database'!W9)),'Player Database'!W9,LEFT('Player Database'!W9,1)&amp;"."&amp;RIGHT('Player Database'!W9,LEN('Player Database'!W9)-LEN(LEFT('Player Database'!W9,FIND(" ",'Player Database'!W9)))+1))</f>
        <v>M. Bešić</v>
      </c>
      <c r="X9" s="77" t="str">
        <f>IF(ISERR(FIND(" ",'Player Database'!X9)),'Player Database'!X9,LEFT('Player Database'!X9,1)&amp;"."&amp;RIGHT('Player Database'!X9,LEN('Player Database'!X9)-LEN(LEFT('Player Database'!X9,FIND(" ",'Player Database'!X9)))+1))</f>
        <v>M. Shojaei</v>
      </c>
      <c r="Y9" s="77" t="str">
        <f>IF(ISERR(FIND(" ",'Player Database'!Y9)),'Player Database'!Y9,LEFT('Player Database'!Y9,1)&amp;"."&amp;RIGHT('Player Database'!Y9,LEN('Player Database'!Y9)-LEN(LEFT('Player Database'!Y9,FIND(" ",'Player Database'!Y9)))+1))</f>
        <v>A. Musa</v>
      </c>
      <c r="Z9" s="77" t="str">
        <f>IF(ISERR(FIND(" ",'Player Database'!Z9)),'Player Database'!Z9,LEFT('Player Database'!Z9,1)&amp;"."&amp;RIGHT('Player Database'!Z9,LEN('Player Database'!Z9)-LEN(LEFT('Player Database'!Z9,FIND(" ",'Player Database'!Z9)))+1))</f>
        <v>B. Schweinsteiger</v>
      </c>
      <c r="AA9" s="77" t="str">
        <f>IF(ISERR(FIND(" ",'Player Database'!AA9)),'Player Database'!AA9,LEFT('Player Database'!AA9,1)&amp;"."&amp;RIGHT('Player Database'!AA9,LEN('Player Database'!AA9)-LEN(LEFT('Player Database'!AA9,FIND(" ",'Player Database'!AA9)))+1))</f>
        <v xml:space="preserve">C. Ronaldo </v>
      </c>
      <c r="AB9" s="77" t="str">
        <f>IF(ISERR(FIND(" ",'Player Database'!AB9)),'Player Database'!AB9,LEFT('Player Database'!AB9,1)&amp;"."&amp;RIGHT('Player Database'!AB9,LEN('Player Database'!AB9)-LEN(LEFT('Player Database'!AB9,FIND(" ",'Player Database'!AB9)))+1))</f>
        <v>C. Atsu</v>
      </c>
      <c r="AC9" s="77" t="str">
        <f>IF(ISERR(FIND(" ",'Player Database'!AC9)),'Player Database'!AC9,LEFT('Player Database'!AC9,1)&amp;"."&amp;RIGHT('Player Database'!AC9,LEN('Player Database'!AC9)-LEN(LEFT('Player Database'!AC9,FIND(" ",'Player Database'!AC9)))+1))</f>
        <v>D. Beasley</v>
      </c>
      <c r="AD9" s="77" t="str">
        <f>IF(ISERR(FIND(" ",'Player Database'!AD9)),'Player Database'!AD9,LEFT('Player Database'!AD9,1)&amp;"."&amp;RIGHT('Player Database'!AD9,LEN('Player Database'!AD9)-LEN(LEFT('Player Database'!AD9,FIND(" ",'Player Database'!AD9)))+1))</f>
        <v>K. De Bruyne</v>
      </c>
      <c r="AE9" s="77" t="str">
        <f>IF(ISERR(FIND(" ",'Player Database'!AE9)),'Player Database'!AE9,LEFT('Player Database'!AE9,1)&amp;"."&amp;RIGHT('Player Database'!AE9,LEN('Player Database'!AE9)-LEN(LEFT('Player Database'!AE9,FIND(" ",'Player Database'!AE9)))+1))</f>
        <v>C. Medjani</v>
      </c>
      <c r="AF9" s="77" t="str">
        <f>IF(ISERR(FIND(" ",'Player Database'!AF9)),'Player Database'!AF9,LEFT('Player Database'!AF9,1)&amp;"."&amp;RIGHT('Player Database'!AF9,LEN('Player Database'!AF9)-LEN(LEFT('Player Database'!AF9,FIND(" ",'Player Database'!AF9)))+1))</f>
        <v>I. Denisov</v>
      </c>
      <c r="AG9" s="77" t="str">
        <f>IF(ISERR(FIND(" ",'Player Database'!AG9)),'Player Database'!AG9,LEFT('Player Database'!AG9,1)&amp;"."&amp;RIGHT('Player Database'!AG9,LEN('Player Database'!AG9)-LEN(LEFT('Player Database'!AG9,FIND(" ",'Player Database'!AG9)))+1))</f>
        <v>K. Bo-kyung</v>
      </c>
      <c r="AI9" s="77" t="str">
        <f t="shared" ca="1" si="5"/>
        <v/>
      </c>
      <c r="AJ9" s="77" t="str">
        <f t="shared" ca="1" si="5"/>
        <v/>
      </c>
      <c r="AK9" s="77" t="str">
        <f t="shared" ca="1" si="5"/>
        <v/>
      </c>
      <c r="AL9" s="77" t="str">
        <f t="shared" ca="1" si="5"/>
        <v/>
      </c>
      <c r="AM9" s="77" t="str">
        <f t="shared" ca="1" si="5"/>
        <v/>
      </c>
      <c r="AN9" s="77" t="str">
        <f t="shared" ca="1" si="5"/>
        <v/>
      </c>
      <c r="AO9" s="77" t="str">
        <f t="shared" ca="1" si="5"/>
        <v/>
      </c>
      <c r="AP9" s="77" t="str">
        <f t="shared" ca="1" si="5"/>
        <v/>
      </c>
      <c r="AQ9" s="77" t="str">
        <f t="shared" ca="1" si="5"/>
        <v/>
      </c>
      <c r="AR9" s="77" t="str">
        <f t="shared" ca="1" si="5"/>
        <v/>
      </c>
      <c r="AS9" s="77" t="str">
        <f t="shared" ca="1" si="5"/>
        <v/>
      </c>
      <c r="AT9" s="77" t="str">
        <f t="shared" ca="1" si="5"/>
        <v/>
      </c>
      <c r="AU9" s="77" t="str">
        <f t="shared" ca="1" si="5"/>
        <v/>
      </c>
      <c r="AV9" s="77" t="str">
        <f t="shared" ca="1" si="5"/>
        <v/>
      </c>
      <c r="AW9" s="77" t="str">
        <f t="shared" ca="1" si="5"/>
        <v/>
      </c>
      <c r="AX9" s="77" t="str">
        <f t="shared" ca="1" si="5"/>
        <v/>
      </c>
      <c r="AZ9" s="77" t="str">
        <f t="shared" si="6"/>
        <v/>
      </c>
      <c r="BA9" s="77" t="str">
        <f t="shared" si="6"/>
        <v/>
      </c>
      <c r="BB9" s="77" t="str">
        <f t="shared" si="6"/>
        <v/>
      </c>
      <c r="BC9" s="77" t="str">
        <f t="shared" si="6"/>
        <v/>
      </c>
      <c r="BD9" s="77" t="str">
        <f t="shared" si="6"/>
        <v/>
      </c>
      <c r="BE9" s="77" t="str">
        <f t="shared" si="6"/>
        <v/>
      </c>
      <c r="BF9" s="77" t="str">
        <f t="shared" si="6"/>
        <v/>
      </c>
      <c r="BG9" s="77" t="str">
        <f t="shared" si="6"/>
        <v/>
      </c>
      <c r="BI9" s="77" t="str">
        <f t="shared" si="7"/>
        <v/>
      </c>
      <c r="BJ9" s="77" t="str">
        <f t="shared" si="7"/>
        <v/>
      </c>
      <c r="BK9" s="77" t="str">
        <f t="shared" si="7"/>
        <v/>
      </c>
      <c r="BL9" s="77" t="str">
        <f t="shared" si="7"/>
        <v/>
      </c>
      <c r="BN9" s="77" t="str">
        <f t="shared" si="8"/>
        <v/>
      </c>
      <c r="BO9" s="77" t="str">
        <f t="shared" si="8"/>
        <v/>
      </c>
      <c r="BQ9" s="77" t="str">
        <f t="shared" si="9"/>
        <v/>
      </c>
      <c r="BR9" s="77" t="str">
        <f t="shared" si="9"/>
        <v/>
      </c>
      <c r="BT9" s="77" t="str">
        <f t="shared" si="11"/>
        <v>Brazil</v>
      </c>
      <c r="BU9" s="77">
        <f t="shared" si="12"/>
        <v>7</v>
      </c>
      <c r="BW9" s="77">
        <v>1</v>
      </c>
      <c r="BX9" s="77" t="str">
        <f t="shared" si="4"/>
        <v>Hulk</v>
      </c>
      <c r="BY9" s="77">
        <f>COUNTIF('Group Stages'!$L$14:$S$110,BX9)+COUNTIF('Knock Out Stages'!$N$41:$U$84,BX9)</f>
        <v>0</v>
      </c>
      <c r="CA9" s="77" t="str">
        <f>'Player Database'!B9</f>
        <v>Hulk</v>
      </c>
      <c r="CB9" s="77">
        <v>6</v>
      </c>
      <c r="CC9" s="77" t="str">
        <f t="array" aca="1" ref="CC9" ca="1">IFERROR(INDEX($BX$3:$BX$738, SMALL(IF(COUNTIF(CC$3, $BY$3:$BY$738), ROW($BX$3:$BX$738)-MIN(ROW($BX$3:$BX$738))+1), $CB9), 0),"")</f>
        <v/>
      </c>
      <c r="CD9" s="77" t="str">
        <f t="array" aca="1" ref="CD9" ca="1">IFERROR(INDEX($BX$3:$BX$738, SMALL(IF(COUNTIF(CD$3, $BY$3:$BY$738), ROW($BX$3:$BX$738)-MIN(ROW($BX$3:$BX$738))+1), $CB9), 0),"")</f>
        <v/>
      </c>
      <c r="CE9" s="77" t="str">
        <f t="array" aca="1" ref="CE9" ca="1">IFERROR(INDEX($BX$3:$BX$738, SMALL(IF(COUNTIF(CE$3, $BY$3:$BY$738), ROW($BX$3:$BX$738)-MIN(ROW($BX$3:$BX$738))+1), $CB9), 0),"")</f>
        <v/>
      </c>
      <c r="CF9" s="77" t="str">
        <f t="array" aca="1" ref="CF9" ca="1">IFERROR(INDEX($BX$3:$BX$738, SMALL(IF(COUNTIF(CF$3, $BY$3:$BY$738), ROW($BX$3:$BX$738)-MIN(ROW($BX$3:$BX$738))+1), $CB9), 0),"")</f>
        <v/>
      </c>
      <c r="CG9" s="77" t="str">
        <f t="array" aca="1" ref="CG9" ca="1">IFERROR(INDEX($BX$3:$BX$738, SMALL(IF(COUNTIF(CG$3, $BY$3:$BY$738), ROW($BX$3:$BX$738)-MIN(ROW($BX$3:$BX$738))+1), $CB9), 0),"")</f>
        <v/>
      </c>
      <c r="CH9" s="77" t="str">
        <f t="array" aca="1" ref="CH9" ca="1">IFERROR(INDEX($BX$3:$BX$738, SMALL(IF(COUNTIF(CH$3, $BY$3:$BY$738), ROW($BX$3:$BX$738)-MIN(ROW($BX$3:$BX$738))+1), $CB9), 0),"")</f>
        <v/>
      </c>
      <c r="CI9" s="77" t="str">
        <f t="array" aca="1" ref="CI9" ca="1">IFERROR(INDEX($BX$3:$BX$738, SMALL(IF(COUNTIF(CI$3, $BY$3:$BY$738), ROW($BX$3:$BX$738)-MIN(ROW($BX$3:$BX$738))+1), $CB9), 0),"")</f>
        <v/>
      </c>
      <c r="CJ9" s="77" t="str">
        <f t="array" aca="1" ref="CJ9" ca="1">IFERROR(INDEX($BX$3:$BX$738, SMALL(IF(COUNTIF(CJ$3, $BY$3:$BY$738), ROW($BX$3:$BX$738)-MIN(ROW($BX$3:$BX$738))+1), $CB9), 0),"")</f>
        <v/>
      </c>
      <c r="CK9" s="77" t="str">
        <f t="array" aca="1" ref="CK9" ca="1">IFERROR(INDEX($BX$3:$BX$738, SMALL(IF(COUNTIF(CK$3, $BY$3:$BY$738), ROW($BX$3:$BX$738)-MIN(ROW($BX$3:$BX$738))+1), $CB9), 0),"")</f>
        <v/>
      </c>
      <c r="CL9" s="77" t="str">
        <f t="array" aca="1" ref="CL9" ca="1">IFERROR(INDEX($BX$3:$BX$738, SMALL(IF(COUNTIF(CL$3, $BY$3:$BY$738), ROW($BX$3:$BX$738)-MIN(ROW($BX$3:$BX$738))+1), $CB9), 0),"")</f>
        <v/>
      </c>
      <c r="CM9" s="77" t="str">
        <f t="array" aca="1" ref="CM9" ca="1">IFERROR(INDEX($BX$3:$BX$738, SMALL(IF(COUNTIF(CM$3, $BY$3:$BY$738), ROW($BX$3:$BX$738)-MIN(ROW($BX$3:$BX$738))+1), $CB9), 0),"")</f>
        <v/>
      </c>
      <c r="CN9" s="77" t="str">
        <f t="array" aca="1" ref="CN9" ca="1">IFERROR(INDEX($BX$3:$BX$738, SMALL(IF(COUNTIF(CN$3, $BY$3:$BY$738), ROW($BX$3:$BX$738)-MIN(ROW($BX$3:$BX$738))+1), $CB9), 0),"")</f>
        <v/>
      </c>
      <c r="CO9" s="77" t="str">
        <f t="array" aca="1" ref="CO9" ca="1">IFERROR(INDEX($BX$3:$BX$738, SMALL(IF(COUNTIF(CO$3, $BY$3:$BY$738), ROW($BX$3:$BX$738)-MIN(ROW($BX$3:$BX$738))+1), $CB9), 0),"")</f>
        <v/>
      </c>
      <c r="CP9" s="77" t="str">
        <f t="array" aca="1" ref="CP9" ca="1">IFERROR(INDEX($BX$3:$BX$738, SMALL(IF(COUNTIF(CP$3, $BY$3:$BY$738), ROW($BX$3:$BX$738)-MIN(ROW($BX$3:$BX$738))+1), $CB9), 0),"")</f>
        <v/>
      </c>
      <c r="CQ9" s="77" t="str">
        <f t="array" aca="1" ref="CQ9" ca="1">IFERROR(INDEX($BX$3:$BX$738, SMALL(IF(COUNTIF(CQ$3, $BY$3:$BY$738), ROW($BX$3:$BX$738)-MIN(ROW($BX$3:$BX$738))+1), $CB9), 0),"")</f>
        <v/>
      </c>
      <c r="CS9" s="77">
        <v>6</v>
      </c>
      <c r="CT9" s="77">
        <v>1</v>
      </c>
      <c r="CV9" s="77" t="str">
        <f t="shared" ca="1" si="10"/>
        <v/>
      </c>
      <c r="CW9" s="77">
        <f t="shared" ca="1" si="13"/>
        <v>0</v>
      </c>
      <c r="CZ9" s="77">
        <v>6</v>
      </c>
      <c r="DA9" s="77" t="str">
        <f t="shared" ca="1" si="14"/>
        <v/>
      </c>
      <c r="DB9" s="77" t="str">
        <f t="shared" ca="1" si="15"/>
        <v/>
      </c>
      <c r="DC9" s="77" t="str">
        <f t="shared" ref="DC9:DC72" ca="1" si="19">IFERROR(VLOOKUP(DA9,$BX$3:$CA$738,4,FALSE),"")</f>
        <v/>
      </c>
      <c r="DD9" s="77" t="str">
        <f t="shared" ca="1" si="17"/>
        <v/>
      </c>
      <c r="DG9" s="77" t="str">
        <f ca="1">IF($DG$2=1,Tournament!T28,"")</f>
        <v/>
      </c>
      <c r="DH9" s="77" t="str">
        <f>IF(AND(Tournament!J97&lt;&gt;"",Tournament!L97&lt;&gt;""),IF(Tournament!J97&lt;Tournament!L97,Tournament!H97,Tournament!N97),"")</f>
        <v/>
      </c>
    </row>
    <row r="10" spans="1:114">
      <c r="A10" s="77">
        <v>8</v>
      </c>
      <c r="B10" s="77" t="str">
        <f>IF(ISERR(FIND(" ",'Player Database'!B10)),'Player Database'!B10,LEFT('Player Database'!B10,1)&amp;"."&amp;RIGHT('Player Database'!B10,LEN('Player Database'!B10)-LEN(LEFT('Player Database'!B10,FIND(" ",'Player Database'!B10)))+1))</f>
        <v>Paulinho</v>
      </c>
      <c r="C10" s="77" t="str">
        <f>IF(ISERR(FIND(" ",'Player Database'!C10)),'Player Database'!C10,LEFT('Player Database'!C10,1)&amp;"."&amp;RIGHT('Player Database'!C10,LEN('Player Database'!C10)-LEN(LEFT('Player Database'!C10,FIND(" ",'Player Database'!C10)))+1))</f>
        <v>O. Vukojević</v>
      </c>
      <c r="D10" s="77" t="str">
        <f>IF(ISERR(FIND(" ",'Player Database'!D10)),'Player Database'!D10,LEFT('Player Database'!D10,1)&amp;"."&amp;RIGHT('Player Database'!D10,LEN('Player Database'!D10)-LEN(LEFT('Player Database'!D10,FIND(" ",'Player Database'!D10)))+1))</f>
        <v>M. Fabián</v>
      </c>
      <c r="E10" s="77" t="str">
        <f>IF(ISERR(FIND(" ",'Player Database'!E10)),'Player Database'!E10,LEFT('Player Database'!E10,1)&amp;"."&amp;RIGHT('Player Database'!E10,LEN('Player Database'!E10)-LEN(LEFT('Player Database'!E10,FIND(" ",'Player Database'!E10)))+1))</f>
        <v>B. Moukandjo</v>
      </c>
      <c r="F10" s="77" t="str">
        <f>IF(ISERR(FIND(" ",'Player Database'!F10)),'Player Database'!F10,LEFT('Player Database'!F10,1)&amp;"."&amp;RIGHT('Player Database'!F10,LEN('Player Database'!F10)-LEN(LEFT('Player Database'!F10,FIND(" ",'Player Database'!F10)))+1))</f>
        <v>Xavi</v>
      </c>
      <c r="G10" s="77" t="str">
        <f>IF(ISERR(FIND(" ",'Player Database'!G10)),'Player Database'!G10,LEFT('Player Database'!G10,1)&amp;"."&amp;RIGHT('Player Database'!G10,LEN('Player Database'!G10)-LEN(LEFT('Player Database'!G10,FIND(" ",'Player Database'!G10)))+1))</f>
        <v>N. de Jong</v>
      </c>
      <c r="H10" s="77" t="str">
        <f>IF(ISERR(FIND(" ",'Player Database'!H10)),'Player Database'!H10,LEFT('Player Database'!H10,1)&amp;"."&amp;RIGHT('Player Database'!H10,LEN('Player Database'!H10)-LEN(LEFT('Player Database'!H10,FIND(" ",'Player Database'!H10)))+1))</f>
        <v>A. Vidal</v>
      </c>
      <c r="I10" s="77" t="str">
        <f>IF(ISERR(FIND(" ",'Player Database'!I10)),'Player Database'!I10,LEFT('Player Database'!I10,1)&amp;"."&amp;RIGHT('Player Database'!I10,LEN('Player Database'!I10)-LEN(LEFT('Player Database'!I10,FIND(" ",'Player Database'!I10)))+1))</f>
        <v>B. Wright</v>
      </c>
      <c r="J10" s="77" t="str">
        <f>IF(ISERR(FIND(" ",'Player Database'!J10)),'Player Database'!J10,LEFT('Player Database'!J10,1)&amp;"."&amp;RIGHT('Player Database'!J10,LEN('Player Database'!J10)-LEN(LEFT('Player Database'!J10,FIND(" ",'Player Database'!J10)))+1))</f>
        <v>A. Aguilar</v>
      </c>
      <c r="K10" s="77" t="str">
        <f>IF(ISERR(FIND(" ",'Player Database'!K10)),'Player Database'!K10,LEFT('Player Database'!K10,1)&amp;"."&amp;RIGHT('Player Database'!K10,LEN('Player Database'!K10)-LEN(LEFT('Player Database'!K10,FIND(" ",'Player Database'!K10)))+1))</f>
        <v>P. Kone</v>
      </c>
      <c r="L10" s="77" t="str">
        <f>IF(ISERR(FIND(" ",'Player Database'!L10)),'Player Database'!L10,LEFT('Player Database'!L10,1)&amp;"."&amp;RIGHT('Player Database'!L10,LEN('Player Database'!L10)-LEN(LEFT('Player Database'!L10,FIND(" ",'Player Database'!L10)))+1))</f>
        <v>S. Kalou</v>
      </c>
      <c r="M10" s="77" t="str">
        <f>IF(ISERR(FIND(" ",'Player Database'!M10)),'Player Database'!M10,LEFT('Player Database'!M10,1)&amp;"."&amp;RIGHT('Player Database'!M10,LEN('Player Database'!M10)-LEN(LEFT('Player Database'!M10,FIND(" ",'Player Database'!M10)))+1))</f>
        <v>H. Kiyotake</v>
      </c>
      <c r="N10" s="77" t="str">
        <f>IF(ISERR(FIND(" ",'Player Database'!N10)),'Player Database'!N10,LEFT('Player Database'!N10,1)&amp;"."&amp;RIGHT('Player Database'!N10,LEN('Player Database'!N10)-LEN(LEFT('Player Database'!N10,FIND(" ",'Player Database'!N10)))+1))</f>
        <v>A. Hernández</v>
      </c>
      <c r="O10" s="77" t="str">
        <f>IF(ISERR(FIND(" ",'Player Database'!O10)),'Player Database'!O10,LEFT('Player Database'!O10,1)&amp;"."&amp;RIGHT('Player Database'!O10,LEN('Player Database'!O10)-LEN(LEFT('Player Database'!O10,FIND(" ",'Player Database'!O10)))+1))</f>
        <v>H. Mora</v>
      </c>
      <c r="P10" s="77" t="str">
        <f>IF(ISERR(FIND(" ",'Player Database'!P10)),'Player Database'!P10,LEFT('Player Database'!P10,1)&amp;"."&amp;RIGHT('Player Database'!P10,LEN('Player Database'!P10)-LEN(LEFT('Player Database'!P10,FIND(" ",'Player Database'!P10)))+1))</f>
        <v>F. Lampard</v>
      </c>
      <c r="Q10" s="77" t="str">
        <f>IF(ISERR(FIND(" ",'Player Database'!Q10)),'Player Database'!Q10,LEFT('Player Database'!Q10,1)&amp;"."&amp;RIGHT('Player Database'!Q10,LEN('Player Database'!Q10)-LEN(LEFT('Player Database'!Q10,FIND(" ",'Player Database'!Q10)))+1))</f>
        <v>C. Marchisio</v>
      </c>
      <c r="R10" s="77" t="str">
        <f>IF(ISERR(FIND(" ",'Player Database'!R10)),'Player Database'!R10,LEFT('Player Database'!R10,1)&amp;"."&amp;RIGHT('Player Database'!R10,LEN('Player Database'!R10)-LEN(LEFT('Player Database'!R10,FIND(" ",'Player Database'!R10)))+1))</f>
        <v xml:space="preserve">G. Inler </v>
      </c>
      <c r="S10" s="77" t="str">
        <f>IF(ISERR(FIND(" ",'Player Database'!S10)),'Player Database'!S10,LEFT('Player Database'!S10,1)&amp;"."&amp;RIGHT('Player Database'!S10,LEN('Player Database'!S10)-LEN(LEFT('Player Database'!S10,FIND(" ",'Player Database'!S10)))+1))</f>
        <v>É. Méndez</v>
      </c>
      <c r="T10" s="77" t="str">
        <f>IF(ISERR(FIND(" ",'Player Database'!T10)),'Player Database'!T10,LEFT('Player Database'!T10,1)&amp;"."&amp;RIGHT('Player Database'!T10,LEN('Player Database'!T10)-LEN(LEFT('Player Database'!T10,FIND(" ",'Player Database'!T10)))+1))</f>
        <v>M. Valbuena</v>
      </c>
      <c r="U10" s="77" t="str">
        <f>IF(ISERR(FIND(" ",'Player Database'!U10)),'Player Database'!U10,LEFT('Player Database'!U10,1)&amp;"."&amp;RIGHT('Player Database'!U10,LEN('Player Database'!U10)-LEN(LEFT('Player Database'!U10,FIND(" ",'Player Database'!U10)))+1))</f>
        <v>W. Palacios</v>
      </c>
      <c r="V10" s="77" t="str">
        <f>IF(ISERR(FIND(" ",'Player Database'!V10)),'Player Database'!V10,LEFT('Player Database'!V10,1)&amp;"."&amp;RIGHT('Player Database'!V10,LEN('Player Database'!V10)-LEN(LEFT('Player Database'!V10,FIND(" ",'Player Database'!V10)))+1))</f>
        <v>E. Pérez</v>
      </c>
      <c r="W10" s="77" t="str">
        <f>IF(ISERR(FIND(" ",'Player Database'!W10)),'Player Database'!W10,LEFT('Player Database'!W10,1)&amp;"."&amp;RIGHT('Player Database'!W10,LEN('Player Database'!W10)-LEN(LEFT('Player Database'!W10,FIND(" ",'Player Database'!W10)))+1))</f>
        <v>M. Pjanić</v>
      </c>
      <c r="X10" s="77" t="str">
        <f>IF(ISERR(FIND(" ",'Player Database'!X10)),'Player Database'!X10,LEFT('Player Database'!X10,1)&amp;"."&amp;RIGHT('Player Database'!X10,LEN('Player Database'!X10)-LEN(LEFT('Player Database'!X10,FIND(" ",'Player Database'!X10)))+1))</f>
        <v>R. Haghighi</v>
      </c>
      <c r="Y10" s="77" t="str">
        <f>IF(ISERR(FIND(" ",'Player Database'!Y10)),'Player Database'!Y10,LEFT('Player Database'!Y10,1)&amp;"."&amp;RIGHT('Player Database'!Y10,LEN('Player Database'!Y10)-LEN(LEFT('Player Database'!Y10,FIND(" ",'Player Database'!Y10)))+1))</f>
        <v>P. Odemwingie</v>
      </c>
      <c r="Z10" s="77" t="str">
        <f>IF(ISERR(FIND(" ",'Player Database'!Z10)),'Player Database'!Z10,LEFT('Player Database'!Z10,1)&amp;"."&amp;RIGHT('Player Database'!Z10,LEN('Player Database'!Z10)-LEN(LEFT('Player Database'!Z10,FIND(" ",'Player Database'!Z10)))+1))</f>
        <v>M. Özil</v>
      </c>
      <c r="AA10" s="77" t="str">
        <f>IF(ISERR(FIND(" ",'Player Database'!AA10)),'Player Database'!AA10,LEFT('Player Database'!AA10,1)&amp;"."&amp;RIGHT('Player Database'!AA10,LEN('Player Database'!AA10)-LEN(LEFT('Player Database'!AA10,FIND(" ",'Player Database'!AA10)))+1))</f>
        <v>J. Moutinho</v>
      </c>
      <c r="AB10" s="77" t="str">
        <f>IF(ISERR(FIND(" ",'Player Database'!AB10)),'Player Database'!AB10,LEFT('Player Database'!AB10,1)&amp;"."&amp;RIGHT('Player Database'!AB10,LEN('Player Database'!AB10)-LEN(LEFT('Player Database'!AB10,FIND(" ",'Player Database'!AB10)))+1))</f>
        <v>E. Agyemang-Badu</v>
      </c>
      <c r="AC10" s="77" t="str">
        <f>IF(ISERR(FIND(" ",'Player Database'!AC10)),'Player Database'!AC10,LEFT('Player Database'!AC10,1)&amp;"."&amp;RIGHT('Player Database'!AC10,LEN('Player Database'!AC10)-LEN(LEFT('Player Database'!AC10,FIND(" ",'Player Database'!AC10)))+1))</f>
        <v xml:space="preserve">C. Dempsey </v>
      </c>
      <c r="AD10" s="77" t="str">
        <f>IF(ISERR(FIND(" ",'Player Database'!AD10)),'Player Database'!AD10,LEFT('Player Database'!AD10,1)&amp;"."&amp;RIGHT('Player Database'!AD10,LEN('Player Database'!AD10)-LEN(LEFT('Player Database'!AD10,FIND(" ",'Player Database'!AD10)))+1))</f>
        <v>M. Fellaini</v>
      </c>
      <c r="AE10" s="77" t="str">
        <f>IF(ISERR(FIND(" ",'Player Database'!AE10)),'Player Database'!AE10,LEFT('Player Database'!AE10,1)&amp;"."&amp;RIGHT('Player Database'!AE10,LEN('Player Database'!AE10)-LEN(LEFT('Player Database'!AE10,FIND(" ",'Player Database'!AE10)))+1))</f>
        <v>H. Yebda</v>
      </c>
      <c r="AF10" s="77" t="str">
        <f>IF(ISERR(FIND(" ",'Player Database'!AF10)),'Player Database'!AF10,LEFT('Player Database'!AF10,1)&amp;"."&amp;RIGHT('Player Database'!AF10,LEN('Player Database'!AF10)-LEN(LEFT('Player Database'!AF10,FIND(" ",'Player Database'!AF10)))+1))</f>
        <v>D. Glushakov</v>
      </c>
      <c r="AG10" s="77" t="str">
        <f>IF(ISERR(FIND(" ",'Player Database'!AG10)),'Player Database'!AG10,LEFT('Player Database'!AG10,1)&amp;"."&amp;RIGHT('Player Database'!AG10,LEN('Player Database'!AG10)-LEN(LEFT('Player Database'!AG10,FIND(" ",'Player Database'!AG10)))+1))</f>
        <v>H. Dae-sung</v>
      </c>
      <c r="AI10" s="77" t="str">
        <f t="shared" ca="1" si="5"/>
        <v/>
      </c>
      <c r="AJ10" s="77" t="str">
        <f t="shared" ca="1" si="5"/>
        <v/>
      </c>
      <c r="AK10" s="77" t="str">
        <f t="shared" ca="1" si="5"/>
        <v/>
      </c>
      <c r="AL10" s="77" t="str">
        <f t="shared" ca="1" si="5"/>
        <v/>
      </c>
      <c r="AM10" s="77" t="str">
        <f t="shared" ca="1" si="5"/>
        <v/>
      </c>
      <c r="AN10" s="77" t="str">
        <f t="shared" ca="1" si="5"/>
        <v/>
      </c>
      <c r="AO10" s="77" t="str">
        <f t="shared" ca="1" si="5"/>
        <v/>
      </c>
      <c r="AP10" s="77" t="str">
        <f t="shared" ca="1" si="5"/>
        <v/>
      </c>
      <c r="AQ10" s="77" t="str">
        <f t="shared" ca="1" si="5"/>
        <v/>
      </c>
      <c r="AR10" s="77" t="str">
        <f t="shared" ca="1" si="5"/>
        <v/>
      </c>
      <c r="AS10" s="77" t="str">
        <f t="shared" ca="1" si="5"/>
        <v/>
      </c>
      <c r="AT10" s="77" t="str">
        <f t="shared" ca="1" si="5"/>
        <v/>
      </c>
      <c r="AU10" s="77" t="str">
        <f t="shared" ca="1" si="5"/>
        <v/>
      </c>
      <c r="AV10" s="77" t="str">
        <f t="shared" ca="1" si="5"/>
        <v/>
      </c>
      <c r="AW10" s="77" t="str">
        <f t="shared" ca="1" si="5"/>
        <v/>
      </c>
      <c r="AX10" s="77" t="str">
        <f t="shared" ca="1" si="5"/>
        <v/>
      </c>
      <c r="AZ10" s="77" t="str">
        <f t="shared" si="6"/>
        <v/>
      </c>
      <c r="BA10" s="77" t="str">
        <f t="shared" si="6"/>
        <v/>
      </c>
      <c r="BB10" s="77" t="str">
        <f t="shared" si="6"/>
        <v/>
      </c>
      <c r="BC10" s="77" t="str">
        <f t="shared" si="6"/>
        <v/>
      </c>
      <c r="BD10" s="77" t="str">
        <f t="shared" si="6"/>
        <v/>
      </c>
      <c r="BE10" s="77" t="str">
        <f t="shared" si="6"/>
        <v/>
      </c>
      <c r="BF10" s="77" t="str">
        <f t="shared" si="6"/>
        <v/>
      </c>
      <c r="BG10" s="77" t="str">
        <f t="shared" si="6"/>
        <v/>
      </c>
      <c r="BI10" s="77" t="str">
        <f t="shared" si="7"/>
        <v/>
      </c>
      <c r="BJ10" s="77" t="str">
        <f t="shared" si="7"/>
        <v/>
      </c>
      <c r="BK10" s="77" t="str">
        <f t="shared" si="7"/>
        <v/>
      </c>
      <c r="BL10" s="77" t="str">
        <f t="shared" si="7"/>
        <v/>
      </c>
      <c r="BN10" s="77" t="str">
        <f t="shared" si="8"/>
        <v/>
      </c>
      <c r="BO10" s="77" t="str">
        <f t="shared" si="8"/>
        <v/>
      </c>
      <c r="BQ10" s="77" t="str">
        <f t="shared" si="9"/>
        <v/>
      </c>
      <c r="BR10" s="77" t="str">
        <f t="shared" si="9"/>
        <v/>
      </c>
      <c r="BT10" s="77" t="str">
        <f t="shared" si="11"/>
        <v>Brazil</v>
      </c>
      <c r="BU10" s="77">
        <f t="shared" si="12"/>
        <v>8</v>
      </c>
      <c r="BW10" s="77">
        <v>1</v>
      </c>
      <c r="BX10" s="77" t="str">
        <f t="shared" si="4"/>
        <v>Paulinho</v>
      </c>
      <c r="BY10" s="77">
        <f>COUNTIF('Group Stages'!$L$14:$S$110,BX10)+COUNTIF('Knock Out Stages'!$N$41:$U$84,BX10)</f>
        <v>0</v>
      </c>
      <c r="CA10" s="77" t="str">
        <f>'Player Database'!B10</f>
        <v>Paulinho</v>
      </c>
      <c r="CB10" s="77">
        <v>7</v>
      </c>
      <c r="CC10" s="77" t="str">
        <f t="array" aca="1" ref="CC10" ca="1">IFERROR(INDEX($BX$3:$BX$738, SMALL(IF(COUNTIF(CC$3, $BY$3:$BY$738), ROW($BX$3:$BX$738)-MIN(ROW($BX$3:$BX$738))+1), $CB10), 0),"")</f>
        <v/>
      </c>
      <c r="CD10" s="77" t="str">
        <f t="array" aca="1" ref="CD10" ca="1">IFERROR(INDEX($BX$3:$BX$738, SMALL(IF(COUNTIF(CD$3, $BY$3:$BY$738), ROW($BX$3:$BX$738)-MIN(ROW($BX$3:$BX$738))+1), $CB10), 0),"")</f>
        <v/>
      </c>
      <c r="CE10" s="77" t="str">
        <f t="array" aca="1" ref="CE10" ca="1">IFERROR(INDEX($BX$3:$BX$738, SMALL(IF(COUNTIF(CE$3, $BY$3:$BY$738), ROW($BX$3:$BX$738)-MIN(ROW($BX$3:$BX$738))+1), $CB10), 0),"")</f>
        <v/>
      </c>
      <c r="CF10" s="77" t="str">
        <f t="array" aca="1" ref="CF10" ca="1">IFERROR(INDEX($BX$3:$BX$738, SMALL(IF(COUNTIF(CF$3, $BY$3:$BY$738), ROW($BX$3:$BX$738)-MIN(ROW($BX$3:$BX$738))+1), $CB10), 0),"")</f>
        <v/>
      </c>
      <c r="CG10" s="77" t="str">
        <f t="array" aca="1" ref="CG10" ca="1">IFERROR(INDEX($BX$3:$BX$738, SMALL(IF(COUNTIF(CG$3, $BY$3:$BY$738), ROW($BX$3:$BX$738)-MIN(ROW($BX$3:$BX$738))+1), $CB10), 0),"")</f>
        <v/>
      </c>
      <c r="CH10" s="77" t="str">
        <f t="array" aca="1" ref="CH10" ca="1">IFERROR(INDEX($BX$3:$BX$738, SMALL(IF(COUNTIF(CH$3, $BY$3:$BY$738), ROW($BX$3:$BX$738)-MIN(ROW($BX$3:$BX$738))+1), $CB10), 0),"")</f>
        <v/>
      </c>
      <c r="CI10" s="77" t="str">
        <f t="array" aca="1" ref="CI10" ca="1">IFERROR(INDEX($BX$3:$BX$738, SMALL(IF(COUNTIF(CI$3, $BY$3:$BY$738), ROW($BX$3:$BX$738)-MIN(ROW($BX$3:$BX$738))+1), $CB10), 0),"")</f>
        <v/>
      </c>
      <c r="CJ10" s="77" t="str">
        <f t="array" aca="1" ref="CJ10" ca="1">IFERROR(INDEX($BX$3:$BX$738, SMALL(IF(COUNTIF(CJ$3, $BY$3:$BY$738), ROW($BX$3:$BX$738)-MIN(ROW($BX$3:$BX$738))+1), $CB10), 0),"")</f>
        <v/>
      </c>
      <c r="CK10" s="77" t="str">
        <f t="array" aca="1" ref="CK10" ca="1">IFERROR(INDEX($BX$3:$BX$738, SMALL(IF(COUNTIF(CK$3, $BY$3:$BY$738), ROW($BX$3:$BX$738)-MIN(ROW($BX$3:$BX$738))+1), $CB10), 0),"")</f>
        <v/>
      </c>
      <c r="CL10" s="77" t="str">
        <f t="array" aca="1" ref="CL10" ca="1">IFERROR(INDEX($BX$3:$BX$738, SMALL(IF(COUNTIF(CL$3, $BY$3:$BY$738), ROW($BX$3:$BX$738)-MIN(ROW($BX$3:$BX$738))+1), $CB10), 0),"")</f>
        <v/>
      </c>
      <c r="CM10" s="77" t="str">
        <f t="array" aca="1" ref="CM10" ca="1">IFERROR(INDEX($BX$3:$BX$738, SMALL(IF(COUNTIF(CM$3, $BY$3:$BY$738), ROW($BX$3:$BX$738)-MIN(ROW($BX$3:$BX$738))+1), $CB10), 0),"")</f>
        <v/>
      </c>
      <c r="CN10" s="77" t="str">
        <f t="array" aca="1" ref="CN10" ca="1">IFERROR(INDEX($BX$3:$BX$738, SMALL(IF(COUNTIF(CN$3, $BY$3:$BY$738), ROW($BX$3:$BX$738)-MIN(ROW($BX$3:$BX$738))+1), $CB10), 0),"")</f>
        <v/>
      </c>
      <c r="CO10" s="77" t="str">
        <f t="array" aca="1" ref="CO10" ca="1">IFERROR(INDEX($BX$3:$BX$738, SMALL(IF(COUNTIF(CO$3, $BY$3:$BY$738), ROW($BX$3:$BX$738)-MIN(ROW($BX$3:$BX$738))+1), $CB10), 0),"")</f>
        <v/>
      </c>
      <c r="CP10" s="77" t="str">
        <f t="array" aca="1" ref="CP10" ca="1">IFERROR(INDEX($BX$3:$BX$738, SMALL(IF(COUNTIF(CP$3, $BY$3:$BY$738), ROW($BX$3:$BX$738)-MIN(ROW($BX$3:$BX$738))+1), $CB10), 0),"")</f>
        <v/>
      </c>
      <c r="CQ10" s="77" t="str">
        <f t="array" aca="1" ref="CQ10" ca="1">IFERROR(INDEX($BX$3:$BX$738, SMALL(IF(COUNTIF(CQ$3, $BY$3:$BY$738), ROW($BX$3:$BX$738)-MIN(ROW($BX$3:$BX$738))+1), $CB10), 0),"")</f>
        <v/>
      </c>
      <c r="CS10" s="77">
        <v>7</v>
      </c>
      <c r="CT10" s="77">
        <v>1</v>
      </c>
      <c r="CV10" s="77" t="str">
        <f t="shared" ca="1" si="10"/>
        <v/>
      </c>
      <c r="CW10" s="77">
        <f t="shared" ca="1" si="13"/>
        <v>0</v>
      </c>
      <c r="CZ10" s="77">
        <v>7</v>
      </c>
      <c r="DA10" s="77" t="str">
        <f t="shared" ca="1" si="14"/>
        <v/>
      </c>
      <c r="DB10" s="77" t="str">
        <f t="shared" ca="1" si="15"/>
        <v/>
      </c>
      <c r="DC10" s="77" t="str">
        <f t="shared" ca="1" si="19"/>
        <v/>
      </c>
      <c r="DD10" s="77" t="str">
        <f t="shared" ca="1" si="17"/>
        <v/>
      </c>
      <c r="DG10" s="77" t="str">
        <f ca="1">IF($DG$2=1,Tournament!T33,"")</f>
        <v/>
      </c>
      <c r="DH10" s="77" t="str">
        <f>IF(AND(Tournament!J103&lt;&gt;"",Tournament!L103&lt;&gt;""),IF(Tournament!J103&lt;Tournament!L103,Tournament!H103,Tournament!N103),"")</f>
        <v/>
      </c>
    </row>
    <row r="11" spans="1:114">
      <c r="A11" s="77">
        <v>9</v>
      </c>
      <c r="B11" s="77" t="str">
        <f>IF(ISERR(FIND(" ",'Player Database'!B11)),'Player Database'!B11,LEFT('Player Database'!B11,1)&amp;"."&amp;RIGHT('Player Database'!B11,LEN('Player Database'!B11)-LEN(LEFT('Player Database'!B11,FIND(" ",'Player Database'!B11)))+1))</f>
        <v>Fred</v>
      </c>
      <c r="C11" s="77" t="str">
        <f>IF(ISERR(FIND(" ",'Player Database'!C11)),'Player Database'!C11,LEFT('Player Database'!C11,1)&amp;"."&amp;RIGHT('Player Database'!C11,LEN('Player Database'!C11)-LEN(LEFT('Player Database'!C11,FIND(" ",'Player Database'!C11)))+1))</f>
        <v>N. Jelavić</v>
      </c>
      <c r="D11" s="77" t="str">
        <f>IF(ISERR(FIND(" ",'Player Database'!D11)),'Player Database'!D11,LEFT('Player Database'!D11,1)&amp;"."&amp;RIGHT('Player Database'!D11,LEN('Player Database'!D11)-LEN(LEFT('Player Database'!D11,FIND(" ",'Player Database'!D11)))+1))</f>
        <v>R. Jiménez</v>
      </c>
      <c r="E11" s="77" t="str">
        <f>IF(ISERR(FIND(" ",'Player Database'!E11)),'Player Database'!E11,LEFT('Player Database'!E11,1)&amp;"."&amp;RIGHT('Player Database'!E11,LEN('Player Database'!E11)-LEN(LEFT('Player Database'!E11,FIND(" ",'Player Database'!E11)))+1))</f>
        <v xml:space="preserve">S. Eto'o </v>
      </c>
      <c r="F11" s="77" t="str">
        <f>IF(ISERR(FIND(" ",'Player Database'!F11)),'Player Database'!F11,LEFT('Player Database'!F11,1)&amp;"."&amp;RIGHT('Player Database'!F11,LEN('Player Database'!F11)-LEN(LEFT('Player Database'!F11,FIND(" ",'Player Database'!F11)))+1))</f>
        <v>F. Torres</v>
      </c>
      <c r="G11" s="77" t="str">
        <f>IF(ISERR(FIND(" ",'Player Database'!G11)),'Player Database'!G11,LEFT('Player Database'!G11,1)&amp;"."&amp;RIGHT('Player Database'!G11,LEN('Player Database'!G11)-LEN(LEFT('Player Database'!G11,FIND(" ",'Player Database'!G11)))+1))</f>
        <v xml:space="preserve">R. van Persie </v>
      </c>
      <c r="H11" s="77" t="str">
        <f>IF(ISERR(FIND(" ",'Player Database'!H11)),'Player Database'!H11,LEFT('Player Database'!H11,1)&amp;"."&amp;RIGHT('Player Database'!H11,LEN('Player Database'!H11)-LEN(LEFT('Player Database'!H11,FIND(" ",'Player Database'!H11)))+1))</f>
        <v>M. Pinilla</v>
      </c>
      <c r="I11" s="77" t="str">
        <f>IF(ISERR(FIND(" ",'Player Database'!I11)),'Player Database'!I11,LEFT('Player Database'!I11,1)&amp;"."&amp;RIGHT('Player Database'!I11,LEN('Player Database'!I11)-LEN(LEFT('Player Database'!I11,FIND(" ",'Player Database'!I11)))+1))</f>
        <v>A. Taggart</v>
      </c>
      <c r="J11" s="77" t="str">
        <f>IF(ISERR(FIND(" ",'Player Database'!J11)),'Player Database'!J11,LEFT('Player Database'!J11,1)&amp;"."&amp;RIGHT('Player Database'!J11,LEN('Player Database'!J11)-LEN(LEFT('Player Database'!J11,FIND(" ",'Player Database'!J11)))+1))</f>
        <v>T. Gutiérrez</v>
      </c>
      <c r="K11" s="77" t="str">
        <f>IF(ISERR(FIND(" ",'Player Database'!K11)),'Player Database'!K11,LEFT('Player Database'!K11,1)&amp;"."&amp;RIGHT('Player Database'!K11,LEN('Player Database'!K11)-LEN(LEFT('Player Database'!K11,FIND(" ",'Player Database'!K11)))+1))</f>
        <v>K. Mitroglou</v>
      </c>
      <c r="L11" s="77" t="str">
        <f>IF(ISERR(FIND(" ",'Player Database'!L11)),'Player Database'!L11,LEFT('Player Database'!L11,1)&amp;"."&amp;RIGHT('Player Database'!L11,LEN('Player Database'!L11)-LEN(LEFT('Player Database'!L11,FIND(" ",'Player Database'!L11)))+1))</f>
        <v>C. Tioté</v>
      </c>
      <c r="M11" s="77" t="str">
        <f>IF(ISERR(FIND(" ",'Player Database'!M11)),'Player Database'!M11,LEFT('Player Database'!M11,1)&amp;"."&amp;RIGHT('Player Database'!M11,LEN('Player Database'!M11)-LEN(LEFT('Player Database'!M11,FIND(" ",'Player Database'!M11)))+1))</f>
        <v>S. Okazaki</v>
      </c>
      <c r="N11" s="77" t="str">
        <f>IF(ISERR(FIND(" ",'Player Database'!N11)),'Player Database'!N11,LEFT('Player Database'!N11,1)&amp;"."&amp;RIGHT('Player Database'!N11,LEN('Player Database'!N11)-LEN(LEFT('Player Database'!N11,FIND(" ",'Player Database'!N11)))+1))</f>
        <v>L. Suárez</v>
      </c>
      <c r="O11" s="77" t="str">
        <f>IF(ISERR(FIND(" ",'Player Database'!O11)),'Player Database'!O11,LEFT('Player Database'!O11,1)&amp;"."&amp;RIGHT('Player Database'!O11,LEN('Player Database'!O11)-LEN(LEFT('Player Database'!O11,FIND(" ",'Player Database'!O11)))+1))</f>
        <v>J. Campbell</v>
      </c>
      <c r="P11" s="77" t="str">
        <f>IF(ISERR(FIND(" ",'Player Database'!P11)),'Player Database'!P11,LEFT('Player Database'!P11,1)&amp;"."&amp;RIGHT('Player Database'!P11,LEN('Player Database'!P11)-LEN(LEFT('Player Database'!P11,FIND(" ",'Player Database'!P11)))+1))</f>
        <v>D. Sturridge</v>
      </c>
      <c r="Q11" s="77" t="str">
        <f>IF(ISERR(FIND(" ",'Player Database'!Q11)),'Player Database'!Q11,LEFT('Player Database'!Q11,1)&amp;"."&amp;RIGHT('Player Database'!Q11,LEN('Player Database'!Q11)-LEN(LEFT('Player Database'!Q11,FIND(" ",'Player Database'!Q11)))+1))</f>
        <v>M. Balotelli</v>
      </c>
      <c r="R11" s="77" t="str">
        <f>IF(ISERR(FIND(" ",'Player Database'!R11)),'Player Database'!R11,LEFT('Player Database'!R11,1)&amp;"."&amp;RIGHT('Player Database'!R11,LEN('Player Database'!R11)-LEN(LEFT('Player Database'!R11,FIND(" ",'Player Database'!R11)))+1))</f>
        <v>H. Seferović</v>
      </c>
      <c r="S11" s="77" t="str">
        <f>IF(ISERR(FIND(" ",'Player Database'!S11)),'Player Database'!S11,LEFT('Player Database'!S11,1)&amp;"."&amp;RIGHT('Player Database'!S11,LEN('Player Database'!S11)-LEN(LEFT('Player Database'!S11,FIND(" ",'Player Database'!S11)))+1))</f>
        <v>J. Rojas</v>
      </c>
      <c r="T11" s="77" t="str">
        <f>IF(ISERR(FIND(" ",'Player Database'!T11)),'Player Database'!T11,LEFT('Player Database'!T11,1)&amp;"."&amp;RIGHT('Player Database'!T11,LEN('Player Database'!T11)-LEN(LEFT('Player Database'!T11,FIND(" ",'Player Database'!T11)))+1))</f>
        <v>O. Giroud</v>
      </c>
      <c r="U11" s="77" t="str">
        <f>IF(ISERR(FIND(" ",'Player Database'!U11)),'Player Database'!U11,LEFT('Player Database'!U11,1)&amp;"."&amp;RIGHT('Player Database'!U11,LEN('Player Database'!U11)-LEN(LEFT('Player Database'!U11,FIND(" ",'Player Database'!U11)))+1))</f>
        <v>J. Palacios</v>
      </c>
      <c r="V11" s="77" t="str">
        <f>IF(ISERR(FIND(" ",'Player Database'!V11)),'Player Database'!V11,LEFT('Player Database'!V11,1)&amp;"."&amp;RIGHT('Player Database'!V11,LEN('Player Database'!V11)-LEN(LEFT('Player Database'!V11,FIND(" ",'Player Database'!V11)))+1))</f>
        <v>G. Higuaín</v>
      </c>
      <c r="W11" s="77" t="str">
        <f>IF(ISERR(FIND(" ",'Player Database'!W11)),'Player Database'!W11,LEFT('Player Database'!W11,1)&amp;"."&amp;RIGHT('Player Database'!W11,LEN('Player Database'!W11)-LEN(LEFT('Player Database'!W11,FIND(" ",'Player Database'!W11)))+1))</f>
        <v>V. Ibišević</v>
      </c>
      <c r="X11" s="77" t="str">
        <f>IF(ISERR(FIND(" ",'Player Database'!X11)),'Player Database'!X11,LEFT('Player Database'!X11,1)&amp;"."&amp;RIGHT('Player Database'!X11,LEN('Player Database'!X11)-LEN(LEFT('Player Database'!X11,FIND(" ",'Player Database'!X11)))+1))</f>
        <v>A. Jahanbakhsh</v>
      </c>
      <c r="Y11" s="77" t="str">
        <f>IF(ISERR(FIND(" ",'Player Database'!Y11)),'Player Database'!Y11,LEFT('Player Database'!Y11,1)&amp;"."&amp;RIGHT('Player Database'!Y11,LEN('Player Database'!Y11)-LEN(LEFT('Player Database'!Y11,FIND(" ",'Player Database'!Y11)))+1))</f>
        <v>E. Emenike</v>
      </c>
      <c r="Z11" s="77" t="str">
        <f>IF(ISERR(FIND(" ",'Player Database'!Z11)),'Player Database'!Z11,LEFT('Player Database'!Z11,1)&amp;"."&amp;RIGHT('Player Database'!Z11,LEN('Player Database'!Z11)-LEN(LEFT('Player Database'!Z11,FIND(" ",'Player Database'!Z11)))+1))</f>
        <v>A. Schürrle</v>
      </c>
      <c r="AA11" s="77" t="str">
        <f>IF(ISERR(FIND(" ",'Player Database'!AA11)),'Player Database'!AA11,LEFT('Player Database'!AA11,1)&amp;"."&amp;RIGHT('Player Database'!AA11,LEN('Player Database'!AA11)-LEN(LEFT('Player Database'!AA11,FIND(" ",'Player Database'!AA11)))+1))</f>
        <v>H. Almeida</v>
      </c>
      <c r="AB11" s="77" t="str">
        <f>IF(ISERR(FIND(" ",'Player Database'!AB11)),'Player Database'!AB11,LEFT('Player Database'!AB11,1)&amp;"."&amp;RIGHT('Player Database'!AB11,LEN('Player Database'!AB11)-LEN(LEFT('Player Database'!AB11,FIND(" ",'Player Database'!AB11)))+1))</f>
        <v>K. Boateng</v>
      </c>
      <c r="AC11" s="77" t="str">
        <f>IF(ISERR(FIND(" ",'Player Database'!AC11)),'Player Database'!AC11,LEFT('Player Database'!AC11,1)&amp;"."&amp;RIGHT('Player Database'!AC11,LEN('Player Database'!AC11)-LEN(LEFT('Player Database'!AC11,FIND(" ",'Player Database'!AC11)))+1))</f>
        <v>A. Jóhannsson</v>
      </c>
      <c r="AD11" s="77" t="str">
        <f>IF(ISERR(FIND(" ",'Player Database'!AD11)),'Player Database'!AD11,LEFT('Player Database'!AD11,1)&amp;"."&amp;RIGHT('Player Database'!AD11,LEN('Player Database'!AD11)-LEN(LEFT('Player Database'!AD11,FIND(" ",'Player Database'!AD11)))+1))</f>
        <v>R. Lukaku</v>
      </c>
      <c r="AE11" s="77" t="str">
        <f>IF(ISERR(FIND(" ",'Player Database'!AE11)),'Player Database'!AE11,LEFT('Player Database'!AE11,1)&amp;"."&amp;RIGHT('Player Database'!AE11,LEN('Player Database'!AE11)-LEN(LEFT('Player Database'!AE11,FIND(" ",'Player Database'!AE11)))+1))</f>
        <v>N. Ghilas</v>
      </c>
      <c r="AF11" s="77" t="str">
        <f>IF(ISERR(FIND(" ",'Player Database'!AF11)),'Player Database'!AF11,LEFT('Player Database'!AF11,1)&amp;"."&amp;RIGHT('Player Database'!AF11,LEN('Player Database'!AF11)-LEN(LEFT('Player Database'!AF11,FIND(" ",'Player Database'!AF11)))+1))</f>
        <v>A. Kokorin</v>
      </c>
      <c r="AG11" s="77" t="str">
        <f>IF(ISERR(FIND(" ",'Player Database'!AG11)),'Player Database'!AG11,LEFT('Player Database'!AG11,1)&amp;"."&amp;RIGHT('Player Database'!AG11,LEN('Player Database'!AG11)-LEN(LEFT('Player Database'!AG11,FIND(" ",'Player Database'!AG11)))+1))</f>
        <v>S. Heung-min</v>
      </c>
      <c r="AI11" s="77" t="str">
        <f t="shared" ca="1" si="5"/>
        <v/>
      </c>
      <c r="AJ11" s="77" t="str">
        <f t="shared" ca="1" si="5"/>
        <v/>
      </c>
      <c r="AK11" s="77" t="str">
        <f t="shared" ca="1" si="5"/>
        <v/>
      </c>
      <c r="AL11" s="77" t="str">
        <f t="shared" ca="1" si="5"/>
        <v/>
      </c>
      <c r="AM11" s="77" t="str">
        <f t="shared" ca="1" si="5"/>
        <v/>
      </c>
      <c r="AN11" s="77" t="str">
        <f t="shared" ca="1" si="5"/>
        <v/>
      </c>
      <c r="AO11" s="77" t="str">
        <f t="shared" ca="1" si="5"/>
        <v/>
      </c>
      <c r="AP11" s="77" t="str">
        <f t="shared" ca="1" si="5"/>
        <v/>
      </c>
      <c r="AQ11" s="77" t="str">
        <f t="shared" ca="1" si="5"/>
        <v/>
      </c>
      <c r="AR11" s="77" t="str">
        <f t="shared" ca="1" si="5"/>
        <v/>
      </c>
      <c r="AS11" s="77" t="str">
        <f t="shared" ca="1" si="5"/>
        <v/>
      </c>
      <c r="AT11" s="77" t="str">
        <f t="shared" ca="1" si="5"/>
        <v/>
      </c>
      <c r="AU11" s="77" t="str">
        <f t="shared" ca="1" si="5"/>
        <v/>
      </c>
      <c r="AV11" s="77" t="str">
        <f t="shared" ca="1" si="5"/>
        <v/>
      </c>
      <c r="AW11" s="77" t="str">
        <f t="shared" ca="1" si="5"/>
        <v/>
      </c>
      <c r="AX11" s="77" t="str">
        <f t="shared" ca="1" si="5"/>
        <v/>
      </c>
      <c r="AZ11" s="77" t="str">
        <f t="shared" si="6"/>
        <v/>
      </c>
      <c r="BA11" s="77" t="str">
        <f t="shared" si="6"/>
        <v/>
      </c>
      <c r="BB11" s="77" t="str">
        <f t="shared" si="6"/>
        <v/>
      </c>
      <c r="BC11" s="77" t="str">
        <f t="shared" si="6"/>
        <v/>
      </c>
      <c r="BD11" s="77" t="str">
        <f t="shared" si="6"/>
        <v/>
      </c>
      <c r="BE11" s="77" t="str">
        <f t="shared" si="6"/>
        <v/>
      </c>
      <c r="BF11" s="77" t="str">
        <f t="shared" si="6"/>
        <v/>
      </c>
      <c r="BG11" s="77" t="str">
        <f t="shared" si="6"/>
        <v/>
      </c>
      <c r="BI11" s="77" t="str">
        <f t="shared" si="7"/>
        <v/>
      </c>
      <c r="BJ11" s="77" t="str">
        <f t="shared" si="7"/>
        <v/>
      </c>
      <c r="BK11" s="77" t="str">
        <f t="shared" si="7"/>
        <v/>
      </c>
      <c r="BL11" s="77" t="str">
        <f t="shared" si="7"/>
        <v/>
      </c>
      <c r="BN11" s="77" t="str">
        <f t="shared" si="8"/>
        <v/>
      </c>
      <c r="BO11" s="77" t="str">
        <f t="shared" si="8"/>
        <v/>
      </c>
      <c r="BQ11" s="77" t="str">
        <f t="shared" si="9"/>
        <v/>
      </c>
      <c r="BR11" s="77" t="str">
        <f t="shared" si="9"/>
        <v/>
      </c>
      <c r="BT11" s="77" t="str">
        <f t="shared" si="11"/>
        <v>Brazil</v>
      </c>
      <c r="BU11" s="77">
        <f t="shared" si="12"/>
        <v>9</v>
      </c>
      <c r="BW11" s="77">
        <v>1</v>
      </c>
      <c r="BX11" s="77" t="str">
        <f t="shared" si="4"/>
        <v>Fred</v>
      </c>
      <c r="BY11" s="77">
        <f>COUNTIF('Group Stages'!$L$14:$S$110,BX11)+COUNTIF('Knock Out Stages'!$N$41:$U$84,BX11)</f>
        <v>0</v>
      </c>
      <c r="CA11" s="77" t="str">
        <f>'Player Database'!B11</f>
        <v>Fred</v>
      </c>
      <c r="CB11" s="77">
        <v>8</v>
      </c>
      <c r="CC11" s="77" t="str">
        <f t="array" aca="1" ref="CC11" ca="1">IFERROR(INDEX($BX$3:$BX$738, SMALL(IF(COUNTIF(CC$3, $BY$3:$BY$738), ROW($BX$3:$BX$738)-MIN(ROW($BX$3:$BX$738))+1), $CB11), 0),"")</f>
        <v/>
      </c>
      <c r="CD11" s="77" t="str">
        <f t="array" aca="1" ref="CD11" ca="1">IFERROR(INDEX($BX$3:$BX$738, SMALL(IF(COUNTIF(CD$3, $BY$3:$BY$738), ROW($BX$3:$BX$738)-MIN(ROW($BX$3:$BX$738))+1), $CB11), 0),"")</f>
        <v/>
      </c>
      <c r="CE11" s="77" t="str">
        <f t="array" aca="1" ref="CE11" ca="1">IFERROR(INDEX($BX$3:$BX$738, SMALL(IF(COUNTIF(CE$3, $BY$3:$BY$738), ROW($BX$3:$BX$738)-MIN(ROW($BX$3:$BX$738))+1), $CB11), 0),"")</f>
        <v/>
      </c>
      <c r="CF11" s="77" t="str">
        <f t="array" aca="1" ref="CF11" ca="1">IFERROR(INDEX($BX$3:$BX$738, SMALL(IF(COUNTIF(CF$3, $BY$3:$BY$738), ROW($BX$3:$BX$738)-MIN(ROW($BX$3:$BX$738))+1), $CB11), 0),"")</f>
        <v/>
      </c>
      <c r="CG11" s="77" t="str">
        <f t="array" aca="1" ref="CG11" ca="1">IFERROR(INDEX($BX$3:$BX$738, SMALL(IF(COUNTIF(CG$3, $BY$3:$BY$738), ROW($BX$3:$BX$738)-MIN(ROW($BX$3:$BX$738))+1), $CB11), 0),"")</f>
        <v/>
      </c>
      <c r="CH11" s="77" t="str">
        <f t="array" aca="1" ref="CH11" ca="1">IFERROR(INDEX($BX$3:$BX$738, SMALL(IF(COUNTIF(CH$3, $BY$3:$BY$738), ROW($BX$3:$BX$738)-MIN(ROW($BX$3:$BX$738))+1), $CB11), 0),"")</f>
        <v/>
      </c>
      <c r="CI11" s="77" t="str">
        <f t="array" aca="1" ref="CI11" ca="1">IFERROR(INDEX($BX$3:$BX$738, SMALL(IF(COUNTIF(CI$3, $BY$3:$BY$738), ROW($BX$3:$BX$738)-MIN(ROW($BX$3:$BX$738))+1), $CB11), 0),"")</f>
        <v/>
      </c>
      <c r="CJ11" s="77" t="str">
        <f t="array" aca="1" ref="CJ11" ca="1">IFERROR(INDEX($BX$3:$BX$738, SMALL(IF(COUNTIF(CJ$3, $BY$3:$BY$738), ROW($BX$3:$BX$738)-MIN(ROW($BX$3:$BX$738))+1), $CB11), 0),"")</f>
        <v/>
      </c>
      <c r="CK11" s="77" t="str">
        <f t="array" aca="1" ref="CK11" ca="1">IFERROR(INDEX($BX$3:$BX$738, SMALL(IF(COUNTIF(CK$3, $BY$3:$BY$738), ROW($BX$3:$BX$738)-MIN(ROW($BX$3:$BX$738))+1), $CB11), 0),"")</f>
        <v/>
      </c>
      <c r="CL11" s="77" t="str">
        <f t="array" aca="1" ref="CL11" ca="1">IFERROR(INDEX($BX$3:$BX$738, SMALL(IF(COUNTIF(CL$3, $BY$3:$BY$738), ROW($BX$3:$BX$738)-MIN(ROW($BX$3:$BX$738))+1), $CB11), 0),"")</f>
        <v/>
      </c>
      <c r="CM11" s="77" t="str">
        <f t="array" aca="1" ref="CM11" ca="1">IFERROR(INDEX($BX$3:$BX$738, SMALL(IF(COUNTIF(CM$3, $BY$3:$BY$738), ROW($BX$3:$BX$738)-MIN(ROW($BX$3:$BX$738))+1), $CB11), 0),"")</f>
        <v/>
      </c>
      <c r="CN11" s="77" t="str">
        <f t="array" aca="1" ref="CN11" ca="1">IFERROR(INDEX($BX$3:$BX$738, SMALL(IF(COUNTIF(CN$3, $BY$3:$BY$738), ROW($BX$3:$BX$738)-MIN(ROW($BX$3:$BX$738))+1), $CB11), 0),"")</f>
        <v/>
      </c>
      <c r="CO11" s="77" t="str">
        <f t="array" aca="1" ref="CO11" ca="1">IFERROR(INDEX($BX$3:$BX$738, SMALL(IF(COUNTIF(CO$3, $BY$3:$BY$738), ROW($BX$3:$BX$738)-MIN(ROW($BX$3:$BX$738))+1), $CB11), 0),"")</f>
        <v/>
      </c>
      <c r="CP11" s="77" t="str">
        <f t="array" aca="1" ref="CP11" ca="1">IFERROR(INDEX($BX$3:$BX$738, SMALL(IF(COUNTIF(CP$3, $BY$3:$BY$738), ROW($BX$3:$BX$738)-MIN(ROW($BX$3:$BX$738))+1), $CB11), 0),"")</f>
        <v/>
      </c>
      <c r="CQ11" s="77" t="str">
        <f t="array" aca="1" ref="CQ11" ca="1">IFERROR(INDEX($BX$3:$BX$738, SMALL(IF(COUNTIF(CQ$3, $BY$3:$BY$738), ROW($BX$3:$BX$738)-MIN(ROW($BX$3:$BX$738))+1), $CB11), 0),"")</f>
        <v/>
      </c>
      <c r="CS11" s="77">
        <v>8</v>
      </c>
      <c r="CT11" s="77">
        <v>1</v>
      </c>
      <c r="CV11" s="77" t="str">
        <f t="shared" ca="1" si="10"/>
        <v/>
      </c>
      <c r="CW11" s="77">
        <f t="shared" ca="1" si="13"/>
        <v>0</v>
      </c>
      <c r="CZ11" s="77">
        <v>8</v>
      </c>
      <c r="DA11" s="77" t="str">
        <f t="shared" ca="1" si="14"/>
        <v/>
      </c>
      <c r="DB11" s="77" t="str">
        <f t="shared" ca="1" si="15"/>
        <v/>
      </c>
      <c r="DC11" s="77" t="str">
        <f t="shared" ca="1" si="19"/>
        <v/>
      </c>
      <c r="DD11" s="77" t="str">
        <f t="shared" ca="1" si="17"/>
        <v/>
      </c>
      <c r="DG11" s="77" t="str">
        <f ca="1">IF($DG$2=1,Tournament!T34,"")</f>
        <v/>
      </c>
      <c r="DH11" s="77" t="str">
        <f>IF(AND(Tournament!J109&lt;&gt;"",Tournament!L109&lt;&gt;""),IF(Tournament!J109&lt;Tournament!L109,Tournament!H109,Tournament!N109),"")</f>
        <v/>
      </c>
    </row>
    <row r="12" spans="1:114">
      <c r="A12" s="77">
        <v>10</v>
      </c>
      <c r="B12" s="77" t="str">
        <f>IF(ISERR(FIND(" ",'Player Database'!B12)),'Player Database'!B12,LEFT('Player Database'!B12,1)&amp;"."&amp;RIGHT('Player Database'!B12,LEN('Player Database'!B12)-LEN(LEFT('Player Database'!B12,FIND(" ",'Player Database'!B12)))+1))</f>
        <v>Neymar</v>
      </c>
      <c r="C12" s="77" t="str">
        <f>IF(ISERR(FIND(" ",'Player Database'!C12)),'Player Database'!C12,LEFT('Player Database'!C12,1)&amp;"."&amp;RIGHT('Player Database'!C12,LEN('Player Database'!C12)-LEN(LEFT('Player Database'!C12,FIND(" ",'Player Database'!C12)))+1))</f>
        <v>L. Modrić</v>
      </c>
      <c r="D12" s="77" t="str">
        <f>IF(ISERR(FIND(" ",'Player Database'!D12)),'Player Database'!D12,LEFT('Player Database'!D12,1)&amp;"."&amp;RIGHT('Player Database'!D12,LEN('Player Database'!D12)-LEN(LEFT('Player Database'!D12,FIND(" ",'Player Database'!D12)))+1))</f>
        <v>G. dos Santos</v>
      </c>
      <c r="E12" s="77" t="str">
        <f>IF(ISERR(FIND(" ",'Player Database'!E12)),'Player Database'!E12,LEFT('Player Database'!E12,1)&amp;"."&amp;RIGHT('Player Database'!E12,LEN('Player Database'!E12)-LEN(LEFT('Player Database'!E12,FIND(" ",'Player Database'!E12)))+1))</f>
        <v>V. Aboubakar</v>
      </c>
      <c r="F12" s="77" t="str">
        <f>IF(ISERR(FIND(" ",'Player Database'!F12)),'Player Database'!F12,LEFT('Player Database'!F12,1)&amp;"."&amp;RIGHT('Player Database'!F12,LEN('Player Database'!F12)-LEN(LEFT('Player Database'!F12,FIND(" ",'Player Database'!F12)))+1))</f>
        <v>C. Fàbregas</v>
      </c>
      <c r="G12" s="77" t="str">
        <f>IF(ISERR(FIND(" ",'Player Database'!G12)),'Player Database'!G12,LEFT('Player Database'!G12,1)&amp;"."&amp;RIGHT('Player Database'!G12,LEN('Player Database'!G12)-LEN(LEFT('Player Database'!G12,FIND(" ",'Player Database'!G12)))+1))</f>
        <v>W. Sneijder</v>
      </c>
      <c r="H12" s="77" t="str">
        <f>IF(ISERR(FIND(" ",'Player Database'!H12)),'Player Database'!H12,LEFT('Player Database'!H12,1)&amp;"."&amp;RIGHT('Player Database'!H12,LEN('Player Database'!H12)-LEN(LEFT('Player Database'!H12,FIND(" ",'Player Database'!H12)))+1))</f>
        <v>J. Valdívia</v>
      </c>
      <c r="I12" s="77" t="str">
        <f>IF(ISERR(FIND(" ",'Player Database'!I12)),'Player Database'!I12,LEFT('Player Database'!I12,1)&amp;"."&amp;RIGHT('Player Database'!I12,LEN('Player Database'!I12)-LEN(LEFT('Player Database'!I12,FIND(" ",'Player Database'!I12)))+1))</f>
        <v>B. Halloran</v>
      </c>
      <c r="J12" s="77" t="str">
        <f>IF(ISERR(FIND(" ",'Player Database'!J12)),'Player Database'!J12,LEFT('Player Database'!J12,1)&amp;"."&amp;RIGHT('Player Database'!J12,LEN('Player Database'!J12)-LEN(LEFT('Player Database'!J12,FIND(" ",'Player Database'!J12)))+1))</f>
        <v>J. Rodríguez</v>
      </c>
      <c r="K12" s="77" t="str">
        <f>IF(ISERR(FIND(" ",'Player Database'!K12)),'Player Database'!K12,LEFT('Player Database'!K12,1)&amp;"."&amp;RIGHT('Player Database'!K12,LEN('Player Database'!K12)-LEN(LEFT('Player Database'!K12,FIND(" ",'Player Database'!K12)))+1))</f>
        <v xml:space="preserve">G. Karagounis </v>
      </c>
      <c r="L12" s="77" t="str">
        <f>IF(ISERR(FIND(" ",'Player Database'!L12)),'Player Database'!L12,LEFT('Player Database'!L12,1)&amp;"."&amp;RIGHT('Player Database'!L12,LEN('Player Database'!L12)-LEN(LEFT('Player Database'!L12,FIND(" ",'Player Database'!L12)))+1))</f>
        <v>Gervinho</v>
      </c>
      <c r="M12" s="77" t="str">
        <f>IF(ISERR(FIND(" ",'Player Database'!M12)),'Player Database'!M12,LEFT('Player Database'!M12,1)&amp;"."&amp;RIGHT('Player Database'!M12,LEN('Player Database'!M12)-LEN(LEFT('Player Database'!M12,FIND(" ",'Player Database'!M12)))+1))</f>
        <v>S. Kagawa</v>
      </c>
      <c r="N12" s="77" t="str">
        <f>IF(ISERR(FIND(" ",'Player Database'!N12)),'Player Database'!N12,LEFT('Player Database'!N12,1)&amp;"."&amp;RIGHT('Player Database'!N12,LEN('Player Database'!N12)-LEN(LEFT('Player Database'!N12,FIND(" ",'Player Database'!N12)))+1))</f>
        <v>D. Forlán</v>
      </c>
      <c r="O12" s="77" t="str">
        <f>IF(ISERR(FIND(" ",'Player Database'!O12)),'Player Database'!O12,LEFT('Player Database'!O12,1)&amp;"."&amp;RIGHT('Player Database'!O12,LEN('Player Database'!O12)-LEN(LEFT('Player Database'!O12,FIND(" ",'Player Database'!O12)))+1))</f>
        <v xml:space="preserve">B. Ruiz </v>
      </c>
      <c r="P12" s="77" t="str">
        <f>IF(ISERR(FIND(" ",'Player Database'!P12)),'Player Database'!P12,LEFT('Player Database'!P12,1)&amp;"."&amp;RIGHT('Player Database'!P12,LEN('Player Database'!P12)-LEN(LEFT('Player Database'!P12,FIND(" ",'Player Database'!P12)))+1))</f>
        <v>W. Rooney</v>
      </c>
      <c r="Q12" s="77" t="str">
        <f>IF(ISERR(FIND(" ",'Player Database'!Q12)),'Player Database'!Q12,LEFT('Player Database'!Q12,1)&amp;"."&amp;RIGHT('Player Database'!Q12,LEN('Player Database'!Q12)-LEN(LEFT('Player Database'!Q12,FIND(" ",'Player Database'!Q12)))+1))</f>
        <v>A. Cassano</v>
      </c>
      <c r="R12" s="77" t="str">
        <f>IF(ISERR(FIND(" ",'Player Database'!R12)),'Player Database'!R12,LEFT('Player Database'!R12,1)&amp;"."&amp;RIGHT('Player Database'!R12,LEN('Player Database'!R12)-LEN(LEFT('Player Database'!R12,FIND(" ",'Player Database'!R12)))+1))</f>
        <v>G. Xhaka</v>
      </c>
      <c r="S12" s="77" t="str">
        <f>IF(ISERR(FIND(" ",'Player Database'!S12)),'Player Database'!S12,LEFT('Player Database'!S12,1)&amp;"."&amp;RIGHT('Player Database'!S12,LEN('Player Database'!S12)-LEN(LEFT('Player Database'!S12,FIND(" ",'Player Database'!S12)))+1))</f>
        <v>W. Ayoví</v>
      </c>
      <c r="T12" s="77" t="str">
        <f>IF(ISERR(FIND(" ",'Player Database'!T12)),'Player Database'!T12,LEFT('Player Database'!T12,1)&amp;"."&amp;RIGHT('Player Database'!T12,LEN('Player Database'!T12)-LEN(LEFT('Player Database'!T12,FIND(" ",'Player Database'!T12)))+1))</f>
        <v>K. Benzema</v>
      </c>
      <c r="U12" s="77" t="str">
        <f>IF(ISERR(FIND(" ",'Player Database'!U12)),'Player Database'!U12,LEFT('Player Database'!U12,1)&amp;"."&amp;RIGHT('Player Database'!U12,LEN('Player Database'!U12)-LEN(LEFT('Player Database'!U12,FIND(" ",'Player Database'!U12)))+1))</f>
        <v>M. Martínez</v>
      </c>
      <c r="V12" s="77" t="str">
        <f>IF(ISERR(FIND(" ",'Player Database'!V12)),'Player Database'!V12,LEFT('Player Database'!V12,1)&amp;"."&amp;RIGHT('Player Database'!V12,LEN('Player Database'!V12)-LEN(LEFT('Player Database'!V12,FIND(" ",'Player Database'!V12)))+1))</f>
        <v xml:space="preserve">L. Messi </v>
      </c>
      <c r="W12" s="77" t="str">
        <f>IF(ISERR(FIND(" ",'Player Database'!W12)),'Player Database'!W12,LEFT('Player Database'!W12,1)&amp;"."&amp;RIGHT('Player Database'!W12,LEN('Player Database'!W12)-LEN(LEFT('Player Database'!W12,FIND(" ",'Player Database'!W12)))+1))</f>
        <v>Z. Misimović</v>
      </c>
      <c r="X12" s="77" t="str">
        <f>IF(ISERR(FIND(" ",'Player Database'!X12)),'Player Database'!X12,LEFT('Player Database'!X12,1)&amp;"."&amp;RIGHT('Player Database'!X12,LEN('Player Database'!X12)-LEN(LEFT('Player Database'!X12,FIND(" ",'Player Database'!X12)))+1))</f>
        <v>K. Ansarifard</v>
      </c>
      <c r="Y12" s="77" t="str">
        <f>IF(ISERR(FIND(" ",'Player Database'!Y12)),'Player Database'!Y12,LEFT('Player Database'!Y12,1)&amp;"."&amp;RIGHT('Player Database'!Y12,LEN('Player Database'!Y12)-LEN(LEFT('Player Database'!Y12,FIND(" ",'Player Database'!Y12)))+1))</f>
        <v>J. Obi Mikel</v>
      </c>
      <c r="Z12" s="77" t="str">
        <f>IF(ISERR(FIND(" ",'Player Database'!Z12)),'Player Database'!Z12,LEFT('Player Database'!Z12,1)&amp;"."&amp;RIGHT('Player Database'!Z12,LEN('Player Database'!Z12)-LEN(LEFT('Player Database'!Z12,FIND(" ",'Player Database'!Z12)))+1))</f>
        <v>L. Podolski</v>
      </c>
      <c r="AA12" s="77" t="str">
        <f>IF(ISERR(FIND(" ",'Player Database'!AA12)),'Player Database'!AA12,LEFT('Player Database'!AA12,1)&amp;"."&amp;RIGHT('Player Database'!AA12,LEN('Player Database'!AA12)-LEN(LEFT('Player Database'!AA12,FIND(" ",'Player Database'!AA12)))+1))</f>
        <v>Vieirinha</v>
      </c>
      <c r="AB12" s="77" t="str">
        <f>IF(ISERR(FIND(" ",'Player Database'!AB12)),'Player Database'!AB12,LEFT('Player Database'!AB12,1)&amp;"."&amp;RIGHT('Player Database'!AB12,LEN('Player Database'!AB12)-LEN(LEFT('Player Database'!AB12,FIND(" ",'Player Database'!AB12)))+1))</f>
        <v>A. Ayew</v>
      </c>
      <c r="AC12" s="77" t="str">
        <f>IF(ISERR(FIND(" ",'Player Database'!AC12)),'Player Database'!AC12,LEFT('Player Database'!AC12,1)&amp;"."&amp;RIGHT('Player Database'!AC12,LEN('Player Database'!AC12)-LEN(LEFT('Player Database'!AC12,FIND(" ",'Player Database'!AC12)))+1))</f>
        <v>M. Diskerud</v>
      </c>
      <c r="AD12" s="77" t="str">
        <f>IF(ISERR(FIND(" ",'Player Database'!AD12)),'Player Database'!AD12,LEFT('Player Database'!AD12,1)&amp;"."&amp;RIGHT('Player Database'!AD12,LEN('Player Database'!AD12)-LEN(LEFT('Player Database'!AD12,FIND(" ",'Player Database'!AD12)))+1))</f>
        <v>E. Hazard</v>
      </c>
      <c r="AE12" s="77" t="str">
        <f>IF(ISERR(FIND(" ",'Player Database'!AE12)),'Player Database'!AE12,LEFT('Player Database'!AE12,1)&amp;"."&amp;RIGHT('Player Database'!AE12,LEN('Player Database'!AE12)-LEN(LEFT('Player Database'!AE12,FIND(" ",'Player Database'!AE12)))+1))</f>
        <v>S. Feghouli</v>
      </c>
      <c r="AF12" s="77" t="str">
        <f>IF(ISERR(FIND(" ",'Player Database'!AF12)),'Player Database'!AF12,LEFT('Player Database'!AF12,1)&amp;"."&amp;RIGHT('Player Database'!AF12,LEN('Player Database'!AF12)-LEN(LEFT('Player Database'!AF12,FIND(" ",'Player Database'!AF12)))+1))</f>
        <v>A. Dzagoev</v>
      </c>
      <c r="AG12" s="77" t="str">
        <f>IF(ISERR(FIND(" ",'Player Database'!AG12)),'Player Database'!AG12,LEFT('Player Database'!AG12,1)&amp;"."&amp;RIGHT('Player Database'!AG12,LEN('Player Database'!AG12)-LEN(LEFT('Player Database'!AG12,FIND(" ",'Player Database'!AG12)))+1))</f>
        <v>P. Chu-young</v>
      </c>
      <c r="AI12" s="77" t="str">
        <f t="shared" ca="1" si="5"/>
        <v/>
      </c>
      <c r="AJ12" s="77" t="str">
        <f t="shared" ca="1" si="5"/>
        <v/>
      </c>
      <c r="AK12" s="77" t="str">
        <f t="shared" ca="1" si="5"/>
        <v/>
      </c>
      <c r="AL12" s="77" t="str">
        <f t="shared" ca="1" si="5"/>
        <v/>
      </c>
      <c r="AM12" s="77" t="str">
        <f t="shared" ca="1" si="5"/>
        <v/>
      </c>
      <c r="AN12" s="77" t="str">
        <f t="shared" ca="1" si="5"/>
        <v/>
      </c>
      <c r="AO12" s="77" t="str">
        <f t="shared" ca="1" si="5"/>
        <v/>
      </c>
      <c r="AP12" s="77" t="str">
        <f t="shared" ca="1" si="5"/>
        <v/>
      </c>
      <c r="AQ12" s="77" t="str">
        <f t="shared" ca="1" si="5"/>
        <v/>
      </c>
      <c r="AR12" s="77" t="str">
        <f t="shared" ca="1" si="5"/>
        <v/>
      </c>
      <c r="AS12" s="77" t="str">
        <f t="shared" ca="1" si="5"/>
        <v/>
      </c>
      <c r="AT12" s="77" t="str">
        <f t="shared" ca="1" si="5"/>
        <v/>
      </c>
      <c r="AU12" s="77" t="str">
        <f t="shared" ca="1" si="5"/>
        <v/>
      </c>
      <c r="AV12" s="77" t="str">
        <f t="shared" ca="1" si="5"/>
        <v/>
      </c>
      <c r="AW12" s="77" t="str">
        <f t="shared" ca="1" si="5"/>
        <v/>
      </c>
      <c r="AX12" s="77" t="str">
        <f t="shared" ca="1" si="5"/>
        <v/>
      </c>
      <c r="AZ12" s="77" t="str">
        <f t="shared" si="6"/>
        <v/>
      </c>
      <c r="BA12" s="77" t="str">
        <f t="shared" si="6"/>
        <v/>
      </c>
      <c r="BB12" s="77" t="str">
        <f t="shared" si="6"/>
        <v/>
      </c>
      <c r="BC12" s="77" t="str">
        <f t="shared" si="6"/>
        <v/>
      </c>
      <c r="BD12" s="77" t="str">
        <f t="shared" si="6"/>
        <v/>
      </c>
      <c r="BE12" s="77" t="str">
        <f t="shared" si="6"/>
        <v/>
      </c>
      <c r="BF12" s="77" t="str">
        <f t="shared" si="6"/>
        <v/>
      </c>
      <c r="BG12" s="77" t="str">
        <f t="shared" si="6"/>
        <v/>
      </c>
      <c r="BI12" s="77" t="str">
        <f t="shared" si="7"/>
        <v/>
      </c>
      <c r="BJ12" s="77" t="str">
        <f t="shared" si="7"/>
        <v/>
      </c>
      <c r="BK12" s="77" t="str">
        <f t="shared" si="7"/>
        <v/>
      </c>
      <c r="BL12" s="77" t="str">
        <f t="shared" si="7"/>
        <v/>
      </c>
      <c r="BN12" s="77" t="str">
        <f t="shared" si="8"/>
        <v/>
      </c>
      <c r="BO12" s="77" t="str">
        <f t="shared" si="8"/>
        <v/>
      </c>
      <c r="BQ12" s="77" t="str">
        <f t="shared" si="9"/>
        <v/>
      </c>
      <c r="BR12" s="77" t="str">
        <f t="shared" si="9"/>
        <v/>
      </c>
      <c r="BT12" s="77" t="str">
        <f t="shared" si="11"/>
        <v>Brazil</v>
      </c>
      <c r="BU12" s="77">
        <f t="shared" si="12"/>
        <v>10</v>
      </c>
      <c r="BW12" s="77">
        <v>1</v>
      </c>
      <c r="BX12" s="77" t="str">
        <f t="shared" si="4"/>
        <v>Neymar</v>
      </c>
      <c r="BY12" s="77">
        <f>COUNTIF('Group Stages'!$L$14:$S$110,BX12)+COUNTIF('Knock Out Stages'!$N$41:$U$84,BX12)</f>
        <v>0</v>
      </c>
      <c r="CA12" s="77" t="str">
        <f>'Player Database'!B12</f>
        <v>Neymar</v>
      </c>
      <c r="CB12" s="77">
        <v>9</v>
      </c>
      <c r="CC12" s="77" t="str">
        <f t="array" aca="1" ref="CC12" ca="1">IFERROR(INDEX($BX$3:$BX$738, SMALL(IF(COUNTIF(CC$3, $BY$3:$BY$738), ROW($BX$3:$BX$738)-MIN(ROW($BX$3:$BX$738))+1), $CB12), 0),"")</f>
        <v/>
      </c>
      <c r="CD12" s="77" t="str">
        <f t="array" aca="1" ref="CD12" ca="1">IFERROR(INDEX($BX$3:$BX$738, SMALL(IF(COUNTIF(CD$3, $BY$3:$BY$738), ROW($BX$3:$BX$738)-MIN(ROW($BX$3:$BX$738))+1), $CB12), 0),"")</f>
        <v/>
      </c>
      <c r="CE12" s="77" t="str">
        <f t="array" aca="1" ref="CE12" ca="1">IFERROR(INDEX($BX$3:$BX$738, SMALL(IF(COUNTIF(CE$3, $BY$3:$BY$738), ROW($BX$3:$BX$738)-MIN(ROW($BX$3:$BX$738))+1), $CB12), 0),"")</f>
        <v/>
      </c>
      <c r="CF12" s="77" t="str">
        <f t="array" aca="1" ref="CF12" ca="1">IFERROR(INDEX($BX$3:$BX$738, SMALL(IF(COUNTIF(CF$3, $BY$3:$BY$738), ROW($BX$3:$BX$738)-MIN(ROW($BX$3:$BX$738))+1), $CB12), 0),"")</f>
        <v/>
      </c>
      <c r="CG12" s="77" t="str">
        <f t="array" aca="1" ref="CG12" ca="1">IFERROR(INDEX($BX$3:$BX$738, SMALL(IF(COUNTIF(CG$3, $BY$3:$BY$738), ROW($BX$3:$BX$738)-MIN(ROW($BX$3:$BX$738))+1), $CB12), 0),"")</f>
        <v/>
      </c>
      <c r="CH12" s="77" t="str">
        <f t="array" aca="1" ref="CH12" ca="1">IFERROR(INDEX($BX$3:$BX$738, SMALL(IF(COUNTIF(CH$3, $BY$3:$BY$738), ROW($BX$3:$BX$738)-MIN(ROW($BX$3:$BX$738))+1), $CB12), 0),"")</f>
        <v/>
      </c>
      <c r="CI12" s="77" t="str">
        <f t="array" aca="1" ref="CI12" ca="1">IFERROR(INDEX($BX$3:$BX$738, SMALL(IF(COUNTIF(CI$3, $BY$3:$BY$738), ROW($BX$3:$BX$738)-MIN(ROW($BX$3:$BX$738))+1), $CB12), 0),"")</f>
        <v/>
      </c>
      <c r="CJ12" s="77" t="str">
        <f t="array" aca="1" ref="CJ12" ca="1">IFERROR(INDEX($BX$3:$BX$738, SMALL(IF(COUNTIF(CJ$3, $BY$3:$BY$738), ROW($BX$3:$BX$738)-MIN(ROW($BX$3:$BX$738))+1), $CB12), 0),"")</f>
        <v/>
      </c>
      <c r="CK12" s="77" t="str">
        <f t="array" aca="1" ref="CK12" ca="1">IFERROR(INDEX($BX$3:$BX$738, SMALL(IF(COUNTIF(CK$3, $BY$3:$BY$738), ROW($BX$3:$BX$738)-MIN(ROW($BX$3:$BX$738))+1), $CB12), 0),"")</f>
        <v/>
      </c>
      <c r="CL12" s="77" t="str">
        <f t="array" aca="1" ref="CL12" ca="1">IFERROR(INDEX($BX$3:$BX$738, SMALL(IF(COUNTIF(CL$3, $BY$3:$BY$738), ROW($BX$3:$BX$738)-MIN(ROW($BX$3:$BX$738))+1), $CB12), 0),"")</f>
        <v/>
      </c>
      <c r="CM12" s="77" t="str">
        <f t="array" aca="1" ref="CM12" ca="1">IFERROR(INDEX($BX$3:$BX$738, SMALL(IF(COUNTIF(CM$3, $BY$3:$BY$738), ROW($BX$3:$BX$738)-MIN(ROW($BX$3:$BX$738))+1), $CB12), 0),"")</f>
        <v/>
      </c>
      <c r="CN12" s="77" t="str">
        <f t="array" aca="1" ref="CN12" ca="1">IFERROR(INDEX($BX$3:$BX$738, SMALL(IF(COUNTIF(CN$3, $BY$3:$BY$738), ROW($BX$3:$BX$738)-MIN(ROW($BX$3:$BX$738))+1), $CB12), 0),"")</f>
        <v/>
      </c>
      <c r="CO12" s="77" t="str">
        <f t="array" aca="1" ref="CO12" ca="1">IFERROR(INDEX($BX$3:$BX$738, SMALL(IF(COUNTIF(CO$3, $BY$3:$BY$738), ROW($BX$3:$BX$738)-MIN(ROW($BX$3:$BX$738))+1), $CB12), 0),"")</f>
        <v/>
      </c>
      <c r="CP12" s="77" t="str">
        <f t="array" aca="1" ref="CP12" ca="1">IFERROR(INDEX($BX$3:$BX$738, SMALL(IF(COUNTIF(CP$3, $BY$3:$BY$738), ROW($BX$3:$BX$738)-MIN(ROW($BX$3:$BX$738))+1), $CB12), 0),"")</f>
        <v/>
      </c>
      <c r="CQ12" s="77" t="str">
        <f t="array" aca="1" ref="CQ12" ca="1">IFERROR(INDEX($BX$3:$BX$738, SMALL(IF(COUNTIF(CQ$3, $BY$3:$BY$738), ROW($BX$3:$BX$738)-MIN(ROW($BX$3:$BX$738))+1), $CB12), 0),"")</f>
        <v/>
      </c>
      <c r="CS12" s="77">
        <v>9</v>
      </c>
      <c r="CT12" s="77">
        <v>1</v>
      </c>
      <c r="CV12" s="77" t="str">
        <f t="shared" ca="1" si="10"/>
        <v/>
      </c>
      <c r="CW12" s="77">
        <f t="shared" ca="1" si="13"/>
        <v>0</v>
      </c>
      <c r="CZ12" s="77">
        <v>9</v>
      </c>
      <c r="DA12" s="77" t="str">
        <f t="shared" ca="1" si="14"/>
        <v/>
      </c>
      <c r="DB12" s="77" t="str">
        <f t="shared" ca="1" si="15"/>
        <v/>
      </c>
      <c r="DC12" s="77" t="str">
        <f t="shared" ca="1" si="19"/>
        <v/>
      </c>
      <c r="DD12" s="77" t="str">
        <f t="shared" ca="1" si="17"/>
        <v/>
      </c>
      <c r="DG12" s="77" t="str">
        <f ca="1">IF($DG$2=1,Tournament!T39,"")</f>
        <v/>
      </c>
    </row>
    <row r="13" spans="1:114">
      <c r="A13" s="77">
        <v>11</v>
      </c>
      <c r="B13" s="77" t="str">
        <f>IF(ISERR(FIND(" ",'Player Database'!B13)),'Player Database'!B13,LEFT('Player Database'!B13,1)&amp;"."&amp;RIGHT('Player Database'!B13,LEN('Player Database'!B13)-LEN(LEFT('Player Database'!B13,FIND(" ",'Player Database'!B13)))+1))</f>
        <v>Oscar</v>
      </c>
      <c r="C13" s="77" t="str">
        <f>IF(ISERR(FIND(" ",'Player Database'!C13)),'Player Database'!C13,LEFT('Player Database'!C13,1)&amp;"."&amp;RIGHT('Player Database'!C13,LEN('Player Database'!C13)-LEN(LEFT('Player Database'!C13,FIND(" ",'Player Database'!C13)))+1))</f>
        <v xml:space="preserve">D. Srna </v>
      </c>
      <c r="D13" s="77" t="str">
        <f>IF(ISERR(FIND(" ",'Player Database'!D13)),'Player Database'!D13,LEFT('Player Database'!D13,1)&amp;"."&amp;RIGHT('Player Database'!D13,LEN('Player Database'!D13)-LEN(LEFT('Player Database'!D13,FIND(" ",'Player Database'!D13)))+1))</f>
        <v>A. Pulido</v>
      </c>
      <c r="E13" s="77" t="str">
        <f>IF(ISERR(FIND(" ",'Player Database'!E13)),'Player Database'!E13,LEFT('Player Database'!E13,1)&amp;"."&amp;RIGHT('Player Database'!E13,LEN('Player Database'!E13)-LEN(LEFT('Player Database'!E13,FIND(" ",'Player Database'!E13)))+1))</f>
        <v>J. Makoun</v>
      </c>
      <c r="F13" s="77" t="str">
        <f>IF(ISERR(FIND(" ",'Player Database'!F13)),'Player Database'!F13,LEFT('Player Database'!F13,1)&amp;"."&amp;RIGHT('Player Database'!F13,LEN('Player Database'!F13)-LEN(LEFT('Player Database'!F13,FIND(" ",'Player Database'!F13)))+1))</f>
        <v>Pedro</v>
      </c>
      <c r="G13" s="77" t="str">
        <f>IF(ISERR(FIND(" ",'Player Database'!G13)),'Player Database'!G13,LEFT('Player Database'!G13,1)&amp;"."&amp;RIGHT('Player Database'!G13,LEN('Player Database'!G13)-LEN(LEFT('Player Database'!G13,FIND(" ",'Player Database'!G13)))+1))</f>
        <v>A. Robben</v>
      </c>
      <c r="H13" s="77" t="str">
        <f>IF(ISERR(FIND(" ",'Player Database'!H13)),'Player Database'!H13,LEFT('Player Database'!H13,1)&amp;"."&amp;RIGHT('Player Database'!H13,LEN('Player Database'!H13)-LEN(LEFT('Player Database'!H13,FIND(" ",'Player Database'!H13)))+1))</f>
        <v>E. Vargas</v>
      </c>
      <c r="I13" s="77" t="str">
        <f>IF(ISERR(FIND(" ",'Player Database'!I13)),'Player Database'!I13,LEFT('Player Database'!I13,1)&amp;"."&amp;RIGHT('Player Database'!I13,LEN('Player Database'!I13)-LEN(LEFT('Player Database'!I13,FIND(" ",'Player Database'!I13)))+1))</f>
        <v>T. Oar</v>
      </c>
      <c r="J13" s="77" t="str">
        <f>IF(ISERR(FIND(" ",'Player Database'!J13)),'Player Database'!J13,LEFT('Player Database'!J13,1)&amp;"."&amp;RIGHT('Player Database'!J13,LEN('Player Database'!J13)-LEN(LEFT('Player Database'!J13,FIND(" ",'Player Database'!J13)))+1))</f>
        <v>J. Guillermo Cuadrado</v>
      </c>
      <c r="K13" s="77" t="str">
        <f>IF(ISERR(FIND(" ",'Player Database'!K13)),'Player Database'!K13,LEFT('Player Database'!K13,1)&amp;"."&amp;RIGHT('Player Database'!K13,LEN('Player Database'!K13)-LEN(LEFT('Player Database'!K13,FIND(" ",'Player Database'!K13)))+1))</f>
        <v>L. Vyntra</v>
      </c>
      <c r="L13" s="77" t="str">
        <f>IF(ISERR(FIND(" ",'Player Database'!L13)),'Player Database'!L13,LEFT('Player Database'!L13,1)&amp;"."&amp;RIGHT('Player Database'!L13,LEN('Player Database'!L13)-LEN(LEFT('Player Database'!L13,FIND(" ",'Player Database'!L13)))+1))</f>
        <v xml:space="preserve">D. Drogba </v>
      </c>
      <c r="M13" s="77" t="str">
        <f>IF(ISERR(FIND(" ",'Player Database'!M13)),'Player Database'!M13,LEFT('Player Database'!M13,1)&amp;"."&amp;RIGHT('Player Database'!M13,LEN('Player Database'!M13)-LEN(LEFT('Player Database'!M13,FIND(" ",'Player Database'!M13)))+1))</f>
        <v>Y. Kakitani</v>
      </c>
      <c r="N13" s="77" t="str">
        <f>IF(ISERR(FIND(" ",'Player Database'!N13)),'Player Database'!N13,LEFT('Player Database'!N13,1)&amp;"."&amp;RIGHT('Player Database'!N13,LEN('Player Database'!N13)-LEN(LEFT('Player Database'!N13,FIND(" ",'Player Database'!N13)))+1))</f>
        <v>C. Stuani</v>
      </c>
      <c r="O13" s="77" t="str">
        <f>IF(ISERR(FIND(" ",'Player Database'!O13)),'Player Database'!O13,LEFT('Player Database'!O13,1)&amp;"."&amp;RIGHT('Player Database'!O13,LEN('Player Database'!O13)-LEN(LEFT('Player Database'!O13,FIND(" ",'Player Database'!O13)))+1))</f>
        <v>M. Barrantes</v>
      </c>
      <c r="P13" s="77" t="str">
        <f>IF(ISERR(FIND(" ",'Player Database'!P13)),'Player Database'!P13,LEFT('Player Database'!P13,1)&amp;"."&amp;RIGHT('Player Database'!P13,LEN('Player Database'!P13)-LEN(LEFT('Player Database'!P13,FIND(" ",'Player Database'!P13)))+1))</f>
        <v>D. Welbeck</v>
      </c>
      <c r="Q13" s="77" t="str">
        <f>IF(ISERR(FIND(" ",'Player Database'!Q13)),'Player Database'!Q13,LEFT('Player Database'!Q13,1)&amp;"."&amp;RIGHT('Player Database'!Q13,LEN('Player Database'!Q13)-LEN(LEFT('Player Database'!Q13,FIND(" ",'Player Database'!Q13)))+1))</f>
        <v>A. Cerci</v>
      </c>
      <c r="R13" s="77" t="str">
        <f>IF(ISERR(FIND(" ",'Player Database'!R13)),'Player Database'!R13,LEFT('Player Database'!R13,1)&amp;"."&amp;RIGHT('Player Database'!R13,LEN('Player Database'!R13)-LEN(LEFT('Player Database'!R13,FIND(" ",'Player Database'!R13)))+1))</f>
        <v>V. Behrami</v>
      </c>
      <c r="S13" s="77" t="str">
        <f>IF(ISERR(FIND(" ",'Player Database'!S13)),'Player Database'!S13,LEFT('Player Database'!S13,1)&amp;"."&amp;RIGHT('Player Database'!S13,LEN('Player Database'!S13)-LEN(LEFT('Player Database'!S13,FIND(" ",'Player Database'!S13)))+1))</f>
        <v>F. Caicedo</v>
      </c>
      <c r="T13" s="77" t="str">
        <f>IF(ISERR(FIND(" ",'Player Database'!T13)),'Player Database'!T13,LEFT('Player Database'!T13,1)&amp;"."&amp;RIGHT('Player Database'!T13,LEN('Player Database'!T13)-LEN(LEFT('Player Database'!T13,FIND(" ",'Player Database'!T13)))+1))</f>
        <v>A. Griezmann</v>
      </c>
      <c r="U13" s="77" t="str">
        <f>IF(ISERR(FIND(" ",'Player Database'!U13)),'Player Database'!U13,LEFT('Player Database'!U13,1)&amp;"."&amp;RIGHT('Player Database'!U13,LEN('Player Database'!U13)-LEN(LEFT('Player Database'!U13,FIND(" ",'Player Database'!U13)))+1))</f>
        <v>J. Bengtson</v>
      </c>
      <c r="V13" s="77" t="str">
        <f>IF(ISERR(FIND(" ",'Player Database'!V13)),'Player Database'!V13,LEFT('Player Database'!V13,1)&amp;"."&amp;RIGHT('Player Database'!V13,LEN('Player Database'!V13)-LEN(LEFT('Player Database'!V13,FIND(" ",'Player Database'!V13)))+1))</f>
        <v>M. Rodríguez</v>
      </c>
      <c r="W13" s="77" t="str">
        <f>IF(ISERR(FIND(" ",'Player Database'!W13)),'Player Database'!W13,LEFT('Player Database'!W13,1)&amp;"."&amp;RIGHT('Player Database'!W13,LEN('Player Database'!W13)-LEN(LEFT('Player Database'!W13,FIND(" ",'Player Database'!W13)))+1))</f>
        <v>E. Džeko</v>
      </c>
      <c r="X13" s="77" t="str">
        <f>IF(ISERR(FIND(" ",'Player Database'!X13)),'Player Database'!X13,LEFT('Player Database'!X13,1)&amp;"."&amp;RIGHT('Player Database'!X13,LEN('Player Database'!X13)-LEN(LEFT('Player Database'!X13,FIND(" ",'Player Database'!X13)))+1))</f>
        <v>G. Haddadifar</v>
      </c>
      <c r="Y13" s="77" t="str">
        <f>IF(ISERR(FIND(" ",'Player Database'!Y13)),'Player Database'!Y13,LEFT('Player Database'!Y13,1)&amp;"."&amp;RIGHT('Player Database'!Y13,LEN('Player Database'!Y13)-LEN(LEFT('Player Database'!Y13,FIND(" ",'Player Database'!Y13)))+1))</f>
        <v>V. Moses</v>
      </c>
      <c r="Z13" s="77" t="str">
        <f>IF(ISERR(FIND(" ",'Player Database'!Z13)),'Player Database'!Z13,LEFT('Player Database'!Z13,1)&amp;"."&amp;RIGHT('Player Database'!Z13,LEN('Player Database'!Z13)-LEN(LEFT('Player Database'!Z13,FIND(" ",'Player Database'!Z13)))+1))</f>
        <v>M. Klose</v>
      </c>
      <c r="AA13" s="77" t="str">
        <f>IF(ISERR(FIND(" ",'Player Database'!AA13)),'Player Database'!AA13,LEFT('Player Database'!AA13,1)&amp;"."&amp;RIGHT('Player Database'!AA13,LEN('Player Database'!AA13)-LEN(LEFT('Player Database'!AA13,FIND(" ",'Player Database'!AA13)))+1))</f>
        <v>Éder</v>
      </c>
      <c r="AB13" s="77" t="str">
        <f>IF(ISERR(FIND(" ",'Player Database'!AB13)),'Player Database'!AB13,LEFT('Player Database'!AB13,1)&amp;"."&amp;RIGHT('Player Database'!AB13,LEN('Player Database'!AB13)-LEN(LEFT('Player Database'!AB13,FIND(" ",'Player Database'!AB13)))+1))</f>
        <v>S. Muntari</v>
      </c>
      <c r="AC13" s="77" t="str">
        <f>IF(ISERR(FIND(" ",'Player Database'!AC13)),'Player Database'!AC13,LEFT('Player Database'!AC13,1)&amp;"."&amp;RIGHT('Player Database'!AC13,LEN('Player Database'!AC13)-LEN(LEFT('Player Database'!AC13,FIND(" ",'Player Database'!AC13)))+1))</f>
        <v>A. Bedoya</v>
      </c>
      <c r="AD13" s="77" t="str">
        <f>IF(ISERR(FIND(" ",'Player Database'!AD13)),'Player Database'!AD13,LEFT('Player Database'!AD13,1)&amp;"."&amp;RIGHT('Player Database'!AD13,LEN('Player Database'!AD13)-LEN(LEFT('Player Database'!AD13,FIND(" ",'Player Database'!AD13)))+1))</f>
        <v>K. Mirallas</v>
      </c>
      <c r="AE13" s="77" t="str">
        <f>IF(ISERR(FIND(" ",'Player Database'!AE13)),'Player Database'!AE13,LEFT('Player Database'!AE13,1)&amp;"."&amp;RIGHT('Player Database'!AE13,LEN('Player Database'!AE13)-LEN(LEFT('Player Database'!AE13,FIND(" ",'Player Database'!AE13)))+1))</f>
        <v>Y. Brahimi</v>
      </c>
      <c r="AF13" s="77" t="str">
        <f>IF(ISERR(FIND(" ",'Player Database'!AF13)),'Player Database'!AF13,LEFT('Player Database'!AF13,1)&amp;"."&amp;RIGHT('Player Database'!AF13,LEN('Player Database'!AF13)-LEN(LEFT('Player Database'!AF13,FIND(" ",'Player Database'!AF13)))+1))</f>
        <v>A. Kerzhakov</v>
      </c>
      <c r="AG13" s="77" t="str">
        <f>IF(ISERR(FIND(" ",'Player Database'!AG13)),'Player Database'!AG13,LEFT('Player Database'!AG13,1)&amp;"."&amp;RIGHT('Player Database'!AG13,LEN('Player Database'!AG13)-LEN(LEFT('Player Database'!AG13,FIND(" ",'Player Database'!AG13)))+1))</f>
        <v>L. Keun-ho</v>
      </c>
      <c r="AI13" s="77" t="str">
        <f t="shared" ca="1" si="5"/>
        <v/>
      </c>
      <c r="AJ13" s="77" t="str">
        <f t="shared" ca="1" si="5"/>
        <v/>
      </c>
      <c r="AK13" s="77" t="str">
        <f t="shared" ca="1" si="5"/>
        <v/>
      </c>
      <c r="AL13" s="77" t="str">
        <f t="shared" ca="1" si="5"/>
        <v/>
      </c>
      <c r="AM13" s="77" t="str">
        <f t="shared" ca="1" si="5"/>
        <v/>
      </c>
      <c r="AN13" s="77" t="str">
        <f t="shared" ca="1" si="5"/>
        <v/>
      </c>
      <c r="AO13" s="77" t="str">
        <f t="shared" ca="1" si="5"/>
        <v/>
      </c>
      <c r="AP13" s="77" t="str">
        <f t="shared" ca="1" si="5"/>
        <v/>
      </c>
      <c r="AQ13" s="77" t="str">
        <f t="shared" ca="1" si="5"/>
        <v/>
      </c>
      <c r="AR13" s="77" t="str">
        <f t="shared" ca="1" si="5"/>
        <v/>
      </c>
      <c r="AS13" s="77" t="str">
        <f t="shared" ca="1" si="5"/>
        <v/>
      </c>
      <c r="AT13" s="77" t="str">
        <f t="shared" ca="1" si="5"/>
        <v/>
      </c>
      <c r="AU13" s="77" t="str">
        <f t="shared" ca="1" si="5"/>
        <v/>
      </c>
      <c r="AV13" s="77" t="str">
        <f t="shared" ca="1" si="5"/>
        <v/>
      </c>
      <c r="AW13" s="77" t="str">
        <f t="shared" ca="1" si="5"/>
        <v/>
      </c>
      <c r="AX13" s="77" t="str">
        <f t="shared" ca="1" si="5"/>
        <v/>
      </c>
      <c r="AZ13" s="77" t="str">
        <f t="shared" si="6"/>
        <v/>
      </c>
      <c r="BA13" s="77" t="str">
        <f t="shared" si="6"/>
        <v/>
      </c>
      <c r="BB13" s="77" t="str">
        <f t="shared" si="6"/>
        <v/>
      </c>
      <c r="BC13" s="77" t="str">
        <f t="shared" si="6"/>
        <v/>
      </c>
      <c r="BD13" s="77" t="str">
        <f t="shared" si="6"/>
        <v/>
      </c>
      <c r="BE13" s="77" t="str">
        <f t="shared" si="6"/>
        <v/>
      </c>
      <c r="BF13" s="77" t="str">
        <f t="shared" si="6"/>
        <v/>
      </c>
      <c r="BG13" s="77" t="str">
        <f t="shared" si="6"/>
        <v/>
      </c>
      <c r="BI13" s="77" t="str">
        <f t="shared" si="7"/>
        <v/>
      </c>
      <c r="BJ13" s="77" t="str">
        <f t="shared" si="7"/>
        <v/>
      </c>
      <c r="BK13" s="77" t="str">
        <f t="shared" si="7"/>
        <v/>
      </c>
      <c r="BL13" s="77" t="str">
        <f t="shared" si="7"/>
        <v/>
      </c>
      <c r="BN13" s="77" t="str">
        <f t="shared" si="8"/>
        <v/>
      </c>
      <c r="BO13" s="77" t="str">
        <f t="shared" si="8"/>
        <v/>
      </c>
      <c r="BQ13" s="77" t="str">
        <f t="shared" si="9"/>
        <v/>
      </c>
      <c r="BR13" s="77" t="str">
        <f t="shared" si="9"/>
        <v/>
      </c>
      <c r="BT13" s="77" t="str">
        <f t="shared" si="11"/>
        <v>Brazil</v>
      </c>
      <c r="BU13" s="77">
        <f t="shared" si="12"/>
        <v>11</v>
      </c>
      <c r="BW13" s="77">
        <v>1</v>
      </c>
      <c r="BX13" s="77" t="str">
        <f t="shared" si="4"/>
        <v>Oscar</v>
      </c>
      <c r="BY13" s="77">
        <f>COUNTIF('Group Stages'!$L$14:$S$110,BX13)+COUNTIF('Knock Out Stages'!$N$41:$U$84,BX13)</f>
        <v>0</v>
      </c>
      <c r="CA13" s="77" t="str">
        <f>'Player Database'!B13</f>
        <v>Oscar</v>
      </c>
      <c r="CB13" s="77">
        <v>10</v>
      </c>
      <c r="CC13" s="77" t="str">
        <f t="array" aca="1" ref="CC13" ca="1">IFERROR(INDEX($BX$3:$BX$738, SMALL(IF(COUNTIF(CC$3, $BY$3:$BY$738), ROW($BX$3:$BX$738)-MIN(ROW($BX$3:$BX$738))+1), $CB13), 0),"")</f>
        <v/>
      </c>
      <c r="CD13" s="77" t="str">
        <f t="array" aca="1" ref="CD13" ca="1">IFERROR(INDEX($BX$3:$BX$738, SMALL(IF(COUNTIF(CD$3, $BY$3:$BY$738), ROW($BX$3:$BX$738)-MIN(ROW($BX$3:$BX$738))+1), $CB13), 0),"")</f>
        <v/>
      </c>
      <c r="CE13" s="77" t="str">
        <f t="array" aca="1" ref="CE13" ca="1">IFERROR(INDEX($BX$3:$BX$738, SMALL(IF(COUNTIF(CE$3, $BY$3:$BY$738), ROW($BX$3:$BX$738)-MIN(ROW($BX$3:$BX$738))+1), $CB13), 0),"")</f>
        <v/>
      </c>
      <c r="CF13" s="77" t="str">
        <f t="array" aca="1" ref="CF13" ca="1">IFERROR(INDEX($BX$3:$BX$738, SMALL(IF(COUNTIF(CF$3, $BY$3:$BY$738), ROW($BX$3:$BX$738)-MIN(ROW($BX$3:$BX$738))+1), $CB13), 0),"")</f>
        <v/>
      </c>
      <c r="CG13" s="77" t="str">
        <f t="array" aca="1" ref="CG13" ca="1">IFERROR(INDEX($BX$3:$BX$738, SMALL(IF(COUNTIF(CG$3, $BY$3:$BY$738), ROW($BX$3:$BX$738)-MIN(ROW($BX$3:$BX$738))+1), $CB13), 0),"")</f>
        <v/>
      </c>
      <c r="CH13" s="77" t="str">
        <f t="array" aca="1" ref="CH13" ca="1">IFERROR(INDEX($BX$3:$BX$738, SMALL(IF(COUNTIF(CH$3, $BY$3:$BY$738), ROW($BX$3:$BX$738)-MIN(ROW($BX$3:$BX$738))+1), $CB13), 0),"")</f>
        <v/>
      </c>
      <c r="CI13" s="77" t="str">
        <f t="array" aca="1" ref="CI13" ca="1">IFERROR(INDEX($BX$3:$BX$738, SMALL(IF(COUNTIF(CI$3, $BY$3:$BY$738), ROW($BX$3:$BX$738)-MIN(ROW($BX$3:$BX$738))+1), $CB13), 0),"")</f>
        <v/>
      </c>
      <c r="CJ13" s="77" t="str">
        <f t="array" aca="1" ref="CJ13" ca="1">IFERROR(INDEX($BX$3:$BX$738, SMALL(IF(COUNTIF(CJ$3, $BY$3:$BY$738), ROW($BX$3:$BX$738)-MIN(ROW($BX$3:$BX$738))+1), $CB13), 0),"")</f>
        <v/>
      </c>
      <c r="CK13" s="77" t="str">
        <f t="array" aca="1" ref="CK13" ca="1">IFERROR(INDEX($BX$3:$BX$738, SMALL(IF(COUNTIF(CK$3, $BY$3:$BY$738), ROW($BX$3:$BX$738)-MIN(ROW($BX$3:$BX$738))+1), $CB13), 0),"")</f>
        <v/>
      </c>
      <c r="CL13" s="77" t="str">
        <f t="array" aca="1" ref="CL13" ca="1">IFERROR(INDEX($BX$3:$BX$738, SMALL(IF(COUNTIF(CL$3, $BY$3:$BY$738), ROW($BX$3:$BX$738)-MIN(ROW($BX$3:$BX$738))+1), $CB13), 0),"")</f>
        <v/>
      </c>
      <c r="CM13" s="77" t="str">
        <f t="array" aca="1" ref="CM13" ca="1">IFERROR(INDEX($BX$3:$BX$738, SMALL(IF(COUNTIF(CM$3, $BY$3:$BY$738), ROW($BX$3:$BX$738)-MIN(ROW($BX$3:$BX$738))+1), $CB13), 0),"")</f>
        <v/>
      </c>
      <c r="CN13" s="77" t="str">
        <f t="array" aca="1" ref="CN13" ca="1">IFERROR(INDEX($BX$3:$BX$738, SMALL(IF(COUNTIF(CN$3, $BY$3:$BY$738), ROW($BX$3:$BX$738)-MIN(ROW($BX$3:$BX$738))+1), $CB13), 0),"")</f>
        <v/>
      </c>
      <c r="CO13" s="77" t="str">
        <f t="array" aca="1" ref="CO13" ca="1">IFERROR(INDEX($BX$3:$BX$738, SMALL(IF(COUNTIF(CO$3, $BY$3:$BY$738), ROW($BX$3:$BX$738)-MIN(ROW($BX$3:$BX$738))+1), $CB13), 0),"")</f>
        <v/>
      </c>
      <c r="CP13" s="77" t="str">
        <f t="array" aca="1" ref="CP13" ca="1">IFERROR(INDEX($BX$3:$BX$738, SMALL(IF(COUNTIF(CP$3, $BY$3:$BY$738), ROW($BX$3:$BX$738)-MIN(ROW($BX$3:$BX$738))+1), $CB13), 0),"")</f>
        <v/>
      </c>
      <c r="CQ13" s="77" t="str">
        <f t="array" aca="1" ref="CQ13" ca="1">IFERROR(INDEX($BX$3:$BX$738, SMALL(IF(COUNTIF(CQ$3, $BY$3:$BY$738), ROW($BX$3:$BX$738)-MIN(ROW($BX$3:$BX$738))+1), $CB13), 0),"")</f>
        <v/>
      </c>
      <c r="CS13" s="77">
        <v>10</v>
      </c>
      <c r="CT13" s="77">
        <v>1</v>
      </c>
      <c r="CV13" s="77" t="str">
        <f t="shared" ca="1" si="10"/>
        <v/>
      </c>
      <c r="CW13" s="77">
        <f t="shared" ca="1" si="13"/>
        <v>0</v>
      </c>
      <c r="CZ13" s="77">
        <v>10</v>
      </c>
      <c r="DA13" s="77" t="str">
        <f t="shared" ca="1" si="14"/>
        <v/>
      </c>
      <c r="DB13" s="77" t="str">
        <f t="shared" ca="1" si="15"/>
        <v/>
      </c>
      <c r="DC13" s="77" t="str">
        <f t="shared" ca="1" si="19"/>
        <v/>
      </c>
      <c r="DD13" s="77" t="str">
        <f t="shared" ca="1" si="17"/>
        <v/>
      </c>
      <c r="DG13" s="77" t="str">
        <f ca="1">IF($DG$2=1,Tournament!T40,"")</f>
        <v/>
      </c>
    </row>
    <row r="14" spans="1:114">
      <c r="A14" s="77">
        <v>12</v>
      </c>
      <c r="B14" s="77" t="str">
        <f>IF(ISERR(FIND(" ",'Player Database'!B14)),'Player Database'!B14,LEFT('Player Database'!B14,1)&amp;"."&amp;RIGHT('Player Database'!B14,LEN('Player Database'!B14)-LEN(LEFT('Player Database'!B14,FIND(" ",'Player Database'!B14)))+1))</f>
        <v>J. César</v>
      </c>
      <c r="C14" s="77" t="str">
        <f>IF(ISERR(FIND(" ",'Player Database'!C14)),'Player Database'!C14,LEFT('Player Database'!C14,1)&amp;"."&amp;RIGHT('Player Database'!C14,LEN('Player Database'!C14)-LEN(LEFT('Player Database'!C14,FIND(" ",'Player Database'!C14)))+1))</f>
        <v>O. Zelenika</v>
      </c>
      <c r="D14" s="77" t="str">
        <f>IF(ISERR(FIND(" ",'Player Database'!D14)),'Player Database'!D14,LEFT('Player Database'!D14,1)&amp;"."&amp;RIGHT('Player Database'!D14,LEN('Player Database'!D14)-LEN(LEFT('Player Database'!D14,FIND(" ",'Player Database'!D14)))+1))</f>
        <v>A. Talavera</v>
      </c>
      <c r="E14" s="77" t="str">
        <f>IF(ISERR(FIND(" ",'Player Database'!E14)),'Player Database'!E14,LEFT('Player Database'!E14,1)&amp;"."&amp;RIGHT('Player Database'!E14,LEN('Player Database'!E14)-LEN(LEFT('Player Database'!E14,FIND(" ",'Player Database'!E14)))+1))</f>
        <v>H. Bedimo</v>
      </c>
      <c r="F14" s="77" t="str">
        <f>IF(ISERR(FIND(" ",'Player Database'!F14)),'Player Database'!F14,LEFT('Player Database'!F14,1)&amp;"."&amp;RIGHT('Player Database'!F14,LEN('Player Database'!F14)-LEN(LEFT('Player Database'!F14,FIND(" ",'Player Database'!F14)))+1))</f>
        <v>D. de Gea</v>
      </c>
      <c r="G14" s="77" t="str">
        <f>IF(ISERR(FIND(" ",'Player Database'!G14)),'Player Database'!G14,LEFT('Player Database'!G14,1)&amp;"."&amp;RIGHT('Player Database'!G14,LEN('Player Database'!G14)-LEN(LEFT('Player Database'!G14,FIND(" ",'Player Database'!G14)))+1))</f>
        <v>P. Verhaegh</v>
      </c>
      <c r="H14" s="77" t="str">
        <f>IF(ISERR(FIND(" ",'Player Database'!H14)),'Player Database'!H14,LEFT('Player Database'!H14,1)&amp;"."&amp;RIGHT('Player Database'!H14,LEN('Player Database'!H14)-LEN(LEFT('Player Database'!H14,FIND(" ",'Player Database'!H14)))+1))</f>
        <v>C. Toselli</v>
      </c>
      <c r="I14" s="77" t="str">
        <f>IF(ISERR(FIND(" ",'Player Database'!I14)),'Player Database'!I14,LEFT('Player Database'!I14,1)&amp;"."&amp;RIGHT('Player Database'!I14,LEN('Player Database'!I14)-LEN(LEFT('Player Database'!I14,FIND(" ",'Player Database'!I14)))+1))</f>
        <v>M. Langerak</v>
      </c>
      <c r="J14" s="77" t="str">
        <f>IF(ISERR(FIND(" ",'Player Database'!J14)),'Player Database'!J14,LEFT('Player Database'!J14,1)&amp;"."&amp;RIGHT('Player Database'!J14,LEN('Player Database'!J14)-LEN(LEFT('Player Database'!J14,FIND(" ",'Player Database'!J14)))+1))</f>
        <v>C. Vargas</v>
      </c>
      <c r="K14" s="77" t="str">
        <f>IF(ISERR(FIND(" ",'Player Database'!K14)),'Player Database'!K14,LEFT('Player Database'!K14,1)&amp;"."&amp;RIGHT('Player Database'!K14,LEN('Player Database'!K14)-LEN(LEFT('Player Database'!K14,FIND(" ",'Player Database'!K14)))+1))</f>
        <v>P. Glykos</v>
      </c>
      <c r="L14" s="77" t="str">
        <f>IF(ISERR(FIND(" ",'Player Database'!L14)),'Player Database'!L14,LEFT('Player Database'!L14,1)&amp;"."&amp;RIGHT('Player Database'!L14,LEN('Player Database'!L14)-LEN(LEFT('Player Database'!L14,FIND(" ",'Player Database'!L14)))+1))</f>
        <v>W. Bony</v>
      </c>
      <c r="M14" s="77" t="str">
        <f>IF(ISERR(FIND(" ",'Player Database'!M14)),'Player Database'!M14,LEFT('Player Database'!M14,1)&amp;"."&amp;RIGHT('Player Database'!M14,LEN('Player Database'!M14)-LEN(LEFT('Player Database'!M14,FIND(" ",'Player Database'!M14)))+1))</f>
        <v>S. Nishikawa</v>
      </c>
      <c r="N14" s="77" t="str">
        <f>IF(ISERR(FIND(" ",'Player Database'!N14)),'Player Database'!N14,LEFT('Player Database'!N14,1)&amp;"."&amp;RIGHT('Player Database'!N14,LEN('Player Database'!N14)-LEN(LEFT('Player Database'!N14,FIND(" ",'Player Database'!N14)))+1))</f>
        <v>R. Muñoz</v>
      </c>
      <c r="O14" s="77" t="str">
        <f>IF(ISERR(FIND(" ",'Player Database'!O14)),'Player Database'!O14,LEFT('Player Database'!O14,1)&amp;"."&amp;RIGHT('Player Database'!O14,LEN('Player Database'!O14)-LEN(LEFT('Player Database'!O14,FIND(" ",'Player Database'!O14)))+1))</f>
        <v>W. Francis</v>
      </c>
      <c r="P14" s="77" t="str">
        <f>IF(ISERR(FIND(" ",'Player Database'!P14)),'Player Database'!P14,LEFT('Player Database'!P14,1)&amp;"."&amp;RIGHT('Player Database'!P14,LEN('Player Database'!P14)-LEN(LEFT('Player Database'!P14,FIND(" ",'Player Database'!P14)))+1))</f>
        <v>C. Smalling</v>
      </c>
      <c r="Q14" s="77" t="str">
        <f>IF(ISERR(FIND(" ",'Player Database'!Q14)),'Player Database'!Q14,LEFT('Player Database'!Q14,1)&amp;"."&amp;RIGHT('Player Database'!Q14,LEN('Player Database'!Q14)-LEN(LEFT('Player Database'!Q14,FIND(" ",'Player Database'!Q14)))+1))</f>
        <v>S. Sirigu</v>
      </c>
      <c r="R14" s="77" t="str">
        <f>IF(ISERR(FIND(" ",'Player Database'!R14)),'Player Database'!R14,LEFT('Player Database'!R14,1)&amp;"."&amp;RIGHT('Player Database'!R14,LEN('Player Database'!R14)-LEN(LEFT('Player Database'!R14,FIND(" ",'Player Database'!R14)))+1))</f>
        <v>Y. Sommer</v>
      </c>
      <c r="S14" s="77" t="str">
        <f>IF(ISERR(FIND(" ",'Player Database'!S14)),'Player Database'!S14,LEFT('Player Database'!S14,1)&amp;"."&amp;RIGHT('Player Database'!S14,LEN('Player Database'!S14)-LEN(LEFT('Player Database'!S14,FIND(" ",'Player Database'!S14)))+1))</f>
        <v>A. Bone</v>
      </c>
      <c r="T14" s="77" t="str">
        <f>IF(ISERR(FIND(" ",'Player Database'!T14)),'Player Database'!T14,LEFT('Player Database'!T14,1)&amp;"."&amp;RIGHT('Player Database'!T14,LEN('Player Database'!T14)-LEN(LEFT('Player Database'!T14,FIND(" ",'Player Database'!T14)))+1))</f>
        <v>R. Mavuba</v>
      </c>
      <c r="U14" s="77" t="str">
        <f>IF(ISERR(FIND(" ",'Player Database'!U14)),'Player Database'!U14,LEFT('Player Database'!U14,1)&amp;"."&amp;RIGHT('Player Database'!U14,LEN('Player Database'!U14)-LEN(LEFT('Player Database'!U14,FIND(" ",'Player Database'!U14)))+1))</f>
        <v>E. Delgado[42]</v>
      </c>
      <c r="V14" s="77" t="str">
        <f>IF(ISERR(FIND(" ",'Player Database'!V14)),'Player Database'!V14,LEFT('Player Database'!V14,1)&amp;"."&amp;RIGHT('Player Database'!V14,LEN('Player Database'!V14)-LEN(LEFT('Player Database'!V14,FIND(" ",'Player Database'!V14)))+1))</f>
        <v>A. Orión</v>
      </c>
      <c r="W14" s="77" t="str">
        <f>IF(ISERR(FIND(" ",'Player Database'!W14)),'Player Database'!W14,LEFT('Player Database'!W14,1)&amp;"."&amp;RIGHT('Player Database'!W14,LEN('Player Database'!W14)-LEN(LEFT('Player Database'!W14,FIND(" ",'Player Database'!W14)))+1))</f>
        <v>J. Fejzić</v>
      </c>
      <c r="X14" s="77" t="str">
        <f>IF(ISERR(FIND(" ",'Player Database'!X14)),'Player Database'!X14,LEFT('Player Database'!X14,1)&amp;"."&amp;RIGHT('Player Database'!X14,LEN('Player Database'!X14)-LEN(LEFT('Player Database'!X14,FIND(" ",'Player Database'!X14)))+1))</f>
        <v>A. Haghighi</v>
      </c>
      <c r="Y14" s="77" t="str">
        <f>IF(ISERR(FIND(" ",'Player Database'!Y14)),'Player Database'!Y14,LEFT('Player Database'!Y14,1)&amp;"."&amp;RIGHT('Player Database'!Y14,LEN('Player Database'!Y14)-LEN(LEFT('Player Database'!Y14,FIND(" ",'Player Database'!Y14)))+1))</f>
        <v>K. Odunlami</v>
      </c>
      <c r="Z14" s="77" t="str">
        <f>IF(ISERR(FIND(" ",'Player Database'!Z14)),'Player Database'!Z14,LEFT('Player Database'!Z14,1)&amp;"."&amp;RIGHT('Player Database'!Z14,LEN('Player Database'!Z14)-LEN(LEFT('Player Database'!Z14,FIND(" ",'Player Database'!Z14)))+1))</f>
        <v>R. Zieler</v>
      </c>
      <c r="AA14" s="77" t="str">
        <f>IF(ISERR(FIND(" ",'Player Database'!AA14)),'Player Database'!AA14,LEFT('Player Database'!AA14,1)&amp;"."&amp;RIGHT('Player Database'!AA14,LEN('Player Database'!AA14)-LEN(LEFT('Player Database'!AA14,FIND(" ",'Player Database'!AA14)))+1))</f>
        <v>R. Patrício</v>
      </c>
      <c r="AB14" s="77" t="str">
        <f>IF(ISERR(FIND(" ",'Player Database'!AB14)),'Player Database'!AB14,LEFT('Player Database'!AB14,1)&amp;"."&amp;RIGHT('Player Database'!AB14,LEN('Player Database'!AB14)-LEN(LEFT('Player Database'!AB14,FIND(" ",'Player Database'!AB14)))+1))</f>
        <v>A. Kwarasey</v>
      </c>
      <c r="AC14" s="77" t="str">
        <f>IF(ISERR(FIND(" ",'Player Database'!AC14)),'Player Database'!AC14,LEFT('Player Database'!AC14,1)&amp;"."&amp;RIGHT('Player Database'!AC14,LEN('Player Database'!AC14)-LEN(LEFT('Player Database'!AC14,FIND(" ",'Player Database'!AC14)))+1))</f>
        <v>B. Guzan</v>
      </c>
      <c r="AD14" s="77" t="str">
        <f>IF(ISERR(FIND(" ",'Player Database'!AD14)),'Player Database'!AD14,LEFT('Player Database'!AD14,1)&amp;"."&amp;RIGHT('Player Database'!AD14,LEN('Player Database'!AD14)-LEN(LEFT('Player Database'!AD14,FIND(" ",'Player Database'!AD14)))+1))</f>
        <v>S. Mignolet</v>
      </c>
      <c r="AE14" s="77" t="str">
        <f>IF(ISERR(FIND(" ",'Player Database'!AE14)),'Player Database'!AE14,LEFT('Player Database'!AE14,1)&amp;"."&amp;RIGHT('Player Database'!AE14,LEN('Player Database'!AE14)-LEN(LEFT('Player Database'!AE14,FIND(" ",'Player Database'!AE14)))+1))</f>
        <v>M. Lacen</v>
      </c>
      <c r="AF14" s="77" t="str">
        <f>IF(ISERR(FIND(" ",'Player Database'!AF14)),'Player Database'!AF14,LEFT('Player Database'!AF14,1)&amp;"."&amp;RIGHT('Player Database'!AF14,LEN('Player Database'!AF14)-LEN(LEFT('Player Database'!AF14,FIND(" ",'Player Database'!AF14)))+1))</f>
        <v>Y. Lodygin</v>
      </c>
      <c r="AG14" s="77" t="str">
        <f>IF(ISERR(FIND(" ",'Player Database'!AG14)),'Player Database'!AG14,LEFT('Player Database'!AG14,1)&amp;"."&amp;RIGHT('Player Database'!AG14,LEN('Player Database'!AG14)-LEN(LEFT('Player Database'!AG14,FIND(" ",'Player Database'!AG14)))+1))</f>
        <v>L. Yong</v>
      </c>
      <c r="AI14" s="77" t="str">
        <f t="shared" ca="1" si="5"/>
        <v/>
      </c>
      <c r="AJ14" s="77" t="str">
        <f t="shared" ca="1" si="5"/>
        <v/>
      </c>
      <c r="AK14" s="77" t="str">
        <f t="shared" ca="1" si="5"/>
        <v/>
      </c>
      <c r="AL14" s="77" t="str">
        <f t="shared" ca="1" si="5"/>
        <v/>
      </c>
      <c r="AM14" s="77" t="str">
        <f t="shared" ca="1" si="5"/>
        <v/>
      </c>
      <c r="AN14" s="77" t="str">
        <f t="shared" ca="1" si="5"/>
        <v/>
      </c>
      <c r="AO14" s="77" t="str">
        <f t="shared" ca="1" si="5"/>
        <v/>
      </c>
      <c r="AP14" s="77" t="str">
        <f t="shared" ca="1" si="5"/>
        <v/>
      </c>
      <c r="AQ14" s="77" t="str">
        <f t="shared" ca="1" si="5"/>
        <v/>
      </c>
      <c r="AR14" s="77" t="str">
        <f t="shared" ca="1" si="5"/>
        <v/>
      </c>
      <c r="AS14" s="77" t="str">
        <f t="shared" ca="1" si="5"/>
        <v/>
      </c>
      <c r="AT14" s="77" t="str">
        <f t="shared" ca="1" si="5"/>
        <v/>
      </c>
      <c r="AU14" s="77" t="str">
        <f t="shared" ca="1" si="5"/>
        <v/>
      </c>
      <c r="AV14" s="77" t="str">
        <f t="shared" ca="1" si="5"/>
        <v/>
      </c>
      <c r="AW14" s="77" t="str">
        <f t="shared" ca="1" si="5"/>
        <v/>
      </c>
      <c r="AX14" s="77" t="str">
        <f t="shared" ca="1" si="5"/>
        <v/>
      </c>
      <c r="AZ14" s="77" t="str">
        <f t="shared" si="6"/>
        <v/>
      </c>
      <c r="BA14" s="77" t="str">
        <f t="shared" si="6"/>
        <v/>
      </c>
      <c r="BB14" s="77" t="str">
        <f t="shared" si="6"/>
        <v/>
      </c>
      <c r="BC14" s="77" t="str">
        <f t="shared" si="6"/>
        <v/>
      </c>
      <c r="BD14" s="77" t="str">
        <f t="shared" si="6"/>
        <v/>
      </c>
      <c r="BE14" s="77" t="str">
        <f t="shared" si="6"/>
        <v/>
      </c>
      <c r="BF14" s="77" t="str">
        <f t="shared" si="6"/>
        <v/>
      </c>
      <c r="BG14" s="77" t="str">
        <f t="shared" si="6"/>
        <v/>
      </c>
      <c r="BI14" s="77" t="str">
        <f t="shared" si="7"/>
        <v/>
      </c>
      <c r="BJ14" s="77" t="str">
        <f t="shared" si="7"/>
        <v/>
      </c>
      <c r="BK14" s="77" t="str">
        <f t="shared" si="7"/>
        <v/>
      </c>
      <c r="BL14" s="77" t="str">
        <f t="shared" si="7"/>
        <v/>
      </c>
      <c r="BN14" s="77" t="str">
        <f t="shared" si="8"/>
        <v/>
      </c>
      <c r="BO14" s="77" t="str">
        <f t="shared" si="8"/>
        <v/>
      </c>
      <c r="BQ14" s="77" t="str">
        <f t="shared" si="9"/>
        <v/>
      </c>
      <c r="BR14" s="77" t="str">
        <f t="shared" si="9"/>
        <v/>
      </c>
      <c r="BT14" s="77" t="str">
        <f t="shared" si="11"/>
        <v>Brazil</v>
      </c>
      <c r="BU14" s="77">
        <f t="shared" si="12"/>
        <v>12</v>
      </c>
      <c r="BW14" s="77">
        <v>1</v>
      </c>
      <c r="BX14" s="77" t="str">
        <f t="shared" si="4"/>
        <v>J. César</v>
      </c>
      <c r="BY14" s="77">
        <f>COUNTIF('Group Stages'!$L$14:$S$110,BX14)+COUNTIF('Knock Out Stages'!$N$41:$U$84,BX14)</f>
        <v>0</v>
      </c>
      <c r="CA14" s="77" t="str">
        <f>'Player Database'!B14</f>
        <v>Júlio César</v>
      </c>
      <c r="CB14" s="77">
        <v>11</v>
      </c>
      <c r="CC14" s="77" t="str">
        <f t="array" aca="1" ref="CC14" ca="1">IFERROR(INDEX($BX$3:$BX$738, SMALL(IF(COUNTIF(CC$3, $BY$3:$BY$738), ROW($BX$3:$BX$738)-MIN(ROW($BX$3:$BX$738))+1), $CB14), 0),"")</f>
        <v/>
      </c>
      <c r="CD14" s="77" t="str">
        <f t="array" aca="1" ref="CD14" ca="1">IFERROR(INDEX($BX$3:$BX$738, SMALL(IF(COUNTIF(CD$3, $BY$3:$BY$738), ROW($BX$3:$BX$738)-MIN(ROW($BX$3:$BX$738))+1), $CB14), 0),"")</f>
        <v/>
      </c>
      <c r="CE14" s="77" t="str">
        <f t="array" aca="1" ref="CE14" ca="1">IFERROR(INDEX($BX$3:$BX$738, SMALL(IF(COUNTIF(CE$3, $BY$3:$BY$738), ROW($BX$3:$BX$738)-MIN(ROW($BX$3:$BX$738))+1), $CB14), 0),"")</f>
        <v/>
      </c>
      <c r="CF14" s="77" t="str">
        <f t="array" aca="1" ref="CF14" ca="1">IFERROR(INDEX($BX$3:$BX$738, SMALL(IF(COUNTIF(CF$3, $BY$3:$BY$738), ROW($BX$3:$BX$738)-MIN(ROW($BX$3:$BX$738))+1), $CB14), 0),"")</f>
        <v/>
      </c>
      <c r="CG14" s="77" t="str">
        <f t="array" aca="1" ref="CG14" ca="1">IFERROR(INDEX($BX$3:$BX$738, SMALL(IF(COUNTIF(CG$3, $BY$3:$BY$738), ROW($BX$3:$BX$738)-MIN(ROW($BX$3:$BX$738))+1), $CB14), 0),"")</f>
        <v/>
      </c>
      <c r="CH14" s="77" t="str">
        <f t="array" aca="1" ref="CH14" ca="1">IFERROR(INDEX($BX$3:$BX$738, SMALL(IF(COUNTIF(CH$3, $BY$3:$BY$738), ROW($BX$3:$BX$738)-MIN(ROW($BX$3:$BX$738))+1), $CB14), 0),"")</f>
        <v/>
      </c>
      <c r="CI14" s="77" t="str">
        <f t="array" aca="1" ref="CI14" ca="1">IFERROR(INDEX($BX$3:$BX$738, SMALL(IF(COUNTIF(CI$3, $BY$3:$BY$738), ROW($BX$3:$BX$738)-MIN(ROW($BX$3:$BX$738))+1), $CB14), 0),"")</f>
        <v/>
      </c>
      <c r="CJ14" s="77" t="str">
        <f t="array" aca="1" ref="CJ14" ca="1">IFERROR(INDEX($BX$3:$BX$738, SMALL(IF(COUNTIF(CJ$3, $BY$3:$BY$738), ROW($BX$3:$BX$738)-MIN(ROW($BX$3:$BX$738))+1), $CB14), 0),"")</f>
        <v/>
      </c>
      <c r="CK14" s="77" t="str">
        <f t="array" aca="1" ref="CK14" ca="1">IFERROR(INDEX($BX$3:$BX$738, SMALL(IF(COUNTIF(CK$3, $BY$3:$BY$738), ROW($BX$3:$BX$738)-MIN(ROW($BX$3:$BX$738))+1), $CB14), 0),"")</f>
        <v/>
      </c>
      <c r="CL14" s="77" t="str">
        <f t="array" aca="1" ref="CL14" ca="1">IFERROR(INDEX($BX$3:$BX$738, SMALL(IF(COUNTIF(CL$3, $BY$3:$BY$738), ROW($BX$3:$BX$738)-MIN(ROW($BX$3:$BX$738))+1), $CB14), 0),"")</f>
        <v/>
      </c>
      <c r="CM14" s="77" t="str">
        <f t="array" aca="1" ref="CM14" ca="1">IFERROR(INDEX($BX$3:$BX$738, SMALL(IF(COUNTIF(CM$3, $BY$3:$BY$738), ROW($BX$3:$BX$738)-MIN(ROW($BX$3:$BX$738))+1), $CB14), 0),"")</f>
        <v/>
      </c>
      <c r="CN14" s="77" t="str">
        <f t="array" aca="1" ref="CN14" ca="1">IFERROR(INDEX($BX$3:$BX$738, SMALL(IF(COUNTIF(CN$3, $BY$3:$BY$738), ROW($BX$3:$BX$738)-MIN(ROW($BX$3:$BX$738))+1), $CB14), 0),"")</f>
        <v/>
      </c>
      <c r="CO14" s="77" t="str">
        <f t="array" aca="1" ref="CO14" ca="1">IFERROR(INDEX($BX$3:$BX$738, SMALL(IF(COUNTIF(CO$3, $BY$3:$BY$738), ROW($BX$3:$BX$738)-MIN(ROW($BX$3:$BX$738))+1), $CB14), 0),"")</f>
        <v/>
      </c>
      <c r="CP14" s="77" t="str">
        <f t="array" aca="1" ref="CP14" ca="1">IFERROR(INDEX($BX$3:$BX$738, SMALL(IF(COUNTIF(CP$3, $BY$3:$BY$738), ROW($BX$3:$BX$738)-MIN(ROW($BX$3:$BX$738))+1), $CB14), 0),"")</f>
        <v/>
      </c>
      <c r="CQ14" s="77" t="str">
        <f t="array" aca="1" ref="CQ14" ca="1">IFERROR(INDEX($BX$3:$BX$738, SMALL(IF(COUNTIF(CQ$3, $BY$3:$BY$738), ROW($BX$3:$BX$738)-MIN(ROW($BX$3:$BX$738))+1), $CB14), 0),"")</f>
        <v/>
      </c>
      <c r="CS14" s="77">
        <v>11</v>
      </c>
      <c r="CT14" s="77">
        <v>1</v>
      </c>
      <c r="CV14" s="77" t="str">
        <f t="shared" ca="1" si="10"/>
        <v/>
      </c>
      <c r="CW14" s="77">
        <f t="shared" ca="1" si="13"/>
        <v>0</v>
      </c>
      <c r="CZ14" s="77">
        <v>11</v>
      </c>
      <c r="DA14" s="77" t="str">
        <f t="shared" ca="1" si="14"/>
        <v/>
      </c>
      <c r="DB14" s="77" t="str">
        <f t="shared" ca="1" si="15"/>
        <v/>
      </c>
      <c r="DC14" s="77" t="str">
        <f t="shared" ca="1" si="19"/>
        <v/>
      </c>
      <c r="DD14" s="77" t="str">
        <f t="shared" ca="1" si="17"/>
        <v/>
      </c>
      <c r="DG14" s="77" t="str">
        <f ca="1">IF($DG$2=1,Tournament!T45,"")</f>
        <v/>
      </c>
    </row>
    <row r="15" spans="1:114">
      <c r="A15" s="77">
        <v>13</v>
      </c>
      <c r="B15" s="77" t="str">
        <f>IF(ISERR(FIND(" ",'Player Database'!B15)),'Player Database'!B15,LEFT('Player Database'!B15,1)&amp;"."&amp;RIGHT('Player Database'!B15,LEN('Player Database'!B15)-LEN(LEFT('Player Database'!B15,FIND(" ",'Player Database'!B15)))+1))</f>
        <v>Dante</v>
      </c>
      <c r="C15" s="77" t="str">
        <f>IF(ISERR(FIND(" ",'Player Database'!C15)),'Player Database'!C15,LEFT('Player Database'!C15,1)&amp;"."&amp;RIGHT('Player Database'!C15,LEN('Player Database'!C15)-LEN(LEFT('Player Database'!C15,FIND(" ",'Player Database'!C15)))+1))</f>
        <v>G. Schildenfeld</v>
      </c>
      <c r="D15" s="77" t="str">
        <f>IF(ISERR(FIND(" ",'Player Database'!D15)),'Player Database'!D15,LEFT('Player Database'!D15,1)&amp;"."&amp;RIGHT('Player Database'!D15,LEN('Player Database'!D15)-LEN(LEFT('Player Database'!D15,FIND(" ",'Player Database'!D15)))+1))</f>
        <v>G. Ochoa</v>
      </c>
      <c r="E15" s="77" t="str">
        <f>IF(ISERR(FIND(" ",'Player Database'!E15)),'Player Database'!E15,LEFT('Player Database'!E15,1)&amp;"."&amp;RIGHT('Player Database'!E15,LEN('Player Database'!E15)-LEN(LEFT('Player Database'!E15,FIND(" ",'Player Database'!E15)))+1))</f>
        <v>M. Choupo-Moting</v>
      </c>
      <c r="F15" s="77" t="str">
        <f>IF(ISERR(FIND(" ",'Player Database'!F15)),'Player Database'!F15,LEFT('Player Database'!F15,1)&amp;"."&amp;RIGHT('Player Database'!F15,LEN('Player Database'!F15)-LEN(LEFT('Player Database'!F15,FIND(" ",'Player Database'!F15)))+1))</f>
        <v>J. Mata</v>
      </c>
      <c r="G15" s="77" t="str">
        <f>IF(ISERR(FIND(" ",'Player Database'!G15)),'Player Database'!G15,LEFT('Player Database'!G15,1)&amp;"."&amp;RIGHT('Player Database'!G15,LEN('Player Database'!G15)-LEN(LEFT('Player Database'!G15,FIND(" ",'Player Database'!G15)))+1))</f>
        <v>J. Veltman</v>
      </c>
      <c r="H15" s="77" t="str">
        <f>IF(ISERR(FIND(" ",'Player Database'!H15)),'Player Database'!H15,LEFT('Player Database'!H15,1)&amp;"."&amp;RIGHT('Player Database'!H15,LEN('Player Database'!H15)-LEN(LEFT('Player Database'!H15,FIND(" ",'Player Database'!H15)))+1))</f>
        <v>J. Rojas</v>
      </c>
      <c r="I15" s="77" t="str">
        <f>IF(ISERR(FIND(" ",'Player Database'!I15)),'Player Database'!I15,LEFT('Player Database'!I15,1)&amp;"."&amp;RIGHT('Player Database'!I15,LEN('Player Database'!I15)-LEN(LEFT('Player Database'!I15,FIND(" ",'Player Database'!I15)))+1))</f>
        <v>O. Bozanić</v>
      </c>
      <c r="J15" s="77" t="str">
        <f>IF(ISERR(FIND(" ",'Player Database'!J15)),'Player Database'!J15,LEFT('Player Database'!J15,1)&amp;"."&amp;RIGHT('Player Database'!J15,LEN('Player Database'!J15)-LEN(LEFT('Player Database'!J15,FIND(" ",'Player Database'!J15)))+1))</f>
        <v>F. Guarín</v>
      </c>
      <c r="K15" s="77" t="str">
        <f>IF(ISERR(FIND(" ",'Player Database'!K15)),'Player Database'!K15,LEFT('Player Database'!K15,1)&amp;"."&amp;RIGHT('Player Database'!K15,LEN('Player Database'!K15)-LEN(LEFT('Player Database'!K15,FIND(" ",'Player Database'!K15)))+1))</f>
        <v>S. Kapino</v>
      </c>
      <c r="L15" s="77" t="str">
        <f>IF(ISERR(FIND(" ",'Player Database'!L15)),'Player Database'!L15,LEFT('Player Database'!L15,1)&amp;"."&amp;RIGHT('Player Database'!L15,LEN('Player Database'!L15)-LEN(LEFT('Player Database'!L15,FIND(" ",'Player Database'!L15)))+1))</f>
        <v>D. Ya Konan</v>
      </c>
      <c r="M15" s="77" t="str">
        <f>IF(ISERR(FIND(" ",'Player Database'!M15)),'Player Database'!M15,LEFT('Player Database'!M15,1)&amp;"."&amp;RIGHT('Player Database'!M15,LEN('Player Database'!M15)-LEN(LEFT('Player Database'!M15,FIND(" ",'Player Database'!M15)))+1))</f>
        <v>Y. Ōkubo</v>
      </c>
      <c r="N15" s="77" t="str">
        <f>IF(ISERR(FIND(" ",'Player Database'!N15)),'Player Database'!N15,LEFT('Player Database'!N15,1)&amp;"."&amp;RIGHT('Player Database'!N15,LEN('Player Database'!N15)-LEN(LEFT('Player Database'!N15,FIND(" ",'Player Database'!N15)))+1))</f>
        <v>J. Fucile</v>
      </c>
      <c r="O15" s="77" t="str">
        <f>IF(ISERR(FIND(" ",'Player Database'!O15)),'Player Database'!O15,LEFT('Player Database'!O15,1)&amp;"."&amp;RIGHT('Player Database'!O15,LEN('Player Database'!O15)-LEN(LEFT('Player Database'!O15,FIND(" ",'Player Database'!O15)))+1))</f>
        <v>E. Granados</v>
      </c>
      <c r="P15" s="77" t="str">
        <f>IF(ISERR(FIND(" ",'Player Database'!P15)),'Player Database'!P15,LEFT('Player Database'!P15,1)&amp;"."&amp;RIGHT('Player Database'!P15,LEN('Player Database'!P15)-LEN(LEFT('Player Database'!P15,FIND(" ",'Player Database'!P15)))+1))</f>
        <v>B. Foster</v>
      </c>
      <c r="Q15" s="77" t="str">
        <f>IF(ISERR(FIND(" ",'Player Database'!Q15)),'Player Database'!Q15,LEFT('Player Database'!Q15,1)&amp;"."&amp;RIGHT('Player Database'!Q15,LEN('Player Database'!Q15)-LEN(LEFT('Player Database'!Q15,FIND(" ",'Player Database'!Q15)))+1))</f>
        <v>M. Perin</v>
      </c>
      <c r="R15" s="77" t="str">
        <f>IF(ISERR(FIND(" ",'Player Database'!R15)),'Player Database'!R15,LEFT('Player Database'!R15,1)&amp;"."&amp;RIGHT('Player Database'!R15,LEN('Player Database'!R15)-LEN(LEFT('Player Database'!R15,FIND(" ",'Player Database'!R15)))+1))</f>
        <v>R. Rodríguez</v>
      </c>
      <c r="S15" s="77" t="str">
        <f>IF(ISERR(FIND(" ",'Player Database'!S15)),'Player Database'!S15,LEFT('Player Database'!S15,1)&amp;"."&amp;RIGHT('Player Database'!S15,LEN('Player Database'!S15)-LEN(LEFT('Player Database'!S15,FIND(" ",'Player Database'!S15)))+1))</f>
        <v>E. Valencia</v>
      </c>
      <c r="T15" s="77" t="str">
        <f>IF(ISERR(FIND(" ",'Player Database'!T15)),'Player Database'!T15,LEFT('Player Database'!T15,1)&amp;"."&amp;RIGHT('Player Database'!T15,LEN('Player Database'!T15)-LEN(LEFT('Player Database'!T15,FIND(" ",'Player Database'!T15)))+1))</f>
        <v>E. Mangala</v>
      </c>
      <c r="U15" s="77" t="str">
        <f>IF(ISERR(FIND(" ",'Player Database'!U15)),'Player Database'!U15,LEFT('Player Database'!U15,1)&amp;"."&amp;RIGHT('Player Database'!U15,LEN('Player Database'!U15)-LEN(LEFT('Player Database'!U15,FIND(" ",'Player Database'!U15)))+1))</f>
        <v>C. Costly</v>
      </c>
      <c r="V15" s="77" t="str">
        <f>IF(ISERR(FIND(" ",'Player Database'!V15)),'Player Database'!V15,LEFT('Player Database'!V15,1)&amp;"."&amp;RIGHT('Player Database'!V15,LEN('Player Database'!V15)-LEN(LEFT('Player Database'!V15,FIND(" ",'Player Database'!V15)))+1))</f>
        <v>A. Fernández</v>
      </c>
      <c r="W15" s="77" t="str">
        <f>IF(ISERR(FIND(" ",'Player Database'!W15)),'Player Database'!W15,LEFT('Player Database'!W15,1)&amp;"."&amp;RIGHT('Player Database'!W15,LEN('Player Database'!W15)-LEN(LEFT('Player Database'!W15,FIND(" ",'Player Database'!W15)))+1))</f>
        <v>M. Mujdža</v>
      </c>
      <c r="X15" s="77" t="str">
        <f>IF(ISERR(FIND(" ",'Player Database'!X15)),'Player Database'!X15,LEFT('Player Database'!X15,1)&amp;"."&amp;RIGHT('Player Database'!X15,LEN('Player Database'!X15)-LEN(LEFT('Player Database'!X15,FIND(" ",'Player Database'!X15)))+1))</f>
        <v>H. Mahini</v>
      </c>
      <c r="Y15" s="77" t="str">
        <f>IF(ISERR(FIND(" ",'Player Database'!Y15)),'Player Database'!Y15,LEFT('Player Database'!Y15,1)&amp;"."&amp;RIGHT('Player Database'!Y15,LEN('Player Database'!Y15)-LEN(LEFT('Player Database'!Y15,FIND(" ",'Player Database'!Y15)))+1))</f>
        <v>J. Oshaniwa</v>
      </c>
      <c r="Z15" s="77" t="str">
        <f>IF(ISERR(FIND(" ",'Player Database'!Z15)),'Player Database'!Z15,LEFT('Player Database'!Z15,1)&amp;"."&amp;RIGHT('Player Database'!Z15,LEN('Player Database'!Z15)-LEN(LEFT('Player Database'!Z15,FIND(" ",'Player Database'!Z15)))+1))</f>
        <v>T. Müller</v>
      </c>
      <c r="AA15" s="77" t="str">
        <f>IF(ISERR(FIND(" ",'Player Database'!AA15)),'Player Database'!AA15,LEFT('Player Database'!AA15,1)&amp;"."&amp;RIGHT('Player Database'!AA15,LEN('Player Database'!AA15)-LEN(LEFT('Player Database'!AA15,FIND(" ",'Player Database'!AA15)))+1))</f>
        <v>R. Costa</v>
      </c>
      <c r="AB15" s="77" t="str">
        <f>IF(ISERR(FIND(" ",'Player Database'!AB15)),'Player Database'!AB15,LEFT('Player Database'!AB15,1)&amp;"."&amp;RIGHT('Player Database'!AB15,LEN('Player Database'!AB15)-LEN(LEFT('Player Database'!AB15,FIND(" ",'Player Database'!AB15)))+1))</f>
        <v>J. Ayew</v>
      </c>
      <c r="AC15" s="77" t="str">
        <f>IF(ISERR(FIND(" ",'Player Database'!AC15)),'Player Database'!AC15,LEFT('Player Database'!AC15,1)&amp;"."&amp;RIGHT('Player Database'!AC15,LEN('Player Database'!AC15)-LEN(LEFT('Player Database'!AC15,FIND(" ",'Player Database'!AC15)))+1))</f>
        <v>J. Jones</v>
      </c>
      <c r="AD15" s="77" t="str">
        <f>IF(ISERR(FIND(" ",'Player Database'!AD15)),'Player Database'!AD15,LEFT('Player Database'!AD15,1)&amp;"."&amp;RIGHT('Player Database'!AD15,LEN('Player Database'!AD15)-LEN(LEFT('Player Database'!AD15,FIND(" ",'Player Database'!AD15)))+1))</f>
        <v>S. Bossut</v>
      </c>
      <c r="AE15" s="77" t="str">
        <f>IF(ISERR(FIND(" ",'Player Database'!AE15)),'Player Database'!AE15,LEFT('Player Database'!AE15,1)&amp;"."&amp;RIGHT('Player Database'!AE15,LEN('Player Database'!AE15)-LEN(LEFT('Player Database'!AE15,FIND(" ",'Player Database'!AE15)))+1))</f>
        <v>I. Slimani</v>
      </c>
      <c r="AF15" s="77" t="str">
        <f>IF(ISERR(FIND(" ",'Player Database'!AF15)),'Player Database'!AF15,LEFT('Player Database'!AF15,1)&amp;"."&amp;RIGHT('Player Database'!AF15,LEN('Player Database'!AF15)-LEN(LEFT('Player Database'!AF15,FIND(" ",'Player Database'!AF15)))+1))</f>
        <v>V. Granat</v>
      </c>
      <c r="AG15" s="77" t="str">
        <f>IF(ISERR(FIND(" ",'Player Database'!AG15)),'Player Database'!AG15,LEFT('Player Database'!AG15,1)&amp;"."&amp;RIGHT('Player Database'!AG15,LEN('Player Database'!AG15)-LEN(LEFT('Player Database'!AG15,FIND(" ",'Player Database'!AG15)))+1))</f>
        <v xml:space="preserve">K. Ja-cheol </v>
      </c>
      <c r="AI15" s="77" t="str">
        <f t="shared" ca="1" si="5"/>
        <v/>
      </c>
      <c r="AJ15" s="77" t="str">
        <f t="shared" ca="1" si="5"/>
        <v/>
      </c>
      <c r="AK15" s="77" t="str">
        <f t="shared" ca="1" si="5"/>
        <v/>
      </c>
      <c r="AL15" s="77" t="str">
        <f t="shared" ca="1" si="5"/>
        <v/>
      </c>
      <c r="AM15" s="77" t="str">
        <f t="shared" ca="1" si="5"/>
        <v/>
      </c>
      <c r="AN15" s="77" t="str">
        <f t="shared" ca="1" si="5"/>
        <v/>
      </c>
      <c r="AO15" s="77" t="str">
        <f t="shared" ca="1" si="5"/>
        <v/>
      </c>
      <c r="AP15" s="77" t="str">
        <f t="shared" ca="1" si="5"/>
        <v/>
      </c>
      <c r="AQ15" s="77" t="str">
        <f t="shared" ca="1" si="5"/>
        <v/>
      </c>
      <c r="AR15" s="77" t="str">
        <f t="shared" ca="1" si="5"/>
        <v/>
      </c>
      <c r="AS15" s="77" t="str">
        <f t="shared" ca="1" si="5"/>
        <v/>
      </c>
      <c r="AT15" s="77" t="str">
        <f t="shared" ca="1" si="5"/>
        <v/>
      </c>
      <c r="AU15" s="77" t="str">
        <f t="shared" ca="1" si="5"/>
        <v/>
      </c>
      <c r="AV15" s="77" t="str">
        <f t="shared" ca="1" si="5"/>
        <v/>
      </c>
      <c r="AW15" s="77" t="str">
        <f t="shared" ca="1" si="5"/>
        <v/>
      </c>
      <c r="AX15" s="77" t="str">
        <f t="shared" ca="1" si="5"/>
        <v/>
      </c>
      <c r="AZ15" s="77" t="str">
        <f t="shared" si="6"/>
        <v/>
      </c>
      <c r="BA15" s="77" t="str">
        <f t="shared" si="6"/>
        <v/>
      </c>
      <c r="BB15" s="77" t="str">
        <f t="shared" si="6"/>
        <v/>
      </c>
      <c r="BC15" s="77" t="str">
        <f t="shared" si="6"/>
        <v/>
      </c>
      <c r="BD15" s="77" t="str">
        <f t="shared" si="6"/>
        <v/>
      </c>
      <c r="BE15" s="77" t="str">
        <f t="shared" si="6"/>
        <v/>
      </c>
      <c r="BF15" s="77" t="str">
        <f t="shared" si="6"/>
        <v/>
      </c>
      <c r="BG15" s="77" t="str">
        <f t="shared" si="6"/>
        <v/>
      </c>
      <c r="BI15" s="77" t="str">
        <f t="shared" si="7"/>
        <v/>
      </c>
      <c r="BJ15" s="77" t="str">
        <f t="shared" si="7"/>
        <v/>
      </c>
      <c r="BK15" s="77" t="str">
        <f t="shared" si="7"/>
        <v/>
      </c>
      <c r="BL15" s="77" t="str">
        <f t="shared" si="7"/>
        <v/>
      </c>
      <c r="BN15" s="77" t="str">
        <f t="shared" si="8"/>
        <v/>
      </c>
      <c r="BO15" s="77" t="str">
        <f t="shared" si="8"/>
        <v/>
      </c>
      <c r="BQ15" s="77" t="str">
        <f t="shared" si="9"/>
        <v/>
      </c>
      <c r="BR15" s="77" t="str">
        <f t="shared" si="9"/>
        <v/>
      </c>
      <c r="BT15" s="77" t="str">
        <f t="shared" si="11"/>
        <v>Brazil</v>
      </c>
      <c r="BU15" s="77">
        <f t="shared" si="12"/>
        <v>13</v>
      </c>
      <c r="BW15" s="77">
        <v>1</v>
      </c>
      <c r="BX15" s="77" t="str">
        <f t="shared" si="4"/>
        <v>Dante</v>
      </c>
      <c r="BY15" s="77">
        <f>COUNTIF('Group Stages'!$L$14:$S$110,BX15)+COUNTIF('Knock Out Stages'!$N$41:$U$84,BX15)</f>
        <v>0</v>
      </c>
      <c r="CA15" s="77" t="str">
        <f>'Player Database'!B15</f>
        <v>Dante</v>
      </c>
      <c r="CB15" s="77">
        <v>12</v>
      </c>
      <c r="CC15" s="77" t="str">
        <f t="array" aca="1" ref="CC15" ca="1">IFERROR(INDEX($BX$3:$BX$738, SMALL(IF(COUNTIF(CC$3, $BY$3:$BY$738), ROW($BX$3:$BX$738)-MIN(ROW($BX$3:$BX$738))+1), $CB15), 0),"")</f>
        <v/>
      </c>
      <c r="CD15" s="77" t="str">
        <f t="array" aca="1" ref="CD15" ca="1">IFERROR(INDEX($BX$3:$BX$738, SMALL(IF(COUNTIF(CD$3, $BY$3:$BY$738), ROW($BX$3:$BX$738)-MIN(ROW($BX$3:$BX$738))+1), $CB15), 0),"")</f>
        <v/>
      </c>
      <c r="CE15" s="77" t="str">
        <f t="array" aca="1" ref="CE15" ca="1">IFERROR(INDEX($BX$3:$BX$738, SMALL(IF(COUNTIF(CE$3, $BY$3:$BY$738), ROW($BX$3:$BX$738)-MIN(ROW($BX$3:$BX$738))+1), $CB15), 0),"")</f>
        <v/>
      </c>
      <c r="CF15" s="77" t="str">
        <f t="array" aca="1" ref="CF15" ca="1">IFERROR(INDEX($BX$3:$BX$738, SMALL(IF(COUNTIF(CF$3, $BY$3:$BY$738), ROW($BX$3:$BX$738)-MIN(ROW($BX$3:$BX$738))+1), $CB15), 0),"")</f>
        <v/>
      </c>
      <c r="CG15" s="77" t="str">
        <f t="array" aca="1" ref="CG15" ca="1">IFERROR(INDEX($BX$3:$BX$738, SMALL(IF(COUNTIF(CG$3, $BY$3:$BY$738), ROW($BX$3:$BX$738)-MIN(ROW($BX$3:$BX$738))+1), $CB15), 0),"")</f>
        <v/>
      </c>
      <c r="CH15" s="77" t="str">
        <f t="array" aca="1" ref="CH15" ca="1">IFERROR(INDEX($BX$3:$BX$738, SMALL(IF(COUNTIF(CH$3, $BY$3:$BY$738), ROW($BX$3:$BX$738)-MIN(ROW($BX$3:$BX$738))+1), $CB15), 0),"")</f>
        <v/>
      </c>
      <c r="CI15" s="77" t="str">
        <f t="array" aca="1" ref="CI15" ca="1">IFERROR(INDEX($BX$3:$BX$738, SMALL(IF(COUNTIF(CI$3, $BY$3:$BY$738), ROW($BX$3:$BX$738)-MIN(ROW($BX$3:$BX$738))+1), $CB15), 0),"")</f>
        <v/>
      </c>
      <c r="CJ15" s="77" t="str">
        <f t="array" aca="1" ref="CJ15" ca="1">IFERROR(INDEX($BX$3:$BX$738, SMALL(IF(COUNTIF(CJ$3, $BY$3:$BY$738), ROW($BX$3:$BX$738)-MIN(ROW($BX$3:$BX$738))+1), $CB15), 0),"")</f>
        <v/>
      </c>
      <c r="CK15" s="77" t="str">
        <f t="array" aca="1" ref="CK15" ca="1">IFERROR(INDEX($BX$3:$BX$738, SMALL(IF(COUNTIF(CK$3, $BY$3:$BY$738), ROW($BX$3:$BX$738)-MIN(ROW($BX$3:$BX$738))+1), $CB15), 0),"")</f>
        <v/>
      </c>
      <c r="CL15" s="77" t="str">
        <f t="array" aca="1" ref="CL15" ca="1">IFERROR(INDEX($BX$3:$BX$738, SMALL(IF(COUNTIF(CL$3, $BY$3:$BY$738), ROW($BX$3:$BX$738)-MIN(ROW($BX$3:$BX$738))+1), $CB15), 0),"")</f>
        <v/>
      </c>
      <c r="CM15" s="77" t="str">
        <f t="array" aca="1" ref="CM15" ca="1">IFERROR(INDEX($BX$3:$BX$738, SMALL(IF(COUNTIF(CM$3, $BY$3:$BY$738), ROW($BX$3:$BX$738)-MIN(ROW($BX$3:$BX$738))+1), $CB15), 0),"")</f>
        <v/>
      </c>
      <c r="CN15" s="77" t="str">
        <f t="array" aca="1" ref="CN15" ca="1">IFERROR(INDEX($BX$3:$BX$738, SMALL(IF(COUNTIF(CN$3, $BY$3:$BY$738), ROW($BX$3:$BX$738)-MIN(ROW($BX$3:$BX$738))+1), $CB15), 0),"")</f>
        <v/>
      </c>
      <c r="CO15" s="77" t="str">
        <f t="array" aca="1" ref="CO15" ca="1">IFERROR(INDEX($BX$3:$BX$738, SMALL(IF(COUNTIF(CO$3, $BY$3:$BY$738), ROW($BX$3:$BX$738)-MIN(ROW($BX$3:$BX$738))+1), $CB15), 0),"")</f>
        <v/>
      </c>
      <c r="CP15" s="77" t="str">
        <f t="array" aca="1" ref="CP15" ca="1">IFERROR(INDEX($BX$3:$BX$738, SMALL(IF(COUNTIF(CP$3, $BY$3:$BY$738), ROW($BX$3:$BX$738)-MIN(ROW($BX$3:$BX$738))+1), $CB15), 0),"")</f>
        <v/>
      </c>
      <c r="CQ15" s="77" t="str">
        <f t="array" aca="1" ref="CQ15" ca="1">IFERROR(INDEX($BX$3:$BX$738, SMALL(IF(COUNTIF(CQ$3, $BY$3:$BY$738), ROW($BX$3:$BX$738)-MIN(ROW($BX$3:$BX$738))+1), $CB15), 0),"")</f>
        <v/>
      </c>
      <c r="CS15" s="77">
        <v>12</v>
      </c>
      <c r="CT15" s="77">
        <v>1</v>
      </c>
      <c r="CV15" s="77" t="str">
        <f t="shared" ca="1" si="10"/>
        <v/>
      </c>
      <c r="CW15" s="77">
        <f t="shared" ca="1" si="13"/>
        <v>0</v>
      </c>
      <c r="CZ15" s="77">
        <v>12</v>
      </c>
      <c r="DA15" s="77" t="str">
        <f t="shared" ca="1" si="14"/>
        <v/>
      </c>
      <c r="DB15" s="77" t="str">
        <f t="shared" ca="1" si="15"/>
        <v/>
      </c>
      <c r="DC15" s="77" t="str">
        <f t="shared" ca="1" si="19"/>
        <v/>
      </c>
      <c r="DD15" s="77" t="str">
        <f t="shared" ca="1" si="17"/>
        <v/>
      </c>
      <c r="DG15" s="77" t="str">
        <f ca="1">IF($DG$2=1,Tournament!T46,"")</f>
        <v/>
      </c>
    </row>
    <row r="16" spans="1:114">
      <c r="A16" s="77">
        <v>14</v>
      </c>
      <c r="B16" s="77" t="str">
        <f>IF(ISERR(FIND(" ",'Player Database'!B16)),'Player Database'!B16,LEFT('Player Database'!B16,1)&amp;"."&amp;RIGHT('Player Database'!B16,LEN('Player Database'!B16)-LEN(LEFT('Player Database'!B16,FIND(" ",'Player Database'!B16)))+1))</f>
        <v>Maxwell</v>
      </c>
      <c r="C16" s="77" t="str">
        <f>IF(ISERR(FIND(" ",'Player Database'!C16)),'Player Database'!C16,LEFT('Player Database'!C16,1)&amp;"."&amp;RIGHT('Player Database'!C16,LEN('Player Database'!C16)-LEN(LEFT('Player Database'!C16,FIND(" ",'Player Database'!C16)))+1))</f>
        <v>M. Brozović</v>
      </c>
      <c r="D16" s="77" t="str">
        <f>IF(ISERR(FIND(" ",'Player Database'!D16)),'Player Database'!D16,LEFT('Player Database'!D16,1)&amp;"."&amp;RIGHT('Player Database'!D16,LEN('Player Database'!D16)-LEN(LEFT('Player Database'!D16,FIND(" ",'Player Database'!D16)))+1))</f>
        <v>J. Hernández</v>
      </c>
      <c r="E16" s="77" t="str">
        <f>IF(ISERR(FIND(" ",'Player Database'!E16)),'Player Database'!E16,LEFT('Player Database'!E16,1)&amp;"."&amp;RIGHT('Player Database'!E16,LEN('Player Database'!E16)-LEN(LEFT('Player Database'!E16,FIND(" ",'Player Database'!E16)))+1))</f>
        <v>A. Chedjou</v>
      </c>
      <c r="F16" s="77" t="str">
        <f>IF(ISERR(FIND(" ",'Player Database'!F16)),'Player Database'!F16,LEFT('Player Database'!F16,1)&amp;"."&amp;RIGHT('Player Database'!F16,LEN('Player Database'!F16)-LEN(LEFT('Player Database'!F16,FIND(" ",'Player Database'!F16)))+1))</f>
        <v>X. Alonso</v>
      </c>
      <c r="G16" s="77" t="str">
        <f>IF(ISERR(FIND(" ",'Player Database'!G16)),'Player Database'!G16,LEFT('Player Database'!G16,1)&amp;"."&amp;RIGHT('Player Database'!G16,LEN('Player Database'!G16)-LEN(LEFT('Player Database'!G16,FIND(" ",'Player Database'!G16)))+1))</f>
        <v>T. Kongolo</v>
      </c>
      <c r="H16" s="77" t="str">
        <f>IF(ISERR(FIND(" ",'Player Database'!H16)),'Player Database'!H16,LEFT('Player Database'!H16,1)&amp;"."&amp;RIGHT('Player Database'!H16,LEN('Player Database'!H16)-LEN(LEFT('Player Database'!H16,FIND(" ",'Player Database'!H16)))+1))</f>
        <v>F. Orellana</v>
      </c>
      <c r="I16" s="77" t="str">
        <f>IF(ISERR(FIND(" ",'Player Database'!I16)),'Player Database'!I16,LEFT('Player Database'!I16,1)&amp;"."&amp;RIGHT('Player Database'!I16,LEN('Player Database'!I16)-LEN(LEFT('Player Database'!I16,FIND(" ",'Player Database'!I16)))+1))</f>
        <v>J. Troisi</v>
      </c>
      <c r="J16" s="77" t="str">
        <f>IF(ISERR(FIND(" ",'Player Database'!J16)),'Player Database'!J16,LEFT('Player Database'!J16,1)&amp;"."&amp;RIGHT('Player Database'!J16,LEN('Player Database'!J16)-LEN(LEFT('Player Database'!J16,FIND(" ",'Player Database'!J16)))+1))</f>
        <v>V. Ibarbo</v>
      </c>
      <c r="K16" s="77" t="str">
        <f>IF(ISERR(FIND(" ",'Player Database'!K16)),'Player Database'!K16,LEFT('Player Database'!K16,1)&amp;"."&amp;RIGHT('Player Database'!K16,LEN('Player Database'!K16)-LEN(LEFT('Player Database'!K16,FIND(" ",'Player Database'!K16)))+1))</f>
        <v>D. Salpingidis</v>
      </c>
      <c r="L16" s="77" t="str">
        <f>IF(ISERR(FIND(" ",'Player Database'!L16)),'Player Database'!L16,LEFT('Player Database'!L16,1)&amp;"."&amp;RIGHT('Player Database'!L16,LEN('Player Database'!L16)-LEN(LEFT('Player Database'!L16,FIND(" ",'Player Database'!L16)))+1))</f>
        <v>I. Diomandé</v>
      </c>
      <c r="M16" s="77" t="str">
        <f>IF(ISERR(FIND(" ",'Player Database'!M16)),'Player Database'!M16,LEFT('Player Database'!M16,1)&amp;"."&amp;RIGHT('Player Database'!M16,LEN('Player Database'!M16)-LEN(LEFT('Player Database'!M16,FIND(" ",'Player Database'!M16)))+1))</f>
        <v>T. Aoyama</v>
      </c>
      <c r="N16" s="77" t="str">
        <f>IF(ISERR(FIND(" ",'Player Database'!N16)),'Player Database'!N16,LEFT('Player Database'!N16,1)&amp;"."&amp;RIGHT('Player Database'!N16,LEN('Player Database'!N16)-LEN(LEFT('Player Database'!N16,FIND(" ",'Player Database'!N16)))+1))</f>
        <v>N. Lodeiro</v>
      </c>
      <c r="O16" s="77" t="str">
        <f>IF(ISERR(FIND(" ",'Player Database'!O16)),'Player Database'!O16,LEFT('Player Database'!O16,1)&amp;"."&amp;RIGHT('Player Database'!O16,LEN('Player Database'!O16)-LEN(LEFT('Player Database'!O16,FIND(" ",'Player Database'!O16)))+1))</f>
        <v>R. Brenes</v>
      </c>
      <c r="P16" s="77" t="str">
        <f>IF(ISERR(FIND(" ",'Player Database'!P16)),'Player Database'!P16,LEFT('Player Database'!P16,1)&amp;"."&amp;RIGHT('Player Database'!P16,LEN('Player Database'!P16)-LEN(LEFT('Player Database'!P16,FIND(" ",'Player Database'!P16)))+1))</f>
        <v>J. Henderson</v>
      </c>
      <c r="Q16" s="77" t="str">
        <f>IF(ISERR(FIND(" ",'Player Database'!Q16)),'Player Database'!Q16,LEFT('Player Database'!Q16,1)&amp;"."&amp;RIGHT('Player Database'!Q16,LEN('Player Database'!Q16)-LEN(LEFT('Player Database'!Q16,FIND(" ",'Player Database'!Q16)))+1))</f>
        <v>A. Aquilani</v>
      </c>
      <c r="R16" s="77" t="str">
        <f>IF(ISERR(FIND(" ",'Player Database'!R16)),'Player Database'!R16,LEFT('Player Database'!R16,1)&amp;"."&amp;RIGHT('Player Database'!R16,LEN('Player Database'!R16)-LEN(LEFT('Player Database'!R16,FIND(" ",'Player Database'!R16)))+1))</f>
        <v>V. Stocker</v>
      </c>
      <c r="S16" s="77" t="str">
        <f>IF(ISERR(FIND(" ",'Player Database'!S16)),'Player Database'!S16,LEFT('Player Database'!S16,1)&amp;"."&amp;RIGHT('Player Database'!S16,LEN('Player Database'!S16)-LEN(LEFT('Player Database'!S16,FIND(" ",'Player Database'!S16)))+1))</f>
        <v>O. Minda</v>
      </c>
      <c r="T16" s="77" t="str">
        <f>IF(ISERR(FIND(" ",'Player Database'!T16)),'Player Database'!T16,LEFT('Player Database'!T16,1)&amp;"."&amp;RIGHT('Player Database'!T16,LEN('Player Database'!T16)-LEN(LEFT('Player Database'!T16,FIND(" ",'Player Database'!T16)))+1))</f>
        <v>B. Matuidi</v>
      </c>
      <c r="U16" s="77" t="str">
        <f>IF(ISERR(FIND(" ",'Player Database'!U16)),'Player Database'!U16,LEFT('Player Database'!U16,1)&amp;"."&amp;RIGHT('Player Database'!U16,LEN('Player Database'!U16)-LEN(LEFT('Player Database'!U16,FIND(" ",'Player Database'!U16)))+1))</f>
        <v>Ó. García</v>
      </c>
      <c r="V16" s="77" t="str">
        <f>IF(ISERR(FIND(" ",'Player Database'!V16)),'Player Database'!V16,LEFT('Player Database'!V16,1)&amp;"."&amp;RIGHT('Player Database'!V16,LEN('Player Database'!V16)-LEN(LEFT('Player Database'!V16,FIND(" ",'Player Database'!V16)))+1))</f>
        <v>J. Mascherano</v>
      </c>
      <c r="W16" s="77" t="str">
        <f>IF(ISERR(FIND(" ",'Player Database'!W16)),'Player Database'!W16,LEFT('Player Database'!W16,1)&amp;"."&amp;RIGHT('Player Database'!W16,LEN('Player Database'!W16)-LEN(LEFT('Player Database'!W16,FIND(" ",'Player Database'!W16)))+1))</f>
        <v>I. Hajrović</v>
      </c>
      <c r="X16" s="77" t="str">
        <f>IF(ISERR(FIND(" ",'Player Database'!X16)),'Player Database'!X16,LEFT('Player Database'!X16,1)&amp;"."&amp;RIGHT('Player Database'!X16,LEN('Player Database'!X16)-LEN(LEFT('Player Database'!X16,FIND(" ",'Player Database'!X16)))+1))</f>
        <v>A. Teymourian</v>
      </c>
      <c r="Y16" s="77" t="str">
        <f>IF(ISERR(FIND(" ",'Player Database'!Y16)),'Player Database'!Y16,LEFT('Player Database'!Y16,1)&amp;"."&amp;RIGHT('Player Database'!Y16,LEN('Player Database'!Y16)-LEN(LEFT('Player Database'!Y16,FIND(" ",'Player Database'!Y16)))+1))</f>
        <v>G. Oboabona</v>
      </c>
      <c r="Z16" s="77" t="str">
        <f>IF(ISERR(FIND(" ",'Player Database'!Z16)),'Player Database'!Z16,LEFT('Player Database'!Z16,1)&amp;"."&amp;RIGHT('Player Database'!Z16,LEN('Player Database'!Z16)-LEN(LEFT('Player Database'!Z16,FIND(" ",'Player Database'!Z16)))+1))</f>
        <v>J. Draxler</v>
      </c>
      <c r="AA16" s="77" t="str">
        <f>IF(ISERR(FIND(" ",'Player Database'!AA16)),'Player Database'!AA16,LEFT('Player Database'!AA16,1)&amp;"."&amp;RIGHT('Player Database'!AA16,LEN('Player Database'!AA16)-LEN(LEFT('Player Database'!AA16,FIND(" ",'Player Database'!AA16)))+1))</f>
        <v>L. Neto</v>
      </c>
      <c r="AB16" s="77" t="str">
        <f>IF(ISERR(FIND(" ",'Player Database'!AB16)),'Player Database'!AB16,LEFT('Player Database'!AB16,1)&amp;"."&amp;RIGHT('Player Database'!AB16,LEN('Player Database'!AB16)-LEN(LEFT('Player Database'!AB16,FIND(" ",'Player Database'!AB16)))+1))</f>
        <v>A. Adomah</v>
      </c>
      <c r="AC16" s="77" t="str">
        <f>IF(ISERR(FIND(" ",'Player Database'!AC16)),'Player Database'!AC16,LEFT('Player Database'!AC16,1)&amp;"."&amp;RIGHT('Player Database'!AC16,LEN('Player Database'!AC16)-LEN(LEFT('Player Database'!AC16,FIND(" ",'Player Database'!AC16)))+1))</f>
        <v>B. Davis</v>
      </c>
      <c r="AD16" s="77" t="str">
        <f>IF(ISERR(FIND(" ",'Player Database'!AD16)),'Player Database'!AD16,LEFT('Player Database'!AD16,1)&amp;"."&amp;RIGHT('Player Database'!AD16,LEN('Player Database'!AD16)-LEN(LEFT('Player Database'!AD16,FIND(" ",'Player Database'!AD16)))+1))</f>
        <v>D. Mertens</v>
      </c>
      <c r="AE16" s="77" t="str">
        <f>IF(ISERR(FIND(" ",'Player Database'!AE16)),'Player Database'!AE16,LEFT('Player Database'!AE16,1)&amp;"."&amp;RIGHT('Player Database'!AE16,LEN('Player Database'!AE16)-LEN(LEFT('Player Database'!AE16,FIND(" ",'Player Database'!AE16)))+1))</f>
        <v>N. Bentaleb</v>
      </c>
      <c r="AF16" s="77" t="str">
        <f>IF(ISERR(FIND(" ",'Player Database'!AF16)),'Player Database'!AF16,LEFT('Player Database'!AF16,1)&amp;"."&amp;RIGHT('Player Database'!AF16,LEN('Player Database'!AF16)-LEN(LEFT('Player Database'!AF16,FIND(" ",'Player Database'!AF16)))+1))</f>
        <v xml:space="preserve">V. Berezutski </v>
      </c>
      <c r="AG16" s="77" t="str">
        <f>IF(ISERR(FIND(" ",'Player Database'!AG16)),'Player Database'!AG16,LEFT('Player Database'!AG16,1)&amp;"."&amp;RIGHT('Player Database'!AG16,LEN('Player Database'!AG16)-LEN(LEFT('Player Database'!AG16,FIND(" ",'Player Database'!AG16)))+1))</f>
        <v>H. Kook-young</v>
      </c>
      <c r="AI16" s="77" t="str">
        <f t="shared" ca="1" si="5"/>
        <v/>
      </c>
      <c r="AJ16" s="77" t="str">
        <f t="shared" ca="1" si="5"/>
        <v/>
      </c>
      <c r="AK16" s="77" t="str">
        <f t="shared" ca="1" si="5"/>
        <v/>
      </c>
      <c r="AL16" s="77" t="str">
        <f t="shared" ca="1" si="5"/>
        <v/>
      </c>
      <c r="AM16" s="77" t="str">
        <f t="shared" ca="1" si="5"/>
        <v/>
      </c>
      <c r="AN16" s="77" t="str">
        <f t="shared" ca="1" si="5"/>
        <v/>
      </c>
      <c r="AO16" s="77" t="str">
        <f t="shared" ca="1" si="5"/>
        <v/>
      </c>
      <c r="AP16" s="77" t="str">
        <f t="shared" ca="1" si="5"/>
        <v/>
      </c>
      <c r="AQ16" s="77" t="str">
        <f t="shared" ca="1" si="5"/>
        <v/>
      </c>
      <c r="AR16" s="77" t="str">
        <f t="shared" ca="1" si="5"/>
        <v/>
      </c>
      <c r="AS16" s="77" t="str">
        <f t="shared" ca="1" si="5"/>
        <v/>
      </c>
      <c r="AT16" s="77" t="str">
        <f t="shared" ca="1" si="5"/>
        <v/>
      </c>
      <c r="AU16" s="77" t="str">
        <f t="shared" ca="1" si="5"/>
        <v/>
      </c>
      <c r="AV16" s="77" t="str">
        <f t="shared" ca="1" si="5"/>
        <v/>
      </c>
      <c r="AW16" s="77" t="str">
        <f t="shared" ca="1" si="5"/>
        <v/>
      </c>
      <c r="AX16" s="77" t="str">
        <f t="shared" ca="1" si="5"/>
        <v/>
      </c>
      <c r="AZ16" s="77" t="str">
        <f t="shared" si="6"/>
        <v/>
      </c>
      <c r="BA16" s="77" t="str">
        <f t="shared" si="6"/>
        <v/>
      </c>
      <c r="BB16" s="77" t="str">
        <f t="shared" si="6"/>
        <v/>
      </c>
      <c r="BC16" s="77" t="str">
        <f t="shared" si="6"/>
        <v/>
      </c>
      <c r="BD16" s="77" t="str">
        <f t="shared" si="6"/>
        <v/>
      </c>
      <c r="BE16" s="77" t="str">
        <f t="shared" si="6"/>
        <v/>
      </c>
      <c r="BF16" s="77" t="str">
        <f t="shared" si="6"/>
        <v/>
      </c>
      <c r="BG16" s="77" t="str">
        <f t="shared" si="6"/>
        <v/>
      </c>
      <c r="BI16" s="77" t="str">
        <f t="shared" si="7"/>
        <v/>
      </c>
      <c r="BJ16" s="77" t="str">
        <f t="shared" si="7"/>
        <v/>
      </c>
      <c r="BK16" s="77" t="str">
        <f t="shared" si="7"/>
        <v/>
      </c>
      <c r="BL16" s="77" t="str">
        <f t="shared" si="7"/>
        <v/>
      </c>
      <c r="BN16" s="77" t="str">
        <f t="shared" si="8"/>
        <v/>
      </c>
      <c r="BO16" s="77" t="str">
        <f t="shared" si="8"/>
        <v/>
      </c>
      <c r="BQ16" s="77" t="str">
        <f t="shared" si="9"/>
        <v/>
      </c>
      <c r="BR16" s="77" t="str">
        <f t="shared" si="9"/>
        <v/>
      </c>
      <c r="BT16" s="77" t="str">
        <f t="shared" si="11"/>
        <v>Brazil</v>
      </c>
      <c r="BU16" s="77">
        <f t="shared" si="12"/>
        <v>14</v>
      </c>
      <c r="BW16" s="77">
        <v>1</v>
      </c>
      <c r="BX16" s="77" t="str">
        <f t="shared" si="4"/>
        <v>Maxwell</v>
      </c>
      <c r="BY16" s="77">
        <f>COUNTIF('Group Stages'!$L$14:$S$110,BX16)+COUNTIF('Knock Out Stages'!$N$41:$U$84,BX16)</f>
        <v>0</v>
      </c>
      <c r="CA16" s="77" t="str">
        <f>'Player Database'!B16</f>
        <v>Maxwell</v>
      </c>
      <c r="CB16" s="77">
        <v>13</v>
      </c>
      <c r="CC16" s="77" t="str">
        <f t="array" aca="1" ref="CC16" ca="1">IFERROR(INDEX($BX$3:$BX$738, SMALL(IF(COUNTIF(CC$3, $BY$3:$BY$738), ROW($BX$3:$BX$738)-MIN(ROW($BX$3:$BX$738))+1), $CB16), 0),"")</f>
        <v/>
      </c>
      <c r="CD16" s="77" t="str">
        <f t="array" aca="1" ref="CD16" ca="1">IFERROR(INDEX($BX$3:$BX$738, SMALL(IF(COUNTIF(CD$3, $BY$3:$BY$738), ROW($BX$3:$BX$738)-MIN(ROW($BX$3:$BX$738))+1), $CB16), 0),"")</f>
        <v/>
      </c>
      <c r="CE16" s="77" t="str">
        <f t="array" aca="1" ref="CE16" ca="1">IFERROR(INDEX($BX$3:$BX$738, SMALL(IF(COUNTIF(CE$3, $BY$3:$BY$738), ROW($BX$3:$BX$738)-MIN(ROW($BX$3:$BX$738))+1), $CB16), 0),"")</f>
        <v/>
      </c>
      <c r="CF16" s="77" t="str">
        <f t="array" aca="1" ref="CF16" ca="1">IFERROR(INDEX($BX$3:$BX$738, SMALL(IF(COUNTIF(CF$3, $BY$3:$BY$738), ROW($BX$3:$BX$738)-MIN(ROW($BX$3:$BX$738))+1), $CB16), 0),"")</f>
        <v/>
      </c>
      <c r="CG16" s="77" t="str">
        <f t="array" aca="1" ref="CG16" ca="1">IFERROR(INDEX($BX$3:$BX$738, SMALL(IF(COUNTIF(CG$3, $BY$3:$BY$738), ROW($BX$3:$BX$738)-MIN(ROW($BX$3:$BX$738))+1), $CB16), 0),"")</f>
        <v/>
      </c>
      <c r="CH16" s="77" t="str">
        <f t="array" aca="1" ref="CH16" ca="1">IFERROR(INDEX($BX$3:$BX$738, SMALL(IF(COUNTIF(CH$3, $BY$3:$BY$738), ROW($BX$3:$BX$738)-MIN(ROW($BX$3:$BX$738))+1), $CB16), 0),"")</f>
        <v/>
      </c>
      <c r="CI16" s="77" t="str">
        <f t="array" aca="1" ref="CI16" ca="1">IFERROR(INDEX($BX$3:$BX$738, SMALL(IF(COUNTIF(CI$3, $BY$3:$BY$738), ROW($BX$3:$BX$738)-MIN(ROW($BX$3:$BX$738))+1), $CB16), 0),"")</f>
        <v/>
      </c>
      <c r="CJ16" s="77" t="str">
        <f t="array" aca="1" ref="CJ16" ca="1">IFERROR(INDEX($BX$3:$BX$738, SMALL(IF(COUNTIF(CJ$3, $BY$3:$BY$738), ROW($BX$3:$BX$738)-MIN(ROW($BX$3:$BX$738))+1), $CB16), 0),"")</f>
        <v/>
      </c>
      <c r="CK16" s="77" t="str">
        <f t="array" aca="1" ref="CK16" ca="1">IFERROR(INDEX($BX$3:$BX$738, SMALL(IF(COUNTIF(CK$3, $BY$3:$BY$738), ROW($BX$3:$BX$738)-MIN(ROW($BX$3:$BX$738))+1), $CB16), 0),"")</f>
        <v/>
      </c>
      <c r="CL16" s="77" t="str">
        <f t="array" aca="1" ref="CL16" ca="1">IFERROR(INDEX($BX$3:$BX$738, SMALL(IF(COUNTIF(CL$3, $BY$3:$BY$738), ROW($BX$3:$BX$738)-MIN(ROW($BX$3:$BX$738))+1), $CB16), 0),"")</f>
        <v/>
      </c>
      <c r="CM16" s="77" t="str">
        <f t="array" aca="1" ref="CM16" ca="1">IFERROR(INDEX($BX$3:$BX$738, SMALL(IF(COUNTIF(CM$3, $BY$3:$BY$738), ROW($BX$3:$BX$738)-MIN(ROW($BX$3:$BX$738))+1), $CB16), 0),"")</f>
        <v/>
      </c>
      <c r="CN16" s="77" t="str">
        <f t="array" aca="1" ref="CN16" ca="1">IFERROR(INDEX($BX$3:$BX$738, SMALL(IF(COUNTIF(CN$3, $BY$3:$BY$738), ROW($BX$3:$BX$738)-MIN(ROW($BX$3:$BX$738))+1), $CB16), 0),"")</f>
        <v/>
      </c>
      <c r="CO16" s="77" t="str">
        <f t="array" aca="1" ref="CO16" ca="1">IFERROR(INDEX($BX$3:$BX$738, SMALL(IF(COUNTIF(CO$3, $BY$3:$BY$738), ROW($BX$3:$BX$738)-MIN(ROW($BX$3:$BX$738))+1), $CB16), 0),"")</f>
        <v/>
      </c>
      <c r="CP16" s="77" t="str">
        <f t="array" aca="1" ref="CP16" ca="1">IFERROR(INDEX($BX$3:$BX$738, SMALL(IF(COUNTIF(CP$3, $BY$3:$BY$738), ROW($BX$3:$BX$738)-MIN(ROW($BX$3:$BX$738))+1), $CB16), 0),"")</f>
        <v/>
      </c>
      <c r="CQ16" s="77" t="str">
        <f t="array" aca="1" ref="CQ16" ca="1">IFERROR(INDEX($BX$3:$BX$738, SMALL(IF(COUNTIF(CQ$3, $BY$3:$BY$738), ROW($BX$3:$BX$738)-MIN(ROW($BX$3:$BX$738))+1), $CB16), 0),"")</f>
        <v/>
      </c>
      <c r="CS16" s="77">
        <v>13</v>
      </c>
      <c r="CT16" s="77">
        <v>1</v>
      </c>
      <c r="CV16" s="77" t="str">
        <f t="shared" ca="1" si="10"/>
        <v/>
      </c>
      <c r="CW16" s="77">
        <f t="shared" ca="1" si="13"/>
        <v>0</v>
      </c>
      <c r="CZ16" s="77">
        <v>13</v>
      </c>
      <c r="DA16" s="77" t="str">
        <f t="shared" ca="1" si="14"/>
        <v/>
      </c>
      <c r="DB16" s="77" t="str">
        <f t="shared" ca="1" si="15"/>
        <v/>
      </c>
      <c r="DC16" s="77" t="str">
        <f t="shared" ca="1" si="19"/>
        <v/>
      </c>
      <c r="DD16" s="77" t="str">
        <f t="shared" ca="1" si="17"/>
        <v/>
      </c>
      <c r="DG16" s="77" t="str">
        <f ca="1">IF($DG$2=1,Tournament!T51,"")</f>
        <v/>
      </c>
    </row>
    <row r="17" spans="1:111">
      <c r="A17" s="77">
        <v>15</v>
      </c>
      <c r="B17" s="77" t="str">
        <f>IF(ISERR(FIND(" ",'Player Database'!B17)),'Player Database'!B17,LEFT('Player Database'!B17,1)&amp;"."&amp;RIGHT('Player Database'!B17,LEN('Player Database'!B17)-LEN(LEFT('Player Database'!B17,FIND(" ",'Player Database'!B17)))+1))</f>
        <v>Henrique</v>
      </c>
      <c r="C17" s="77" t="str">
        <f>IF(ISERR(FIND(" ",'Player Database'!C17)),'Player Database'!C17,LEFT('Player Database'!C17,1)&amp;"."&amp;RIGHT('Player Database'!C17,LEN('Player Database'!C17)-LEN(LEFT('Player Database'!C17,FIND(" ",'Player Database'!C17)))+1))</f>
        <v>M. Badelj</v>
      </c>
      <c r="D17" s="77" t="str">
        <f>IF(ISERR(FIND(" ",'Player Database'!D17)),'Player Database'!D17,LEFT('Player Database'!D17,1)&amp;"."&amp;RIGHT('Player Database'!D17,LEN('Player Database'!D17)-LEN(LEFT('Player Database'!D17,FIND(" ",'Player Database'!D17)))+1))</f>
        <v>H. Moreno</v>
      </c>
      <c r="E17" s="77" t="str">
        <f>IF(ISERR(FIND(" ",'Player Database'!E17)),'Player Database'!E17,LEFT('Player Database'!E17,1)&amp;"."&amp;RIGHT('Player Database'!E17,LEN('Player Database'!E17)-LEN(LEFT('Player Database'!E17,FIND(" ",'Player Database'!E17)))+1))</f>
        <v>P. Webó</v>
      </c>
      <c r="F17" s="77" t="str">
        <f>IF(ISERR(FIND(" ",'Player Database'!F17)),'Player Database'!F17,LEFT('Player Database'!F17,1)&amp;"."&amp;RIGHT('Player Database'!F17,LEN('Player Database'!F17)-LEN(LEFT('Player Database'!F17,FIND(" ",'Player Database'!F17)))+1))</f>
        <v>S. Ramos</v>
      </c>
      <c r="G17" s="77" t="str">
        <f>IF(ISERR(FIND(" ",'Player Database'!G17)),'Player Database'!G17,LEFT('Player Database'!G17,1)&amp;"."&amp;RIGHT('Player Database'!G17,LEN('Player Database'!G17)-LEN(LEFT('Player Database'!G17,FIND(" ",'Player Database'!G17)))+1))</f>
        <v>D. Kuyt</v>
      </c>
      <c r="H17" s="77" t="str">
        <f>IF(ISERR(FIND(" ",'Player Database'!H17)),'Player Database'!H17,LEFT('Player Database'!H17,1)&amp;"."&amp;RIGHT('Player Database'!H17,LEN('Player Database'!H17)-LEN(LEFT('Player Database'!H17,FIND(" ",'Player Database'!H17)))+1))</f>
        <v>J. Beausejour</v>
      </c>
      <c r="I17" s="77" t="str">
        <f>IF(ISERR(FIND(" ",'Player Database'!I17)),'Player Database'!I17,LEFT('Player Database'!I17,1)&amp;"."&amp;RIGHT('Player Database'!I17,LEN('Player Database'!I17)-LEN(LEFT('Player Database'!I17,FIND(" ",'Player Database'!I17)))+1))</f>
        <v xml:space="preserve">M. Jedinak </v>
      </c>
      <c r="J17" s="77" t="str">
        <f>IF(ISERR(FIND(" ",'Player Database'!J17)),'Player Database'!J17,LEFT('Player Database'!J17,1)&amp;"."&amp;RIGHT('Player Database'!J17,LEN('Player Database'!J17)-LEN(LEFT('Player Database'!J17,FIND(" ",'Player Database'!J17)))+1))</f>
        <v>A. Mejía</v>
      </c>
      <c r="K17" s="77" t="str">
        <f>IF(ISERR(FIND(" ",'Player Database'!K17)),'Player Database'!K17,LEFT('Player Database'!K17,1)&amp;"."&amp;RIGHT('Player Database'!K17,LEN('Player Database'!K17)-LEN(LEFT('Player Database'!K17,FIND(" ",'Player Database'!K17)))+1))</f>
        <v>V. Torosidis</v>
      </c>
      <c r="L17" s="77" t="str">
        <f>IF(ISERR(FIND(" ",'Player Database'!L17)),'Player Database'!L17,LEFT('Player Database'!L17,1)&amp;"."&amp;RIGHT('Player Database'!L17,LEN('Player Database'!L17)-LEN(LEFT('Player Database'!L17,FIND(" ",'Player Database'!L17)))+1))</f>
        <v>M. Gradel</v>
      </c>
      <c r="M17" s="77" t="str">
        <f>IF(ISERR(FIND(" ",'Player Database'!M17)),'Player Database'!M17,LEFT('Player Database'!M17,1)&amp;"."&amp;RIGHT('Player Database'!M17,LEN('Player Database'!M17)-LEN(LEFT('Player Database'!M17,FIND(" ",'Player Database'!M17)))+1))</f>
        <v>Y. Konno</v>
      </c>
      <c r="N17" s="77" t="str">
        <f>IF(ISERR(FIND(" ",'Player Database'!N17)),'Player Database'!N17,LEFT('Player Database'!N17,1)&amp;"."&amp;RIGHT('Player Database'!N17,LEN('Player Database'!N17)-LEN(LEFT('Player Database'!N17,FIND(" ",'Player Database'!N17)))+1))</f>
        <v>D. Pérez</v>
      </c>
      <c r="O17" s="77" t="str">
        <f>IF(ISERR(FIND(" ",'Player Database'!O17)),'Player Database'!O17,LEFT('Player Database'!O17,1)&amp;"."&amp;RIGHT('Player Database'!O17,LEN('Player Database'!O17)-LEN(LEFT('Player Database'!O17,FIND(" ",'Player Database'!O17)))+1))</f>
        <v>J. Díaz</v>
      </c>
      <c r="P17" s="77" t="str">
        <f>IF(ISERR(FIND(" ",'Player Database'!P17)),'Player Database'!P17,LEFT('Player Database'!P17,1)&amp;"."&amp;RIGHT('Player Database'!P17,LEN('Player Database'!P17)-LEN(LEFT('Player Database'!P17,FIND(" ",'Player Database'!P17)))+1))</f>
        <v>A. Oxlade-Chamberlain</v>
      </c>
      <c r="Q17" s="77" t="str">
        <f>IF(ISERR(FIND(" ",'Player Database'!Q17)),'Player Database'!Q17,LEFT('Player Database'!Q17,1)&amp;"."&amp;RIGHT('Player Database'!Q17,LEN('Player Database'!Q17)-LEN(LEFT('Player Database'!Q17,FIND(" ",'Player Database'!Q17)))+1))</f>
        <v>A. Barzagli</v>
      </c>
      <c r="R17" s="77" t="str">
        <f>IF(ISERR(FIND(" ",'Player Database'!R17)),'Player Database'!R17,LEFT('Player Database'!R17,1)&amp;"."&amp;RIGHT('Player Database'!R17,LEN('Player Database'!R17)-LEN(LEFT('Player Database'!R17,FIND(" ",'Player Database'!R17)))+1))</f>
        <v>B. Džemaili</v>
      </c>
      <c r="S17" s="77" t="str">
        <f>IF(ISERR(FIND(" ",'Player Database'!S17)),'Player Database'!S17,LEFT('Player Database'!S17,1)&amp;"."&amp;RIGHT('Player Database'!S17,LEN('Player Database'!S17)-LEN(LEFT('Player Database'!S17,FIND(" ",'Player Database'!S17)))+1))</f>
        <v>M. Arroyo</v>
      </c>
      <c r="T17" s="77" t="str">
        <f>IF(ISERR(FIND(" ",'Player Database'!T17)),'Player Database'!T17,LEFT('Player Database'!T17,1)&amp;"."&amp;RIGHT('Player Database'!T17,LEN('Player Database'!T17)-LEN(LEFT('Player Database'!T17,FIND(" ",'Player Database'!T17)))+1))</f>
        <v>B. Sagna</v>
      </c>
      <c r="U17" s="77" t="str">
        <f>IF(ISERR(FIND(" ",'Player Database'!U17)),'Player Database'!U17,LEFT('Player Database'!U17,1)&amp;"."&amp;RIGHT('Player Database'!U17,LEN('Player Database'!U17)-LEN(LEFT('Player Database'!U17,FIND(" ",'Player Database'!U17)))+1))</f>
        <v>R. Espinoza</v>
      </c>
      <c r="V17" s="77" t="str">
        <f>IF(ISERR(FIND(" ",'Player Database'!V17)),'Player Database'!V17,LEFT('Player Database'!V17,1)&amp;"."&amp;RIGHT('Player Database'!V17,LEN('Player Database'!V17)-LEN(LEFT('Player Database'!V17,FIND(" ",'Player Database'!V17)))+1))</f>
        <v>M. Demichelis</v>
      </c>
      <c r="W17" s="77" t="str">
        <f>IF(ISERR(FIND(" ",'Player Database'!W17)),'Player Database'!W17,LEFT('Player Database'!W17,1)&amp;"."&amp;RIGHT('Player Database'!W17,LEN('Player Database'!W17)-LEN(LEFT('Player Database'!W17,FIND(" ",'Player Database'!W17)))+1))</f>
        <v>T. Šunjić</v>
      </c>
      <c r="X17" s="77" t="str">
        <f>IF(ISERR(FIND(" ",'Player Database'!X17)),'Player Database'!X17,LEFT('Player Database'!X17,1)&amp;"."&amp;RIGHT('Player Database'!X17,LEN('Player Database'!X17)-LEN(LEFT('Player Database'!X17,FIND(" ",'Player Database'!X17)))+1))</f>
        <v>P. Montazeri</v>
      </c>
      <c r="Y17" s="77" t="str">
        <f>IF(ISERR(FIND(" ",'Player Database'!Y17)),'Player Database'!Y17,LEFT('Player Database'!Y17,1)&amp;"."&amp;RIGHT('Player Database'!Y17,LEN('Player Database'!Y17)-LEN(LEFT('Player Database'!Y17,FIND(" ",'Player Database'!Y17)))+1))</f>
        <v>R. Azeez</v>
      </c>
      <c r="Z17" s="77" t="str">
        <f>IF(ISERR(FIND(" ",'Player Database'!Z17)),'Player Database'!Z17,LEFT('Player Database'!Z17,1)&amp;"."&amp;RIGHT('Player Database'!Z17,LEN('Player Database'!Z17)-LEN(LEFT('Player Database'!Z17,FIND(" ",'Player Database'!Z17)))+1))</f>
        <v>E. Durm</v>
      </c>
      <c r="AA17" s="77" t="str">
        <f>IF(ISERR(FIND(" ",'Player Database'!AA17)),'Player Database'!AA17,LEFT('Player Database'!AA17,1)&amp;"."&amp;RIGHT('Player Database'!AA17,LEN('Player Database'!AA17)-LEN(LEFT('Player Database'!AA17,FIND(" ",'Player Database'!AA17)))+1))</f>
        <v>R. Silva</v>
      </c>
      <c r="AB17" s="77" t="str">
        <f>IF(ISERR(FIND(" ",'Player Database'!AB17)),'Player Database'!AB17,LEFT('Player Database'!AB17,1)&amp;"."&amp;RIGHT('Player Database'!AB17,LEN('Player Database'!AB17)-LEN(LEFT('Player Database'!AB17,FIND(" ",'Player Database'!AB17)))+1))</f>
        <v>R. Sumaila</v>
      </c>
      <c r="AC17" s="77" t="str">
        <f>IF(ISERR(FIND(" ",'Player Database'!AC17)),'Player Database'!AC17,LEFT('Player Database'!AC17,1)&amp;"."&amp;RIGHT('Player Database'!AC17,LEN('Player Database'!AC17)-LEN(LEFT('Player Database'!AC17,FIND(" ",'Player Database'!AC17)))+1))</f>
        <v>K. Beckerman</v>
      </c>
      <c r="AD17" s="77" t="str">
        <f>IF(ISERR(FIND(" ",'Player Database'!AD17)),'Player Database'!AD17,LEFT('Player Database'!AD17,1)&amp;"."&amp;RIGHT('Player Database'!AD17,LEN('Player Database'!AD17)-LEN(LEFT('Player Database'!AD17,FIND(" ",'Player Database'!AD17)))+1))</f>
        <v>D. Van Buyten</v>
      </c>
      <c r="AE17" s="77" t="str">
        <f>IF(ISERR(FIND(" ",'Player Database'!AE17)),'Player Database'!AE17,LEFT('Player Database'!AE17,1)&amp;"."&amp;RIGHT('Player Database'!AE17,LEN('Player Database'!AE17)-LEN(LEFT('Player Database'!AE17,FIND(" ",'Player Database'!AE17)))+1))</f>
        <v>E. Arbi Hillel Soudani</v>
      </c>
      <c r="AF17" s="77" t="str">
        <f>IF(ISERR(FIND(" ",'Player Database'!AF17)),'Player Database'!AF17,LEFT('Player Database'!AF17,1)&amp;"."&amp;RIGHT('Player Database'!AF17,LEN('Player Database'!AF17)-LEN(LEFT('Player Database'!AF17,FIND(" ",'Player Database'!AF17)))+1))</f>
        <v>P. Mogilevets</v>
      </c>
      <c r="AG17" s="77" t="str">
        <f>IF(ISERR(FIND(" ",'Player Database'!AG17)),'Player Database'!AG17,LEFT('Player Database'!AG17,1)&amp;"."&amp;RIGHT('Player Database'!AG17,LEN('Player Database'!AG17)-LEN(LEFT('Player Database'!AG17,FIND(" ",'Player Database'!AG17)))+1))</f>
        <v>P. Jong-woo</v>
      </c>
      <c r="AI17" s="77" t="str">
        <f t="shared" ca="1" si="5"/>
        <v/>
      </c>
      <c r="AJ17" s="77" t="str">
        <f t="shared" ca="1" si="5"/>
        <v/>
      </c>
      <c r="AK17" s="77" t="str">
        <f t="shared" ca="1" si="5"/>
        <v/>
      </c>
      <c r="AL17" s="77" t="str">
        <f t="shared" ca="1" si="5"/>
        <v/>
      </c>
      <c r="AM17" s="77" t="str">
        <f t="shared" ca="1" si="5"/>
        <v/>
      </c>
      <c r="AN17" s="77" t="str">
        <f t="shared" ca="1" si="5"/>
        <v/>
      </c>
      <c r="AO17" s="77" t="str">
        <f t="shared" ca="1" si="5"/>
        <v/>
      </c>
      <c r="AP17" s="77" t="str">
        <f t="shared" ca="1" si="5"/>
        <v/>
      </c>
      <c r="AQ17" s="77" t="str">
        <f t="shared" ca="1" si="5"/>
        <v/>
      </c>
      <c r="AR17" s="77" t="str">
        <f t="shared" ca="1" si="5"/>
        <v/>
      </c>
      <c r="AS17" s="77" t="str">
        <f t="shared" ca="1" si="5"/>
        <v/>
      </c>
      <c r="AT17" s="77" t="str">
        <f t="shared" ca="1" si="5"/>
        <v/>
      </c>
      <c r="AU17" s="77" t="str">
        <f t="shared" ca="1" si="5"/>
        <v/>
      </c>
      <c r="AV17" s="77" t="str">
        <f t="shared" ca="1" si="5"/>
        <v/>
      </c>
      <c r="AW17" s="77" t="str">
        <f t="shared" ca="1" si="5"/>
        <v/>
      </c>
      <c r="AX17" s="77" t="str">
        <f t="shared" ca="1" si="5"/>
        <v/>
      </c>
      <c r="AZ17" s="77" t="str">
        <f t="shared" si="6"/>
        <v/>
      </c>
      <c r="BA17" s="77" t="str">
        <f t="shared" si="6"/>
        <v/>
      </c>
      <c r="BB17" s="77" t="str">
        <f t="shared" si="6"/>
        <v/>
      </c>
      <c r="BC17" s="77" t="str">
        <f t="shared" si="6"/>
        <v/>
      </c>
      <c r="BD17" s="77" t="str">
        <f t="shared" si="6"/>
        <v/>
      </c>
      <c r="BE17" s="77" t="str">
        <f t="shared" si="6"/>
        <v/>
      </c>
      <c r="BF17" s="77" t="str">
        <f t="shared" si="6"/>
        <v/>
      </c>
      <c r="BG17" s="77" t="str">
        <f t="shared" si="6"/>
        <v/>
      </c>
      <c r="BI17" s="77" t="str">
        <f t="shared" si="7"/>
        <v/>
      </c>
      <c r="BJ17" s="77" t="str">
        <f t="shared" si="7"/>
        <v/>
      </c>
      <c r="BK17" s="77" t="str">
        <f t="shared" si="7"/>
        <v/>
      </c>
      <c r="BL17" s="77" t="str">
        <f t="shared" si="7"/>
        <v/>
      </c>
      <c r="BN17" s="77" t="str">
        <f t="shared" si="8"/>
        <v/>
      </c>
      <c r="BO17" s="77" t="str">
        <f t="shared" si="8"/>
        <v/>
      </c>
      <c r="BQ17" s="77" t="str">
        <f t="shared" si="9"/>
        <v/>
      </c>
      <c r="BR17" s="77" t="str">
        <f t="shared" si="9"/>
        <v/>
      </c>
      <c r="BT17" s="77" t="str">
        <f t="shared" si="11"/>
        <v>Brazil</v>
      </c>
      <c r="BU17" s="77">
        <f t="shared" si="12"/>
        <v>15</v>
      </c>
      <c r="BW17" s="77">
        <v>1</v>
      </c>
      <c r="BX17" s="77" t="str">
        <f t="shared" si="4"/>
        <v>Henrique</v>
      </c>
      <c r="BY17" s="77">
        <f>COUNTIF('Group Stages'!$L$14:$S$110,BX17)+COUNTIF('Knock Out Stages'!$N$41:$U$84,BX17)</f>
        <v>0</v>
      </c>
      <c r="CA17" s="77" t="str">
        <f>'Player Database'!B17</f>
        <v>Henrique</v>
      </c>
      <c r="CB17" s="77">
        <v>14</v>
      </c>
      <c r="CC17" s="77" t="str">
        <f t="array" aca="1" ref="CC17" ca="1">IFERROR(INDEX($BX$3:$BX$738, SMALL(IF(COUNTIF(CC$3, $BY$3:$BY$738), ROW($BX$3:$BX$738)-MIN(ROW($BX$3:$BX$738))+1), $CB17), 0),"")</f>
        <v/>
      </c>
      <c r="CD17" s="77" t="str">
        <f t="array" aca="1" ref="CD17" ca="1">IFERROR(INDEX($BX$3:$BX$738, SMALL(IF(COUNTIF(CD$3, $BY$3:$BY$738), ROW($BX$3:$BX$738)-MIN(ROW($BX$3:$BX$738))+1), $CB17), 0),"")</f>
        <v/>
      </c>
      <c r="CE17" s="77" t="str">
        <f t="array" aca="1" ref="CE17" ca="1">IFERROR(INDEX($BX$3:$BX$738, SMALL(IF(COUNTIF(CE$3, $BY$3:$BY$738), ROW($BX$3:$BX$738)-MIN(ROW($BX$3:$BX$738))+1), $CB17), 0),"")</f>
        <v/>
      </c>
      <c r="CF17" s="77" t="str">
        <f t="array" aca="1" ref="CF17" ca="1">IFERROR(INDEX($BX$3:$BX$738, SMALL(IF(COUNTIF(CF$3, $BY$3:$BY$738), ROW($BX$3:$BX$738)-MIN(ROW($BX$3:$BX$738))+1), $CB17), 0),"")</f>
        <v/>
      </c>
      <c r="CG17" s="77" t="str">
        <f t="array" aca="1" ref="CG17" ca="1">IFERROR(INDEX($BX$3:$BX$738, SMALL(IF(COUNTIF(CG$3, $BY$3:$BY$738), ROW($BX$3:$BX$738)-MIN(ROW($BX$3:$BX$738))+1), $CB17), 0),"")</f>
        <v/>
      </c>
      <c r="CH17" s="77" t="str">
        <f t="array" aca="1" ref="CH17" ca="1">IFERROR(INDEX($BX$3:$BX$738, SMALL(IF(COUNTIF(CH$3, $BY$3:$BY$738), ROW($BX$3:$BX$738)-MIN(ROW($BX$3:$BX$738))+1), $CB17), 0),"")</f>
        <v/>
      </c>
      <c r="CI17" s="77" t="str">
        <f t="array" aca="1" ref="CI17" ca="1">IFERROR(INDEX($BX$3:$BX$738, SMALL(IF(COUNTIF(CI$3, $BY$3:$BY$738), ROW($BX$3:$BX$738)-MIN(ROW($BX$3:$BX$738))+1), $CB17), 0),"")</f>
        <v/>
      </c>
      <c r="CJ17" s="77" t="str">
        <f t="array" aca="1" ref="CJ17" ca="1">IFERROR(INDEX($BX$3:$BX$738, SMALL(IF(COUNTIF(CJ$3, $BY$3:$BY$738), ROW($BX$3:$BX$738)-MIN(ROW($BX$3:$BX$738))+1), $CB17), 0),"")</f>
        <v/>
      </c>
      <c r="CK17" s="77" t="str">
        <f t="array" aca="1" ref="CK17" ca="1">IFERROR(INDEX($BX$3:$BX$738, SMALL(IF(COUNTIF(CK$3, $BY$3:$BY$738), ROW($BX$3:$BX$738)-MIN(ROW($BX$3:$BX$738))+1), $CB17), 0),"")</f>
        <v/>
      </c>
      <c r="CL17" s="77" t="str">
        <f t="array" aca="1" ref="CL17" ca="1">IFERROR(INDEX($BX$3:$BX$738, SMALL(IF(COUNTIF(CL$3, $BY$3:$BY$738), ROW($BX$3:$BX$738)-MIN(ROW($BX$3:$BX$738))+1), $CB17), 0),"")</f>
        <v/>
      </c>
      <c r="CM17" s="77" t="str">
        <f t="array" aca="1" ref="CM17" ca="1">IFERROR(INDEX($BX$3:$BX$738, SMALL(IF(COUNTIF(CM$3, $BY$3:$BY$738), ROW($BX$3:$BX$738)-MIN(ROW($BX$3:$BX$738))+1), $CB17), 0),"")</f>
        <v/>
      </c>
      <c r="CN17" s="77" t="str">
        <f t="array" aca="1" ref="CN17" ca="1">IFERROR(INDEX($BX$3:$BX$738, SMALL(IF(COUNTIF(CN$3, $BY$3:$BY$738), ROW($BX$3:$BX$738)-MIN(ROW($BX$3:$BX$738))+1), $CB17), 0),"")</f>
        <v/>
      </c>
      <c r="CO17" s="77" t="str">
        <f t="array" aca="1" ref="CO17" ca="1">IFERROR(INDEX($BX$3:$BX$738, SMALL(IF(COUNTIF(CO$3, $BY$3:$BY$738), ROW($BX$3:$BX$738)-MIN(ROW($BX$3:$BX$738))+1), $CB17), 0),"")</f>
        <v/>
      </c>
      <c r="CP17" s="77" t="str">
        <f t="array" aca="1" ref="CP17" ca="1">IFERROR(INDEX($BX$3:$BX$738, SMALL(IF(COUNTIF(CP$3, $BY$3:$BY$738), ROW($BX$3:$BX$738)-MIN(ROW($BX$3:$BX$738))+1), $CB17), 0),"")</f>
        <v/>
      </c>
      <c r="CQ17" s="77" t="str">
        <f t="array" aca="1" ref="CQ17" ca="1">IFERROR(INDEX($BX$3:$BX$738, SMALL(IF(COUNTIF(CQ$3, $BY$3:$BY$738), ROW($BX$3:$BX$738)-MIN(ROW($BX$3:$BX$738))+1), $CB17), 0),"")</f>
        <v/>
      </c>
      <c r="CS17" s="77">
        <v>14</v>
      </c>
      <c r="CT17" s="77">
        <v>1</v>
      </c>
      <c r="CV17" s="77" t="str">
        <f t="shared" ca="1" si="10"/>
        <v/>
      </c>
      <c r="CW17" s="77">
        <f t="shared" ca="1" si="13"/>
        <v>0</v>
      </c>
      <c r="CZ17" s="77">
        <v>14</v>
      </c>
      <c r="DA17" s="77" t="str">
        <f t="shared" ca="1" si="14"/>
        <v/>
      </c>
      <c r="DB17" s="77" t="str">
        <f t="shared" ca="1" si="15"/>
        <v/>
      </c>
      <c r="DC17" s="77" t="str">
        <f t="shared" ca="1" si="19"/>
        <v/>
      </c>
      <c r="DD17" s="77" t="str">
        <f t="shared" ca="1" si="17"/>
        <v/>
      </c>
      <c r="DG17" s="77" t="str">
        <f ca="1">IF($DG$2=1,Tournament!T52,"")</f>
        <v/>
      </c>
    </row>
    <row r="18" spans="1:111">
      <c r="A18" s="77">
        <v>16</v>
      </c>
      <c r="B18" s="77" t="str">
        <f>IF(ISERR(FIND(" ",'Player Database'!B18)),'Player Database'!B18,LEFT('Player Database'!B18,1)&amp;"."&amp;RIGHT('Player Database'!B18,LEN('Player Database'!B18)-LEN(LEFT('Player Database'!B18,FIND(" ",'Player Database'!B18)))+1))</f>
        <v>Ramires</v>
      </c>
      <c r="C18" s="77" t="str">
        <f>IF(ISERR(FIND(" ",'Player Database'!C18)),'Player Database'!C18,LEFT('Player Database'!C18,1)&amp;"."&amp;RIGHT('Player Database'!C18,LEN('Player Database'!C18)-LEN(LEFT('Player Database'!C18,FIND(" ",'Player Database'!C18)))+1))</f>
        <v>A. Rebić</v>
      </c>
      <c r="D18" s="77" t="str">
        <f>IF(ISERR(FIND(" ",'Player Database'!D18)),'Player Database'!D18,LEFT('Player Database'!D18,1)&amp;"."&amp;RIGHT('Player Database'!D18,LEN('Player Database'!D18)-LEN(LEFT('Player Database'!D18,FIND(" ",'Player Database'!D18)))+1))</f>
        <v>M. Ángel Ponce</v>
      </c>
      <c r="E18" s="77" t="str">
        <f>IF(ISERR(FIND(" ",'Player Database'!E18)),'Player Database'!E18,LEFT('Player Database'!E18,1)&amp;"."&amp;RIGHT('Player Database'!E18,LEN('Player Database'!E18)-LEN(LEFT('Player Database'!E18,FIND(" ",'Player Database'!E18)))+1))</f>
        <v>C. Itandje</v>
      </c>
      <c r="F18" s="77" t="str">
        <f>IF(ISERR(FIND(" ",'Player Database'!F18)),'Player Database'!F18,LEFT('Player Database'!F18,1)&amp;"."&amp;RIGHT('Player Database'!F18,LEN('Player Database'!F18)-LEN(LEFT('Player Database'!F18,FIND(" ",'Player Database'!F18)))+1))</f>
        <v>S. Busquets</v>
      </c>
      <c r="G18" s="77" t="str">
        <f>IF(ISERR(FIND(" ",'Player Database'!G18)),'Player Database'!G18,LEFT('Player Database'!G18,1)&amp;"."&amp;RIGHT('Player Database'!G18,LEN('Player Database'!G18)-LEN(LEFT('Player Database'!G18,FIND(" ",'Player Database'!G18)))+1))</f>
        <v>J. Clasie</v>
      </c>
      <c r="H18" s="77" t="str">
        <f>IF(ISERR(FIND(" ",'Player Database'!H18)),'Player Database'!H18,LEFT('Player Database'!H18,1)&amp;"."&amp;RIGHT('Player Database'!H18,LEN('Player Database'!H18)-LEN(LEFT('Player Database'!H18,FIND(" ",'Player Database'!H18)))+1))</f>
        <v>F. Gutiérrez</v>
      </c>
      <c r="I18" s="77" t="str">
        <f>IF(ISERR(FIND(" ",'Player Database'!I18)),'Player Database'!I18,LEFT('Player Database'!I18,1)&amp;"."&amp;RIGHT('Player Database'!I18,LEN('Player Database'!I18)-LEN(LEFT('Player Database'!I18,FIND(" ",'Player Database'!I18)))+1))</f>
        <v>J. Holland</v>
      </c>
      <c r="J18" s="77" t="str">
        <f>IF(ISERR(FIND(" ",'Player Database'!J18)),'Player Database'!J18,LEFT('Player Database'!J18,1)&amp;"."&amp;RIGHT('Player Database'!J18,LEN('Player Database'!J18)-LEN(LEFT('Player Database'!J18,FIND(" ",'Player Database'!J18)))+1))</f>
        <v>É. Álvarez Balanta</v>
      </c>
      <c r="K18" s="77" t="str">
        <f>IF(ISERR(FIND(" ",'Player Database'!K18)),'Player Database'!K18,LEFT('Player Database'!K18,1)&amp;"."&amp;RIGHT('Player Database'!K18,LEN('Player Database'!K18)-LEN(LEFT('Player Database'!K18,FIND(" ",'Player Database'!K18)))+1))</f>
        <v>L. Christodoulopoulos</v>
      </c>
      <c r="L18" s="77" t="str">
        <f>IF(ISERR(FIND(" ",'Player Database'!L18)),'Player Database'!L18,LEFT('Player Database'!L18,1)&amp;"."&amp;RIGHT('Player Database'!L18,LEN('Player Database'!L18)-LEN(LEFT('Player Database'!L18,FIND(" ",'Player Database'!L18)))+1))</f>
        <v>S. Gbohouo</v>
      </c>
      <c r="M18" s="77" t="str">
        <f>IF(ISERR(FIND(" ",'Player Database'!M18)),'Player Database'!M18,LEFT('Player Database'!M18,1)&amp;"."&amp;RIGHT('Player Database'!M18,LEN('Player Database'!M18)-LEN(LEFT('Player Database'!M18,FIND(" ",'Player Database'!M18)))+1))</f>
        <v>H. Yamaguchi</v>
      </c>
      <c r="N18" s="77" t="str">
        <f>IF(ISERR(FIND(" ",'Player Database'!N18)),'Player Database'!N18,LEFT('Player Database'!N18,1)&amp;"."&amp;RIGHT('Player Database'!N18,LEN('Player Database'!N18)-LEN(LEFT('Player Database'!N18,FIND(" ",'Player Database'!N18)))+1))</f>
        <v>M. Pereira</v>
      </c>
      <c r="O18" s="77" t="str">
        <f>IF(ISERR(FIND(" ",'Player Database'!O18)),'Player Database'!O18,LEFT('Player Database'!O18,1)&amp;"."&amp;RIGHT('Player Database'!O18,LEN('Player Database'!O18)-LEN(LEFT('Player Database'!O18,FIND(" ",'Player Database'!O18)))+1))</f>
        <v>C. Gamboa</v>
      </c>
      <c r="P18" s="77" t="str">
        <f>IF(ISERR(FIND(" ",'Player Database'!P18)),'Player Database'!P18,LEFT('Player Database'!P18,1)&amp;"."&amp;RIGHT('Player Database'!P18,LEN('Player Database'!P18)-LEN(LEFT('Player Database'!P18,FIND(" ",'Player Database'!P18)))+1))</f>
        <v>P. Jones</v>
      </c>
      <c r="Q18" s="77" t="str">
        <f>IF(ISERR(FIND(" ",'Player Database'!Q18)),'Player Database'!Q18,LEFT('Player Database'!Q18,1)&amp;"."&amp;RIGHT('Player Database'!Q18,LEN('Player Database'!Q18)-LEN(LEFT('Player Database'!Q18,FIND(" ",'Player Database'!Q18)))+1))</f>
        <v>D. De Rossi</v>
      </c>
      <c r="R18" s="77" t="str">
        <f>IF(ISERR(FIND(" ",'Player Database'!R18)),'Player Database'!R18,LEFT('Player Database'!R18,1)&amp;"."&amp;RIGHT('Player Database'!R18,LEN('Player Database'!R18)-LEN(LEFT('Player Database'!R18,FIND(" ",'Player Database'!R18)))+1))</f>
        <v>G. Fernandes</v>
      </c>
      <c r="S18" s="77" t="str">
        <f>IF(ISERR(FIND(" ",'Player Database'!S18)),'Player Database'!S18,LEFT('Player Database'!S18,1)&amp;"."&amp;RIGHT('Player Database'!S18,LEN('Player Database'!S18)-LEN(LEFT('Player Database'!S18,FIND(" ",'Player Database'!S18)))+1))</f>
        <v xml:space="preserve">A. Valencia </v>
      </c>
      <c r="T18" s="77" t="str">
        <f>IF(ISERR(FIND(" ",'Player Database'!T18)),'Player Database'!T18,LEFT('Player Database'!T18,1)&amp;"."&amp;RIGHT('Player Database'!T18,LEN('Player Database'!T18)-LEN(LEFT('Player Database'!T18,FIND(" ",'Player Database'!T18)))+1))</f>
        <v>S. Ruffier[39]</v>
      </c>
      <c r="U18" s="77" t="str">
        <f>IF(ISERR(FIND(" ",'Player Database'!U18)),'Player Database'!U18,LEFT('Player Database'!U18,1)&amp;"."&amp;RIGHT('Player Database'!U18,LEN('Player Database'!U18)-LEN(LEFT('Player Database'!U18,FIND(" ",'Player Database'!U18)))+1))</f>
        <v>R. Martínez</v>
      </c>
      <c r="V18" s="77" t="str">
        <f>IF(ISERR(FIND(" ",'Player Database'!V18)),'Player Database'!V18,LEFT('Player Database'!V18,1)&amp;"."&amp;RIGHT('Player Database'!V18,LEN('Player Database'!V18)-LEN(LEFT('Player Database'!V18,FIND(" ",'Player Database'!V18)))+1))</f>
        <v>M. Rojo</v>
      </c>
      <c r="W18" s="77" t="str">
        <f>IF(ISERR(FIND(" ",'Player Database'!W18)),'Player Database'!W18,LEFT('Player Database'!W18,1)&amp;"."&amp;RIGHT('Player Database'!W18,LEN('Player Database'!W18)-LEN(LEFT('Player Database'!W18,FIND(" ",'Player Database'!W18)))+1))</f>
        <v>S. Lulić</v>
      </c>
      <c r="X18" s="77" t="str">
        <f>IF(ISERR(FIND(" ",'Player Database'!X18)),'Player Database'!X18,LEFT('Player Database'!X18,1)&amp;"."&amp;RIGHT('Player Database'!X18,LEN('Player Database'!X18)-LEN(LEFT('Player Database'!X18,FIND(" ",'Player Database'!X18)))+1))</f>
        <v>R. Ghoochannejhad</v>
      </c>
      <c r="Y18" s="77" t="str">
        <f>IF(ISERR(FIND(" ",'Player Database'!Y18)),'Player Database'!Y18,LEFT('Player Database'!Y18,1)&amp;"."&amp;RIGHT('Player Database'!Y18,LEN('Player Database'!Y18)-LEN(LEFT('Player Database'!Y18,FIND(" ",'Player Database'!Y18)))+1))</f>
        <v>A. Ejide</v>
      </c>
      <c r="Z18" s="77" t="str">
        <f>IF(ISERR(FIND(" ",'Player Database'!Z18)),'Player Database'!Z18,LEFT('Player Database'!Z18,1)&amp;"."&amp;RIGHT('Player Database'!Z18,LEN('Player Database'!Z18)-LEN(LEFT('Player Database'!Z18,FIND(" ",'Player Database'!Z18)))+1))</f>
        <v xml:space="preserve">P. Lahm </v>
      </c>
      <c r="AA18" s="77" t="str">
        <f>IF(ISERR(FIND(" ",'Player Database'!AA18)),'Player Database'!AA18,LEFT('Player Database'!AA18,1)&amp;"."&amp;RIGHT('Player Database'!AA18,LEN('Player Database'!AA18)-LEN(LEFT('Player Database'!AA18,FIND(" ",'Player Database'!AA18)))+1))</f>
        <v>R. Meireles</v>
      </c>
      <c r="AB18" s="77" t="str">
        <f>IF(ISERR(FIND(" ",'Player Database'!AB18)),'Player Database'!AB18,LEFT('Player Database'!AB18,1)&amp;"."&amp;RIGHT('Player Database'!AB18,LEN('Player Database'!AB18)-LEN(LEFT('Player Database'!AB18,FIND(" ",'Player Database'!AB18)))+1))</f>
        <v>F. Dauda</v>
      </c>
      <c r="AC18" s="77" t="str">
        <f>IF(ISERR(FIND(" ",'Player Database'!AC18)),'Player Database'!AC18,LEFT('Player Database'!AC18,1)&amp;"."&amp;RIGHT('Player Database'!AC18,LEN('Player Database'!AC18)-LEN(LEFT('Player Database'!AC18,FIND(" ",'Player Database'!AC18)))+1))</f>
        <v>J. Green</v>
      </c>
      <c r="AD18" s="77" t="str">
        <f>IF(ISERR(FIND(" ",'Player Database'!AD18)),'Player Database'!AD18,LEFT('Player Database'!AD18,1)&amp;"."&amp;RIGHT('Player Database'!AD18,LEN('Player Database'!AD18)-LEN(LEFT('Player Database'!AD18,FIND(" ",'Player Database'!AD18)))+1))</f>
        <v>S. Defour</v>
      </c>
      <c r="AE18" s="77" t="str">
        <f>IF(ISERR(FIND(" ",'Player Database'!AE18)),'Player Database'!AE18,LEFT('Player Database'!AE18,1)&amp;"."&amp;RIGHT('Player Database'!AE18,LEN('Player Database'!AE18)-LEN(LEFT('Player Database'!AE18,FIND(" ",'Player Database'!AE18)))+1))</f>
        <v>M. Zemmamouche</v>
      </c>
      <c r="AF18" s="77" t="str">
        <f>IF(ISERR(FIND(" ",'Player Database'!AF18)),'Player Database'!AF18,LEFT('Player Database'!AF18,1)&amp;"."&amp;RIGHT('Player Database'!AF18,LEN('Player Database'!AF18)-LEN(LEFT('Player Database'!AF18,FIND(" ",'Player Database'!AF18)))+1))</f>
        <v>S. Ryzhikov</v>
      </c>
      <c r="AG18" s="77" t="str">
        <f>IF(ISERR(FIND(" ",'Player Database'!AG18)),'Player Database'!AG18,LEFT('Player Database'!AG18,1)&amp;"."&amp;RIGHT('Player Database'!AG18,LEN('Player Database'!AG18)-LEN(LEFT('Player Database'!AG18,FIND(" ",'Player Database'!AG18)))+1))</f>
        <v>K. Sung-yueng</v>
      </c>
      <c r="AI18" s="77" t="str">
        <f t="shared" ca="1" si="5"/>
        <v/>
      </c>
      <c r="AJ18" s="77" t="str">
        <f t="shared" ca="1" si="5"/>
        <v/>
      </c>
      <c r="AK18" s="77" t="str">
        <f t="shared" ca="1" si="5"/>
        <v/>
      </c>
      <c r="AL18" s="77" t="str">
        <f t="shared" ca="1" si="5"/>
        <v/>
      </c>
      <c r="AM18" s="77" t="str">
        <f t="shared" ca="1" si="5"/>
        <v/>
      </c>
      <c r="AN18" s="77" t="str">
        <f t="shared" ca="1" si="5"/>
        <v/>
      </c>
      <c r="AO18" s="77" t="str">
        <f t="shared" ca="1" si="5"/>
        <v/>
      </c>
      <c r="AP18" s="77" t="str">
        <f t="shared" ca="1" si="5"/>
        <v/>
      </c>
      <c r="AQ18" s="77" t="str">
        <f t="shared" ca="1" si="5"/>
        <v/>
      </c>
      <c r="AR18" s="77" t="str">
        <f t="shared" ca="1" si="5"/>
        <v/>
      </c>
      <c r="AS18" s="77" t="str">
        <f t="shared" ca="1" si="5"/>
        <v/>
      </c>
      <c r="AT18" s="77" t="str">
        <f t="shared" ca="1" si="5"/>
        <v/>
      </c>
      <c r="AU18" s="77" t="str">
        <f t="shared" ca="1" si="5"/>
        <v/>
      </c>
      <c r="AV18" s="77" t="str">
        <f t="shared" ca="1" si="5"/>
        <v/>
      </c>
      <c r="AW18" s="77" t="str">
        <f t="shared" ca="1" si="5"/>
        <v/>
      </c>
      <c r="AX18" s="77" t="str">
        <f t="shared" ca="1" si="5"/>
        <v/>
      </c>
      <c r="AZ18" s="77" t="str">
        <f t="shared" si="6"/>
        <v/>
      </c>
      <c r="BA18" s="77" t="str">
        <f t="shared" si="6"/>
        <v/>
      </c>
      <c r="BB18" s="77" t="str">
        <f t="shared" si="6"/>
        <v/>
      </c>
      <c r="BC18" s="77" t="str">
        <f t="shared" si="6"/>
        <v/>
      </c>
      <c r="BD18" s="77" t="str">
        <f t="shared" si="6"/>
        <v/>
      </c>
      <c r="BE18" s="77" t="str">
        <f t="shared" si="6"/>
        <v/>
      </c>
      <c r="BF18" s="77" t="str">
        <f t="shared" si="6"/>
        <v/>
      </c>
      <c r="BG18" s="77" t="str">
        <f t="shared" si="6"/>
        <v/>
      </c>
      <c r="BI18" s="77" t="str">
        <f t="shared" si="7"/>
        <v/>
      </c>
      <c r="BJ18" s="77" t="str">
        <f t="shared" si="7"/>
        <v/>
      </c>
      <c r="BK18" s="77" t="str">
        <f t="shared" si="7"/>
        <v/>
      </c>
      <c r="BL18" s="77" t="str">
        <f t="shared" si="7"/>
        <v/>
      </c>
      <c r="BN18" s="77" t="str">
        <f t="shared" si="8"/>
        <v/>
      </c>
      <c r="BO18" s="77" t="str">
        <f t="shared" si="8"/>
        <v/>
      </c>
      <c r="BQ18" s="77" t="str">
        <f t="shared" si="9"/>
        <v/>
      </c>
      <c r="BR18" s="77" t="str">
        <f t="shared" si="9"/>
        <v/>
      </c>
      <c r="BT18" s="77" t="str">
        <f t="shared" si="11"/>
        <v>Brazil</v>
      </c>
      <c r="BU18" s="77">
        <f t="shared" si="12"/>
        <v>16</v>
      </c>
      <c r="BW18" s="77">
        <v>1</v>
      </c>
      <c r="BX18" s="77" t="str">
        <f t="shared" si="4"/>
        <v>Ramires</v>
      </c>
      <c r="BY18" s="77">
        <f>COUNTIF('Group Stages'!$L$14:$S$110,BX18)+COUNTIF('Knock Out Stages'!$N$41:$U$84,BX18)</f>
        <v>0</v>
      </c>
      <c r="CA18" s="77" t="str">
        <f>'Player Database'!B18</f>
        <v>Ramires</v>
      </c>
      <c r="CB18" s="77">
        <v>15</v>
      </c>
      <c r="CC18" s="77" t="str">
        <f t="array" aca="1" ref="CC18" ca="1">IFERROR(INDEX($BX$3:$BX$738, SMALL(IF(COUNTIF(CC$3, $BY$3:$BY$738), ROW($BX$3:$BX$738)-MIN(ROW($BX$3:$BX$738))+1), $CB18), 0),"")</f>
        <v/>
      </c>
      <c r="CD18" s="77" t="str">
        <f t="array" aca="1" ref="CD18" ca="1">IFERROR(INDEX($BX$3:$BX$738, SMALL(IF(COUNTIF(CD$3, $BY$3:$BY$738), ROW($BX$3:$BX$738)-MIN(ROW($BX$3:$BX$738))+1), $CB18), 0),"")</f>
        <v/>
      </c>
      <c r="CE18" s="77" t="str">
        <f t="array" aca="1" ref="CE18" ca="1">IFERROR(INDEX($BX$3:$BX$738, SMALL(IF(COUNTIF(CE$3, $BY$3:$BY$738), ROW($BX$3:$BX$738)-MIN(ROW($BX$3:$BX$738))+1), $CB18), 0),"")</f>
        <v/>
      </c>
      <c r="CF18" s="77" t="str">
        <f t="array" aca="1" ref="CF18" ca="1">IFERROR(INDEX($BX$3:$BX$738, SMALL(IF(COUNTIF(CF$3, $BY$3:$BY$738), ROW($BX$3:$BX$738)-MIN(ROW($BX$3:$BX$738))+1), $CB18), 0),"")</f>
        <v/>
      </c>
      <c r="CG18" s="77" t="str">
        <f t="array" aca="1" ref="CG18" ca="1">IFERROR(INDEX($BX$3:$BX$738, SMALL(IF(COUNTIF(CG$3, $BY$3:$BY$738), ROW($BX$3:$BX$738)-MIN(ROW($BX$3:$BX$738))+1), $CB18), 0),"")</f>
        <v/>
      </c>
      <c r="CH18" s="77" t="str">
        <f t="array" aca="1" ref="CH18" ca="1">IFERROR(INDEX($BX$3:$BX$738, SMALL(IF(COUNTIF(CH$3, $BY$3:$BY$738), ROW($BX$3:$BX$738)-MIN(ROW($BX$3:$BX$738))+1), $CB18), 0),"")</f>
        <v/>
      </c>
      <c r="CI18" s="77" t="str">
        <f t="array" aca="1" ref="CI18" ca="1">IFERROR(INDEX($BX$3:$BX$738, SMALL(IF(COUNTIF(CI$3, $BY$3:$BY$738), ROW($BX$3:$BX$738)-MIN(ROW($BX$3:$BX$738))+1), $CB18), 0),"")</f>
        <v/>
      </c>
      <c r="CJ18" s="77" t="str">
        <f t="array" aca="1" ref="CJ18" ca="1">IFERROR(INDEX($BX$3:$BX$738, SMALL(IF(COUNTIF(CJ$3, $BY$3:$BY$738), ROW($BX$3:$BX$738)-MIN(ROW($BX$3:$BX$738))+1), $CB18), 0),"")</f>
        <v/>
      </c>
      <c r="CK18" s="77" t="str">
        <f t="array" aca="1" ref="CK18" ca="1">IFERROR(INDEX($BX$3:$BX$738, SMALL(IF(COUNTIF(CK$3, $BY$3:$BY$738), ROW($BX$3:$BX$738)-MIN(ROW($BX$3:$BX$738))+1), $CB18), 0),"")</f>
        <v/>
      </c>
      <c r="CL18" s="77" t="str">
        <f t="array" aca="1" ref="CL18" ca="1">IFERROR(INDEX($BX$3:$BX$738, SMALL(IF(COUNTIF(CL$3, $BY$3:$BY$738), ROW($BX$3:$BX$738)-MIN(ROW($BX$3:$BX$738))+1), $CB18), 0),"")</f>
        <v/>
      </c>
      <c r="CM18" s="77" t="str">
        <f t="array" aca="1" ref="CM18" ca="1">IFERROR(INDEX($BX$3:$BX$738, SMALL(IF(COUNTIF(CM$3, $BY$3:$BY$738), ROW($BX$3:$BX$738)-MIN(ROW($BX$3:$BX$738))+1), $CB18), 0),"")</f>
        <v/>
      </c>
      <c r="CN18" s="77" t="str">
        <f t="array" aca="1" ref="CN18" ca="1">IFERROR(INDEX($BX$3:$BX$738, SMALL(IF(COUNTIF(CN$3, $BY$3:$BY$738), ROW($BX$3:$BX$738)-MIN(ROW($BX$3:$BX$738))+1), $CB18), 0),"")</f>
        <v/>
      </c>
      <c r="CO18" s="77" t="str">
        <f t="array" aca="1" ref="CO18" ca="1">IFERROR(INDEX($BX$3:$BX$738, SMALL(IF(COUNTIF(CO$3, $BY$3:$BY$738), ROW($BX$3:$BX$738)-MIN(ROW($BX$3:$BX$738))+1), $CB18), 0),"")</f>
        <v/>
      </c>
      <c r="CP18" s="77" t="str">
        <f t="array" aca="1" ref="CP18" ca="1">IFERROR(INDEX($BX$3:$BX$738, SMALL(IF(COUNTIF(CP$3, $BY$3:$BY$738), ROW($BX$3:$BX$738)-MIN(ROW($BX$3:$BX$738))+1), $CB18), 0),"")</f>
        <v/>
      </c>
      <c r="CQ18" s="77" t="str">
        <f t="array" aca="1" ref="CQ18" ca="1">IFERROR(INDEX($BX$3:$BX$738, SMALL(IF(COUNTIF(CQ$3, $BY$3:$BY$738), ROW($BX$3:$BX$738)-MIN(ROW($BX$3:$BX$738))+1), $CB18), 0),"")</f>
        <v/>
      </c>
      <c r="CS18" s="77">
        <v>15</v>
      </c>
      <c r="CT18" s="77">
        <v>1</v>
      </c>
      <c r="CV18" s="77" t="str">
        <f t="shared" ca="1" si="10"/>
        <v/>
      </c>
      <c r="CW18" s="77">
        <f t="shared" ca="1" si="13"/>
        <v>0</v>
      </c>
      <c r="CZ18" s="77">
        <v>15</v>
      </c>
      <c r="DA18" s="77" t="str">
        <f t="shared" ca="1" si="14"/>
        <v/>
      </c>
      <c r="DB18" s="77" t="str">
        <f t="shared" ca="1" si="15"/>
        <v/>
      </c>
      <c r="DC18" s="77" t="str">
        <f t="shared" ca="1" si="19"/>
        <v/>
      </c>
      <c r="DD18" s="77" t="str">
        <f t="shared" ca="1" si="17"/>
        <v/>
      </c>
      <c r="DG18" s="77" t="str">
        <f ca="1">IF($DG$2=1,Tournament!T57,"")</f>
        <v/>
      </c>
    </row>
    <row r="19" spans="1:111">
      <c r="A19" s="77">
        <v>17</v>
      </c>
      <c r="B19" s="77" t="str">
        <f>IF(ISERR(FIND(" ",'Player Database'!B19)),'Player Database'!B19,LEFT('Player Database'!B19,1)&amp;"."&amp;RIGHT('Player Database'!B19,LEN('Player Database'!B19)-LEN(LEFT('Player Database'!B19,FIND(" ",'Player Database'!B19)))+1))</f>
        <v>L. Gustavo</v>
      </c>
      <c r="C19" s="77" t="str">
        <f>IF(ISERR(FIND(" ",'Player Database'!C19)),'Player Database'!C19,LEFT('Player Database'!C19,1)&amp;"."&amp;RIGHT('Player Database'!C19,LEN('Player Database'!C19)-LEN(LEFT('Player Database'!C19,FIND(" ",'Player Database'!C19)))+1))</f>
        <v>M. Mandžukić</v>
      </c>
      <c r="D19" s="77" t="str">
        <f>IF(ISERR(FIND(" ",'Player Database'!D19)),'Player Database'!D19,LEFT('Player Database'!D19,1)&amp;"."&amp;RIGHT('Player Database'!D19,LEN('Player Database'!D19)-LEN(LEFT('Player Database'!D19,FIND(" ",'Player Database'!D19)))+1))</f>
        <v>I. Brizuela</v>
      </c>
      <c r="E19" s="77" t="str">
        <f>IF(ISERR(FIND(" ",'Player Database'!E19)),'Player Database'!E19,LEFT('Player Database'!E19,1)&amp;"."&amp;RIGHT('Player Database'!E19,LEN('Player Database'!E19)-LEN(LEFT('Player Database'!E19,FIND(" ",'Player Database'!E19)))+1))</f>
        <v>S. Mbia</v>
      </c>
      <c r="F19" s="77" t="str">
        <f>IF(ISERR(FIND(" ",'Player Database'!F19)),'Player Database'!F19,LEFT('Player Database'!F19,1)&amp;"."&amp;RIGHT('Player Database'!F19,LEN('Player Database'!F19)-LEN(LEFT('Player Database'!F19,FIND(" ",'Player Database'!F19)))+1))</f>
        <v>Koke</v>
      </c>
      <c r="G19" s="77" t="str">
        <f>IF(ISERR(FIND(" ",'Player Database'!G19)),'Player Database'!G19,LEFT('Player Database'!G19,1)&amp;"."&amp;RIGHT('Player Database'!G19,LEN('Player Database'!G19)-LEN(LEFT('Player Database'!G19,FIND(" ",'Player Database'!G19)))+1))</f>
        <v>J. Lens</v>
      </c>
      <c r="H19" s="77" t="str">
        <f>IF(ISERR(FIND(" ",'Player Database'!H19)),'Player Database'!H19,LEFT('Player Database'!H19,1)&amp;"."&amp;RIGHT('Player Database'!H19,LEN('Player Database'!H19)-LEN(LEFT('Player Database'!H19,FIND(" ",'Player Database'!H19)))+1))</f>
        <v>G. Medel</v>
      </c>
      <c r="I19" s="77" t="str">
        <f>IF(ISERR(FIND(" ",'Player Database'!I19)),'Player Database'!I19,LEFT('Player Database'!I19,1)&amp;"."&amp;RIGHT('Player Database'!I19,LEN('Player Database'!I19)-LEN(LEFT('Player Database'!I19,FIND(" ",'Player Database'!I19)))+1))</f>
        <v>M. McKay</v>
      </c>
      <c r="J19" s="77" t="str">
        <f>IF(ISERR(FIND(" ",'Player Database'!J19)),'Player Database'!J19,LEFT('Player Database'!J19,1)&amp;"."&amp;RIGHT('Player Database'!J19,LEN('Player Database'!J19)-LEN(LEFT('Player Database'!J19,FIND(" ",'Player Database'!J19)))+1))</f>
        <v>C. Bacca</v>
      </c>
      <c r="K19" s="77" t="str">
        <f>IF(ISERR(FIND(" ",'Player Database'!K19)),'Player Database'!K19,LEFT('Player Database'!K19,1)&amp;"."&amp;RIGHT('Player Database'!K19,LEN('Player Database'!K19)-LEN(LEFT('Player Database'!K19,FIND(" ",'Player Database'!K19)))+1))</f>
        <v>T. Gekas</v>
      </c>
      <c r="L19" s="77" t="str">
        <f>IF(ISERR(FIND(" ",'Player Database'!L19)),'Player Database'!L19,LEFT('Player Database'!L19,1)&amp;"."&amp;RIGHT('Player Database'!L19,LEN('Player Database'!L19)-LEN(LEFT('Player Database'!L19,FIND(" ",'Player Database'!L19)))+1))</f>
        <v>S. Aurier</v>
      </c>
      <c r="M19" s="77" t="str">
        <f>IF(ISERR(FIND(" ",'Player Database'!M19)),'Player Database'!M19,LEFT('Player Database'!M19,1)&amp;"."&amp;RIGHT('Player Database'!M19,LEN('Player Database'!M19)-LEN(LEFT('Player Database'!M19,FIND(" ",'Player Database'!M19)))+1))</f>
        <v xml:space="preserve">M. Hasebe </v>
      </c>
      <c r="N19" s="77" t="str">
        <f>IF(ISERR(FIND(" ",'Player Database'!N19)),'Player Database'!N19,LEFT('Player Database'!N19,1)&amp;"."&amp;RIGHT('Player Database'!N19,LEN('Player Database'!N19)-LEN(LEFT('Player Database'!N19,FIND(" ",'Player Database'!N19)))+1))</f>
        <v>E. Arévalo Ríos</v>
      </c>
      <c r="O19" s="77" t="str">
        <f>IF(ISERR(FIND(" ",'Player Database'!O19)),'Player Database'!O19,LEFT('Player Database'!O19,1)&amp;"."&amp;RIGHT('Player Database'!O19,LEN('Player Database'!O19)-LEN(LEFT('Player Database'!O19,FIND(" ",'Player Database'!O19)))+1))</f>
        <v>Y. Tejeda</v>
      </c>
      <c r="P19" s="77" t="str">
        <f>IF(ISERR(FIND(" ",'Player Database'!P19)),'Player Database'!P19,LEFT('Player Database'!P19,1)&amp;"."&amp;RIGHT('Player Database'!P19,LEN('Player Database'!P19)-LEN(LEFT('Player Database'!P19,FIND(" ",'Player Database'!P19)))+1))</f>
        <v>J. Milner</v>
      </c>
      <c r="Q19" s="77" t="str">
        <f>IF(ISERR(FIND(" ",'Player Database'!Q19)),'Player Database'!Q19,LEFT('Player Database'!Q19,1)&amp;"."&amp;RIGHT('Player Database'!Q19,LEN('Player Database'!Q19)-LEN(LEFT('Player Database'!Q19,FIND(" ",'Player Database'!Q19)))+1))</f>
        <v>C. Immobile</v>
      </c>
      <c r="R19" s="77" t="str">
        <f>IF(ISERR(FIND(" ",'Player Database'!R19)),'Player Database'!R19,LEFT('Player Database'!R19,1)&amp;"."&amp;RIGHT('Player Database'!R19,LEN('Player Database'!R19)-LEN(LEFT('Player Database'!R19,FIND(" ",'Player Database'!R19)))+1))</f>
        <v>M. Gavranović</v>
      </c>
      <c r="S19" s="77" t="str">
        <f>IF(ISERR(FIND(" ",'Player Database'!S19)),'Player Database'!S19,LEFT('Player Database'!S19,1)&amp;"."&amp;RIGHT('Player Database'!S19,LEN('Player Database'!S19)-LEN(LEFT('Player Database'!S19,FIND(" ",'Player Database'!S19)))+1))</f>
        <v>J. Ayoví</v>
      </c>
      <c r="T19" s="77" t="str">
        <f>IF(ISERR(FIND(" ",'Player Database'!T19)),'Player Database'!T19,LEFT('Player Database'!T19,1)&amp;"."&amp;RIGHT('Player Database'!T19,LEN('Player Database'!T19)-LEN(LEFT('Player Database'!T19,FIND(" ",'Player Database'!T19)))+1))</f>
        <v>L. Digne</v>
      </c>
      <c r="U19" s="77" t="str">
        <f>IF(ISERR(FIND(" ",'Player Database'!U19)),'Player Database'!U19,LEFT('Player Database'!U19,1)&amp;"."&amp;RIGHT('Player Database'!U19,LEN('Player Database'!U19)-LEN(LEFT('Player Database'!U19,FIND(" ",'Player Database'!U19)))+1))</f>
        <v>M. Chávez</v>
      </c>
      <c r="V19" s="77" t="str">
        <f>IF(ISERR(FIND(" ",'Player Database'!V19)),'Player Database'!V19,LEFT('Player Database'!V19,1)&amp;"."&amp;RIGHT('Player Database'!V19,LEN('Player Database'!V19)-LEN(LEFT('Player Database'!V19,FIND(" ",'Player Database'!V19)))+1))</f>
        <v>F. Fernández</v>
      </c>
      <c r="W19" s="77" t="str">
        <f>IF(ISERR(FIND(" ",'Player Database'!W19)),'Player Database'!W19,LEFT('Player Database'!W19,1)&amp;"."&amp;RIGHT('Player Database'!W19,LEN('Player Database'!W19)-LEN(LEFT('Player Database'!W19,FIND(" ",'Player Database'!W19)))+1))</f>
        <v>S. Ibričić</v>
      </c>
      <c r="X19" s="77" t="str">
        <f>IF(ISERR(FIND(" ",'Player Database'!X19)),'Player Database'!X19,LEFT('Player Database'!X19,1)&amp;"."&amp;RIGHT('Player Database'!X19,LEN('Player Database'!X19)-LEN(LEFT('Player Database'!X19,FIND(" ",'Player Database'!X19)))+1))</f>
        <v>A. Alenemeh</v>
      </c>
      <c r="Y19" s="77" t="str">
        <f>IF(ISERR(FIND(" ",'Player Database'!Y19)),'Player Database'!Y19,LEFT('Player Database'!Y19,1)&amp;"."&amp;RIGHT('Player Database'!Y19,LEN('Player Database'!Y19)-LEN(LEFT('Player Database'!Y19,FIND(" ",'Player Database'!Y19)))+1))</f>
        <v>O. Onazi</v>
      </c>
      <c r="Z19" s="77" t="str">
        <f>IF(ISERR(FIND(" ",'Player Database'!Z19)),'Player Database'!Z19,LEFT('Player Database'!Z19,1)&amp;"."&amp;RIGHT('Player Database'!Z19,LEN('Player Database'!Z19)-LEN(LEFT('Player Database'!Z19,FIND(" ",'Player Database'!Z19)))+1))</f>
        <v>P. Mertesacker</v>
      </c>
      <c r="AA19" s="77" t="str">
        <f>IF(ISERR(FIND(" ",'Player Database'!AA19)),'Player Database'!AA19,LEFT('Player Database'!AA19,1)&amp;"."&amp;RIGHT('Player Database'!AA19,LEN('Player Database'!AA19)-LEN(LEFT('Player Database'!AA19,FIND(" ",'Player Database'!AA19)))+1))</f>
        <v>Nani</v>
      </c>
      <c r="AB19" s="77" t="str">
        <f>IF(ISERR(FIND(" ",'Player Database'!AB19)),'Player Database'!AB19,LEFT('Player Database'!AB19,1)&amp;"."&amp;RIGHT('Player Database'!AB19,LEN('Player Database'!AB19)-LEN(LEFT('Player Database'!AB19,FIND(" ",'Player Database'!AB19)))+1))</f>
        <v>M. Rabiu</v>
      </c>
      <c r="AC19" s="77" t="str">
        <f>IF(ISERR(FIND(" ",'Player Database'!AC19)),'Player Database'!AC19,LEFT('Player Database'!AC19,1)&amp;"."&amp;RIGHT('Player Database'!AC19,LEN('Player Database'!AC19)-LEN(LEFT('Player Database'!AC19,FIND(" ",'Player Database'!AC19)))+1))</f>
        <v>J. Altidore</v>
      </c>
      <c r="AD19" s="77" t="str">
        <f>IF(ISERR(FIND(" ",'Player Database'!AD19)),'Player Database'!AD19,LEFT('Player Database'!AD19,1)&amp;"."&amp;RIGHT('Player Database'!AD19,LEN('Player Database'!AD19)-LEN(LEFT('Player Database'!AD19,FIND(" ",'Player Database'!AD19)))+1))</f>
        <v>D. Origi</v>
      </c>
      <c r="AE19" s="77" t="str">
        <f>IF(ISERR(FIND(" ",'Player Database'!AE19)),'Player Database'!AE19,LEFT('Player Database'!AE19,1)&amp;"."&amp;RIGHT('Player Database'!AE19,LEN('Player Database'!AE19)-LEN(LEFT('Player Database'!AE19,FIND(" ",'Player Database'!AE19)))+1))</f>
        <v>L. Cadamuro-Bentaïba</v>
      </c>
      <c r="AF19" s="77" t="str">
        <f>IF(ISERR(FIND(" ",'Player Database'!AF19)),'Player Database'!AF19,LEFT('Player Database'!AF19,1)&amp;"."&amp;RIGHT('Player Database'!AF19,LEN('Player Database'!AF19)-LEN(LEFT('Player Database'!AF19,FIND(" ",'Player Database'!AF19)))+1))</f>
        <v>O. Shatov</v>
      </c>
      <c r="AG19" s="77" t="str">
        <f>IF(ISERR(FIND(" ",'Player Database'!AG19)),'Player Database'!AG19,LEFT('Player Database'!AG19,1)&amp;"."&amp;RIGHT('Player Database'!AG19,LEN('Player Database'!AG19)-LEN(LEFT('Player Database'!AG19,FIND(" ",'Player Database'!AG19)))+1))</f>
        <v>L. Chung-yong</v>
      </c>
      <c r="AI19" s="77" t="str">
        <f t="shared" ca="1" si="5"/>
        <v/>
      </c>
      <c r="AJ19" s="77" t="str">
        <f t="shared" ca="1" si="5"/>
        <v/>
      </c>
      <c r="AK19" s="77" t="str">
        <f t="shared" ca="1" si="5"/>
        <v/>
      </c>
      <c r="AL19" s="77" t="str">
        <f t="shared" ca="1" si="5"/>
        <v/>
      </c>
      <c r="AM19" s="77" t="str">
        <f t="shared" ca="1" si="5"/>
        <v/>
      </c>
      <c r="AN19" s="77" t="str">
        <f t="shared" ca="1" si="5"/>
        <v/>
      </c>
      <c r="AO19" s="77" t="str">
        <f t="shared" ca="1" si="5"/>
        <v/>
      </c>
      <c r="AP19" s="77" t="str">
        <f t="shared" ca="1" si="5"/>
        <v/>
      </c>
      <c r="AQ19" s="77" t="str">
        <f t="shared" ca="1" si="5"/>
        <v/>
      </c>
      <c r="AR19" s="77" t="str">
        <f t="shared" ca="1" si="5"/>
        <v/>
      </c>
      <c r="AS19" s="77" t="str">
        <f t="shared" ca="1" si="5"/>
        <v/>
      </c>
      <c r="AT19" s="77" t="str">
        <f t="shared" ca="1" si="5"/>
        <v/>
      </c>
      <c r="AU19" s="77" t="str">
        <f t="shared" ca="1" si="5"/>
        <v/>
      </c>
      <c r="AV19" s="77" t="str">
        <f t="shared" ca="1" si="5"/>
        <v/>
      </c>
      <c r="AW19" s="77" t="str">
        <f t="shared" ca="1" si="5"/>
        <v/>
      </c>
      <c r="AX19" s="77" t="str">
        <f t="shared" ref="AX19:AX25" ca="1" si="20">IFERROR(INDEX($B$3:$AG$25,$A19,MATCH(AX$2,$B$2:$AG$2,0)),"")</f>
        <v/>
      </c>
      <c r="AZ19" s="77" t="str">
        <f t="shared" si="6"/>
        <v/>
      </c>
      <c r="BA19" s="77" t="str">
        <f t="shared" si="6"/>
        <v/>
      </c>
      <c r="BB19" s="77" t="str">
        <f t="shared" si="6"/>
        <v/>
      </c>
      <c r="BC19" s="77" t="str">
        <f t="shared" si="6"/>
        <v/>
      </c>
      <c r="BD19" s="77" t="str">
        <f t="shared" si="6"/>
        <v/>
      </c>
      <c r="BE19" s="77" t="str">
        <f t="shared" si="6"/>
        <v/>
      </c>
      <c r="BF19" s="77" t="str">
        <f t="shared" si="6"/>
        <v/>
      </c>
      <c r="BG19" s="77" t="str">
        <f t="shared" si="6"/>
        <v/>
      </c>
      <c r="BI19" s="77" t="str">
        <f t="shared" si="7"/>
        <v/>
      </c>
      <c r="BJ19" s="77" t="str">
        <f t="shared" si="7"/>
        <v/>
      </c>
      <c r="BK19" s="77" t="str">
        <f t="shared" si="7"/>
        <v/>
      </c>
      <c r="BL19" s="77" t="str">
        <f t="shared" si="7"/>
        <v/>
      </c>
      <c r="BN19" s="77" t="str">
        <f t="shared" si="8"/>
        <v/>
      </c>
      <c r="BO19" s="77" t="str">
        <f t="shared" si="8"/>
        <v/>
      </c>
      <c r="BQ19" s="77" t="str">
        <f t="shared" si="9"/>
        <v/>
      </c>
      <c r="BR19" s="77" t="str">
        <f t="shared" si="9"/>
        <v/>
      </c>
      <c r="BT19" s="77" t="str">
        <f t="shared" si="11"/>
        <v>Brazil</v>
      </c>
      <c r="BU19" s="77">
        <f t="shared" si="12"/>
        <v>17</v>
      </c>
      <c r="BW19" s="77">
        <v>1</v>
      </c>
      <c r="BX19" s="77" t="str">
        <f t="shared" si="4"/>
        <v>L. Gustavo</v>
      </c>
      <c r="BY19" s="77">
        <f>COUNTIF('Group Stages'!$L$14:$S$110,BX19)+COUNTIF('Knock Out Stages'!$N$41:$U$84,BX19)</f>
        <v>0</v>
      </c>
      <c r="CA19" s="77" t="str">
        <f>'Player Database'!B19</f>
        <v>Luiz Gustavo</v>
      </c>
      <c r="CB19" s="77">
        <v>16</v>
      </c>
      <c r="CC19" s="77" t="str">
        <f t="array" aca="1" ref="CC19" ca="1">IFERROR(INDEX($BX$3:$BX$738, SMALL(IF(COUNTIF(CC$3, $BY$3:$BY$738), ROW($BX$3:$BX$738)-MIN(ROW($BX$3:$BX$738))+1), $CB19), 0),"")</f>
        <v/>
      </c>
      <c r="CD19" s="77" t="str">
        <f t="array" aca="1" ref="CD19" ca="1">IFERROR(INDEX($BX$3:$BX$738, SMALL(IF(COUNTIF(CD$3, $BY$3:$BY$738), ROW($BX$3:$BX$738)-MIN(ROW($BX$3:$BX$738))+1), $CB19), 0),"")</f>
        <v/>
      </c>
      <c r="CE19" s="77" t="str">
        <f t="array" aca="1" ref="CE19" ca="1">IFERROR(INDEX($BX$3:$BX$738, SMALL(IF(COUNTIF(CE$3, $BY$3:$BY$738), ROW($BX$3:$BX$738)-MIN(ROW($BX$3:$BX$738))+1), $CB19), 0),"")</f>
        <v/>
      </c>
      <c r="CF19" s="77" t="str">
        <f t="array" aca="1" ref="CF19" ca="1">IFERROR(INDEX($BX$3:$BX$738, SMALL(IF(COUNTIF(CF$3, $BY$3:$BY$738), ROW($BX$3:$BX$738)-MIN(ROW($BX$3:$BX$738))+1), $CB19), 0),"")</f>
        <v/>
      </c>
      <c r="CG19" s="77" t="str">
        <f t="array" aca="1" ref="CG19" ca="1">IFERROR(INDEX($BX$3:$BX$738, SMALL(IF(COUNTIF(CG$3, $BY$3:$BY$738), ROW($BX$3:$BX$738)-MIN(ROW($BX$3:$BX$738))+1), $CB19), 0),"")</f>
        <v/>
      </c>
      <c r="CH19" s="77" t="str">
        <f t="array" aca="1" ref="CH19" ca="1">IFERROR(INDEX($BX$3:$BX$738, SMALL(IF(COUNTIF(CH$3, $BY$3:$BY$738), ROW($BX$3:$BX$738)-MIN(ROW($BX$3:$BX$738))+1), $CB19), 0),"")</f>
        <v/>
      </c>
      <c r="CI19" s="77" t="str">
        <f t="array" aca="1" ref="CI19" ca="1">IFERROR(INDEX($BX$3:$BX$738, SMALL(IF(COUNTIF(CI$3, $BY$3:$BY$738), ROW($BX$3:$BX$738)-MIN(ROW($BX$3:$BX$738))+1), $CB19), 0),"")</f>
        <v/>
      </c>
      <c r="CJ19" s="77" t="str">
        <f t="array" aca="1" ref="CJ19" ca="1">IFERROR(INDEX($BX$3:$BX$738, SMALL(IF(COUNTIF(CJ$3, $BY$3:$BY$738), ROW($BX$3:$BX$738)-MIN(ROW($BX$3:$BX$738))+1), $CB19), 0),"")</f>
        <v/>
      </c>
      <c r="CK19" s="77" t="str">
        <f t="array" aca="1" ref="CK19" ca="1">IFERROR(INDEX($BX$3:$BX$738, SMALL(IF(COUNTIF(CK$3, $BY$3:$BY$738), ROW($BX$3:$BX$738)-MIN(ROW($BX$3:$BX$738))+1), $CB19), 0),"")</f>
        <v/>
      </c>
      <c r="CL19" s="77" t="str">
        <f t="array" aca="1" ref="CL19" ca="1">IFERROR(INDEX($BX$3:$BX$738, SMALL(IF(COUNTIF(CL$3, $BY$3:$BY$738), ROW($BX$3:$BX$738)-MIN(ROW($BX$3:$BX$738))+1), $CB19), 0),"")</f>
        <v/>
      </c>
      <c r="CM19" s="77" t="str">
        <f t="array" aca="1" ref="CM19" ca="1">IFERROR(INDEX($BX$3:$BX$738, SMALL(IF(COUNTIF(CM$3, $BY$3:$BY$738), ROW($BX$3:$BX$738)-MIN(ROW($BX$3:$BX$738))+1), $CB19), 0),"")</f>
        <v/>
      </c>
      <c r="CN19" s="77" t="str">
        <f t="array" aca="1" ref="CN19" ca="1">IFERROR(INDEX($BX$3:$BX$738, SMALL(IF(COUNTIF(CN$3, $BY$3:$BY$738), ROW($BX$3:$BX$738)-MIN(ROW($BX$3:$BX$738))+1), $CB19), 0),"")</f>
        <v/>
      </c>
      <c r="CO19" s="77" t="str">
        <f t="array" aca="1" ref="CO19" ca="1">IFERROR(INDEX($BX$3:$BX$738, SMALL(IF(COUNTIF(CO$3, $BY$3:$BY$738), ROW($BX$3:$BX$738)-MIN(ROW($BX$3:$BX$738))+1), $CB19), 0),"")</f>
        <v/>
      </c>
      <c r="CP19" s="77" t="str">
        <f t="array" aca="1" ref="CP19" ca="1">IFERROR(INDEX($BX$3:$BX$738, SMALL(IF(COUNTIF(CP$3, $BY$3:$BY$738), ROW($BX$3:$BX$738)-MIN(ROW($BX$3:$BX$738))+1), $CB19), 0),"")</f>
        <v/>
      </c>
      <c r="CQ19" s="77" t="str">
        <f t="array" aca="1" ref="CQ19" ca="1">IFERROR(INDEX($BX$3:$BX$738, SMALL(IF(COUNTIF(CQ$3, $BY$3:$BY$738), ROW($BX$3:$BX$738)-MIN(ROW($BX$3:$BX$738))+1), $CB19), 0),"")</f>
        <v/>
      </c>
      <c r="CS19" s="77">
        <v>16</v>
      </c>
      <c r="CT19" s="77">
        <v>1</v>
      </c>
      <c r="CV19" s="77" t="str">
        <f t="shared" ca="1" si="10"/>
        <v/>
      </c>
      <c r="CW19" s="77">
        <f t="shared" ca="1" si="13"/>
        <v>0</v>
      </c>
      <c r="CZ19" s="77">
        <v>16</v>
      </c>
      <c r="DA19" s="77" t="str">
        <f t="shared" ca="1" si="14"/>
        <v/>
      </c>
      <c r="DB19" s="77" t="str">
        <f t="shared" ca="1" si="15"/>
        <v/>
      </c>
      <c r="DC19" s="77" t="str">
        <f t="shared" ca="1" si="19"/>
        <v/>
      </c>
      <c r="DD19" s="77" t="str">
        <f t="shared" ca="1" si="17"/>
        <v/>
      </c>
      <c r="DG19" s="77" t="str">
        <f ca="1">IF($DG$2=1,Tournament!T58,"")</f>
        <v/>
      </c>
    </row>
    <row r="20" spans="1:111">
      <c r="A20" s="77">
        <v>18</v>
      </c>
      <c r="B20" s="77" t="str">
        <f>IF(ISERR(FIND(" ",'Player Database'!B20)),'Player Database'!B20,LEFT('Player Database'!B20,1)&amp;"."&amp;RIGHT('Player Database'!B20,LEN('Player Database'!B20)-LEN(LEFT('Player Database'!B20,FIND(" ",'Player Database'!B20)))+1))</f>
        <v>Hernanes</v>
      </c>
      <c r="C20" s="77" t="str">
        <f>IF(ISERR(FIND(" ",'Player Database'!C20)),'Player Database'!C20,LEFT('Player Database'!C20,1)&amp;"."&amp;RIGHT('Player Database'!C20,LEN('Player Database'!C20)-LEN(LEFT('Player Database'!C20,FIND(" ",'Player Database'!C20)))+1))</f>
        <v>I. Olić</v>
      </c>
      <c r="D20" s="77" t="str">
        <f>IF(ISERR(FIND(" ",'Player Database'!D20)),'Player Database'!D20,LEFT('Player Database'!D20,1)&amp;"."&amp;RIGHT('Player Database'!D20,LEN('Player Database'!D20)-LEN(LEFT('Player Database'!D20,FIND(" ",'Player Database'!D20)))+1))</f>
        <v>A. Guardado</v>
      </c>
      <c r="E20" s="77" t="str">
        <f>IF(ISERR(FIND(" ",'Player Database'!E20)),'Player Database'!E20,LEFT('Player Database'!E20,1)&amp;"."&amp;RIGHT('Player Database'!E20,LEN('Player Database'!E20)-LEN(LEFT('Player Database'!E20,FIND(" ",'Player Database'!E20)))+1))</f>
        <v>E. Enoh</v>
      </c>
      <c r="F20" s="77" t="str">
        <f>IF(ISERR(FIND(" ",'Player Database'!F20)),'Player Database'!F20,LEFT('Player Database'!F20,1)&amp;"."&amp;RIGHT('Player Database'!F20,LEN('Player Database'!F20)-LEN(LEFT('Player Database'!F20,FIND(" ",'Player Database'!F20)))+1))</f>
        <v>J. Alba</v>
      </c>
      <c r="G20" s="77" t="str">
        <f>IF(ISERR(FIND(" ",'Player Database'!G20)),'Player Database'!G20,LEFT('Player Database'!G20,1)&amp;"."&amp;RIGHT('Player Database'!G20,LEN('Player Database'!G20)-LEN(LEFT('Player Database'!G20,FIND(" ",'Player Database'!G20)))+1))</f>
        <v>L. Fer</v>
      </c>
      <c r="H20" s="77" t="str">
        <f>IF(ISERR(FIND(" ",'Player Database'!H20)),'Player Database'!H20,LEFT('Player Database'!H20,1)&amp;"."&amp;RIGHT('Player Database'!H20,LEN('Player Database'!H20)-LEN(LEFT('Player Database'!H20,FIND(" ",'Player Database'!H20)))+1))</f>
        <v>G. Jara</v>
      </c>
      <c r="I20" s="77" t="str">
        <f>IF(ISERR(FIND(" ",'Player Database'!I20)),'Player Database'!I20,LEFT('Player Database'!I20,1)&amp;"."&amp;RIGHT('Player Database'!I20,LEN('Player Database'!I20)-LEN(LEFT('Player Database'!I20,FIND(" ",'Player Database'!I20)))+1))</f>
        <v>E. Galeković</v>
      </c>
      <c r="J20" s="77" t="str">
        <f>IF(ISERR(FIND(" ",'Player Database'!J20)),'Player Database'!J20,LEFT('Player Database'!J20,1)&amp;"."&amp;RIGHT('Player Database'!J20,LEN('Player Database'!J20)-LEN(LEFT('Player Database'!J20,FIND(" ",'Player Database'!J20)))+1))</f>
        <v>J. Camilo Zúñiga</v>
      </c>
      <c r="K20" s="77" t="str">
        <f>IF(ISERR(FIND(" ",'Player Database'!K20)),'Player Database'!K20,LEFT('Player Database'!K20,1)&amp;"."&amp;RIGHT('Player Database'!K20,LEN('Player Database'!K20)-LEN(LEFT('Player Database'!K20,FIND(" ",'Player Database'!K20)))+1))</f>
        <v>G. Fetfatzidis</v>
      </c>
      <c r="L20" s="77" t="str">
        <f>IF(ISERR(FIND(" ",'Player Database'!L20)),'Player Database'!L20,LEFT('Player Database'!L20,1)&amp;"."&amp;RIGHT('Player Database'!L20,LEN('Player Database'!L20)-LEN(LEFT('Player Database'!L20,FIND(" ",'Player Database'!L20)))+1))</f>
        <v>C. Djakpa</v>
      </c>
      <c r="M20" s="77" t="str">
        <f>IF(ISERR(FIND(" ",'Player Database'!M20)),'Player Database'!M20,LEFT('Player Database'!M20,1)&amp;"."&amp;RIGHT('Player Database'!M20,LEN('Player Database'!M20)-LEN(LEFT('Player Database'!M20,FIND(" ",'Player Database'!M20)))+1))</f>
        <v>Y. Osako</v>
      </c>
      <c r="N20" s="77" t="str">
        <f>IF(ISERR(FIND(" ",'Player Database'!N20)),'Player Database'!N20,LEFT('Player Database'!N20,1)&amp;"."&amp;RIGHT('Player Database'!N20,LEN('Player Database'!N20)-LEN(LEFT('Player Database'!N20,FIND(" ",'Player Database'!N20)))+1))</f>
        <v>G. Ramírez</v>
      </c>
      <c r="O20" s="77" t="str">
        <f>IF(ISERR(FIND(" ",'Player Database'!O20)),'Player Database'!O20,LEFT('Player Database'!O20,1)&amp;"."&amp;RIGHT('Player Database'!O20,LEN('Player Database'!O20)-LEN(LEFT('Player Database'!O20,FIND(" ",'Player Database'!O20)))+1))</f>
        <v>P. Pemberton</v>
      </c>
      <c r="P20" s="77" t="str">
        <f>IF(ISERR(FIND(" ",'Player Database'!P20)),'Player Database'!P20,LEFT('Player Database'!P20,1)&amp;"."&amp;RIGHT('Player Database'!P20,LEN('Player Database'!P20)-LEN(LEFT('Player Database'!P20,FIND(" ",'Player Database'!P20)))+1))</f>
        <v>R. Lambert</v>
      </c>
      <c r="Q20" s="77" t="str">
        <f>IF(ISERR(FIND(" ",'Player Database'!Q20)),'Player Database'!Q20,LEFT('Player Database'!Q20,1)&amp;"."&amp;RIGHT('Player Database'!Q20,LEN('Player Database'!Q20)-LEN(LEFT('Player Database'!Q20,FIND(" ",'Player Database'!Q20)))+1))</f>
        <v>M. Parolo</v>
      </c>
      <c r="R20" s="77" t="str">
        <f>IF(ISERR(FIND(" ",'Player Database'!R20)),'Player Database'!R20,LEFT('Player Database'!R20,1)&amp;"."&amp;RIGHT('Player Database'!R20,LEN('Player Database'!R20)-LEN(LEFT('Player Database'!R20,FIND(" ",'Player Database'!R20)))+1))</f>
        <v>A. Mehmedi</v>
      </c>
      <c r="S20" s="77" t="str">
        <f>IF(ISERR(FIND(" ",'Player Database'!S20)),'Player Database'!S20,LEFT('Player Database'!S20,1)&amp;"."&amp;RIGHT('Player Database'!S20,LEN('Player Database'!S20)-LEN(LEFT('Player Database'!S20,FIND(" ",'Player Database'!S20)))+1))</f>
        <v>Ó. Bagüí</v>
      </c>
      <c r="T20" s="77" t="str">
        <f>IF(ISERR(FIND(" ",'Player Database'!T20)),'Player Database'!T20,LEFT('Player Database'!T20,1)&amp;"."&amp;RIGHT('Player Database'!T20,LEN('Player Database'!T20)-LEN(LEFT('Player Database'!T20,FIND(" ",'Player Database'!T20)))+1))</f>
        <v>M. Sissoko</v>
      </c>
      <c r="U20" s="77" t="str">
        <f>IF(ISERR(FIND(" ",'Player Database'!U20)),'Player Database'!U20,LEFT('Player Database'!U20,1)&amp;"."&amp;RIGHT('Player Database'!U20,LEN('Player Database'!U20)-LEN(LEFT('Player Database'!U20,FIND(" ",'Player Database'!U20)))+1))</f>
        <v xml:space="preserve">N. Valladares </v>
      </c>
      <c r="V20" s="77" t="str">
        <f>IF(ISERR(FIND(" ",'Player Database'!V20)),'Player Database'!V20,LEFT('Player Database'!V20,1)&amp;"."&amp;RIGHT('Player Database'!V20,LEN('Player Database'!V20)-LEN(LEFT('Player Database'!V20,FIND(" ",'Player Database'!V20)))+1))</f>
        <v>R. Palacio</v>
      </c>
      <c r="W20" s="77" t="str">
        <f>IF(ISERR(FIND(" ",'Player Database'!W20)),'Player Database'!W20,LEFT('Player Database'!W20,1)&amp;"."&amp;RIGHT('Player Database'!W20,LEN('Player Database'!W20)-LEN(LEFT('Player Database'!W20,FIND(" ",'Player Database'!W20)))+1))</f>
        <v>H. Medunjanin</v>
      </c>
      <c r="X20" s="77" t="str">
        <f>IF(ISERR(FIND(" ",'Player Database'!X20)),'Player Database'!X20,LEFT('Player Database'!X20,1)&amp;"."&amp;RIGHT('Player Database'!X20,LEN('Player Database'!X20)-LEN(LEFT('Player Database'!X20,FIND(" ",'Player Database'!X20)))+1))</f>
        <v>B. Rahmani</v>
      </c>
      <c r="Y20" s="77" t="str">
        <f>IF(ISERR(FIND(" ",'Player Database'!Y20)),'Player Database'!Y20,LEFT('Player Database'!Y20,1)&amp;"."&amp;RIGHT('Player Database'!Y20,LEN('Player Database'!Y20)-LEN(LEFT('Player Database'!Y20,FIND(" ",'Player Database'!Y20)))+1))</f>
        <v>M. Babatunde</v>
      </c>
      <c r="Z20" s="77" t="str">
        <f>IF(ISERR(FIND(" ",'Player Database'!Z20)),'Player Database'!Z20,LEFT('Player Database'!Z20,1)&amp;"."&amp;RIGHT('Player Database'!Z20,LEN('Player Database'!Z20)-LEN(LEFT('Player Database'!Z20,FIND(" ",'Player Database'!Z20)))+1))</f>
        <v>T. Kroos</v>
      </c>
      <c r="AA20" s="77" t="str">
        <f>IF(ISERR(FIND(" ",'Player Database'!AA20)),'Player Database'!AA20,LEFT('Player Database'!AA20,1)&amp;"."&amp;RIGHT('Player Database'!AA20,LEN('Player Database'!AA20)-LEN(LEFT('Player Database'!AA20,FIND(" ",'Player Database'!AA20)))+1))</f>
        <v>S. Varela</v>
      </c>
      <c r="AB20" s="77" t="str">
        <f>IF(ISERR(FIND(" ",'Player Database'!AB20)),'Player Database'!AB20,LEFT('Player Database'!AB20,1)&amp;"."&amp;RIGHT('Player Database'!AB20,LEN('Player Database'!AB20)-LEN(LEFT('Player Database'!AB20,FIND(" ",'Player Database'!AB20)))+1))</f>
        <v>M. Waris</v>
      </c>
      <c r="AC20" s="77" t="str">
        <f>IF(ISERR(FIND(" ",'Player Database'!AC20)),'Player Database'!AC20,LEFT('Player Database'!AC20,1)&amp;"."&amp;RIGHT('Player Database'!AC20,LEN('Player Database'!AC20)-LEN(LEFT('Player Database'!AC20,FIND(" ",'Player Database'!AC20)))+1))</f>
        <v>C. Wondolowski</v>
      </c>
      <c r="AD20" s="77" t="str">
        <f>IF(ISERR(FIND(" ",'Player Database'!AD20)),'Player Database'!AD20,LEFT('Player Database'!AD20,1)&amp;"."&amp;RIGHT('Player Database'!AD20,LEN('Player Database'!AD20)-LEN(LEFT('Player Database'!AD20,FIND(" ",'Player Database'!AD20)))+1))</f>
        <v>N. Lombaerts</v>
      </c>
      <c r="AE20" s="77" t="str">
        <f>IF(ISERR(FIND(" ",'Player Database'!AE20)),'Player Database'!AE20,LEFT('Player Database'!AE20,1)&amp;"."&amp;RIGHT('Player Database'!AE20,LEN('Player Database'!AE20)-LEN(LEFT('Player Database'!AE20,FIND(" ",'Player Database'!AE20)))+1))</f>
        <v>A. Djabou</v>
      </c>
      <c r="AF20" s="77" t="str">
        <f>IF(ISERR(FIND(" ",'Player Database'!AF20)),'Player Database'!AF20,LEFT('Player Database'!AF20,1)&amp;"."&amp;RIGHT('Player Database'!AF20,LEN('Player Database'!AF20)-LEN(LEFT('Player Database'!AF20,FIND(" ",'Player Database'!AF20)))+1))</f>
        <v>Y. Zhirkov</v>
      </c>
      <c r="AG20" s="77" t="str">
        <f>IF(ISERR(FIND(" ",'Player Database'!AG20)),'Player Database'!AG20,LEFT('Player Database'!AG20,1)&amp;"."&amp;RIGHT('Player Database'!AG20,LEN('Player Database'!AG20)-LEN(LEFT('Player Database'!AG20,FIND(" ",'Player Database'!AG20)))+1))</f>
        <v>K. Shin-wook</v>
      </c>
      <c r="AI20" s="77" t="str">
        <f t="shared" ref="AI20:AW25" ca="1" si="21">IFERROR(INDEX($B$3:$AG$25,$A20,MATCH(AI$2,$B$2:$AG$2,0)),"")</f>
        <v/>
      </c>
      <c r="AJ20" s="77" t="str">
        <f t="shared" ca="1" si="21"/>
        <v/>
      </c>
      <c r="AK20" s="77" t="str">
        <f t="shared" ca="1" si="21"/>
        <v/>
      </c>
      <c r="AL20" s="77" t="str">
        <f t="shared" ca="1" si="21"/>
        <v/>
      </c>
      <c r="AM20" s="77" t="str">
        <f t="shared" ca="1" si="21"/>
        <v/>
      </c>
      <c r="AN20" s="77" t="str">
        <f t="shared" ca="1" si="21"/>
        <v/>
      </c>
      <c r="AO20" s="77" t="str">
        <f t="shared" ca="1" si="21"/>
        <v/>
      </c>
      <c r="AP20" s="77" t="str">
        <f t="shared" ca="1" si="21"/>
        <v/>
      </c>
      <c r="AQ20" s="77" t="str">
        <f t="shared" ca="1" si="21"/>
        <v/>
      </c>
      <c r="AR20" s="77" t="str">
        <f t="shared" ca="1" si="21"/>
        <v/>
      </c>
      <c r="AS20" s="77" t="str">
        <f t="shared" ca="1" si="21"/>
        <v/>
      </c>
      <c r="AT20" s="77" t="str">
        <f t="shared" ca="1" si="21"/>
        <v/>
      </c>
      <c r="AU20" s="77" t="str">
        <f t="shared" ca="1" si="21"/>
        <v/>
      </c>
      <c r="AV20" s="77" t="str">
        <f t="shared" ca="1" si="21"/>
        <v/>
      </c>
      <c r="AW20" s="77" t="str">
        <f t="shared" ca="1" si="21"/>
        <v/>
      </c>
      <c r="AX20" s="77" t="str">
        <f t="shared" ca="1" si="20"/>
        <v/>
      </c>
      <c r="AZ20" s="77" t="str">
        <f t="shared" si="6"/>
        <v/>
      </c>
      <c r="BA20" s="77" t="str">
        <f t="shared" si="6"/>
        <v/>
      </c>
      <c r="BB20" s="77" t="str">
        <f t="shared" si="6"/>
        <v/>
      </c>
      <c r="BC20" s="77" t="str">
        <f t="shared" si="6"/>
        <v/>
      </c>
      <c r="BD20" s="77" t="str">
        <f t="shared" si="6"/>
        <v/>
      </c>
      <c r="BE20" s="77" t="str">
        <f t="shared" si="6"/>
        <v/>
      </c>
      <c r="BF20" s="77" t="str">
        <f t="shared" si="6"/>
        <v/>
      </c>
      <c r="BG20" s="77" t="str">
        <f t="shared" si="6"/>
        <v/>
      </c>
      <c r="BI20" s="77" t="str">
        <f t="shared" si="7"/>
        <v/>
      </c>
      <c r="BJ20" s="77" t="str">
        <f t="shared" si="7"/>
        <v/>
      </c>
      <c r="BK20" s="77" t="str">
        <f t="shared" si="7"/>
        <v/>
      </c>
      <c r="BL20" s="77" t="str">
        <f t="shared" si="7"/>
        <v/>
      </c>
      <c r="BN20" s="77" t="str">
        <f t="shared" si="8"/>
        <v/>
      </c>
      <c r="BO20" s="77" t="str">
        <f t="shared" si="8"/>
        <v/>
      </c>
      <c r="BQ20" s="77" t="str">
        <f t="shared" si="9"/>
        <v/>
      </c>
      <c r="BR20" s="77" t="str">
        <f t="shared" si="9"/>
        <v/>
      </c>
      <c r="BT20" s="77" t="str">
        <f t="shared" si="11"/>
        <v>Brazil</v>
      </c>
      <c r="BU20" s="77">
        <f t="shared" si="12"/>
        <v>18</v>
      </c>
      <c r="BW20" s="77">
        <v>1</v>
      </c>
      <c r="BX20" s="77" t="str">
        <f t="shared" si="4"/>
        <v>Hernanes</v>
      </c>
      <c r="BY20" s="77">
        <f>COUNTIF('Group Stages'!$L$14:$S$110,BX20)+COUNTIF('Knock Out Stages'!$N$41:$U$84,BX20)</f>
        <v>0</v>
      </c>
      <c r="CA20" s="77" t="str">
        <f>'Player Database'!B20</f>
        <v>Hernanes</v>
      </c>
      <c r="CB20" s="77">
        <v>17</v>
      </c>
      <c r="CC20" s="77" t="str">
        <f t="array" aca="1" ref="CC20" ca="1">IFERROR(INDEX($BX$3:$BX$738, SMALL(IF(COUNTIF(CC$3, $BY$3:$BY$738), ROW($BX$3:$BX$738)-MIN(ROW($BX$3:$BX$738))+1), $CB20), 0),"")</f>
        <v/>
      </c>
      <c r="CD20" s="77" t="str">
        <f t="array" aca="1" ref="CD20" ca="1">IFERROR(INDEX($BX$3:$BX$738, SMALL(IF(COUNTIF(CD$3, $BY$3:$BY$738), ROW($BX$3:$BX$738)-MIN(ROW($BX$3:$BX$738))+1), $CB20), 0),"")</f>
        <v/>
      </c>
      <c r="CE20" s="77" t="str">
        <f t="array" aca="1" ref="CE20" ca="1">IFERROR(INDEX($BX$3:$BX$738, SMALL(IF(COUNTIF(CE$3, $BY$3:$BY$738), ROW($BX$3:$BX$738)-MIN(ROW($BX$3:$BX$738))+1), $CB20), 0),"")</f>
        <v/>
      </c>
      <c r="CF20" s="77" t="str">
        <f t="array" aca="1" ref="CF20" ca="1">IFERROR(INDEX($BX$3:$BX$738, SMALL(IF(COUNTIF(CF$3, $BY$3:$BY$738), ROW($BX$3:$BX$738)-MIN(ROW($BX$3:$BX$738))+1), $CB20), 0),"")</f>
        <v/>
      </c>
      <c r="CG20" s="77" t="str">
        <f t="array" aca="1" ref="CG20" ca="1">IFERROR(INDEX($BX$3:$BX$738, SMALL(IF(COUNTIF(CG$3, $BY$3:$BY$738), ROW($BX$3:$BX$738)-MIN(ROW($BX$3:$BX$738))+1), $CB20), 0),"")</f>
        <v/>
      </c>
      <c r="CH20" s="77" t="str">
        <f t="array" aca="1" ref="CH20" ca="1">IFERROR(INDEX($BX$3:$BX$738, SMALL(IF(COUNTIF(CH$3, $BY$3:$BY$738), ROW($BX$3:$BX$738)-MIN(ROW($BX$3:$BX$738))+1), $CB20), 0),"")</f>
        <v/>
      </c>
      <c r="CI20" s="77" t="str">
        <f t="array" aca="1" ref="CI20" ca="1">IFERROR(INDEX($BX$3:$BX$738, SMALL(IF(COUNTIF(CI$3, $BY$3:$BY$738), ROW($BX$3:$BX$738)-MIN(ROW($BX$3:$BX$738))+1), $CB20), 0),"")</f>
        <v/>
      </c>
      <c r="CJ20" s="77" t="str">
        <f t="array" aca="1" ref="CJ20" ca="1">IFERROR(INDEX($BX$3:$BX$738, SMALL(IF(COUNTIF(CJ$3, $BY$3:$BY$738), ROW($BX$3:$BX$738)-MIN(ROW($BX$3:$BX$738))+1), $CB20), 0),"")</f>
        <v/>
      </c>
      <c r="CK20" s="77" t="str">
        <f t="array" aca="1" ref="CK20" ca="1">IFERROR(INDEX($BX$3:$BX$738, SMALL(IF(COUNTIF(CK$3, $BY$3:$BY$738), ROW($BX$3:$BX$738)-MIN(ROW($BX$3:$BX$738))+1), $CB20), 0),"")</f>
        <v/>
      </c>
      <c r="CL20" s="77" t="str">
        <f t="array" aca="1" ref="CL20" ca="1">IFERROR(INDEX($BX$3:$BX$738, SMALL(IF(COUNTIF(CL$3, $BY$3:$BY$738), ROW($BX$3:$BX$738)-MIN(ROW($BX$3:$BX$738))+1), $CB20), 0),"")</f>
        <v/>
      </c>
      <c r="CM20" s="77" t="str">
        <f t="array" aca="1" ref="CM20" ca="1">IFERROR(INDEX($BX$3:$BX$738, SMALL(IF(COUNTIF(CM$3, $BY$3:$BY$738), ROW($BX$3:$BX$738)-MIN(ROW($BX$3:$BX$738))+1), $CB20), 0),"")</f>
        <v/>
      </c>
      <c r="CN20" s="77" t="str">
        <f t="array" aca="1" ref="CN20" ca="1">IFERROR(INDEX($BX$3:$BX$738, SMALL(IF(COUNTIF(CN$3, $BY$3:$BY$738), ROW($BX$3:$BX$738)-MIN(ROW($BX$3:$BX$738))+1), $CB20), 0),"")</f>
        <v/>
      </c>
      <c r="CO20" s="77" t="str">
        <f t="array" aca="1" ref="CO20" ca="1">IFERROR(INDEX($BX$3:$BX$738, SMALL(IF(COUNTIF(CO$3, $BY$3:$BY$738), ROW($BX$3:$BX$738)-MIN(ROW($BX$3:$BX$738))+1), $CB20), 0),"")</f>
        <v/>
      </c>
      <c r="CP20" s="77" t="str">
        <f t="array" aca="1" ref="CP20" ca="1">IFERROR(INDEX($BX$3:$BX$738, SMALL(IF(COUNTIF(CP$3, $BY$3:$BY$738), ROW($BX$3:$BX$738)-MIN(ROW($BX$3:$BX$738))+1), $CB20), 0),"")</f>
        <v/>
      </c>
      <c r="CQ20" s="77" t="str">
        <f t="array" aca="1" ref="CQ20" ca="1">IFERROR(INDEX($BX$3:$BX$738, SMALL(IF(COUNTIF(CQ$3, $BY$3:$BY$738), ROW($BX$3:$BX$738)-MIN(ROW($BX$3:$BX$738))+1), $CB20), 0),"")</f>
        <v/>
      </c>
      <c r="CS20" s="77">
        <v>17</v>
      </c>
      <c r="CT20" s="77">
        <v>1</v>
      </c>
      <c r="CV20" s="77" t="str">
        <f t="shared" ca="1" si="10"/>
        <v/>
      </c>
      <c r="CW20" s="77">
        <f t="shared" ca="1" si="13"/>
        <v>0</v>
      </c>
      <c r="CZ20" s="77">
        <v>17</v>
      </c>
      <c r="DA20" s="77" t="str">
        <f t="shared" ca="1" si="14"/>
        <v/>
      </c>
      <c r="DB20" s="77" t="str">
        <f t="shared" ca="1" si="15"/>
        <v/>
      </c>
      <c r="DC20" s="77" t="str">
        <f t="shared" ca="1" si="19"/>
        <v/>
      </c>
      <c r="DD20" s="77" t="str">
        <f t="shared" ca="1" si="17"/>
        <v/>
      </c>
    </row>
    <row r="21" spans="1:111">
      <c r="A21" s="77">
        <v>19</v>
      </c>
      <c r="B21" s="77" t="str">
        <f>IF(ISERR(FIND(" ",'Player Database'!B21)),'Player Database'!B21,LEFT('Player Database'!B21,1)&amp;"."&amp;RIGHT('Player Database'!B21,LEN('Player Database'!B21)-LEN(LEFT('Player Database'!B21,FIND(" ",'Player Database'!B21)))+1))</f>
        <v>Willian</v>
      </c>
      <c r="C21" s="77" t="str">
        <f>IF(ISERR(FIND(" ",'Player Database'!C21)),'Player Database'!C21,LEFT('Player Database'!C21,1)&amp;"."&amp;RIGHT('Player Database'!C21,LEN('Player Database'!C21)-LEN(LEFT('Player Database'!C21,FIND(" ",'Player Database'!C21)))+1))</f>
        <v>Sammir</v>
      </c>
      <c r="D21" s="77" t="str">
        <f>IF(ISERR(FIND(" ",'Player Database'!D21)),'Player Database'!D21,LEFT('Player Database'!D21,1)&amp;"."&amp;RIGHT('Player Database'!D21,LEN('Player Database'!D21)-LEN(LEFT('Player Database'!D21,FIND(" ",'Player Database'!D21)))+1))</f>
        <v>O. Peralta</v>
      </c>
      <c r="E21" s="77" t="str">
        <f>IF(ISERR(FIND(" ",'Player Database'!E21)),'Player Database'!E21,LEFT('Player Database'!E21,1)&amp;"."&amp;RIGHT('Player Database'!E21,LEN('Player Database'!E21)-LEN(LEFT('Player Database'!E21,FIND(" ",'Player Database'!E21)))+1))</f>
        <v>F. Olinga</v>
      </c>
      <c r="F21" s="77" t="str">
        <f>IF(ISERR(FIND(" ",'Player Database'!F21)),'Player Database'!F21,LEFT('Player Database'!F21,1)&amp;"."&amp;RIGHT('Player Database'!F21,LEN('Player Database'!F21)-LEN(LEFT('Player Database'!F21,FIND(" ",'Player Database'!F21)))+1))</f>
        <v>D. Costa</v>
      </c>
      <c r="G21" s="77" t="str">
        <f>IF(ISERR(FIND(" ",'Player Database'!G21)),'Player Database'!G21,LEFT('Player Database'!G21,1)&amp;"."&amp;RIGHT('Player Database'!G21,LEN('Player Database'!G21)-LEN(LEFT('Player Database'!G21,FIND(" ",'Player Database'!G21)))+1))</f>
        <v>K. Huntelaar</v>
      </c>
      <c r="H21" s="77" t="str">
        <f>IF(ISERR(FIND(" ",'Player Database'!H21)),'Player Database'!H21,LEFT('Player Database'!H21,1)&amp;"."&amp;RIGHT('Player Database'!H21,LEN('Player Database'!H21)-LEN(LEFT('Player Database'!H21,FIND(" ",'Player Database'!H21)))+1))</f>
        <v>J. Pedro Fuenzalida</v>
      </c>
      <c r="I21" s="77" t="str">
        <f>IF(ISERR(FIND(" ",'Player Database'!I21)),'Player Database'!I21,LEFT('Player Database'!I21,1)&amp;"."&amp;RIGHT('Player Database'!I21,LEN('Player Database'!I21)-LEN(LEFT('Player Database'!I21,FIND(" ",'Player Database'!I21)))+1))</f>
        <v>R. McGowan</v>
      </c>
      <c r="J21" s="77" t="str">
        <f>IF(ISERR(FIND(" ",'Player Database'!J21)),'Player Database'!J21,LEFT('Player Database'!J21,1)&amp;"."&amp;RIGHT('Player Database'!J21,LEN('Player Database'!J21)-LEN(LEFT('Player Database'!J21,FIND(" ",'Player Database'!J21)))+1))</f>
        <v>A. Ramos</v>
      </c>
      <c r="K21" s="77" t="str">
        <f>IF(ISERR(FIND(" ",'Player Database'!K21)),'Player Database'!K21,LEFT('Player Database'!K21,1)&amp;"."&amp;RIGHT('Player Database'!K21,LEN('Player Database'!K21)-LEN(LEFT('Player Database'!K21,FIND(" ",'Player Database'!K21)))+1))</f>
        <v>S. Papastathopoulos</v>
      </c>
      <c r="L21" s="77" t="str">
        <f>IF(ISERR(FIND(" ",'Player Database'!L21)),'Player Database'!L21,LEFT('Player Database'!L21,1)&amp;"."&amp;RIGHT('Player Database'!L21,LEN('Player Database'!L21)-LEN(LEFT('Player Database'!L21,FIND(" ",'Player Database'!L21)))+1))</f>
        <v>Y. Touré</v>
      </c>
      <c r="M21" s="77" t="str">
        <f>IF(ISERR(FIND(" ",'Player Database'!M21)),'Player Database'!M21,LEFT('Player Database'!M21,1)&amp;"."&amp;RIGHT('Player Database'!M21,LEN('Player Database'!M21)-LEN(LEFT('Player Database'!M21,FIND(" ",'Player Database'!M21)))+1))</f>
        <v>M. Inoha</v>
      </c>
      <c r="N21" s="77" t="str">
        <f>IF(ISERR(FIND(" ",'Player Database'!N21)),'Player Database'!N21,LEFT('Player Database'!N21,1)&amp;"."&amp;RIGHT('Player Database'!N21,LEN('Player Database'!N21)-LEN(LEFT('Player Database'!N21,FIND(" ",'Player Database'!N21)))+1))</f>
        <v>J. María Giménez</v>
      </c>
      <c r="O21" s="77" t="str">
        <f>IF(ISERR(FIND(" ",'Player Database'!O21)),'Player Database'!O21,LEFT('Player Database'!O21,1)&amp;"."&amp;RIGHT('Player Database'!O21,LEN('Player Database'!O21)-LEN(LEFT('Player Database'!O21,FIND(" ",'Player Database'!O21)))+1))</f>
        <v>R. Miller</v>
      </c>
      <c r="P21" s="77" t="str">
        <f>IF(ISERR(FIND(" ",'Player Database'!P21)),'Player Database'!P21,LEFT('Player Database'!P21,1)&amp;"."&amp;RIGHT('Player Database'!P21,LEN('Player Database'!P21)-LEN(LEFT('Player Database'!P21,FIND(" ",'Player Database'!P21)))+1))</f>
        <v>R. Sterling</v>
      </c>
      <c r="Q21" s="77" t="str">
        <f>IF(ISERR(FIND(" ",'Player Database'!Q21)),'Player Database'!Q21,LEFT('Player Database'!Q21,1)&amp;"."&amp;RIGHT('Player Database'!Q21,LEN('Player Database'!Q21)-LEN(LEFT('Player Database'!Q21,FIND(" ",'Player Database'!Q21)))+1))</f>
        <v>L. Bonucci</v>
      </c>
      <c r="R21" s="77" t="str">
        <f>IF(ISERR(FIND(" ",'Player Database'!R21)),'Player Database'!R21,LEFT('Player Database'!R21,1)&amp;"."&amp;RIGHT('Player Database'!R21,LEN('Player Database'!R21)-LEN(LEFT('Player Database'!R21,FIND(" ",'Player Database'!R21)))+1))</f>
        <v>J. Drmić</v>
      </c>
      <c r="S21" s="77" t="str">
        <f>IF(ISERR(FIND(" ",'Player Database'!S21)),'Player Database'!S21,LEFT('Player Database'!S21,1)&amp;"."&amp;RIGHT('Player Database'!S21,LEN('Player Database'!S21)-LEN(LEFT('Player Database'!S21,FIND(" ",'Player Database'!S21)))+1))</f>
        <v>L. Saritama</v>
      </c>
      <c r="T21" s="77" t="str">
        <f>IF(ISERR(FIND(" ",'Player Database'!T21)),'Player Database'!T21,LEFT('Player Database'!T21,1)&amp;"."&amp;RIGHT('Player Database'!T21,LEN('Player Database'!T21)-LEN(LEFT('Player Database'!T21,FIND(" ",'Player Database'!T21)))+1))</f>
        <v>P. Pogba</v>
      </c>
      <c r="U21" s="77" t="str">
        <f>IF(ISERR(FIND(" ",'Player Database'!U21)),'Player Database'!U21,LEFT('Player Database'!U21,1)&amp;"."&amp;RIGHT('Player Database'!U21,LEN('Player Database'!U21)-LEN(LEFT('Player Database'!U21,FIND(" ",'Player Database'!U21)))+1))</f>
        <v>L. Garrido</v>
      </c>
      <c r="V21" s="77" t="str">
        <f>IF(ISERR(FIND(" ",'Player Database'!V21)),'Player Database'!V21,LEFT('Player Database'!V21,1)&amp;"."&amp;RIGHT('Player Database'!V21,LEN('Player Database'!V21)-LEN(LEFT('Player Database'!V21,FIND(" ",'Player Database'!V21)))+1))</f>
        <v>R. Álvarez</v>
      </c>
      <c r="W21" s="77" t="str">
        <f>IF(ISERR(FIND(" ",'Player Database'!W21)),'Player Database'!W21,LEFT('Player Database'!W21,1)&amp;"."&amp;RIGHT('Player Database'!W21,LEN('Player Database'!W21)-LEN(LEFT('Player Database'!W21,FIND(" ",'Player Database'!W21)))+1))</f>
        <v>E. Višća</v>
      </c>
      <c r="X21" s="77" t="str">
        <f>IF(ISERR(FIND(" ",'Player Database'!X21)),'Player Database'!X21,LEFT('Player Database'!X21,1)&amp;"."&amp;RIGHT('Player Database'!X21,LEN('Player Database'!X21)-LEN(LEFT('Player Database'!X21,FIND(" ",'Player Database'!X21)))+1))</f>
        <v>H. Beikzadeh</v>
      </c>
      <c r="Y21" s="77" t="str">
        <f>IF(ISERR(FIND(" ",'Player Database'!Y21)),'Player Database'!Y21,LEFT('Player Database'!Y21,1)&amp;"."&amp;RIGHT('Player Database'!Y21,LEN('Player Database'!Y21)-LEN(LEFT('Player Database'!Y21,FIND(" ",'Player Database'!Y21)))+1))</f>
        <v>U. Nwofor</v>
      </c>
      <c r="Z21" s="77" t="str">
        <f>IF(ISERR(FIND(" ",'Player Database'!Z21)),'Player Database'!Z21,LEFT('Player Database'!Z21,1)&amp;"."&amp;RIGHT('Player Database'!Z21,LEN('Player Database'!Z21)-LEN(LEFT('Player Database'!Z21,FIND(" ",'Player Database'!Z21)))+1))</f>
        <v>M. Götze</v>
      </c>
      <c r="AA21" s="77" t="str">
        <f>IF(ISERR(FIND(" ",'Player Database'!AA21)),'Player Database'!AA21,LEFT('Player Database'!AA21,1)&amp;"."&amp;RIGHT('Player Database'!AA21,LEN('Player Database'!AA21)-LEN(LEFT('Player Database'!AA21,FIND(" ",'Player Database'!AA21)))+1))</f>
        <v>A. Almeida</v>
      </c>
      <c r="AB21" s="77" t="str">
        <f>IF(ISERR(FIND(" ",'Player Database'!AB21)),'Player Database'!AB21,LEFT('Player Database'!AB21,1)&amp;"."&amp;RIGHT('Player Database'!AB21,LEN('Player Database'!AB21)-LEN(LEFT('Player Database'!AB21,FIND(" ",'Player Database'!AB21)))+1))</f>
        <v>J. Mensah</v>
      </c>
      <c r="AC21" s="77" t="str">
        <f>IF(ISERR(FIND(" ",'Player Database'!AC21)),'Player Database'!AC21,LEFT('Player Database'!AC21,1)&amp;"."&amp;RIGHT('Player Database'!AC21,LEN('Player Database'!AC21)-LEN(LEFT('Player Database'!AC21,FIND(" ",'Player Database'!AC21)))+1))</f>
        <v>G. Zusi</v>
      </c>
      <c r="AD21" s="77" t="str">
        <f>IF(ISERR(FIND(" ",'Player Database'!AD21)),'Player Database'!AD21,LEFT('Player Database'!AD21,1)&amp;"."&amp;RIGHT('Player Database'!AD21,LEN('Player Database'!AD21)-LEN(LEFT('Player Database'!AD21,FIND(" ",'Player Database'!AD21)))+1))</f>
        <v>M. Dembélé</v>
      </c>
      <c r="AE21" s="77" t="str">
        <f>IF(ISERR(FIND(" ",'Player Database'!AE21)),'Player Database'!AE21,LEFT('Player Database'!AE21,1)&amp;"."&amp;RIGHT('Player Database'!AE21,LEN('Player Database'!AE21)-LEN(LEFT('Player Database'!AE21,FIND(" ",'Player Database'!AE21)))+1))</f>
        <v>S. Taïder</v>
      </c>
      <c r="AF21" s="77" t="str">
        <f>IF(ISERR(FIND(" ",'Player Database'!AF21)),'Player Database'!AF21,LEFT('Player Database'!AF21,1)&amp;"."&amp;RIGHT('Player Database'!AF21,LEN('Player Database'!AF21)-LEN(LEFT('Player Database'!AF21,FIND(" ",'Player Database'!AF21)))+1))</f>
        <v>A. Samedov</v>
      </c>
      <c r="AG21" s="77" t="str">
        <f>IF(ISERR(FIND(" ",'Player Database'!AG21)),'Player Database'!AG21,LEFT('Player Database'!AG21,1)&amp;"."&amp;RIGHT('Player Database'!AG21,LEN('Player Database'!AG21)-LEN(LEFT('Player Database'!AG21,FIND(" ",'Player Database'!AG21)))+1))</f>
        <v>J. Dong-won</v>
      </c>
      <c r="AI21" s="77" t="str">
        <f t="shared" ca="1" si="21"/>
        <v/>
      </c>
      <c r="AJ21" s="77" t="str">
        <f t="shared" ca="1" si="21"/>
        <v/>
      </c>
      <c r="AK21" s="77" t="str">
        <f t="shared" ca="1" si="21"/>
        <v/>
      </c>
      <c r="AL21" s="77" t="str">
        <f t="shared" ca="1" si="21"/>
        <v/>
      </c>
      <c r="AM21" s="77" t="str">
        <f t="shared" ca="1" si="21"/>
        <v/>
      </c>
      <c r="AN21" s="77" t="str">
        <f t="shared" ca="1" si="21"/>
        <v/>
      </c>
      <c r="AO21" s="77" t="str">
        <f t="shared" ca="1" si="21"/>
        <v/>
      </c>
      <c r="AP21" s="77" t="str">
        <f t="shared" ca="1" si="21"/>
        <v/>
      </c>
      <c r="AQ21" s="77" t="str">
        <f t="shared" ca="1" si="21"/>
        <v/>
      </c>
      <c r="AR21" s="77" t="str">
        <f t="shared" ca="1" si="21"/>
        <v/>
      </c>
      <c r="AS21" s="77" t="str">
        <f t="shared" ca="1" si="21"/>
        <v/>
      </c>
      <c r="AT21" s="77" t="str">
        <f t="shared" ca="1" si="21"/>
        <v/>
      </c>
      <c r="AU21" s="77" t="str">
        <f t="shared" ca="1" si="21"/>
        <v/>
      </c>
      <c r="AV21" s="77" t="str">
        <f t="shared" ca="1" si="21"/>
        <v/>
      </c>
      <c r="AW21" s="77" t="str">
        <f t="shared" ca="1" si="21"/>
        <v/>
      </c>
      <c r="AX21" s="77" t="str">
        <f t="shared" ca="1" si="20"/>
        <v/>
      </c>
      <c r="AZ21" s="77" t="str">
        <f t="shared" si="6"/>
        <v/>
      </c>
      <c r="BA21" s="77" t="str">
        <f t="shared" si="6"/>
        <v/>
      </c>
      <c r="BB21" s="77" t="str">
        <f t="shared" si="6"/>
        <v/>
      </c>
      <c r="BC21" s="77" t="str">
        <f t="shared" si="6"/>
        <v/>
      </c>
      <c r="BD21" s="77" t="str">
        <f t="shared" si="6"/>
        <v/>
      </c>
      <c r="BE21" s="77" t="str">
        <f t="shared" si="6"/>
        <v/>
      </c>
      <c r="BF21" s="77" t="str">
        <f t="shared" si="6"/>
        <v/>
      </c>
      <c r="BG21" s="77" t="str">
        <f t="shared" si="6"/>
        <v/>
      </c>
      <c r="BI21" s="77" t="str">
        <f t="shared" si="7"/>
        <v/>
      </c>
      <c r="BJ21" s="77" t="str">
        <f t="shared" si="7"/>
        <v/>
      </c>
      <c r="BK21" s="77" t="str">
        <f t="shared" si="7"/>
        <v/>
      </c>
      <c r="BL21" s="77" t="str">
        <f t="shared" si="7"/>
        <v/>
      </c>
      <c r="BN21" s="77" t="str">
        <f t="shared" si="8"/>
        <v/>
      </c>
      <c r="BO21" s="77" t="str">
        <f t="shared" si="8"/>
        <v/>
      </c>
      <c r="BQ21" s="77" t="str">
        <f t="shared" si="9"/>
        <v/>
      </c>
      <c r="BR21" s="77" t="str">
        <f t="shared" si="9"/>
        <v/>
      </c>
      <c r="BT21" s="77" t="str">
        <f t="shared" si="11"/>
        <v>Brazil</v>
      </c>
      <c r="BU21" s="77">
        <f t="shared" si="12"/>
        <v>19</v>
      </c>
      <c r="BW21" s="77">
        <v>1</v>
      </c>
      <c r="BX21" s="77" t="str">
        <f t="shared" si="4"/>
        <v>Willian</v>
      </c>
      <c r="BY21" s="77">
        <f>COUNTIF('Group Stages'!$L$14:$S$110,BX21)+COUNTIF('Knock Out Stages'!$N$41:$U$84,BX21)</f>
        <v>0</v>
      </c>
      <c r="CA21" s="77" t="str">
        <f>'Player Database'!B21</f>
        <v>Willian</v>
      </c>
      <c r="CB21" s="77">
        <v>18</v>
      </c>
      <c r="CC21" s="77" t="str">
        <f t="array" aca="1" ref="CC21" ca="1">IFERROR(INDEX($BX$3:$BX$738, SMALL(IF(COUNTIF(CC$3, $BY$3:$BY$738), ROW($BX$3:$BX$738)-MIN(ROW($BX$3:$BX$738))+1), $CB21), 0),"")</f>
        <v/>
      </c>
      <c r="CD21" s="77" t="str">
        <f t="array" aca="1" ref="CD21" ca="1">IFERROR(INDEX($BX$3:$BX$738, SMALL(IF(COUNTIF(CD$3, $BY$3:$BY$738), ROW($BX$3:$BX$738)-MIN(ROW($BX$3:$BX$738))+1), $CB21), 0),"")</f>
        <v/>
      </c>
      <c r="CE21" s="77" t="str">
        <f t="array" aca="1" ref="CE21" ca="1">IFERROR(INDEX($BX$3:$BX$738, SMALL(IF(COUNTIF(CE$3, $BY$3:$BY$738), ROW($BX$3:$BX$738)-MIN(ROW($BX$3:$BX$738))+1), $CB21), 0),"")</f>
        <v/>
      </c>
      <c r="CF21" s="77" t="str">
        <f t="array" aca="1" ref="CF21" ca="1">IFERROR(INDEX($BX$3:$BX$738, SMALL(IF(COUNTIF(CF$3, $BY$3:$BY$738), ROW($BX$3:$BX$738)-MIN(ROW($BX$3:$BX$738))+1), $CB21), 0),"")</f>
        <v/>
      </c>
      <c r="CG21" s="77" t="str">
        <f t="array" aca="1" ref="CG21" ca="1">IFERROR(INDEX($BX$3:$BX$738, SMALL(IF(COUNTIF(CG$3, $BY$3:$BY$738), ROW($BX$3:$BX$738)-MIN(ROW($BX$3:$BX$738))+1), $CB21), 0),"")</f>
        <v/>
      </c>
      <c r="CH21" s="77" t="str">
        <f t="array" aca="1" ref="CH21" ca="1">IFERROR(INDEX($BX$3:$BX$738, SMALL(IF(COUNTIF(CH$3, $BY$3:$BY$738), ROW($BX$3:$BX$738)-MIN(ROW($BX$3:$BX$738))+1), $CB21), 0),"")</f>
        <v/>
      </c>
      <c r="CI21" s="77" t="str">
        <f t="array" aca="1" ref="CI21" ca="1">IFERROR(INDEX($BX$3:$BX$738, SMALL(IF(COUNTIF(CI$3, $BY$3:$BY$738), ROW($BX$3:$BX$738)-MIN(ROW($BX$3:$BX$738))+1), $CB21), 0),"")</f>
        <v/>
      </c>
      <c r="CJ21" s="77" t="str">
        <f t="array" aca="1" ref="CJ21" ca="1">IFERROR(INDEX($BX$3:$BX$738, SMALL(IF(COUNTIF(CJ$3, $BY$3:$BY$738), ROW($BX$3:$BX$738)-MIN(ROW($BX$3:$BX$738))+1), $CB21), 0),"")</f>
        <v/>
      </c>
      <c r="CK21" s="77" t="str">
        <f t="array" aca="1" ref="CK21" ca="1">IFERROR(INDEX($BX$3:$BX$738, SMALL(IF(COUNTIF(CK$3, $BY$3:$BY$738), ROW($BX$3:$BX$738)-MIN(ROW($BX$3:$BX$738))+1), $CB21), 0),"")</f>
        <v/>
      </c>
      <c r="CL21" s="77" t="str">
        <f t="array" aca="1" ref="CL21" ca="1">IFERROR(INDEX($BX$3:$BX$738, SMALL(IF(COUNTIF(CL$3, $BY$3:$BY$738), ROW($BX$3:$BX$738)-MIN(ROW($BX$3:$BX$738))+1), $CB21), 0),"")</f>
        <v/>
      </c>
      <c r="CM21" s="77" t="str">
        <f t="array" aca="1" ref="CM21" ca="1">IFERROR(INDEX($BX$3:$BX$738, SMALL(IF(COUNTIF(CM$3, $BY$3:$BY$738), ROW($BX$3:$BX$738)-MIN(ROW($BX$3:$BX$738))+1), $CB21), 0),"")</f>
        <v/>
      </c>
      <c r="CN21" s="77" t="str">
        <f t="array" aca="1" ref="CN21" ca="1">IFERROR(INDEX($BX$3:$BX$738, SMALL(IF(COUNTIF(CN$3, $BY$3:$BY$738), ROW($BX$3:$BX$738)-MIN(ROW($BX$3:$BX$738))+1), $CB21), 0),"")</f>
        <v/>
      </c>
      <c r="CO21" s="77" t="str">
        <f t="array" aca="1" ref="CO21" ca="1">IFERROR(INDEX($BX$3:$BX$738, SMALL(IF(COUNTIF(CO$3, $BY$3:$BY$738), ROW($BX$3:$BX$738)-MIN(ROW($BX$3:$BX$738))+1), $CB21), 0),"")</f>
        <v/>
      </c>
      <c r="CP21" s="77" t="str">
        <f t="array" aca="1" ref="CP21" ca="1">IFERROR(INDEX($BX$3:$BX$738, SMALL(IF(COUNTIF(CP$3, $BY$3:$BY$738), ROW($BX$3:$BX$738)-MIN(ROW($BX$3:$BX$738))+1), $CB21), 0),"")</f>
        <v/>
      </c>
      <c r="CQ21" s="77" t="str">
        <f t="array" aca="1" ref="CQ21" ca="1">IFERROR(INDEX($BX$3:$BX$738, SMALL(IF(COUNTIF(CQ$3, $BY$3:$BY$738), ROW($BX$3:$BX$738)-MIN(ROW($BX$3:$BX$738))+1), $CB21), 0),"")</f>
        <v/>
      </c>
      <c r="CS21" s="77">
        <v>18</v>
      </c>
      <c r="CT21" s="77">
        <v>1</v>
      </c>
      <c r="CV21" s="77" t="str">
        <f t="shared" ca="1" si="10"/>
        <v/>
      </c>
      <c r="CW21" s="77">
        <f t="shared" ca="1" si="13"/>
        <v>0</v>
      </c>
      <c r="CZ21" s="77">
        <v>18</v>
      </c>
      <c r="DA21" s="77" t="str">
        <f t="shared" ca="1" si="14"/>
        <v/>
      </c>
      <c r="DB21" s="77" t="str">
        <f t="shared" ca="1" si="15"/>
        <v/>
      </c>
      <c r="DC21" s="77" t="str">
        <f t="shared" ca="1" si="19"/>
        <v/>
      </c>
      <c r="DD21" s="77" t="str">
        <f t="shared" ca="1" si="17"/>
        <v/>
      </c>
    </row>
    <row r="22" spans="1:111">
      <c r="A22" s="77">
        <v>20</v>
      </c>
      <c r="B22" s="77" t="str">
        <f>IF(ISERR(FIND(" ",'Player Database'!B22)),'Player Database'!B22,LEFT('Player Database'!B22,1)&amp;"."&amp;RIGHT('Player Database'!B22,LEN('Player Database'!B22)-LEN(LEFT('Player Database'!B22,FIND(" ",'Player Database'!B22)))+1))</f>
        <v>Bernard</v>
      </c>
      <c r="C22" s="77" t="str">
        <f>IF(ISERR(FIND(" ",'Player Database'!C22)),'Player Database'!C22,LEFT('Player Database'!C22,1)&amp;"."&amp;RIGHT('Player Database'!C22,LEN('Player Database'!C22)-LEN(LEFT('Player Database'!C22,FIND(" ",'Player Database'!C22)))+1))</f>
        <v>M. Kovačić</v>
      </c>
      <c r="D22" s="77" t="str">
        <f>IF(ISERR(FIND(" ",'Player Database'!D22)),'Player Database'!D22,LEFT('Player Database'!D22,1)&amp;"."&amp;RIGHT('Player Database'!D22,LEN('Player Database'!D22)-LEN(LEFT('Player Database'!D22,FIND(" ",'Player Database'!D22)))+1))</f>
        <v>J. Aquino</v>
      </c>
      <c r="E22" s="77" t="str">
        <f>IF(ISERR(FIND(" ",'Player Database'!E22)),'Player Database'!E22,LEFT('Player Database'!E22,1)&amp;"."&amp;RIGHT('Player Database'!E22,LEN('Player Database'!E22)-LEN(LEFT('Player Database'!E22,FIND(" ",'Player Database'!E22)))+1))</f>
        <v>E. Salli</v>
      </c>
      <c r="F22" s="77" t="str">
        <f>IF(ISERR(FIND(" ",'Player Database'!F22)),'Player Database'!F22,LEFT('Player Database'!F22,1)&amp;"."&amp;RIGHT('Player Database'!F22,LEN('Player Database'!F22)-LEN(LEFT('Player Database'!F22,FIND(" ",'Player Database'!F22)))+1))</f>
        <v>S. Cazorla</v>
      </c>
      <c r="G22" s="77" t="str">
        <f>IF(ISERR(FIND(" ",'Player Database'!G22)),'Player Database'!G22,LEFT('Player Database'!G22,1)&amp;"."&amp;RIGHT('Player Database'!G22,LEN('Player Database'!G22)-LEN(LEFT('Player Database'!G22,FIND(" ",'Player Database'!G22)))+1))</f>
        <v>G. Wijnaldum</v>
      </c>
      <c r="H22" s="77" t="str">
        <f>IF(ISERR(FIND(" ",'Player Database'!H22)),'Player Database'!H22,LEFT('Player Database'!H22,1)&amp;"."&amp;RIGHT('Player Database'!H22,LEN('Player Database'!H22)-LEN(LEFT('Player Database'!H22,FIND(" ",'Player Database'!H22)))+1))</f>
        <v>C. Aránguiz</v>
      </c>
      <c r="I22" s="77" t="str">
        <f>IF(ISERR(FIND(" ",'Player Database'!I22)),'Player Database'!I22,LEFT('Player Database'!I22,1)&amp;"."&amp;RIGHT('Player Database'!I22,LEN('Player Database'!I22)-LEN(LEFT('Player Database'!I22,FIND(" ",'Player Database'!I22)))+1))</f>
        <v>D. Vidošić</v>
      </c>
      <c r="J22" s="77" t="str">
        <f>IF(ISERR(FIND(" ",'Player Database'!J22)),'Player Database'!J22,LEFT('Player Database'!J22,1)&amp;"."&amp;RIGHT('Player Database'!J22,LEN('Player Database'!J22)-LEN(LEFT('Player Database'!J22,FIND(" ",'Player Database'!J22)))+1))</f>
        <v>J. Fernando Quintero</v>
      </c>
      <c r="K22" s="77" t="str">
        <f>IF(ISERR(FIND(" ",'Player Database'!K22)),'Player Database'!K22,LEFT('Player Database'!K22,1)&amp;"."&amp;RIGHT('Player Database'!K22,LEN('Player Database'!K22)-LEN(LEFT('Player Database'!K22,FIND(" ",'Player Database'!K22)))+1))</f>
        <v>J. Holebas</v>
      </c>
      <c r="L22" s="77" t="str">
        <f>IF(ISERR(FIND(" ",'Player Database'!L22)),'Player Database'!L22,LEFT('Player Database'!L22,1)&amp;"."&amp;RIGHT('Player Database'!L22,LEN('Player Database'!L22)-LEN(LEFT('Player Database'!L22,FIND(" ",'Player Database'!L22)))+1))</f>
        <v>S. Die</v>
      </c>
      <c r="M22" s="77" t="str">
        <f>IF(ISERR(FIND(" ",'Player Database'!M22)),'Player Database'!M22,LEFT('Player Database'!M22,1)&amp;"."&amp;RIGHT('Player Database'!M22,LEN('Player Database'!M22)-LEN(LEFT('Player Database'!M22,FIND(" ",'Player Database'!M22)))+1))</f>
        <v>M. Saitō</v>
      </c>
      <c r="N22" s="77" t="str">
        <f>IF(ISERR(FIND(" ",'Player Database'!N22)),'Player Database'!N22,LEFT('Player Database'!N22,1)&amp;"."&amp;RIGHT('Player Database'!N22,LEN('Player Database'!N22)-LEN(LEFT('Player Database'!N22,FIND(" ",'Player Database'!N22)))+1))</f>
        <v>Á. González</v>
      </c>
      <c r="O22" s="77" t="str">
        <f>IF(ISERR(FIND(" ",'Player Database'!O22)),'Player Database'!O22,LEFT('Player Database'!O22,1)&amp;"."&amp;RIGHT('Player Database'!O22,LEN('Player Database'!O22)-LEN(LEFT('Player Database'!O22,FIND(" ",'Player Database'!O22)))+1))</f>
        <v>D. Calvo</v>
      </c>
      <c r="P22" s="77" t="str">
        <f>IF(ISERR(FIND(" ",'Player Database'!P22)),'Player Database'!P22,LEFT('Player Database'!P22,1)&amp;"."&amp;RIGHT('Player Database'!P22,LEN('Player Database'!P22)-LEN(LEFT('Player Database'!P22,FIND(" ",'Player Database'!P22)))+1))</f>
        <v>A. Lallana</v>
      </c>
      <c r="Q22" s="77" t="str">
        <f>IF(ISERR(FIND(" ",'Player Database'!Q22)),'Player Database'!Q22,LEFT('Player Database'!Q22,1)&amp;"."&amp;RIGHT('Player Database'!Q22,LEN('Player Database'!Q22)-LEN(LEFT('Player Database'!Q22,FIND(" ",'Player Database'!Q22)))+1))</f>
        <v>G. Paletta</v>
      </c>
      <c r="R22" s="77" t="str">
        <f>IF(ISERR(FIND(" ",'Player Database'!R22)),'Player Database'!R22,LEFT('Player Database'!R22,1)&amp;"."&amp;RIGHT('Player Database'!R22,LEN('Player Database'!R22)-LEN(LEFT('Player Database'!R22,FIND(" ",'Player Database'!R22)))+1))</f>
        <v>J. Djourou</v>
      </c>
      <c r="S22" s="77" t="str">
        <f>IF(ISERR(FIND(" ",'Player Database'!S22)),'Player Database'!S22,LEFT('Player Database'!S22,1)&amp;"."&amp;RIGHT('Player Database'!S22,LEN('Player Database'!S22)-LEN(LEFT('Player Database'!S22,FIND(" ",'Player Database'!S22)))+1))</f>
        <v>F. Martínez</v>
      </c>
      <c r="T22" s="77" t="str">
        <f>IF(ISERR(FIND(" ",'Player Database'!T22)),'Player Database'!T22,LEFT('Player Database'!T22,1)&amp;"."&amp;RIGHT('Player Database'!T22,LEN('Player Database'!T22)-LEN(LEFT('Player Database'!T22,FIND(" ",'Player Database'!T22)))+1))</f>
        <v>L. Rémy</v>
      </c>
      <c r="U22" s="77" t="str">
        <f>IF(ISERR(FIND(" ",'Player Database'!U22)),'Player Database'!U22,LEFT('Player Database'!U22,1)&amp;"."&amp;RIGHT('Player Database'!U22,LEN('Player Database'!U22)-LEN(LEFT('Player Database'!U22,FIND(" ",'Player Database'!U22)))+1))</f>
        <v>J. Claros</v>
      </c>
      <c r="V22" s="77" t="str">
        <f>IF(ISERR(FIND(" ",'Player Database'!V22)),'Player Database'!V22,LEFT('Player Database'!V22,1)&amp;"."&amp;RIGHT('Player Database'!V22,LEN('Player Database'!V22)-LEN(LEFT('Player Database'!V22,FIND(" ",'Player Database'!V22)))+1))</f>
        <v>S. Agüero</v>
      </c>
      <c r="W22" s="77" t="str">
        <f>IF(ISERR(FIND(" ",'Player Database'!W22)),'Player Database'!W22,LEFT('Player Database'!W22,1)&amp;"."&amp;RIGHT('Player Database'!W22,LEN('Player Database'!W22)-LEN(LEFT('Player Database'!W22,FIND(" ",'Player Database'!W22)))+1))</f>
        <v>A. Hadžić</v>
      </c>
      <c r="X22" s="77" t="str">
        <f>IF(ISERR(FIND(" ",'Player Database'!X22)),'Player Database'!X22,LEFT('Player Database'!X22,1)&amp;"."&amp;RIGHT('Player Database'!X22,LEN('Player Database'!X22)-LEN(LEFT('Player Database'!X22,FIND(" ",'Player Database'!X22)))+1))</f>
        <v>S. Beitashour</v>
      </c>
      <c r="Y22" s="77" t="str">
        <f>IF(ISERR(FIND(" ",'Player Database'!Y22)),'Player Database'!Y22,LEFT('Player Database'!Y22,1)&amp;"."&amp;RIGHT('Player Database'!Y22,LEN('Player Database'!Y22)-LEN(LEFT('Player Database'!Y22,FIND(" ",'Player Database'!Y22)))+1))</f>
        <v>M. Uchebo</v>
      </c>
      <c r="Z22" s="77" t="str">
        <f>IF(ISERR(FIND(" ",'Player Database'!Z22)),'Player Database'!Z22,LEFT('Player Database'!Z22,1)&amp;"."&amp;RIGHT('Player Database'!Z22,LEN('Player Database'!Z22)-LEN(LEFT('Player Database'!Z22,FIND(" ",'Player Database'!Z22)))+1))</f>
        <v>J. Boateng</v>
      </c>
      <c r="AA22" s="77" t="str">
        <f>IF(ISERR(FIND(" ",'Player Database'!AA22)),'Player Database'!AA22,LEFT('Player Database'!AA22,1)&amp;"."&amp;RIGHT('Player Database'!AA22,LEN('Player Database'!AA22)-LEN(LEFT('Player Database'!AA22,FIND(" ",'Player Database'!AA22)))+1))</f>
        <v>R. Amorim</v>
      </c>
      <c r="AB22" s="77" t="str">
        <f>IF(ISERR(FIND(" ",'Player Database'!AB22)),'Player Database'!AB22,LEFT('Player Database'!AB22,1)&amp;"."&amp;RIGHT('Player Database'!AB22,LEN('Player Database'!AB22)-LEN(LEFT('Player Database'!AB22,FIND(" ",'Player Database'!AB22)))+1))</f>
        <v>K. Asamoah</v>
      </c>
      <c r="AC22" s="77" t="str">
        <f>IF(ISERR(FIND(" ",'Player Database'!AC22)),'Player Database'!AC22,LEFT('Player Database'!AC22,1)&amp;"."&amp;RIGHT('Player Database'!AC22,LEN('Player Database'!AC22)-LEN(LEFT('Player Database'!AC22,FIND(" ",'Player Database'!AC22)))+1))</f>
        <v>G. Cameron</v>
      </c>
      <c r="AD22" s="77" t="str">
        <f>IF(ISERR(FIND(" ",'Player Database'!AD22)),'Player Database'!AD22,LEFT('Player Database'!AD22,1)&amp;"."&amp;RIGHT('Player Database'!AD22,LEN('Player Database'!AD22)-LEN(LEFT('Player Database'!AD22,FIND(" ",'Player Database'!AD22)))+1))</f>
        <v>A. Januzaj</v>
      </c>
      <c r="AE22" s="77" t="str">
        <f>IF(ISERR(FIND(" ",'Player Database'!AE22)),'Player Database'!AE22,LEFT('Player Database'!AE22,1)&amp;"."&amp;RIGHT('Player Database'!AE22,LEN('Player Database'!AE22)-LEN(LEFT('Player Database'!AE22,FIND(" ",'Player Database'!AE22)))+1))</f>
        <v>A. Mandi</v>
      </c>
      <c r="AF22" s="77" t="str">
        <f>IF(ISERR(FIND(" ",'Player Database'!AF22)),'Player Database'!AF22,LEFT('Player Database'!AF22,1)&amp;"."&amp;RIGHT('Player Database'!AF22,LEN('Player Database'!AF22)-LEN(LEFT('Player Database'!AF22,FIND(" ",'Player Database'!AF22)))+1))</f>
        <v>V. Fayzulin</v>
      </c>
      <c r="AG22" s="77" t="str">
        <f>IF(ISERR(FIND(" ",'Player Database'!AG22)),'Player Database'!AG22,LEFT('Player Database'!AG22,1)&amp;"."&amp;RIGHT('Player Database'!AG22,LEN('Player Database'!AG22)-LEN(LEFT('Player Database'!AG22,FIND(" ",'Player Database'!AG22)))+1))</f>
        <v>H. Jeong-ho</v>
      </c>
      <c r="AI22" s="77" t="str">
        <f t="shared" ca="1" si="21"/>
        <v/>
      </c>
      <c r="AJ22" s="77" t="str">
        <f t="shared" ca="1" si="21"/>
        <v/>
      </c>
      <c r="AK22" s="77" t="str">
        <f t="shared" ca="1" si="21"/>
        <v/>
      </c>
      <c r="AL22" s="77" t="str">
        <f t="shared" ca="1" si="21"/>
        <v/>
      </c>
      <c r="AM22" s="77" t="str">
        <f t="shared" ca="1" si="21"/>
        <v/>
      </c>
      <c r="AN22" s="77" t="str">
        <f t="shared" ca="1" si="21"/>
        <v/>
      </c>
      <c r="AO22" s="77" t="str">
        <f t="shared" ca="1" si="21"/>
        <v/>
      </c>
      <c r="AP22" s="77" t="str">
        <f t="shared" ca="1" si="21"/>
        <v/>
      </c>
      <c r="AQ22" s="77" t="str">
        <f t="shared" ca="1" si="21"/>
        <v/>
      </c>
      <c r="AR22" s="77" t="str">
        <f t="shared" ca="1" si="21"/>
        <v/>
      </c>
      <c r="AS22" s="77" t="str">
        <f t="shared" ca="1" si="21"/>
        <v/>
      </c>
      <c r="AT22" s="77" t="str">
        <f t="shared" ca="1" si="21"/>
        <v/>
      </c>
      <c r="AU22" s="77" t="str">
        <f t="shared" ca="1" si="21"/>
        <v/>
      </c>
      <c r="AV22" s="77" t="str">
        <f t="shared" ca="1" si="21"/>
        <v/>
      </c>
      <c r="AW22" s="77" t="str">
        <f t="shared" ca="1" si="21"/>
        <v/>
      </c>
      <c r="AX22" s="77" t="str">
        <f t="shared" ca="1" si="20"/>
        <v/>
      </c>
      <c r="AZ22" s="77" t="str">
        <f t="shared" si="6"/>
        <v/>
      </c>
      <c r="BA22" s="77" t="str">
        <f t="shared" si="6"/>
        <v/>
      </c>
      <c r="BB22" s="77" t="str">
        <f t="shared" si="6"/>
        <v/>
      </c>
      <c r="BC22" s="77" t="str">
        <f t="shared" si="6"/>
        <v/>
      </c>
      <c r="BD22" s="77" t="str">
        <f t="shared" si="6"/>
        <v/>
      </c>
      <c r="BE22" s="77" t="str">
        <f t="shared" si="6"/>
        <v/>
      </c>
      <c r="BF22" s="77" t="str">
        <f t="shared" si="6"/>
        <v/>
      </c>
      <c r="BG22" s="77" t="str">
        <f t="shared" si="6"/>
        <v/>
      </c>
      <c r="BI22" s="77" t="str">
        <f t="shared" si="7"/>
        <v/>
      </c>
      <c r="BJ22" s="77" t="str">
        <f t="shared" si="7"/>
        <v/>
      </c>
      <c r="BK22" s="77" t="str">
        <f t="shared" si="7"/>
        <v/>
      </c>
      <c r="BL22" s="77" t="str">
        <f t="shared" si="7"/>
        <v/>
      </c>
      <c r="BN22" s="77" t="str">
        <f t="shared" si="8"/>
        <v/>
      </c>
      <c r="BO22" s="77" t="str">
        <f t="shared" si="8"/>
        <v/>
      </c>
      <c r="BQ22" s="77" t="str">
        <f t="shared" si="9"/>
        <v/>
      </c>
      <c r="BR22" s="77" t="str">
        <f t="shared" si="9"/>
        <v/>
      </c>
      <c r="BT22" s="77" t="str">
        <f t="shared" si="11"/>
        <v>Brazil</v>
      </c>
      <c r="BU22" s="77">
        <f t="shared" si="12"/>
        <v>20</v>
      </c>
      <c r="BW22" s="77">
        <v>1</v>
      </c>
      <c r="BX22" s="77" t="str">
        <f t="shared" si="4"/>
        <v>Bernard</v>
      </c>
      <c r="BY22" s="77">
        <f>COUNTIF('Group Stages'!$L$14:$S$110,BX22)+COUNTIF('Knock Out Stages'!$N$41:$U$84,BX22)</f>
        <v>0</v>
      </c>
      <c r="CA22" s="77" t="str">
        <f>'Player Database'!B22</f>
        <v>Bernard</v>
      </c>
      <c r="CB22" s="77">
        <v>19</v>
      </c>
      <c r="CC22" s="77" t="str">
        <f t="array" aca="1" ref="CC22" ca="1">IFERROR(INDEX($BX$3:$BX$738, SMALL(IF(COUNTIF(CC$3, $BY$3:$BY$738), ROW($BX$3:$BX$738)-MIN(ROW($BX$3:$BX$738))+1), $CB22), 0),"")</f>
        <v/>
      </c>
      <c r="CD22" s="77" t="str">
        <f t="array" aca="1" ref="CD22" ca="1">IFERROR(INDEX($BX$3:$BX$738, SMALL(IF(COUNTIF(CD$3, $BY$3:$BY$738), ROW($BX$3:$BX$738)-MIN(ROW($BX$3:$BX$738))+1), $CB22), 0),"")</f>
        <v/>
      </c>
      <c r="CE22" s="77" t="str">
        <f t="array" aca="1" ref="CE22" ca="1">IFERROR(INDEX($BX$3:$BX$738, SMALL(IF(COUNTIF(CE$3, $BY$3:$BY$738), ROW($BX$3:$BX$738)-MIN(ROW($BX$3:$BX$738))+1), $CB22), 0),"")</f>
        <v/>
      </c>
      <c r="CF22" s="77" t="str">
        <f t="array" aca="1" ref="CF22" ca="1">IFERROR(INDEX($BX$3:$BX$738, SMALL(IF(COUNTIF(CF$3, $BY$3:$BY$738), ROW($BX$3:$BX$738)-MIN(ROW($BX$3:$BX$738))+1), $CB22), 0),"")</f>
        <v/>
      </c>
      <c r="CG22" s="77" t="str">
        <f t="array" aca="1" ref="CG22" ca="1">IFERROR(INDEX($BX$3:$BX$738, SMALL(IF(COUNTIF(CG$3, $BY$3:$BY$738), ROW($BX$3:$BX$738)-MIN(ROW($BX$3:$BX$738))+1), $CB22), 0),"")</f>
        <v/>
      </c>
      <c r="CH22" s="77" t="str">
        <f t="array" aca="1" ref="CH22" ca="1">IFERROR(INDEX($BX$3:$BX$738, SMALL(IF(COUNTIF(CH$3, $BY$3:$BY$738), ROW($BX$3:$BX$738)-MIN(ROW($BX$3:$BX$738))+1), $CB22), 0),"")</f>
        <v/>
      </c>
      <c r="CI22" s="77" t="str">
        <f t="array" aca="1" ref="CI22" ca="1">IFERROR(INDEX($BX$3:$BX$738, SMALL(IF(COUNTIF(CI$3, $BY$3:$BY$738), ROW($BX$3:$BX$738)-MIN(ROW($BX$3:$BX$738))+1), $CB22), 0),"")</f>
        <v/>
      </c>
      <c r="CJ22" s="77" t="str">
        <f t="array" aca="1" ref="CJ22" ca="1">IFERROR(INDEX($BX$3:$BX$738, SMALL(IF(COUNTIF(CJ$3, $BY$3:$BY$738), ROW($BX$3:$BX$738)-MIN(ROW($BX$3:$BX$738))+1), $CB22), 0),"")</f>
        <v/>
      </c>
      <c r="CK22" s="77" t="str">
        <f t="array" aca="1" ref="CK22" ca="1">IFERROR(INDEX($BX$3:$BX$738, SMALL(IF(COUNTIF(CK$3, $BY$3:$BY$738), ROW($BX$3:$BX$738)-MIN(ROW($BX$3:$BX$738))+1), $CB22), 0),"")</f>
        <v/>
      </c>
      <c r="CL22" s="77" t="str">
        <f t="array" aca="1" ref="CL22" ca="1">IFERROR(INDEX($BX$3:$BX$738, SMALL(IF(COUNTIF(CL$3, $BY$3:$BY$738), ROW($BX$3:$BX$738)-MIN(ROW($BX$3:$BX$738))+1), $CB22), 0),"")</f>
        <v/>
      </c>
      <c r="CM22" s="77" t="str">
        <f t="array" aca="1" ref="CM22" ca="1">IFERROR(INDEX($BX$3:$BX$738, SMALL(IF(COUNTIF(CM$3, $BY$3:$BY$738), ROW($BX$3:$BX$738)-MIN(ROW($BX$3:$BX$738))+1), $CB22), 0),"")</f>
        <v/>
      </c>
      <c r="CN22" s="77" t="str">
        <f t="array" aca="1" ref="CN22" ca="1">IFERROR(INDEX($BX$3:$BX$738, SMALL(IF(COUNTIF(CN$3, $BY$3:$BY$738), ROW($BX$3:$BX$738)-MIN(ROW($BX$3:$BX$738))+1), $CB22), 0),"")</f>
        <v/>
      </c>
      <c r="CO22" s="77" t="str">
        <f t="array" aca="1" ref="CO22" ca="1">IFERROR(INDEX($BX$3:$BX$738, SMALL(IF(COUNTIF(CO$3, $BY$3:$BY$738), ROW($BX$3:$BX$738)-MIN(ROW($BX$3:$BX$738))+1), $CB22), 0),"")</f>
        <v/>
      </c>
      <c r="CP22" s="77" t="str">
        <f t="array" aca="1" ref="CP22" ca="1">IFERROR(INDEX($BX$3:$BX$738, SMALL(IF(COUNTIF(CP$3, $BY$3:$BY$738), ROW($BX$3:$BX$738)-MIN(ROW($BX$3:$BX$738))+1), $CB22), 0),"")</f>
        <v/>
      </c>
      <c r="CQ22" s="77" t="str">
        <f t="array" aca="1" ref="CQ22" ca="1">IFERROR(INDEX($BX$3:$BX$738, SMALL(IF(COUNTIF(CQ$3, $BY$3:$BY$738), ROW($BX$3:$BX$738)-MIN(ROW($BX$3:$BX$738))+1), $CB22), 0),"")</f>
        <v/>
      </c>
      <c r="CS22" s="77">
        <v>19</v>
      </c>
      <c r="CT22" s="77">
        <v>1</v>
      </c>
      <c r="CV22" s="77" t="str">
        <f t="shared" ca="1" si="10"/>
        <v/>
      </c>
      <c r="CW22" s="77">
        <f t="shared" ca="1" si="13"/>
        <v>0</v>
      </c>
      <c r="CZ22" s="77">
        <v>19</v>
      </c>
      <c r="DA22" s="77" t="str">
        <f t="shared" ca="1" si="14"/>
        <v/>
      </c>
      <c r="DB22" s="77" t="str">
        <f t="shared" ca="1" si="15"/>
        <v/>
      </c>
      <c r="DC22" s="77" t="str">
        <f t="shared" ca="1" si="19"/>
        <v/>
      </c>
      <c r="DD22" s="77" t="str">
        <f t="shared" ca="1" si="17"/>
        <v/>
      </c>
    </row>
    <row r="23" spans="1:111">
      <c r="A23" s="77">
        <v>21</v>
      </c>
      <c r="B23" s="77" t="str">
        <f>IF(ISERR(FIND(" ",'Player Database'!B23)),'Player Database'!B23,LEFT('Player Database'!B23,1)&amp;"."&amp;RIGHT('Player Database'!B23,LEN('Player Database'!B23)-LEN(LEFT('Player Database'!B23,FIND(" ",'Player Database'!B23)))+1))</f>
        <v>Jô</v>
      </c>
      <c r="C23" s="77" t="str">
        <f>IF(ISERR(FIND(" ",'Player Database'!C23)),'Player Database'!C23,LEFT('Player Database'!C23,1)&amp;"."&amp;RIGHT('Player Database'!C23,LEN('Player Database'!C23)-LEN(LEFT('Player Database'!C23,FIND(" ",'Player Database'!C23)))+1))</f>
        <v>D. Vida</v>
      </c>
      <c r="D23" s="77" t="str">
        <f>IF(ISERR(FIND(" ",'Player Database'!D23)),'Player Database'!D23,LEFT('Player Database'!D23,1)&amp;"."&amp;RIGHT('Player Database'!D23,LEN('Player Database'!D23)-LEN(LEFT('Player Database'!D23,FIND(" ",'Player Database'!D23)))+1))</f>
        <v>C. Peña</v>
      </c>
      <c r="E23" s="77" t="str">
        <f>IF(ISERR(FIND(" ",'Player Database'!E23)),'Player Database'!E23,LEFT('Player Database'!E23,1)&amp;"."&amp;RIGHT('Player Database'!E23,LEN('Player Database'!E23)-LEN(LEFT('Player Database'!E23,FIND(" ",'Player Database'!E23)))+1))</f>
        <v>J. Matip</v>
      </c>
      <c r="F23" s="77" t="str">
        <f>IF(ISERR(FIND(" ",'Player Database'!F23)),'Player Database'!F23,LEFT('Player Database'!F23,1)&amp;"."&amp;RIGHT('Player Database'!F23,LEN('Player Database'!F23)-LEN(LEFT('Player Database'!F23,FIND(" ",'Player Database'!F23)))+1))</f>
        <v>D. Silva</v>
      </c>
      <c r="G23" s="77" t="str">
        <f>IF(ISERR(FIND(" ",'Player Database'!G23)),'Player Database'!G23,LEFT('Player Database'!G23,1)&amp;"."&amp;RIGHT('Player Database'!G23,LEN('Player Database'!G23)-LEN(LEFT('Player Database'!G23,FIND(" ",'Player Database'!G23)))+1))</f>
        <v>M. Depay</v>
      </c>
      <c r="H23" s="77" t="str">
        <f>IF(ISERR(FIND(" ",'Player Database'!H23)),'Player Database'!H23,LEFT('Player Database'!H23,1)&amp;"."&amp;RIGHT('Player Database'!H23,LEN('Player Database'!H23)-LEN(LEFT('Player Database'!H23,FIND(" ",'Player Database'!H23)))+1))</f>
        <v>M. Díaz</v>
      </c>
      <c r="I23" s="77" t="str">
        <f>IF(ISERR(FIND(" ",'Player Database'!I23)),'Player Database'!I23,LEFT('Player Database'!I23,1)&amp;"."&amp;RIGHT('Player Database'!I23,LEN('Player Database'!I23)-LEN(LEFT('Player Database'!I23,FIND(" ",'Player Database'!I23)))+1))</f>
        <v>M. Luongo</v>
      </c>
      <c r="J23" s="77" t="str">
        <f>IF(ISERR(FIND(" ",'Player Database'!J23)),'Player Database'!J23,LEFT('Player Database'!J23,1)&amp;"."&amp;RIGHT('Player Database'!J23,LEN('Player Database'!J23)-LEN(LEFT('Player Database'!J23,FIND(" ",'Player Database'!J23)))+1))</f>
        <v>J. Martínez</v>
      </c>
      <c r="K23" s="77" t="str">
        <f>IF(ISERR(FIND(" ",'Player Database'!K23)),'Player Database'!K23,LEFT('Player Database'!K23,1)&amp;"."&amp;RIGHT('Player Database'!K23,LEN('Player Database'!K23)-LEN(LEFT('Player Database'!K23,FIND(" ",'Player Database'!K23)))+1))</f>
        <v>K. Katsouranis</v>
      </c>
      <c r="L23" s="77" t="str">
        <f>IF(ISERR(FIND(" ",'Player Database'!L23)),'Player Database'!L23,LEFT('Player Database'!L23,1)&amp;"."&amp;RIGHT('Player Database'!L23,LEN('Player Database'!L23)-LEN(LEFT('Player Database'!L23,FIND(" ",'Player Database'!L23)))+1))</f>
        <v>G. Sio</v>
      </c>
      <c r="M23" s="77" t="str">
        <f>IF(ISERR(FIND(" ",'Player Database'!M23)),'Player Database'!M23,LEFT('Player Database'!M23,1)&amp;"."&amp;RIGHT('Player Database'!M23,LEN('Player Database'!M23)-LEN(LEFT('Player Database'!M23,FIND(" ",'Player Database'!M23)))+1))</f>
        <v>H. Sakai</v>
      </c>
      <c r="N23" s="77" t="str">
        <f>IF(ISERR(FIND(" ",'Player Database'!N23)),'Player Database'!N23,LEFT('Player Database'!N23,1)&amp;"."&amp;RIGHT('Player Database'!N23,LEN('Player Database'!N23)-LEN(LEFT('Player Database'!N23,FIND(" ",'Player Database'!N23)))+1))</f>
        <v>E. Cavani</v>
      </c>
      <c r="O23" s="77" t="str">
        <f>IF(ISERR(FIND(" ",'Player Database'!O23)),'Player Database'!O23,LEFT('Player Database'!O23,1)&amp;"."&amp;RIGHT('Player Database'!O23,LEN('Player Database'!O23)-LEN(LEFT('Player Database'!O23,FIND(" ",'Player Database'!O23)))+1))</f>
        <v>M. Ureña</v>
      </c>
      <c r="P23" s="77" t="str">
        <f>IF(ISERR(FIND(" ",'Player Database'!P23)),'Player Database'!P23,LEFT('Player Database'!P23,1)&amp;"."&amp;RIGHT('Player Database'!P23,LEN('Player Database'!P23)-LEN(LEFT('Player Database'!P23,FIND(" ",'Player Database'!P23)))+1))</f>
        <v>R. Barkley</v>
      </c>
      <c r="Q23" s="77" t="str">
        <f>IF(ISERR(FIND(" ",'Player Database'!Q23)),'Player Database'!Q23,LEFT('Player Database'!Q23,1)&amp;"."&amp;RIGHT('Player Database'!Q23,LEN('Player Database'!Q23)-LEN(LEFT('Player Database'!Q23,FIND(" ",'Player Database'!Q23)))+1))</f>
        <v>A. Pirlo</v>
      </c>
      <c r="R23" s="77" t="str">
        <f>IF(ISERR(FIND(" ",'Player Database'!R23)),'Player Database'!R23,LEFT('Player Database'!R23,1)&amp;"."&amp;RIGHT('Player Database'!R23,LEN('Player Database'!R23)-LEN(LEFT('Player Database'!R23,FIND(" ",'Player Database'!R23)))+1))</f>
        <v>R. Bürki</v>
      </c>
      <c r="S23" s="77" t="str">
        <f>IF(ISERR(FIND(" ",'Player Database'!S23)),'Player Database'!S23,LEFT('Player Database'!S23,1)&amp;"."&amp;RIGHT('Player Database'!S23,LEN('Player Database'!S23)-LEN(LEFT('Player Database'!S23,FIND(" ",'Player Database'!S23)))+1))</f>
        <v>G. Achilier</v>
      </c>
      <c r="T23" s="77" t="str">
        <f>IF(ISERR(FIND(" ",'Player Database'!T23)),'Player Database'!T23,LEFT('Player Database'!T23,1)&amp;"."&amp;RIGHT('Player Database'!T23,LEN('Player Database'!T23)-LEN(LEFT('Player Database'!T23,FIND(" ",'Player Database'!T23)))+1))</f>
        <v>L. Koscielny</v>
      </c>
      <c r="U23" s="77" t="str">
        <f>IF(ISERR(FIND(" ",'Player Database'!U23)),'Player Database'!U23,LEFT('Player Database'!U23,1)&amp;"."&amp;RIGHT('Player Database'!U23,LEN('Player Database'!U23)-LEN(LEFT('Player Database'!U23,FIND(" ",'Player Database'!U23)))+1))</f>
        <v>A. Najar</v>
      </c>
      <c r="V23" s="77" t="str">
        <f>IF(ISERR(FIND(" ",'Player Database'!V23)),'Player Database'!V23,LEFT('Player Database'!V23,1)&amp;"."&amp;RIGHT('Player Database'!V23,LEN('Player Database'!V23)-LEN(LEFT('Player Database'!V23,FIND(" ",'Player Database'!V23)))+1))</f>
        <v>M. Andújar</v>
      </c>
      <c r="W23" s="77" t="str">
        <f>IF(ISERR(FIND(" ",'Player Database'!W23)),'Player Database'!W23,LEFT('Player Database'!W23,1)&amp;"."&amp;RIGHT('Player Database'!W23,LEN('Player Database'!W23)-LEN(LEFT('Player Database'!W23,FIND(" ",'Player Database'!W23)))+1))</f>
        <v>T. Sušić</v>
      </c>
      <c r="X23" s="77" t="str">
        <f>IF(ISERR(FIND(" ",'Player Database'!X23)),'Player Database'!X23,LEFT('Player Database'!X23,1)&amp;"."&amp;RIGHT('Player Database'!X23,LEN('Player Database'!X23)-LEN(LEFT('Player Database'!X23,FIND(" ",'Player Database'!X23)))+1))</f>
        <v>A. Dejagah</v>
      </c>
      <c r="Y23" s="77" t="str">
        <f>IF(ISERR(FIND(" ",'Player Database'!Y23)),'Player Database'!Y23,LEFT('Player Database'!Y23,1)&amp;"."&amp;RIGHT('Player Database'!Y23,LEN('Player Database'!Y23)-LEN(LEFT('Player Database'!Y23,FIND(" ",'Player Database'!Y23)))+1))</f>
        <v>C. Agbim</v>
      </c>
      <c r="Z23" s="77" t="str">
        <f>IF(ISERR(FIND(" ",'Player Database'!Z23)),'Player Database'!Z23,LEFT('Player Database'!Z23,1)&amp;"."&amp;RIGHT('Player Database'!Z23,LEN('Player Database'!Z23)-LEN(LEFT('Player Database'!Z23,FIND(" ",'Player Database'!Z23)))+1))</f>
        <v>S. Mustafi</v>
      </c>
      <c r="AA23" s="77" t="str">
        <f>IF(ISERR(FIND(" ",'Player Database'!AA23)),'Player Database'!AA23,LEFT('Player Database'!AA23,1)&amp;"."&amp;RIGHT('Player Database'!AA23,LEN('Player Database'!AA23)-LEN(LEFT('Player Database'!AA23,FIND(" ",'Player Database'!AA23)))+1))</f>
        <v>J. Pereira</v>
      </c>
      <c r="AB23" s="77" t="str">
        <f>IF(ISERR(FIND(" ",'Player Database'!AB23)),'Player Database'!AB23,LEFT('Player Database'!AB23,1)&amp;"."&amp;RIGHT('Player Database'!AB23,LEN('Player Database'!AB23)-LEN(LEFT('Player Database'!AB23,FIND(" ",'Player Database'!AB23)))+1))</f>
        <v>J. Boye</v>
      </c>
      <c r="AC23" s="77" t="str">
        <f>IF(ISERR(FIND(" ",'Player Database'!AC23)),'Player Database'!AC23,LEFT('Player Database'!AC23,1)&amp;"."&amp;RIGHT('Player Database'!AC23,LEN('Player Database'!AC23)-LEN(LEFT('Player Database'!AC23,FIND(" ",'Player Database'!AC23)))+1))</f>
        <v>T. Chandler</v>
      </c>
      <c r="AD23" s="77" t="str">
        <f>IF(ISERR(FIND(" ",'Player Database'!AD23)),'Player Database'!AD23,LEFT('Player Database'!AD23,1)&amp;"."&amp;RIGHT('Player Database'!AD23,LEN('Player Database'!AD23)-LEN(LEFT('Player Database'!AD23,FIND(" ",'Player Database'!AD23)))+1))</f>
        <v>A. Vanden Borre</v>
      </c>
      <c r="AE23" s="77" t="str">
        <f>IF(ISERR(FIND(" ",'Player Database'!AE23)),'Player Database'!AE23,LEFT('Player Database'!AE23,1)&amp;"."&amp;RIGHT('Player Database'!AE23,LEN('Player Database'!AE23)-LEN(LEFT('Player Database'!AE23,FIND(" ",'Player Database'!AE23)))+1))</f>
        <v>R. Mahrez</v>
      </c>
      <c r="AF23" s="77" t="str">
        <f>IF(ISERR(FIND(" ",'Player Database'!AF23)),'Player Database'!AF23,LEFT('Player Database'!AF23,1)&amp;"."&amp;RIGHT('Player Database'!AF23,LEN('Player Database'!AF23)-LEN(LEFT('Player Database'!AF23,FIND(" ",'Player Database'!AF23)))+1))</f>
        <v>A. Ionov</v>
      </c>
      <c r="AG23" s="77" t="str">
        <f>IF(ISERR(FIND(" ",'Player Database'!AG23)),'Player Database'!AG23,LEFT('Player Database'!AG23,1)&amp;"."&amp;RIGHT('Player Database'!AG23,LEN('Player Database'!AG23)-LEN(LEFT('Player Database'!AG23,FIND(" ",'Player Database'!AG23)))+1))</f>
        <v>K. Seung-gyu</v>
      </c>
      <c r="AI23" s="77" t="str">
        <f t="shared" ca="1" si="21"/>
        <v/>
      </c>
      <c r="AJ23" s="77" t="str">
        <f t="shared" ca="1" si="21"/>
        <v/>
      </c>
      <c r="AK23" s="77" t="str">
        <f t="shared" ca="1" si="21"/>
        <v/>
      </c>
      <c r="AL23" s="77" t="str">
        <f t="shared" ca="1" si="21"/>
        <v/>
      </c>
      <c r="AM23" s="77" t="str">
        <f t="shared" ca="1" si="21"/>
        <v/>
      </c>
      <c r="AN23" s="77" t="str">
        <f t="shared" ca="1" si="21"/>
        <v/>
      </c>
      <c r="AO23" s="77" t="str">
        <f t="shared" ca="1" si="21"/>
        <v/>
      </c>
      <c r="AP23" s="77" t="str">
        <f t="shared" ca="1" si="21"/>
        <v/>
      </c>
      <c r="AQ23" s="77" t="str">
        <f t="shared" ca="1" si="21"/>
        <v/>
      </c>
      <c r="AR23" s="77" t="str">
        <f t="shared" ca="1" si="21"/>
        <v/>
      </c>
      <c r="AS23" s="77" t="str">
        <f t="shared" ca="1" si="21"/>
        <v/>
      </c>
      <c r="AT23" s="77" t="str">
        <f t="shared" ca="1" si="21"/>
        <v/>
      </c>
      <c r="AU23" s="77" t="str">
        <f t="shared" ca="1" si="21"/>
        <v/>
      </c>
      <c r="AV23" s="77" t="str">
        <f t="shared" ca="1" si="21"/>
        <v/>
      </c>
      <c r="AW23" s="77" t="str">
        <f t="shared" ca="1" si="21"/>
        <v/>
      </c>
      <c r="AX23" s="77" t="str">
        <f t="shared" ca="1" si="20"/>
        <v/>
      </c>
      <c r="AZ23" s="77" t="str">
        <f t="shared" si="6"/>
        <v/>
      </c>
      <c r="BA23" s="77" t="str">
        <f t="shared" si="6"/>
        <v/>
      </c>
      <c r="BB23" s="77" t="str">
        <f t="shared" si="6"/>
        <v/>
      </c>
      <c r="BC23" s="77" t="str">
        <f t="shared" si="6"/>
        <v/>
      </c>
      <c r="BD23" s="77" t="str">
        <f t="shared" si="6"/>
        <v/>
      </c>
      <c r="BE23" s="77" t="str">
        <f t="shared" si="6"/>
        <v/>
      </c>
      <c r="BF23" s="77" t="str">
        <f t="shared" si="6"/>
        <v/>
      </c>
      <c r="BG23" s="77" t="str">
        <f t="shared" si="6"/>
        <v/>
      </c>
      <c r="BI23" s="77" t="str">
        <f t="shared" si="7"/>
        <v/>
      </c>
      <c r="BJ23" s="77" t="str">
        <f t="shared" si="7"/>
        <v/>
      </c>
      <c r="BK23" s="77" t="str">
        <f t="shared" si="7"/>
        <v/>
      </c>
      <c r="BL23" s="77" t="str">
        <f t="shared" si="7"/>
        <v/>
      </c>
      <c r="BN23" s="77" t="str">
        <f t="shared" si="8"/>
        <v/>
      </c>
      <c r="BO23" s="77" t="str">
        <f t="shared" si="8"/>
        <v/>
      </c>
      <c r="BQ23" s="77" t="str">
        <f t="shared" si="9"/>
        <v/>
      </c>
      <c r="BR23" s="77" t="str">
        <f t="shared" si="9"/>
        <v/>
      </c>
      <c r="BT23" s="77" t="str">
        <f t="shared" si="11"/>
        <v>Brazil</v>
      </c>
      <c r="BU23" s="77">
        <f t="shared" si="12"/>
        <v>21</v>
      </c>
      <c r="BW23" s="77">
        <v>1</v>
      </c>
      <c r="BX23" s="77" t="str">
        <f t="shared" si="4"/>
        <v>Jô</v>
      </c>
      <c r="BY23" s="77">
        <f>COUNTIF('Group Stages'!$L$14:$S$110,BX23)+COUNTIF('Knock Out Stages'!$N$41:$U$84,BX23)</f>
        <v>0</v>
      </c>
      <c r="CA23" s="77" t="str">
        <f>'Player Database'!B23</f>
        <v>Jô</v>
      </c>
      <c r="CB23" s="77">
        <v>20</v>
      </c>
      <c r="CC23" s="77" t="str">
        <f t="array" aca="1" ref="CC23" ca="1">IFERROR(INDEX($BX$3:$BX$738, SMALL(IF(COUNTIF(CC$3, $BY$3:$BY$738), ROW($BX$3:$BX$738)-MIN(ROW($BX$3:$BX$738))+1), $CB23), 0),"")</f>
        <v/>
      </c>
      <c r="CD23" s="77" t="str">
        <f t="array" aca="1" ref="CD23" ca="1">IFERROR(INDEX($BX$3:$BX$738, SMALL(IF(COUNTIF(CD$3, $BY$3:$BY$738), ROW($BX$3:$BX$738)-MIN(ROW($BX$3:$BX$738))+1), $CB23), 0),"")</f>
        <v/>
      </c>
      <c r="CE23" s="77" t="str">
        <f t="array" aca="1" ref="CE23" ca="1">IFERROR(INDEX($BX$3:$BX$738, SMALL(IF(COUNTIF(CE$3, $BY$3:$BY$738), ROW($BX$3:$BX$738)-MIN(ROW($BX$3:$BX$738))+1), $CB23), 0),"")</f>
        <v/>
      </c>
      <c r="CF23" s="77" t="str">
        <f t="array" aca="1" ref="CF23" ca="1">IFERROR(INDEX($BX$3:$BX$738, SMALL(IF(COUNTIF(CF$3, $BY$3:$BY$738), ROW($BX$3:$BX$738)-MIN(ROW($BX$3:$BX$738))+1), $CB23), 0),"")</f>
        <v/>
      </c>
      <c r="CG23" s="77" t="str">
        <f t="array" aca="1" ref="CG23" ca="1">IFERROR(INDEX($BX$3:$BX$738, SMALL(IF(COUNTIF(CG$3, $BY$3:$BY$738), ROW($BX$3:$BX$738)-MIN(ROW($BX$3:$BX$738))+1), $CB23), 0),"")</f>
        <v/>
      </c>
      <c r="CH23" s="77" t="str">
        <f t="array" aca="1" ref="CH23" ca="1">IFERROR(INDEX($BX$3:$BX$738, SMALL(IF(COUNTIF(CH$3, $BY$3:$BY$738), ROW($BX$3:$BX$738)-MIN(ROW($BX$3:$BX$738))+1), $CB23), 0),"")</f>
        <v/>
      </c>
      <c r="CI23" s="77" t="str">
        <f t="array" aca="1" ref="CI23" ca="1">IFERROR(INDEX($BX$3:$BX$738, SMALL(IF(COUNTIF(CI$3, $BY$3:$BY$738), ROW($BX$3:$BX$738)-MIN(ROW($BX$3:$BX$738))+1), $CB23), 0),"")</f>
        <v/>
      </c>
      <c r="CJ23" s="77" t="str">
        <f t="array" aca="1" ref="CJ23" ca="1">IFERROR(INDEX($BX$3:$BX$738, SMALL(IF(COUNTIF(CJ$3, $BY$3:$BY$738), ROW($BX$3:$BX$738)-MIN(ROW($BX$3:$BX$738))+1), $CB23), 0),"")</f>
        <v/>
      </c>
      <c r="CK23" s="77" t="str">
        <f t="array" aca="1" ref="CK23" ca="1">IFERROR(INDEX($BX$3:$BX$738, SMALL(IF(COUNTIF(CK$3, $BY$3:$BY$738), ROW($BX$3:$BX$738)-MIN(ROW($BX$3:$BX$738))+1), $CB23), 0),"")</f>
        <v/>
      </c>
      <c r="CL23" s="77" t="str">
        <f t="array" aca="1" ref="CL23" ca="1">IFERROR(INDEX($BX$3:$BX$738, SMALL(IF(COUNTIF(CL$3, $BY$3:$BY$738), ROW($BX$3:$BX$738)-MIN(ROW($BX$3:$BX$738))+1), $CB23), 0),"")</f>
        <v/>
      </c>
      <c r="CM23" s="77" t="str">
        <f t="array" aca="1" ref="CM23" ca="1">IFERROR(INDEX($BX$3:$BX$738, SMALL(IF(COUNTIF(CM$3, $BY$3:$BY$738), ROW($BX$3:$BX$738)-MIN(ROW($BX$3:$BX$738))+1), $CB23), 0),"")</f>
        <v/>
      </c>
      <c r="CN23" s="77" t="str">
        <f t="array" aca="1" ref="CN23" ca="1">IFERROR(INDEX($BX$3:$BX$738, SMALL(IF(COUNTIF(CN$3, $BY$3:$BY$738), ROW($BX$3:$BX$738)-MIN(ROW($BX$3:$BX$738))+1), $CB23), 0),"")</f>
        <v/>
      </c>
      <c r="CO23" s="77" t="str">
        <f t="array" aca="1" ref="CO23" ca="1">IFERROR(INDEX($BX$3:$BX$738, SMALL(IF(COUNTIF(CO$3, $BY$3:$BY$738), ROW($BX$3:$BX$738)-MIN(ROW($BX$3:$BX$738))+1), $CB23), 0),"")</f>
        <v/>
      </c>
      <c r="CP23" s="77" t="str">
        <f t="array" aca="1" ref="CP23" ca="1">IFERROR(INDEX($BX$3:$BX$738, SMALL(IF(COUNTIF(CP$3, $BY$3:$BY$738), ROW($BX$3:$BX$738)-MIN(ROW($BX$3:$BX$738))+1), $CB23), 0),"")</f>
        <v/>
      </c>
      <c r="CQ23" s="77" t="str">
        <f t="array" aca="1" ref="CQ23" ca="1">IFERROR(INDEX($BX$3:$BX$738, SMALL(IF(COUNTIF(CQ$3, $BY$3:$BY$738), ROW($BX$3:$BX$738)-MIN(ROW($BX$3:$BX$738))+1), $CB23), 0),"")</f>
        <v/>
      </c>
      <c r="CS23" s="77">
        <v>20</v>
      </c>
      <c r="CT23" s="77">
        <v>1</v>
      </c>
      <c r="CV23" s="77" t="str">
        <f t="shared" ca="1" si="10"/>
        <v/>
      </c>
      <c r="CW23" s="77">
        <f t="shared" ca="1" si="13"/>
        <v>0</v>
      </c>
      <c r="CZ23" s="77">
        <v>20</v>
      </c>
      <c r="DA23" s="77" t="str">
        <f t="shared" ca="1" si="14"/>
        <v/>
      </c>
      <c r="DB23" s="77" t="str">
        <f t="shared" ca="1" si="15"/>
        <v/>
      </c>
      <c r="DC23" s="77" t="str">
        <f t="shared" ca="1" si="19"/>
        <v/>
      </c>
      <c r="DD23" s="77" t="str">
        <f t="shared" ca="1" si="17"/>
        <v/>
      </c>
    </row>
    <row r="24" spans="1:111">
      <c r="A24" s="77">
        <v>22</v>
      </c>
      <c r="B24" s="77" t="str">
        <f>IF(ISERR(FIND(" ",'Player Database'!B24)),'Player Database'!B24,LEFT('Player Database'!B24,1)&amp;"."&amp;RIGHT('Player Database'!B24,LEN('Player Database'!B24)-LEN(LEFT('Player Database'!B24,FIND(" ",'Player Database'!B24)))+1))</f>
        <v>Victor</v>
      </c>
      <c r="C24" s="77" t="str">
        <f>IF(ISERR(FIND(" ",'Player Database'!C24)),'Player Database'!C24,LEFT('Player Database'!C24,1)&amp;"."&amp;RIGHT('Player Database'!C24,LEN('Player Database'!C24)-LEN(LEFT('Player Database'!C24,FIND(" ",'Player Database'!C24)))+1))</f>
        <v>Eduardo</v>
      </c>
      <c r="D24" s="77" t="str">
        <f>IF(ISERR(FIND(" ",'Player Database'!D24)),'Player Database'!D24,LEFT('Player Database'!D24,1)&amp;"."&amp;RIGHT('Player Database'!D24,LEN('Player Database'!D24)-LEN(LEFT('Player Database'!D24,FIND(" ",'Player Database'!D24)))+1))</f>
        <v>P. Aguilar</v>
      </c>
      <c r="E24" s="77" t="str">
        <f>IF(ISERR(FIND(" ",'Player Database'!E24)),'Player Database'!E24,LEFT('Player Database'!E24,1)&amp;"."&amp;RIGHT('Player Database'!E24,LEN('Player Database'!E24)-LEN(LEFT('Player Database'!E24,FIND(" ",'Player Database'!E24)))+1))</f>
        <v>A. Nyom</v>
      </c>
      <c r="F24" s="77" t="str">
        <f>IF(ISERR(FIND(" ",'Player Database'!F24)),'Player Database'!F24,LEFT('Player Database'!F24,1)&amp;"."&amp;RIGHT('Player Database'!F24,LEN('Player Database'!F24)-LEN(LEFT('Player Database'!F24,FIND(" ",'Player Database'!F24)))+1))</f>
        <v>C. Azpilicueta</v>
      </c>
      <c r="G24" s="77" t="str">
        <f>IF(ISERR(FIND(" ",'Player Database'!G24)),'Player Database'!G24,LEFT('Player Database'!G24,1)&amp;"."&amp;RIGHT('Player Database'!G24,LEN('Player Database'!G24)-LEN(LEFT('Player Database'!G24,FIND(" ",'Player Database'!G24)))+1))</f>
        <v>M. Vorm</v>
      </c>
      <c r="H24" s="77" t="str">
        <f>IF(ISERR(FIND(" ",'Player Database'!H24)),'Player Database'!H24,LEFT('Player Database'!H24,1)&amp;"."&amp;RIGHT('Player Database'!H24,LEN('Player Database'!H24)-LEN(LEFT('Player Database'!H24,FIND(" ",'Player Database'!H24)))+1))</f>
        <v>E. Paredes</v>
      </c>
      <c r="I24" s="77" t="str">
        <f>IF(ISERR(FIND(" ",'Player Database'!I24)),'Player Database'!I24,LEFT('Player Database'!I24,1)&amp;"."&amp;RIGHT('Player Database'!I24,LEN('Player Database'!I24)-LEN(LEFT('Player Database'!I24,FIND(" ",'Player Database'!I24)))+1))</f>
        <v>A. Wilkinson</v>
      </c>
      <c r="J24" s="77" t="str">
        <f>IF(ISERR(FIND(" ",'Player Database'!J24)),'Player Database'!J24,LEFT('Player Database'!J24,1)&amp;"."&amp;RIGHT('Player Database'!J24,LEN('Player Database'!J24)-LEN(LEFT('Player Database'!J24,FIND(" ",'Player Database'!J24)))+1))</f>
        <v>F. Mondragón</v>
      </c>
      <c r="K24" s="77" t="str">
        <f>IF(ISERR(FIND(" ",'Player Database'!K24)),'Player Database'!K24,LEFT('Player Database'!K24,1)&amp;"."&amp;RIGHT('Player Database'!K24,LEN('Player Database'!K24)-LEN(LEFT('Player Database'!K24,FIND(" ",'Player Database'!K24)))+1))</f>
        <v>A. Samaris</v>
      </c>
      <c r="L24" s="77" t="str">
        <f>IF(ISERR(FIND(" ",'Player Database'!L24)),'Player Database'!L24,LEFT('Player Database'!L24,1)&amp;"."&amp;RIGHT('Player Database'!L24,LEN('Player Database'!L24)-LEN(LEFT('Player Database'!L24,FIND(" ",'Player Database'!L24)))+1))</f>
        <v>S. Bamba</v>
      </c>
      <c r="M24" s="77" t="str">
        <f>IF(ISERR(FIND(" ",'Player Database'!M24)),'Player Database'!M24,LEFT('Player Database'!M24,1)&amp;"."&amp;RIGHT('Player Database'!M24,LEN('Player Database'!M24)-LEN(LEFT('Player Database'!M24,FIND(" ",'Player Database'!M24)))+1))</f>
        <v>M. Yoshida</v>
      </c>
      <c r="N24" s="77" t="str">
        <f>IF(ISERR(FIND(" ",'Player Database'!N24)),'Player Database'!N24,LEFT('Player Database'!N24,1)&amp;"."&amp;RIGHT('Player Database'!N24,LEN('Player Database'!N24)-LEN(LEFT('Player Database'!N24,FIND(" ",'Player Database'!N24)))+1))</f>
        <v>M. Cáceres</v>
      </c>
      <c r="O24" s="77" t="str">
        <f>IF(ISERR(FIND(" ",'Player Database'!O24)),'Player Database'!O24,LEFT('Player Database'!O24,1)&amp;"."&amp;RIGHT('Player Database'!O24,LEN('Player Database'!O24)-LEN(LEFT('Player Database'!O24,FIND(" ",'Player Database'!O24)))+1))</f>
        <v>J. Miguel Cubero</v>
      </c>
      <c r="P24" s="77" t="str">
        <f>IF(ISERR(FIND(" ",'Player Database'!P24)),'Player Database'!P24,LEFT('Player Database'!P24,1)&amp;"."&amp;RIGHT('Player Database'!P24,LEN('Player Database'!P24)-LEN(LEFT('Player Database'!P24,FIND(" ",'Player Database'!P24)))+1))</f>
        <v>F. Forster</v>
      </c>
      <c r="Q24" s="77" t="str">
        <f>IF(ISERR(FIND(" ",'Player Database'!Q24)),'Player Database'!Q24,LEFT('Player Database'!Q24,1)&amp;"."&amp;RIGHT('Player Database'!Q24,LEN('Player Database'!Q24)-LEN(LEFT('Player Database'!Q24,FIND(" ",'Player Database'!Q24)))+1))</f>
        <v>L. Insigne</v>
      </c>
      <c r="R24" s="77" t="str">
        <f>IF(ISERR(FIND(" ",'Player Database'!R24)),'Player Database'!R24,LEFT('Player Database'!R24,1)&amp;"."&amp;RIGHT('Player Database'!R24,LEN('Player Database'!R24)-LEN(LEFT('Player Database'!R24,FIND(" ",'Player Database'!R24)))+1))</f>
        <v>F. Schär</v>
      </c>
      <c r="S24" s="77" t="str">
        <f>IF(ISERR(FIND(" ",'Player Database'!S24)),'Player Database'!S24,LEFT('Player Database'!S24,1)&amp;"."&amp;RIGHT('Player Database'!S24,LEN('Player Database'!S24)-LEN(LEFT('Player Database'!S24,FIND(" ",'Player Database'!S24)))+1))</f>
        <v>A. Domínguez</v>
      </c>
      <c r="T24" s="77" t="str">
        <f>IF(ISERR(FIND(" ",'Player Database'!T24)),'Player Database'!T24,LEFT('Player Database'!T24,1)&amp;"."&amp;RIGHT('Player Database'!T24,LEN('Player Database'!T24)-LEN(LEFT('Player Database'!T24,FIND(" ",'Player Database'!T24)))+1))</f>
        <v>M. Schneiderlin[40]</v>
      </c>
      <c r="U24" s="77" t="str">
        <f>IF(ISERR(FIND(" ",'Player Database'!U24)),'Player Database'!U24,LEFT('Player Database'!U24,1)&amp;"."&amp;RIGHT('Player Database'!U24,LEN('Player Database'!U24)-LEN(LEFT('Player Database'!U24,FIND(" ",'Player Database'!U24)))+1))</f>
        <v>D. Escober</v>
      </c>
      <c r="V24" s="77" t="str">
        <f>IF(ISERR(FIND(" ",'Player Database'!V24)),'Player Database'!V24,LEFT('Player Database'!V24,1)&amp;"."&amp;RIGHT('Player Database'!V24,LEN('Player Database'!V24)-LEN(LEFT('Player Database'!V24,FIND(" ",'Player Database'!V24)))+1))</f>
        <v>E. Lavezzi</v>
      </c>
      <c r="W24" s="77" t="str">
        <f>IF(ISERR(FIND(" ",'Player Database'!W24)),'Player Database'!W24,LEFT('Player Database'!W24,1)&amp;"."&amp;RIGHT('Player Database'!W24,LEN('Player Database'!W24)-LEN(LEFT('Player Database'!W24,FIND(" ",'Player Database'!W24)))+1))</f>
        <v>A. Avdukić</v>
      </c>
      <c r="X24" s="77" t="str">
        <f>IF(ISERR(FIND(" ",'Player Database'!X24)),'Player Database'!X24,LEFT('Player Database'!X24,1)&amp;"."&amp;RIGHT('Player Database'!X24,LEN('Player Database'!X24)-LEN(LEFT('Player Database'!X24,FIND(" ",'Player Database'!X24)))+1))</f>
        <v>D. Davari</v>
      </c>
      <c r="Y24" s="77" t="str">
        <f>IF(ISERR(FIND(" ",'Player Database'!Y24)),'Player Database'!Y24,LEFT('Player Database'!Y24,1)&amp;"."&amp;RIGHT('Player Database'!Y24,LEN('Player Database'!Y24)-LEN(LEFT('Player Database'!Y24,FIND(" ",'Player Database'!Y24)))+1))</f>
        <v>K. Omeruo</v>
      </c>
      <c r="Z24" s="77" t="str">
        <f>IF(ISERR(FIND(" ",'Player Database'!Z24)),'Player Database'!Z24,LEFT('Player Database'!Z24,1)&amp;"."&amp;RIGHT('Player Database'!Z24,LEN('Player Database'!Z24)-LEN(LEFT('Player Database'!Z24,FIND(" ",'Player Database'!Z24)))+1))</f>
        <v>R. Weidenfeller</v>
      </c>
      <c r="AA24" s="77" t="str">
        <f>IF(ISERR(FIND(" ",'Player Database'!AA24)),'Player Database'!AA24,LEFT('Player Database'!AA24,1)&amp;"."&amp;RIGHT('Player Database'!AA24,LEN('Player Database'!AA24)-LEN(LEFT('Player Database'!AA24,FIND(" ",'Player Database'!AA24)))+1))</f>
        <v>Beto</v>
      </c>
      <c r="AB24" s="77" t="str">
        <f>IF(ISERR(FIND(" ",'Player Database'!AB24)),'Player Database'!AB24,LEFT('Player Database'!AB24,1)&amp;"."&amp;RIGHT('Player Database'!AB24,LEN('Player Database'!AB24)-LEN(LEFT('Player Database'!AB24,FIND(" ",'Player Database'!AB24)))+1))</f>
        <v>W. Mubarak</v>
      </c>
      <c r="AC24" s="77" t="str">
        <f>IF(ISERR(FIND(" ",'Player Database'!AC24)),'Player Database'!AC24,LEFT('Player Database'!AC24,1)&amp;"."&amp;RIGHT('Player Database'!AC24,LEN('Player Database'!AC24)-LEN(LEFT('Player Database'!AC24,FIND(" ",'Player Database'!AC24)))+1))</f>
        <v>N. Rimando</v>
      </c>
      <c r="AD24" s="77" t="str">
        <f>IF(ISERR(FIND(" ",'Player Database'!AD24)),'Player Database'!AD24,LEFT('Player Database'!AD24,1)&amp;"."&amp;RIGHT('Player Database'!AD24,LEN('Player Database'!AD24)-LEN(LEFT('Player Database'!AD24,FIND(" ",'Player Database'!AD24)))+1))</f>
        <v>N. Chadli</v>
      </c>
      <c r="AE24" s="77" t="str">
        <f>IF(ISERR(FIND(" ",'Player Database'!AE24)),'Player Database'!AE24,LEFT('Player Database'!AE24,1)&amp;"."&amp;RIGHT('Player Database'!AE24,LEN('Player Database'!AE24)-LEN(LEFT('Player Database'!AE24,FIND(" ",'Player Database'!AE24)))+1))</f>
        <v>M. Mostefa</v>
      </c>
      <c r="AF24" s="77" t="str">
        <f>IF(ISERR(FIND(" ",'Player Database'!AF24)),'Player Database'!AF24,LEFT('Player Database'!AF24,1)&amp;"."&amp;RIGHT('Player Database'!AF24,LEN('Player Database'!AF24)-LEN(LEFT('Player Database'!AF24,FIND(" ",'Player Database'!AF24)))+1))</f>
        <v>A. Yeshchenko</v>
      </c>
      <c r="AG24" s="77" t="str">
        <f>IF(ISERR(FIND(" ",'Player Database'!AG24)),'Player Database'!AG24,LEFT('Player Database'!AG24,1)&amp;"."&amp;RIGHT('Player Database'!AG24,LEN('Player Database'!AG24)-LEN(LEFT('Player Database'!AG24,FIND(" ",'Player Database'!AG24)))+1))</f>
        <v>P. Joo-ho[66]</v>
      </c>
      <c r="AI24" s="77" t="str">
        <f t="shared" ca="1" si="21"/>
        <v/>
      </c>
      <c r="AJ24" s="77" t="str">
        <f t="shared" ca="1" si="21"/>
        <v/>
      </c>
      <c r="AK24" s="77" t="str">
        <f t="shared" ca="1" si="21"/>
        <v/>
      </c>
      <c r="AL24" s="77" t="str">
        <f t="shared" ca="1" si="21"/>
        <v/>
      </c>
      <c r="AM24" s="77" t="str">
        <f t="shared" ca="1" si="21"/>
        <v/>
      </c>
      <c r="AN24" s="77" t="str">
        <f t="shared" ca="1" si="21"/>
        <v/>
      </c>
      <c r="AO24" s="77" t="str">
        <f t="shared" ca="1" si="21"/>
        <v/>
      </c>
      <c r="AP24" s="77" t="str">
        <f t="shared" ca="1" si="21"/>
        <v/>
      </c>
      <c r="AQ24" s="77" t="str">
        <f t="shared" ca="1" si="21"/>
        <v/>
      </c>
      <c r="AR24" s="77" t="str">
        <f t="shared" ca="1" si="21"/>
        <v/>
      </c>
      <c r="AS24" s="77" t="str">
        <f t="shared" ca="1" si="21"/>
        <v/>
      </c>
      <c r="AT24" s="77" t="str">
        <f t="shared" ca="1" si="21"/>
        <v/>
      </c>
      <c r="AU24" s="77" t="str">
        <f t="shared" ca="1" si="21"/>
        <v/>
      </c>
      <c r="AV24" s="77" t="str">
        <f t="shared" ca="1" si="21"/>
        <v/>
      </c>
      <c r="AW24" s="77" t="str">
        <f t="shared" ca="1" si="21"/>
        <v/>
      </c>
      <c r="AX24" s="77" t="str">
        <f t="shared" ca="1" si="20"/>
        <v/>
      </c>
      <c r="AZ24" s="77" t="str">
        <f t="shared" si="6"/>
        <v/>
      </c>
      <c r="BA24" s="77" t="str">
        <f t="shared" si="6"/>
        <v/>
      </c>
      <c r="BB24" s="77" t="str">
        <f t="shared" si="6"/>
        <v/>
      </c>
      <c r="BC24" s="77" t="str">
        <f t="shared" si="6"/>
        <v/>
      </c>
      <c r="BD24" s="77" t="str">
        <f t="shared" si="6"/>
        <v/>
      </c>
      <c r="BE24" s="77" t="str">
        <f t="shared" si="6"/>
        <v/>
      </c>
      <c r="BF24" s="77" t="str">
        <f t="shared" si="6"/>
        <v/>
      </c>
      <c r="BG24" s="77" t="str">
        <f t="shared" si="6"/>
        <v/>
      </c>
      <c r="BI24" s="77" t="str">
        <f t="shared" si="7"/>
        <v/>
      </c>
      <c r="BJ24" s="77" t="str">
        <f t="shared" si="7"/>
        <v/>
      </c>
      <c r="BK24" s="77" t="str">
        <f t="shared" si="7"/>
        <v/>
      </c>
      <c r="BL24" s="77" t="str">
        <f t="shared" si="7"/>
        <v/>
      </c>
      <c r="BN24" s="77" t="str">
        <f t="shared" si="8"/>
        <v/>
      </c>
      <c r="BO24" s="77" t="str">
        <f t="shared" si="8"/>
        <v/>
      </c>
      <c r="BQ24" s="77" t="str">
        <f t="shared" si="9"/>
        <v/>
      </c>
      <c r="BR24" s="77" t="str">
        <f t="shared" si="9"/>
        <v/>
      </c>
      <c r="BT24" s="77" t="str">
        <f t="shared" si="11"/>
        <v>Brazil</v>
      </c>
      <c r="BU24" s="77">
        <f t="shared" si="12"/>
        <v>22</v>
      </c>
      <c r="BW24" s="77">
        <v>1</v>
      </c>
      <c r="BX24" s="77" t="str">
        <f t="shared" si="4"/>
        <v>Victor</v>
      </c>
      <c r="BY24" s="77">
        <f>COUNTIF('Group Stages'!$L$14:$S$110,BX24)+COUNTIF('Knock Out Stages'!$N$41:$U$84,BX24)</f>
        <v>0</v>
      </c>
      <c r="CA24" s="77" t="str">
        <f>'Player Database'!B24</f>
        <v>Victor</v>
      </c>
      <c r="CB24" s="77">
        <v>21</v>
      </c>
      <c r="CC24" s="77" t="str">
        <f t="array" aca="1" ref="CC24" ca="1">IFERROR(INDEX($BX$3:$BX$738, SMALL(IF(COUNTIF(CC$3, $BY$3:$BY$738), ROW($BX$3:$BX$738)-MIN(ROW($BX$3:$BX$738))+1), $CB24), 0),"")</f>
        <v/>
      </c>
      <c r="CD24" s="77" t="str">
        <f t="array" aca="1" ref="CD24" ca="1">IFERROR(INDEX($BX$3:$BX$738, SMALL(IF(COUNTIF(CD$3, $BY$3:$BY$738), ROW($BX$3:$BX$738)-MIN(ROW($BX$3:$BX$738))+1), $CB24), 0),"")</f>
        <v/>
      </c>
      <c r="CE24" s="77" t="str">
        <f t="array" aca="1" ref="CE24" ca="1">IFERROR(INDEX($BX$3:$BX$738, SMALL(IF(COUNTIF(CE$3, $BY$3:$BY$738), ROW($BX$3:$BX$738)-MIN(ROW($BX$3:$BX$738))+1), $CB24), 0),"")</f>
        <v/>
      </c>
      <c r="CF24" s="77" t="str">
        <f t="array" aca="1" ref="CF24" ca="1">IFERROR(INDEX($BX$3:$BX$738, SMALL(IF(COUNTIF(CF$3, $BY$3:$BY$738), ROW($BX$3:$BX$738)-MIN(ROW($BX$3:$BX$738))+1), $CB24), 0),"")</f>
        <v/>
      </c>
      <c r="CG24" s="77" t="str">
        <f t="array" aca="1" ref="CG24" ca="1">IFERROR(INDEX($BX$3:$BX$738, SMALL(IF(COUNTIF(CG$3, $BY$3:$BY$738), ROW($BX$3:$BX$738)-MIN(ROW($BX$3:$BX$738))+1), $CB24), 0),"")</f>
        <v/>
      </c>
      <c r="CH24" s="77" t="str">
        <f t="array" aca="1" ref="CH24" ca="1">IFERROR(INDEX($BX$3:$BX$738, SMALL(IF(COUNTIF(CH$3, $BY$3:$BY$738), ROW($BX$3:$BX$738)-MIN(ROW($BX$3:$BX$738))+1), $CB24), 0),"")</f>
        <v/>
      </c>
      <c r="CI24" s="77" t="str">
        <f t="array" aca="1" ref="CI24" ca="1">IFERROR(INDEX($BX$3:$BX$738, SMALL(IF(COUNTIF(CI$3, $BY$3:$BY$738), ROW($BX$3:$BX$738)-MIN(ROW($BX$3:$BX$738))+1), $CB24), 0),"")</f>
        <v/>
      </c>
      <c r="CJ24" s="77" t="str">
        <f t="array" aca="1" ref="CJ24" ca="1">IFERROR(INDEX($BX$3:$BX$738, SMALL(IF(COUNTIF(CJ$3, $BY$3:$BY$738), ROW($BX$3:$BX$738)-MIN(ROW($BX$3:$BX$738))+1), $CB24), 0),"")</f>
        <v/>
      </c>
      <c r="CK24" s="77" t="str">
        <f t="array" aca="1" ref="CK24" ca="1">IFERROR(INDEX($BX$3:$BX$738, SMALL(IF(COUNTIF(CK$3, $BY$3:$BY$738), ROW($BX$3:$BX$738)-MIN(ROW($BX$3:$BX$738))+1), $CB24), 0),"")</f>
        <v/>
      </c>
      <c r="CL24" s="77" t="str">
        <f t="array" aca="1" ref="CL24" ca="1">IFERROR(INDEX($BX$3:$BX$738, SMALL(IF(COUNTIF(CL$3, $BY$3:$BY$738), ROW($BX$3:$BX$738)-MIN(ROW($BX$3:$BX$738))+1), $CB24), 0),"")</f>
        <v/>
      </c>
      <c r="CM24" s="77" t="str">
        <f t="array" aca="1" ref="CM24" ca="1">IFERROR(INDEX($BX$3:$BX$738, SMALL(IF(COUNTIF(CM$3, $BY$3:$BY$738), ROW($BX$3:$BX$738)-MIN(ROW($BX$3:$BX$738))+1), $CB24), 0),"")</f>
        <v/>
      </c>
      <c r="CN24" s="77" t="str">
        <f t="array" aca="1" ref="CN24" ca="1">IFERROR(INDEX($BX$3:$BX$738, SMALL(IF(COUNTIF(CN$3, $BY$3:$BY$738), ROW($BX$3:$BX$738)-MIN(ROW($BX$3:$BX$738))+1), $CB24), 0),"")</f>
        <v/>
      </c>
      <c r="CO24" s="77" t="str">
        <f t="array" aca="1" ref="CO24" ca="1">IFERROR(INDEX($BX$3:$BX$738, SMALL(IF(COUNTIF(CO$3, $BY$3:$BY$738), ROW($BX$3:$BX$738)-MIN(ROW($BX$3:$BX$738))+1), $CB24), 0),"")</f>
        <v/>
      </c>
      <c r="CP24" s="77" t="str">
        <f t="array" aca="1" ref="CP24" ca="1">IFERROR(INDEX($BX$3:$BX$738, SMALL(IF(COUNTIF(CP$3, $BY$3:$BY$738), ROW($BX$3:$BX$738)-MIN(ROW($BX$3:$BX$738))+1), $CB24), 0),"")</f>
        <v/>
      </c>
      <c r="CQ24" s="77" t="str">
        <f t="array" aca="1" ref="CQ24" ca="1">IFERROR(INDEX($BX$3:$BX$738, SMALL(IF(COUNTIF(CQ$3, $BY$3:$BY$738), ROW($BX$3:$BX$738)-MIN(ROW($BX$3:$BX$738))+1), $CB24), 0),"")</f>
        <v/>
      </c>
      <c r="CS24" s="77">
        <v>21</v>
      </c>
      <c r="CT24" s="77">
        <v>1</v>
      </c>
      <c r="CV24" s="77" t="str">
        <f t="shared" ca="1" si="10"/>
        <v/>
      </c>
      <c r="CW24" s="77">
        <f t="shared" ca="1" si="13"/>
        <v>0</v>
      </c>
      <c r="CZ24" s="77">
        <v>21</v>
      </c>
      <c r="DA24" s="77" t="str">
        <f t="shared" ca="1" si="14"/>
        <v/>
      </c>
      <c r="DB24" s="77" t="str">
        <f t="shared" ca="1" si="15"/>
        <v/>
      </c>
      <c r="DC24" s="77" t="str">
        <f t="shared" ca="1" si="19"/>
        <v/>
      </c>
      <c r="DD24" s="77" t="str">
        <f t="shared" ca="1" si="17"/>
        <v/>
      </c>
    </row>
    <row r="25" spans="1:111">
      <c r="A25" s="77">
        <v>23</v>
      </c>
      <c r="B25" s="77" t="str">
        <f>IF(ISERR(FIND(" ",'Player Database'!B25)),'Player Database'!B25,LEFT('Player Database'!B25,1)&amp;"."&amp;RIGHT('Player Database'!B25,LEN('Player Database'!B25)-LEN(LEFT('Player Database'!B25,FIND(" ",'Player Database'!B25)))+1))</f>
        <v>Maicon</v>
      </c>
      <c r="C25" s="77" t="str">
        <f>IF(ISERR(FIND(" ",'Player Database'!C25)),'Player Database'!C25,LEFT('Player Database'!C25,1)&amp;"."&amp;RIGHT('Player Database'!C25,LEN('Player Database'!C25)-LEN(LEFT('Player Database'!C25,FIND(" ",'Player Database'!C25)))+1))</f>
        <v>D. Subašić</v>
      </c>
      <c r="D25" s="77" t="str">
        <f>IF(ISERR(FIND(" ",'Player Database'!D25)),'Player Database'!D25,LEFT('Player Database'!D25,1)&amp;"."&amp;RIGHT('Player Database'!D25,LEN('Player Database'!D25)-LEN(LEFT('Player Database'!D25,FIND(" ",'Player Database'!D25)))+1))</f>
        <v>J. Juan Vázquez</v>
      </c>
      <c r="E25" s="77" t="str">
        <f>IF(ISERR(FIND(" ",'Player Database'!E25)),'Player Database'!E25,LEFT('Player Database'!E25,1)&amp;"."&amp;RIGHT('Player Database'!E25,LEN('Player Database'!E25)-LEN(LEFT('Player Database'!E25,FIND(" ",'Player Database'!E25)))+1))</f>
        <v>S. N'Djock</v>
      </c>
      <c r="F25" s="77" t="str">
        <f>IF(ISERR(FIND(" ",'Player Database'!F25)),'Player Database'!F25,LEFT('Player Database'!F25,1)&amp;"."&amp;RIGHT('Player Database'!F25,LEN('Player Database'!F25)-LEN(LEFT('Player Database'!F25,FIND(" ",'Player Database'!F25)))+1))</f>
        <v>P. Reina</v>
      </c>
      <c r="G25" s="77" t="str">
        <f>IF(ISERR(FIND(" ",'Player Database'!G25)),'Player Database'!G25,LEFT('Player Database'!G25,1)&amp;"."&amp;RIGHT('Player Database'!G25,LEN('Player Database'!G25)-LEN(LEFT('Player Database'!G25,FIND(" ",'Player Database'!G25)))+1))</f>
        <v>T. Krul</v>
      </c>
      <c r="H25" s="77" t="str">
        <f>IF(ISERR(FIND(" ",'Player Database'!H25)),'Player Database'!H25,LEFT('Player Database'!H25,1)&amp;"."&amp;RIGHT('Player Database'!H25,LEN('Player Database'!H25)-LEN(LEFT('Player Database'!H25,FIND(" ",'Player Database'!H25)))+1))</f>
        <v>J. Herrera</v>
      </c>
      <c r="I25" s="77" t="str">
        <f>IF(ISERR(FIND(" ",'Player Database'!I25)),'Player Database'!I25,LEFT('Player Database'!I25,1)&amp;"."&amp;RIGHT('Player Database'!I25,LEN('Player Database'!I25)-LEN(LEFT('Player Database'!I25,FIND(" ",'Player Database'!I25)))+1))</f>
        <v>M. Bresciano</v>
      </c>
      <c r="J25" s="77" t="str">
        <f>IF(ISERR(FIND(" ",'Player Database'!J25)),'Player Database'!J25,LEFT('Player Database'!J25,1)&amp;"."&amp;RIGHT('Player Database'!J25,LEN('Player Database'!J25)-LEN(LEFT('Player Database'!J25,FIND(" ",'Player Database'!J25)))+1))</f>
        <v>C. Valdés</v>
      </c>
      <c r="K25" s="77" t="str">
        <f>IF(ISERR(FIND(" ",'Player Database'!K25)),'Player Database'!K25,LEFT('Player Database'!K25,1)&amp;"."&amp;RIGHT('Player Database'!K25,LEN('Player Database'!K25)-LEN(LEFT('Player Database'!K25,FIND(" ",'Player Database'!K25)))+1))</f>
        <v>P. Tachtsidis</v>
      </c>
      <c r="L25" s="77" t="str">
        <f>IF(ISERR(FIND(" ",'Player Database'!L25)),'Player Database'!L25,LEFT('Player Database'!L25,1)&amp;"."&amp;RIGHT('Player Database'!L25,LEN('Player Database'!L25)-LEN(LEFT('Player Database'!L25,FIND(" ",'Player Database'!L25)))+1))</f>
        <v>S. Mandé</v>
      </c>
      <c r="M25" s="77" t="str">
        <f>IF(ISERR(FIND(" ",'Player Database'!M25)),'Player Database'!M25,LEFT('Player Database'!M25,1)&amp;"."&amp;RIGHT('Player Database'!M25,LEN('Player Database'!M25)-LEN(LEFT('Player Database'!M25,FIND(" ",'Player Database'!M25)))+1))</f>
        <v>S. Gonda</v>
      </c>
      <c r="N25" s="77" t="str">
        <f>IF(ISERR(FIND(" ",'Player Database'!N25)),'Player Database'!N25,LEFT('Player Database'!N25,1)&amp;"."&amp;RIGHT('Player Database'!N25,LEN('Player Database'!N25)-LEN(LEFT('Player Database'!N25,FIND(" ",'Player Database'!N25)))+1))</f>
        <v>M. Silva</v>
      </c>
      <c r="O25" s="77" t="str">
        <f>IF(ISERR(FIND(" ",'Player Database'!O25)),'Player Database'!O25,LEFT('Player Database'!O25,1)&amp;"."&amp;RIGHT('Player Database'!O25,LEN('Player Database'!O25)-LEN(LEFT('Player Database'!O25,FIND(" ",'Player Database'!O25)))+1))</f>
        <v>D. Cambronero</v>
      </c>
      <c r="P25" s="77" t="str">
        <f>IF(ISERR(FIND(" ",'Player Database'!P25)),'Player Database'!P25,LEFT('Player Database'!P25,1)&amp;"."&amp;RIGHT('Player Database'!P25,LEN('Player Database'!P25)-LEN(LEFT('Player Database'!P25,FIND(" ",'Player Database'!P25)))+1))</f>
        <v>L. Shaw</v>
      </c>
      <c r="Q25" s="77" t="str">
        <f>IF(ISERR(FIND(" ",'Player Database'!Q25)),'Player Database'!Q25,LEFT('Player Database'!Q25,1)&amp;"."&amp;RIGHT('Player Database'!Q25,LEN('Player Database'!Q25)-LEN(LEFT('Player Database'!Q25,FIND(" ",'Player Database'!Q25)))+1))</f>
        <v>M. Verratti</v>
      </c>
      <c r="R25" s="77" t="str">
        <f>IF(ISERR(FIND(" ",'Player Database'!R25)),'Player Database'!R25,LEFT('Player Database'!R25,1)&amp;"."&amp;RIGHT('Player Database'!R25,LEN('Player Database'!R25)-LEN(LEFT('Player Database'!R25,FIND(" ",'Player Database'!R25)))+1))</f>
        <v>X. Shaqiri</v>
      </c>
      <c r="S25" s="77" t="str">
        <f>IF(ISERR(FIND(" ",'Player Database'!S25)),'Player Database'!S25,LEFT('Player Database'!S25,1)&amp;"."&amp;RIGHT('Player Database'!S25,LEN('Player Database'!S25)-LEN(LEFT('Player Database'!S25,FIND(" ",'Player Database'!S25)))+1))</f>
        <v>C. Gruezo</v>
      </c>
      <c r="T25" s="77" t="str">
        <f>IF(ISERR(FIND(" ",'Player Database'!T25)),'Player Database'!T25,LEFT('Player Database'!T25,1)&amp;"."&amp;RIGHT('Player Database'!T25,LEN('Player Database'!T25)-LEN(LEFT('Player Database'!T25,FIND(" ",'Player Database'!T25)))+1))</f>
        <v>M. Landreau</v>
      </c>
      <c r="U25" s="77" t="str">
        <f>IF(ISERR(FIND(" ",'Player Database'!U25)),'Player Database'!U25,LEFT('Player Database'!U25,1)&amp;"."&amp;RIGHT('Player Database'!U25,LEN('Player Database'!U25)-LEN(LEFT('Player Database'!U25,FIND(" ",'Player Database'!U25)))+1))</f>
        <v>B. Beckeles</v>
      </c>
      <c r="V25" s="77" t="str">
        <f>IF(ISERR(FIND(" ",'Player Database'!V25)),'Player Database'!V25,LEFT('Player Database'!V25,1)&amp;"."&amp;RIGHT('Player Database'!V25,LEN('Player Database'!V25)-LEN(LEFT('Player Database'!V25,FIND(" ",'Player Database'!V25)))+1))</f>
        <v>J. María Basanta</v>
      </c>
      <c r="W25" s="77" t="str">
        <f>IF(ISERR(FIND(" ",'Player Database'!W25)),'Player Database'!W25,LEFT('Player Database'!W25,1)&amp;"."&amp;RIGHT('Player Database'!W25,LEN('Player Database'!W25)-LEN(LEFT('Player Database'!W25,FIND(" ",'Player Database'!W25)))+1))</f>
        <v>S. Salihović</v>
      </c>
      <c r="X25" s="77" t="str">
        <f>IF(ISERR(FIND(" ",'Player Database'!X25)),'Player Database'!X25,LEFT('Player Database'!X25,1)&amp;"."&amp;RIGHT('Player Database'!X25,LEN('Player Database'!X25)-LEN(LEFT('Player Database'!X25,FIND(" ",'Player Database'!X25)))+1))</f>
        <v>M. Pouladi</v>
      </c>
      <c r="Y25" s="77" t="str">
        <f>IF(ISERR(FIND(" ",'Player Database'!Y25)),'Player Database'!Y25,LEFT('Player Database'!Y25,1)&amp;"."&amp;RIGHT('Player Database'!Y25,LEN('Player Database'!Y25)-LEN(LEFT('Player Database'!Y25,FIND(" ",'Player Database'!Y25)))+1))</f>
        <v>S. Ameobi</v>
      </c>
      <c r="Z25" s="77" t="str">
        <f>IF(ISERR(FIND(" ",'Player Database'!Z25)),'Player Database'!Z25,LEFT('Player Database'!Z25,1)&amp;"."&amp;RIGHT('Player Database'!Z25,LEN('Player Database'!Z25)-LEN(LEFT('Player Database'!Z25,FIND(" ",'Player Database'!Z25)))+1))</f>
        <v>C. Kramer</v>
      </c>
      <c r="AA25" s="77" t="str">
        <f>IF(ISERR(FIND(" ",'Player Database'!AA25)),'Player Database'!AA25,LEFT('Player Database'!AA25,1)&amp;"."&amp;RIGHT('Player Database'!AA25,LEN('Player Database'!AA25)-LEN(LEFT('Player Database'!AA25,FIND(" ",'Player Database'!AA25)))+1))</f>
        <v>H. Postiga</v>
      </c>
      <c r="AB25" s="77" t="str">
        <f>IF(ISERR(FIND(" ",'Player Database'!AB25)),'Player Database'!AB25,LEFT('Player Database'!AB25,1)&amp;"."&amp;RIGHT('Player Database'!AB25,LEN('Player Database'!AB25)-LEN(LEFT('Player Database'!AB25,FIND(" ",'Player Database'!AB25)))+1))</f>
        <v>H. Afful</v>
      </c>
      <c r="AC25" s="77" t="str">
        <f>IF(ISERR(FIND(" ",'Player Database'!AC25)),'Player Database'!AC25,LEFT('Player Database'!AC25,1)&amp;"."&amp;RIGHT('Player Database'!AC25,LEN('Player Database'!AC25)-LEN(LEFT('Player Database'!AC25,FIND(" ",'Player Database'!AC25)))+1))</f>
        <v>F. Johnson</v>
      </c>
      <c r="AD25" s="77" t="str">
        <f>IF(ISERR(FIND(" ",'Player Database'!AD25)),'Player Database'!AD25,LEFT('Player Database'!AD25,1)&amp;"."&amp;RIGHT('Player Database'!AD25,LEN('Player Database'!AD25)-LEN(LEFT('Player Database'!AD25,FIND(" ",'Player Database'!AD25)))+1))</f>
        <v>L. Ciman</v>
      </c>
      <c r="AE25" s="77" t="str">
        <f>IF(ISERR(FIND(" ",'Player Database'!AE25)),'Player Database'!AE25,LEFT('Player Database'!AE25,1)&amp;"."&amp;RIGHT('Player Database'!AE25,LEN('Player Database'!AE25)-LEN(LEFT('Player Database'!AE25,FIND(" ",'Player Database'!AE25)))+1))</f>
        <v>R. M'Bolhi</v>
      </c>
      <c r="AF25" s="77" t="str">
        <f>IF(ISERR(FIND(" ",'Player Database'!AF25)),'Player Database'!AF25,LEFT('Player Database'!AF25,1)&amp;"."&amp;RIGHT('Player Database'!AF25,LEN('Player Database'!AF25)-LEN(LEFT('Player Database'!AF25,FIND(" ",'Player Database'!AF25)))+1))</f>
        <v>D. Kombarov</v>
      </c>
      <c r="AG25" s="77" t="str">
        <f>IF(ISERR(FIND(" ",'Player Database'!AG25)),'Player Database'!AG25,LEFT('Player Database'!AG25,1)&amp;"."&amp;RIGHT('Player Database'!AG25,LEN('Player Database'!AG25)-LEN(LEFT('Player Database'!AG25,FIND(" ",'Player Database'!AG25)))+1))</f>
        <v>L. Bum-young</v>
      </c>
      <c r="AI25" s="77" t="str">
        <f t="shared" ca="1" si="21"/>
        <v/>
      </c>
      <c r="AJ25" s="77" t="str">
        <f t="shared" ca="1" si="21"/>
        <v/>
      </c>
      <c r="AK25" s="77" t="str">
        <f t="shared" ca="1" si="21"/>
        <v/>
      </c>
      <c r="AL25" s="77" t="str">
        <f t="shared" ca="1" si="21"/>
        <v/>
      </c>
      <c r="AM25" s="77" t="str">
        <f t="shared" ca="1" si="21"/>
        <v/>
      </c>
      <c r="AN25" s="77" t="str">
        <f t="shared" ca="1" si="21"/>
        <v/>
      </c>
      <c r="AO25" s="77" t="str">
        <f t="shared" ca="1" si="21"/>
        <v/>
      </c>
      <c r="AP25" s="77" t="str">
        <f t="shared" ca="1" si="21"/>
        <v/>
      </c>
      <c r="AQ25" s="77" t="str">
        <f t="shared" ca="1" si="21"/>
        <v/>
      </c>
      <c r="AR25" s="77" t="str">
        <f t="shared" ca="1" si="21"/>
        <v/>
      </c>
      <c r="AS25" s="77" t="str">
        <f t="shared" ca="1" si="21"/>
        <v/>
      </c>
      <c r="AT25" s="77" t="str">
        <f t="shared" ca="1" si="21"/>
        <v/>
      </c>
      <c r="AU25" s="77" t="str">
        <f t="shared" ca="1" si="21"/>
        <v/>
      </c>
      <c r="AV25" s="77" t="str">
        <f t="shared" ca="1" si="21"/>
        <v/>
      </c>
      <c r="AW25" s="77" t="str">
        <f t="shared" ca="1" si="21"/>
        <v/>
      </c>
      <c r="AX25" s="77" t="str">
        <f t="shared" ca="1" si="20"/>
        <v/>
      </c>
      <c r="AZ25" s="77" t="str">
        <f t="shared" si="6"/>
        <v/>
      </c>
      <c r="BA25" s="77" t="str">
        <f t="shared" si="6"/>
        <v/>
      </c>
      <c r="BB25" s="77" t="str">
        <f t="shared" si="6"/>
        <v/>
      </c>
      <c r="BC25" s="77" t="str">
        <f t="shared" si="6"/>
        <v/>
      </c>
      <c r="BD25" s="77" t="str">
        <f t="shared" si="6"/>
        <v/>
      </c>
      <c r="BE25" s="77" t="str">
        <f t="shared" si="6"/>
        <v/>
      </c>
      <c r="BF25" s="77" t="str">
        <f t="shared" si="6"/>
        <v/>
      </c>
      <c r="BG25" s="77" t="str">
        <f t="shared" si="6"/>
        <v/>
      </c>
      <c r="BI25" s="77" t="str">
        <f t="shared" si="7"/>
        <v/>
      </c>
      <c r="BJ25" s="77" t="str">
        <f t="shared" si="7"/>
        <v/>
      </c>
      <c r="BK25" s="77" t="str">
        <f t="shared" si="7"/>
        <v/>
      </c>
      <c r="BL25" s="77" t="str">
        <f t="shared" si="7"/>
        <v/>
      </c>
      <c r="BN25" s="77" t="str">
        <f t="shared" si="8"/>
        <v/>
      </c>
      <c r="BO25" s="77" t="str">
        <f t="shared" si="8"/>
        <v/>
      </c>
      <c r="BQ25" s="77" t="str">
        <f t="shared" si="9"/>
        <v/>
      </c>
      <c r="BR25" s="77" t="str">
        <f t="shared" si="9"/>
        <v/>
      </c>
      <c r="BT25" s="77" t="str">
        <f t="shared" si="11"/>
        <v>Brazil</v>
      </c>
      <c r="BU25" s="77">
        <f t="shared" si="12"/>
        <v>23</v>
      </c>
      <c r="BW25" s="77">
        <v>1</v>
      </c>
      <c r="BX25" s="77" t="str">
        <f t="shared" si="4"/>
        <v>Maicon</v>
      </c>
      <c r="BY25" s="77">
        <f>COUNTIF('Group Stages'!$L$14:$S$110,BX25)+COUNTIF('Knock Out Stages'!$N$41:$U$84,BX25)</f>
        <v>0</v>
      </c>
      <c r="CA25" s="77" t="str">
        <f>'Player Database'!B25</f>
        <v>Maicon</v>
      </c>
      <c r="CB25" s="77">
        <v>22</v>
      </c>
      <c r="CC25" s="77" t="str">
        <f t="array" aca="1" ref="CC25" ca="1">IFERROR(INDEX($BX$3:$BX$738, SMALL(IF(COUNTIF(CC$3, $BY$3:$BY$738), ROW($BX$3:$BX$738)-MIN(ROW($BX$3:$BX$738))+1), $CB25), 0),"")</f>
        <v/>
      </c>
      <c r="CD25" s="77" t="str">
        <f t="array" aca="1" ref="CD25" ca="1">IFERROR(INDEX($BX$3:$BX$738, SMALL(IF(COUNTIF(CD$3, $BY$3:$BY$738), ROW($BX$3:$BX$738)-MIN(ROW($BX$3:$BX$738))+1), $CB25), 0),"")</f>
        <v/>
      </c>
      <c r="CE25" s="77" t="str">
        <f t="array" aca="1" ref="CE25" ca="1">IFERROR(INDEX($BX$3:$BX$738, SMALL(IF(COUNTIF(CE$3, $BY$3:$BY$738), ROW($BX$3:$BX$738)-MIN(ROW($BX$3:$BX$738))+1), $CB25), 0),"")</f>
        <v/>
      </c>
      <c r="CF25" s="77" t="str">
        <f t="array" aca="1" ref="CF25" ca="1">IFERROR(INDEX($BX$3:$BX$738, SMALL(IF(COUNTIF(CF$3, $BY$3:$BY$738), ROW($BX$3:$BX$738)-MIN(ROW($BX$3:$BX$738))+1), $CB25), 0),"")</f>
        <v/>
      </c>
      <c r="CG25" s="77" t="str">
        <f t="array" aca="1" ref="CG25" ca="1">IFERROR(INDEX($BX$3:$BX$738, SMALL(IF(COUNTIF(CG$3, $BY$3:$BY$738), ROW($BX$3:$BX$738)-MIN(ROW($BX$3:$BX$738))+1), $CB25), 0),"")</f>
        <v/>
      </c>
      <c r="CH25" s="77" t="str">
        <f t="array" aca="1" ref="CH25" ca="1">IFERROR(INDEX($BX$3:$BX$738, SMALL(IF(COUNTIF(CH$3, $BY$3:$BY$738), ROW($BX$3:$BX$738)-MIN(ROW($BX$3:$BX$738))+1), $CB25), 0),"")</f>
        <v/>
      </c>
      <c r="CI25" s="77" t="str">
        <f t="array" aca="1" ref="CI25" ca="1">IFERROR(INDEX($BX$3:$BX$738, SMALL(IF(COUNTIF(CI$3, $BY$3:$BY$738), ROW($BX$3:$BX$738)-MIN(ROW($BX$3:$BX$738))+1), $CB25), 0),"")</f>
        <v/>
      </c>
      <c r="CJ25" s="77" t="str">
        <f t="array" aca="1" ref="CJ25" ca="1">IFERROR(INDEX($BX$3:$BX$738, SMALL(IF(COUNTIF(CJ$3, $BY$3:$BY$738), ROW($BX$3:$BX$738)-MIN(ROW($BX$3:$BX$738))+1), $CB25), 0),"")</f>
        <v/>
      </c>
      <c r="CK25" s="77" t="str">
        <f t="array" aca="1" ref="CK25" ca="1">IFERROR(INDEX($BX$3:$BX$738, SMALL(IF(COUNTIF(CK$3, $BY$3:$BY$738), ROW($BX$3:$BX$738)-MIN(ROW($BX$3:$BX$738))+1), $CB25), 0),"")</f>
        <v/>
      </c>
      <c r="CL25" s="77" t="str">
        <f t="array" aca="1" ref="CL25" ca="1">IFERROR(INDEX($BX$3:$BX$738, SMALL(IF(COUNTIF(CL$3, $BY$3:$BY$738), ROW($BX$3:$BX$738)-MIN(ROW($BX$3:$BX$738))+1), $CB25), 0),"")</f>
        <v/>
      </c>
      <c r="CM25" s="77" t="str">
        <f t="array" aca="1" ref="CM25" ca="1">IFERROR(INDEX($BX$3:$BX$738, SMALL(IF(COUNTIF(CM$3, $BY$3:$BY$738), ROW($BX$3:$BX$738)-MIN(ROW($BX$3:$BX$738))+1), $CB25), 0),"")</f>
        <v/>
      </c>
      <c r="CN25" s="77" t="str">
        <f t="array" aca="1" ref="CN25" ca="1">IFERROR(INDEX($BX$3:$BX$738, SMALL(IF(COUNTIF(CN$3, $BY$3:$BY$738), ROW($BX$3:$BX$738)-MIN(ROW($BX$3:$BX$738))+1), $CB25), 0),"")</f>
        <v/>
      </c>
      <c r="CO25" s="77" t="str">
        <f t="array" aca="1" ref="CO25" ca="1">IFERROR(INDEX($BX$3:$BX$738, SMALL(IF(COUNTIF(CO$3, $BY$3:$BY$738), ROW($BX$3:$BX$738)-MIN(ROW($BX$3:$BX$738))+1), $CB25), 0),"")</f>
        <v/>
      </c>
      <c r="CP25" s="77" t="str">
        <f t="array" aca="1" ref="CP25" ca="1">IFERROR(INDEX($BX$3:$BX$738, SMALL(IF(COUNTIF(CP$3, $BY$3:$BY$738), ROW($BX$3:$BX$738)-MIN(ROW($BX$3:$BX$738))+1), $CB25), 0),"")</f>
        <v/>
      </c>
      <c r="CQ25" s="77" t="str">
        <f t="array" aca="1" ref="CQ25" ca="1">IFERROR(INDEX($BX$3:$BX$738, SMALL(IF(COUNTIF(CQ$3, $BY$3:$BY$738), ROW($BX$3:$BX$738)-MIN(ROW($BX$3:$BX$738))+1), $CB25), 0),"")</f>
        <v/>
      </c>
      <c r="CS25" s="77">
        <v>22</v>
      </c>
      <c r="CT25" s="77">
        <v>1</v>
      </c>
      <c r="CV25" s="77" t="str">
        <f t="shared" ca="1" si="10"/>
        <v/>
      </c>
      <c r="CW25" s="77">
        <f t="shared" ca="1" si="13"/>
        <v>0</v>
      </c>
      <c r="CZ25" s="77">
        <v>22</v>
      </c>
      <c r="DA25" s="77" t="str">
        <f t="shared" ca="1" si="14"/>
        <v/>
      </c>
      <c r="DB25" s="77" t="str">
        <f t="shared" ca="1" si="15"/>
        <v/>
      </c>
      <c r="DC25" s="77" t="str">
        <f t="shared" ca="1" si="19"/>
        <v/>
      </c>
      <c r="DD25" s="77" t="str">
        <f t="shared" ca="1" si="17"/>
        <v/>
      </c>
    </row>
    <row r="26" spans="1:111">
      <c r="A26" s="77">
        <f>A3</f>
        <v>1</v>
      </c>
      <c r="B26" s="77" t="str">
        <f>C3&amp;" (og)"</f>
        <v>S. Pletikosa (og)</v>
      </c>
      <c r="C26" s="77" t="str">
        <f>B3&amp;" (og)"</f>
        <v>Jefferson (og)</v>
      </c>
      <c r="D26" s="77" t="str">
        <f>B3&amp;" (og)"</f>
        <v>Jefferson (og)</v>
      </c>
      <c r="E26" s="77" t="str">
        <f>B3&amp;" (og)"</f>
        <v>Jefferson (og)</v>
      </c>
      <c r="F26" s="77" t="str">
        <f>G3&amp;" (og)"</f>
        <v>J. Cillessen (og)</v>
      </c>
      <c r="G26" s="77" t="str">
        <f>F3&amp;" (og)"</f>
        <v>I. Casillas  (og)</v>
      </c>
      <c r="H26" s="77" t="str">
        <f>F3&amp;" (og)"</f>
        <v>I. Casillas  (og)</v>
      </c>
      <c r="I26" s="77" t="str">
        <f>F3&amp;" (og)"</f>
        <v>I. Casillas  (og)</v>
      </c>
      <c r="J26" s="77" t="str">
        <f>K3&amp;" (og)"</f>
        <v>O. Karnezis (og)</v>
      </c>
      <c r="K26" s="77" t="str">
        <f>J3&amp;" (og)"</f>
        <v>D. Ospina (og)</v>
      </c>
      <c r="L26" s="77" t="str">
        <f>J3&amp;" (og)"</f>
        <v>D. Ospina (og)</v>
      </c>
      <c r="M26" s="77" t="str">
        <f>J3&amp;" (og)"</f>
        <v>D. Ospina (og)</v>
      </c>
      <c r="N26" s="77" t="str">
        <f>O3&amp;" (og)"</f>
        <v>K. Navas (og)</v>
      </c>
      <c r="O26" s="77" t="str">
        <f>N3&amp;" (og)"</f>
        <v>F. Muslera (og)</v>
      </c>
      <c r="P26" s="77" t="str">
        <f>N3&amp;" (og)"</f>
        <v>F. Muslera (og)</v>
      </c>
      <c r="Q26" s="77" t="str">
        <f>N3&amp;" (og)"</f>
        <v>F. Muslera (og)</v>
      </c>
      <c r="R26" s="77" t="str">
        <f>S3&amp;" (og)"</f>
        <v>M. Banguera (og)</v>
      </c>
      <c r="S26" s="77" t="str">
        <f>R3&amp;" (og)"</f>
        <v>D. Benaglio (og)</v>
      </c>
      <c r="T26" s="77" t="str">
        <f>R3&amp;" (og)"</f>
        <v>D. Benaglio (og)</v>
      </c>
      <c r="U26" s="77" t="str">
        <f>R3&amp;" (og)"</f>
        <v>D. Benaglio (og)</v>
      </c>
      <c r="V26" s="77" t="str">
        <f>W3&amp;" (og)"</f>
        <v>A. Begović (og)</v>
      </c>
      <c r="W26" s="77" t="str">
        <f>V3&amp;" (og)"</f>
        <v>S. Romero (og)</v>
      </c>
      <c r="X26" s="77" t="str">
        <f>V3&amp;" (og)"</f>
        <v>S. Romero (og)</v>
      </c>
      <c r="Y26" s="77" t="str">
        <f>V3&amp;" (og)"</f>
        <v>S. Romero (og)</v>
      </c>
      <c r="Z26" s="77" t="str">
        <f>AA3&amp;" (og)"</f>
        <v>Eduardo (og)</v>
      </c>
      <c r="AA26" s="77" t="str">
        <f>Z3&amp;" (og)"</f>
        <v>M. Neuer (og)</v>
      </c>
      <c r="AB26" s="77" t="str">
        <f>Z3&amp;" (og)"</f>
        <v>M. Neuer (og)</v>
      </c>
      <c r="AC26" s="77" t="str">
        <f>Z3&amp;" (og)"</f>
        <v>M. Neuer (og)</v>
      </c>
      <c r="AD26" s="77" t="str">
        <f>AE3&amp;" (og)"</f>
        <v>C. Si Mohamed (og)</v>
      </c>
      <c r="AE26" s="77" t="str">
        <f>AD3&amp;" (og)"</f>
        <v>T. Courtois (og)</v>
      </c>
      <c r="AF26" s="77" t="str">
        <f>AD3&amp;" (og)"</f>
        <v>T. Courtois (og)</v>
      </c>
      <c r="AG26" s="77" t="str">
        <f>AD3&amp;" (og)"</f>
        <v>T. Courtois (og)</v>
      </c>
      <c r="AI26" s="77" t="str">
        <f ca="1">AJ3&amp;" (og)"</f>
        <v xml:space="preserve"> (og)</v>
      </c>
      <c r="AJ26" s="77" t="str">
        <f ca="1">AI3&amp;" (og)"</f>
        <v xml:space="preserve"> (og)</v>
      </c>
      <c r="AK26" s="77" t="str">
        <f ca="1">AL3&amp;" (og)"</f>
        <v xml:space="preserve"> (og)</v>
      </c>
      <c r="AL26" s="77" t="str">
        <f ca="1">AK3&amp;" (og)"</f>
        <v xml:space="preserve"> (og)</v>
      </c>
      <c r="AM26" s="77" t="str">
        <f ca="1">AN3&amp;" (og)"</f>
        <v xml:space="preserve"> (og)</v>
      </c>
      <c r="AN26" s="77" t="str">
        <f ca="1">AM3&amp;" (og)"</f>
        <v xml:space="preserve"> (og)</v>
      </c>
      <c r="AO26" s="77" t="str">
        <f ca="1">AP3&amp;" (og)"</f>
        <v xml:space="preserve"> (og)</v>
      </c>
      <c r="AP26" s="77" t="str">
        <f ca="1">AO3&amp;" (og)"</f>
        <v xml:space="preserve"> (og)</v>
      </c>
      <c r="AQ26" s="77" t="str">
        <f ca="1">AR3&amp;" (og)"</f>
        <v xml:space="preserve"> (og)</v>
      </c>
      <c r="AR26" s="77" t="str">
        <f ca="1">AQ3&amp;" (og)"</f>
        <v xml:space="preserve"> (og)</v>
      </c>
      <c r="AS26" s="77" t="str">
        <f ca="1">AT3&amp;" (og)"</f>
        <v xml:space="preserve"> (og)</v>
      </c>
      <c r="AT26" s="77" t="str">
        <f ca="1">AS3&amp;" (og)"</f>
        <v xml:space="preserve"> (og)</v>
      </c>
      <c r="AU26" s="77" t="str">
        <f ca="1">AV3&amp;" (og)"</f>
        <v xml:space="preserve"> (og)</v>
      </c>
      <c r="AV26" s="77" t="str">
        <f ca="1">AU3&amp;" (og)"</f>
        <v xml:space="preserve"> (og)</v>
      </c>
      <c r="AW26" s="77" t="str">
        <f ca="1">AX3&amp;" (og)"</f>
        <v xml:space="preserve"> (og)</v>
      </c>
      <c r="AX26" s="77" t="str">
        <f ca="1">AW3&amp;" (og)"</f>
        <v xml:space="preserve"> (og)</v>
      </c>
      <c r="AZ26" s="77" t="str">
        <f>BA3&amp;" (og)"</f>
        <v xml:space="preserve"> (og)</v>
      </c>
      <c r="BA26" s="77" t="str">
        <f>AZ3&amp;" (og)"</f>
        <v xml:space="preserve"> (og)</v>
      </c>
      <c r="BB26" s="77" t="str">
        <f>BC3&amp;" (og)"</f>
        <v xml:space="preserve"> (og)</v>
      </c>
      <c r="BC26" s="77" t="str">
        <f>BB3&amp;" (og)"</f>
        <v xml:space="preserve"> (og)</v>
      </c>
      <c r="BD26" s="77" t="str">
        <f>BE3&amp;" (og)"</f>
        <v xml:space="preserve"> (og)</v>
      </c>
      <c r="BE26" s="77" t="str">
        <f>BD3&amp;" (og)"</f>
        <v xml:space="preserve"> (og)</v>
      </c>
      <c r="BF26" s="77" t="str">
        <f>BG3&amp;" (og)"</f>
        <v xml:space="preserve"> (og)</v>
      </c>
      <c r="BG26" s="77" t="str">
        <f>BF3&amp;" (og)"</f>
        <v xml:space="preserve"> (og)</v>
      </c>
      <c r="BI26" s="77" t="str">
        <f>BJ3&amp;" (og)"</f>
        <v xml:space="preserve"> (og)</v>
      </c>
      <c r="BJ26" s="77" t="str">
        <f>BI3&amp;" (og)"</f>
        <v xml:space="preserve"> (og)</v>
      </c>
      <c r="BK26" s="77" t="str">
        <f>BL3&amp;" (og)"</f>
        <v xml:space="preserve"> (og)</v>
      </c>
      <c r="BL26" s="77" t="str">
        <f>BK3&amp;" (og)"</f>
        <v xml:space="preserve"> (og)</v>
      </c>
      <c r="BN26" s="77" t="str">
        <f>BO3&amp;" (og)"</f>
        <v xml:space="preserve"> (og)</v>
      </c>
      <c r="BO26" s="77" t="str">
        <f>BN3&amp;" (og)"</f>
        <v xml:space="preserve"> (og)</v>
      </c>
      <c r="BQ26" s="77" t="str">
        <f>BR3&amp;" (og)"</f>
        <v xml:space="preserve"> (og)</v>
      </c>
      <c r="BR26" s="77" t="str">
        <f>BQ3&amp;" (og)"</f>
        <v xml:space="preserve"> (og)</v>
      </c>
      <c r="BT26" s="77" t="str">
        <f ca="1">OFFSET($A$2,0,BW26)</f>
        <v>Croatia</v>
      </c>
      <c r="BU26" s="77">
        <f t="shared" si="12"/>
        <v>24</v>
      </c>
      <c r="BV26" s="77" t="s">
        <v>3873</v>
      </c>
      <c r="BW26" s="77">
        <f>BW3+1</f>
        <v>2</v>
      </c>
      <c r="BX26" s="77" t="str">
        <f ca="1">OFFSET(INDIRECT(BV26),0,BW26)</f>
        <v>S. Pletikosa</v>
      </c>
      <c r="BY26" s="77">
        <f ca="1">COUNTIF('Group Stages'!$L$14:$S$110,BX26)+COUNTIF('Knock Out Stages'!$N$41:$U$84,BX26)</f>
        <v>0</v>
      </c>
      <c r="BZ26" s="79" t="s">
        <v>3933</v>
      </c>
      <c r="CA26" s="77" t="str">
        <f ca="1">OFFSET(INDIRECT(BZ26),0,BW26)</f>
        <v>Stipe Pletikosa</v>
      </c>
      <c r="CB26" s="77">
        <v>23</v>
      </c>
      <c r="CC26" s="77" t="str">
        <f t="array" aca="1" ref="CC26" ca="1">IFERROR(INDEX($BX$3:$BX$738, SMALL(IF(COUNTIF(CC$3, $BY$3:$BY$738), ROW($BX$3:$BX$738)-MIN(ROW($BX$3:$BX$738))+1), $CB26), 0),"")</f>
        <v/>
      </c>
      <c r="CD26" s="77" t="str">
        <f t="array" aca="1" ref="CD26" ca="1">IFERROR(INDEX($BX$3:$BX$738, SMALL(IF(COUNTIF(CD$3, $BY$3:$BY$738), ROW($BX$3:$BX$738)-MIN(ROW($BX$3:$BX$738))+1), $CB26), 0),"")</f>
        <v/>
      </c>
      <c r="CE26" s="77" t="str">
        <f t="array" aca="1" ref="CE26" ca="1">IFERROR(INDEX($BX$3:$BX$738, SMALL(IF(COUNTIF(CE$3, $BY$3:$BY$738), ROW($BX$3:$BX$738)-MIN(ROW($BX$3:$BX$738))+1), $CB26), 0),"")</f>
        <v/>
      </c>
      <c r="CF26" s="77" t="str">
        <f t="array" aca="1" ref="CF26" ca="1">IFERROR(INDEX($BX$3:$BX$738, SMALL(IF(COUNTIF(CF$3, $BY$3:$BY$738), ROW($BX$3:$BX$738)-MIN(ROW($BX$3:$BX$738))+1), $CB26), 0),"")</f>
        <v/>
      </c>
      <c r="CG26" s="77" t="str">
        <f t="array" aca="1" ref="CG26" ca="1">IFERROR(INDEX($BX$3:$BX$738, SMALL(IF(COUNTIF(CG$3, $BY$3:$BY$738), ROW($BX$3:$BX$738)-MIN(ROW($BX$3:$BX$738))+1), $CB26), 0),"")</f>
        <v/>
      </c>
      <c r="CH26" s="77" t="str">
        <f t="array" aca="1" ref="CH26" ca="1">IFERROR(INDEX($BX$3:$BX$738, SMALL(IF(COUNTIF(CH$3, $BY$3:$BY$738), ROW($BX$3:$BX$738)-MIN(ROW($BX$3:$BX$738))+1), $CB26), 0),"")</f>
        <v/>
      </c>
      <c r="CI26" s="77" t="str">
        <f t="array" aca="1" ref="CI26" ca="1">IFERROR(INDEX($BX$3:$BX$738, SMALL(IF(COUNTIF(CI$3, $BY$3:$BY$738), ROW($BX$3:$BX$738)-MIN(ROW($BX$3:$BX$738))+1), $CB26), 0),"")</f>
        <v/>
      </c>
      <c r="CJ26" s="77" t="str">
        <f t="array" aca="1" ref="CJ26" ca="1">IFERROR(INDEX($BX$3:$BX$738, SMALL(IF(COUNTIF(CJ$3, $BY$3:$BY$738), ROW($BX$3:$BX$738)-MIN(ROW($BX$3:$BX$738))+1), $CB26), 0),"")</f>
        <v/>
      </c>
      <c r="CK26" s="77" t="str">
        <f t="array" aca="1" ref="CK26" ca="1">IFERROR(INDEX($BX$3:$BX$738, SMALL(IF(COUNTIF(CK$3, $BY$3:$BY$738), ROW($BX$3:$BX$738)-MIN(ROW($BX$3:$BX$738))+1), $CB26), 0),"")</f>
        <v/>
      </c>
      <c r="CL26" s="77" t="str">
        <f t="array" aca="1" ref="CL26" ca="1">IFERROR(INDEX($BX$3:$BX$738, SMALL(IF(COUNTIF(CL$3, $BY$3:$BY$738), ROW($BX$3:$BX$738)-MIN(ROW($BX$3:$BX$738))+1), $CB26), 0),"")</f>
        <v/>
      </c>
      <c r="CM26" s="77" t="str">
        <f t="array" aca="1" ref="CM26" ca="1">IFERROR(INDEX($BX$3:$BX$738, SMALL(IF(COUNTIF(CM$3, $BY$3:$BY$738), ROW($BX$3:$BX$738)-MIN(ROW($BX$3:$BX$738))+1), $CB26), 0),"")</f>
        <v/>
      </c>
      <c r="CN26" s="77" t="str">
        <f t="array" aca="1" ref="CN26" ca="1">IFERROR(INDEX($BX$3:$BX$738, SMALL(IF(COUNTIF(CN$3, $BY$3:$BY$738), ROW($BX$3:$BX$738)-MIN(ROW($BX$3:$BX$738))+1), $CB26), 0),"")</f>
        <v/>
      </c>
      <c r="CO26" s="77" t="str">
        <f t="array" aca="1" ref="CO26" ca="1">IFERROR(INDEX($BX$3:$BX$738, SMALL(IF(COUNTIF(CO$3, $BY$3:$BY$738), ROW($BX$3:$BX$738)-MIN(ROW($BX$3:$BX$738))+1), $CB26), 0),"")</f>
        <v/>
      </c>
      <c r="CP26" s="77" t="str">
        <f t="array" aca="1" ref="CP26" ca="1">IFERROR(INDEX($BX$3:$BX$738, SMALL(IF(COUNTIF(CP$3, $BY$3:$BY$738), ROW($BX$3:$BX$738)-MIN(ROW($BX$3:$BX$738))+1), $CB26), 0),"")</f>
        <v/>
      </c>
      <c r="CQ26" s="77" t="str">
        <f t="array" aca="1" ref="CQ26" ca="1">IFERROR(INDEX($BX$3:$BX$738, SMALL(IF(COUNTIF(CQ$3, $BY$3:$BY$738), ROW($BX$3:$BX$738)-MIN(ROW($BX$3:$BX$738))+1), $CB26), 0),"")</f>
        <v/>
      </c>
      <c r="CS26" s="77">
        <v>23</v>
      </c>
      <c r="CT26" s="77">
        <v>1</v>
      </c>
      <c r="CV26" s="77" t="str">
        <f t="shared" ca="1" si="10"/>
        <v/>
      </c>
      <c r="CW26" s="77">
        <f t="shared" ca="1" si="13"/>
        <v>0</v>
      </c>
      <c r="CZ26" s="77">
        <v>23</v>
      </c>
      <c r="DA26" s="77" t="str">
        <f t="shared" ca="1" si="14"/>
        <v/>
      </c>
      <c r="DB26" s="77" t="str">
        <f t="shared" ca="1" si="15"/>
        <v/>
      </c>
      <c r="DC26" s="77" t="str">
        <f t="shared" ca="1" si="19"/>
        <v/>
      </c>
      <c r="DD26" s="77" t="str">
        <f t="shared" ca="1" si="17"/>
        <v/>
      </c>
    </row>
    <row r="27" spans="1:111">
      <c r="A27" s="77">
        <f t="shared" ref="A27:A48" si="22">A4</f>
        <v>2</v>
      </c>
      <c r="B27" s="77" t="str">
        <f t="shared" ref="B27:B48" si="23">C4&amp;" (og)"</f>
        <v>Š. Vrsaljko (og)</v>
      </c>
      <c r="C27" s="77" t="str">
        <f t="shared" ref="C27:C48" si="24">B4&amp;" (og)"</f>
        <v>D. Alves (og)</v>
      </c>
      <c r="D27" s="77" t="str">
        <f t="shared" ref="D27:D48" si="25">B4&amp;" (og)"</f>
        <v>D. Alves (og)</v>
      </c>
      <c r="E27" s="77" t="str">
        <f t="shared" ref="E27:E48" si="26">B4&amp;" (og)"</f>
        <v>D. Alves (og)</v>
      </c>
      <c r="F27" s="77" t="str">
        <f t="shared" ref="F27:F48" si="27">G4&amp;" (og)"</f>
        <v>R. Vlaar (og)</v>
      </c>
      <c r="G27" s="77" t="str">
        <f t="shared" ref="G27:G48" si="28">F4&amp;" (og)"</f>
        <v>R. Albiol (og)</v>
      </c>
      <c r="H27" s="77" t="str">
        <f t="shared" ref="H27:H48" si="29">F4&amp;" (og)"</f>
        <v>R. Albiol (og)</v>
      </c>
      <c r="I27" s="77" t="str">
        <f t="shared" ref="I27:I48" si="30">F4&amp;" (og)"</f>
        <v>R. Albiol (og)</v>
      </c>
      <c r="J27" s="77" t="str">
        <f t="shared" ref="J27:J48" si="31">K4&amp;" (og)"</f>
        <v>G. Maniatis (og)</v>
      </c>
      <c r="K27" s="77" t="str">
        <f t="shared" ref="K27:K48" si="32">J4&amp;" (og)"</f>
        <v>C. Zapata (og)</v>
      </c>
      <c r="L27" s="77" t="str">
        <f t="shared" ref="L27:L48" si="33">J4&amp;" (og)"</f>
        <v>C. Zapata (og)</v>
      </c>
      <c r="M27" s="77" t="str">
        <f t="shared" ref="M27:M48" si="34">J4&amp;" (og)"</f>
        <v>C. Zapata (og)</v>
      </c>
      <c r="N27" s="77" t="str">
        <f t="shared" ref="N27:N48" si="35">O4&amp;" (og)"</f>
        <v>J. Acosta (og)</v>
      </c>
      <c r="O27" s="77" t="str">
        <f t="shared" ref="O27:O48" si="36">N4&amp;" (og)"</f>
        <v>D. Lugano  (og)</v>
      </c>
      <c r="P27" s="77" t="str">
        <f t="shared" ref="P27:P48" si="37">N4&amp;" (og)"</f>
        <v>D. Lugano  (og)</v>
      </c>
      <c r="Q27" s="77" t="str">
        <f t="shared" ref="Q27:Q48" si="38">N4&amp;" (og)"</f>
        <v>D. Lugano  (og)</v>
      </c>
      <c r="R27" s="77" t="str">
        <f t="shared" ref="R27:R48" si="39">S4&amp;" (og)"</f>
        <v>J. Guagua (og)</v>
      </c>
      <c r="S27" s="77" t="str">
        <f t="shared" ref="S27:S48" si="40">R4&amp;" (og)"</f>
        <v>S. Lichtsteiner (og)</v>
      </c>
      <c r="T27" s="77" t="str">
        <f t="shared" ref="T27:T48" si="41">R4&amp;" (og)"</f>
        <v>S. Lichtsteiner (og)</v>
      </c>
      <c r="U27" s="77" t="str">
        <f t="shared" ref="U27:U48" si="42">R4&amp;" (og)"</f>
        <v>S. Lichtsteiner (og)</v>
      </c>
      <c r="V27" s="77" t="str">
        <f t="shared" ref="V27:V48" si="43">W4&amp;" (og)"</f>
        <v>A. Vršajević (og)</v>
      </c>
      <c r="W27" s="77" t="str">
        <f t="shared" ref="W27:W48" si="44">V4&amp;" (og)"</f>
        <v>E. Garay (og)</v>
      </c>
      <c r="X27" s="77" t="str">
        <f t="shared" ref="X27:X48" si="45">V4&amp;" (og)"</f>
        <v>E. Garay (og)</v>
      </c>
      <c r="Y27" s="77" t="str">
        <f t="shared" ref="Y27:Y48" si="46">V4&amp;" (og)"</f>
        <v>E. Garay (og)</v>
      </c>
      <c r="Z27" s="77" t="str">
        <f t="shared" ref="Z27:Z48" si="47">AA4&amp;" (og)"</f>
        <v>B. Alves (og)</v>
      </c>
      <c r="AA27" s="77" t="str">
        <f t="shared" ref="AA27:AA48" si="48">Z4&amp;" (og)"</f>
        <v>K. Großkreutz (og)</v>
      </c>
      <c r="AB27" s="77" t="str">
        <f t="shared" ref="AB27:AB48" si="49">Z4&amp;" (og)"</f>
        <v>K. Großkreutz (og)</v>
      </c>
      <c r="AC27" s="77" t="str">
        <f t="shared" ref="AC27:AC48" si="50">Z4&amp;" (og)"</f>
        <v>K. Großkreutz (og)</v>
      </c>
      <c r="AD27" s="77" t="str">
        <f t="shared" ref="AD27:AD48" si="51">AE4&amp;" (og)"</f>
        <v>M. Bougherra  (og)</v>
      </c>
      <c r="AE27" s="77" t="str">
        <f t="shared" ref="AE27:AE48" si="52">AD4&amp;" (og)"</f>
        <v>T. Alderweireld (og)</v>
      </c>
      <c r="AF27" s="77" t="str">
        <f t="shared" ref="AF27:AF48" si="53">AD4&amp;" (og)"</f>
        <v>T. Alderweireld (og)</v>
      </c>
      <c r="AG27" s="77" t="str">
        <f t="shared" ref="AG27:AG48" si="54">AD4&amp;" (og)"</f>
        <v>T. Alderweireld (og)</v>
      </c>
      <c r="AI27" s="77" t="str">
        <f t="shared" ref="AI27:AK48" ca="1" si="55">AJ4&amp;" (og)"</f>
        <v xml:space="preserve"> (og)</v>
      </c>
      <c r="AJ27" s="77" t="str">
        <f t="shared" ref="AJ27:AL48" ca="1" si="56">AI4&amp;" (og)"</f>
        <v xml:space="preserve"> (og)</v>
      </c>
      <c r="AK27" s="77" t="str">
        <f t="shared" ca="1" si="55"/>
        <v xml:space="preserve"> (og)</v>
      </c>
      <c r="AL27" s="77" t="str">
        <f t="shared" ca="1" si="56"/>
        <v xml:space="preserve"> (og)</v>
      </c>
      <c r="AM27" s="77" t="str">
        <f t="shared" ref="AM27" ca="1" si="57">AN4&amp;" (og)"</f>
        <v xml:space="preserve"> (og)</v>
      </c>
      <c r="AN27" s="77" t="str">
        <f t="shared" ref="AN27" ca="1" si="58">AM4&amp;" (og)"</f>
        <v xml:space="preserve"> (og)</v>
      </c>
      <c r="AO27" s="77" t="str">
        <f t="shared" ref="AO27" ca="1" si="59">AP4&amp;" (og)"</f>
        <v xml:space="preserve"> (og)</v>
      </c>
      <c r="AP27" s="77" t="str">
        <f t="shared" ref="AP27" ca="1" si="60">AO4&amp;" (og)"</f>
        <v xml:space="preserve"> (og)</v>
      </c>
      <c r="AQ27" s="77" t="str">
        <f t="shared" ref="AQ27" ca="1" si="61">AR4&amp;" (og)"</f>
        <v xml:space="preserve"> (og)</v>
      </c>
      <c r="AR27" s="77" t="str">
        <f t="shared" ref="AR27" ca="1" si="62">AQ4&amp;" (og)"</f>
        <v xml:space="preserve"> (og)</v>
      </c>
      <c r="AS27" s="77" t="str">
        <f t="shared" ref="AS27" ca="1" si="63">AT4&amp;" (og)"</f>
        <v xml:space="preserve"> (og)</v>
      </c>
      <c r="AT27" s="77" t="str">
        <f t="shared" ref="AT27" ca="1" si="64">AS4&amp;" (og)"</f>
        <v xml:space="preserve"> (og)</v>
      </c>
      <c r="AU27" s="77" t="str">
        <f t="shared" ref="AU27" ca="1" si="65">AV4&amp;" (og)"</f>
        <v xml:space="preserve"> (og)</v>
      </c>
      <c r="AV27" s="77" t="str">
        <f t="shared" ref="AV27" ca="1" si="66">AU4&amp;" (og)"</f>
        <v xml:space="preserve"> (og)</v>
      </c>
      <c r="AW27" s="77" t="str">
        <f t="shared" ref="AW27" ca="1" si="67">AX4&amp;" (og)"</f>
        <v xml:space="preserve"> (og)</v>
      </c>
      <c r="AX27" s="77" t="str">
        <f t="shared" ref="AX27" ca="1" si="68">AW4&amp;" (og)"</f>
        <v xml:space="preserve"> (og)</v>
      </c>
      <c r="AZ27" s="77" t="str">
        <f t="shared" ref="AZ27" si="69">BA4&amp;" (og)"</f>
        <v xml:space="preserve"> (og)</v>
      </c>
      <c r="BA27" s="77" t="str">
        <f t="shared" ref="BA27" si="70">AZ4&amp;" (og)"</f>
        <v xml:space="preserve"> (og)</v>
      </c>
      <c r="BB27" s="77" t="str">
        <f t="shared" ref="BB27" si="71">BC4&amp;" (og)"</f>
        <v xml:space="preserve"> (og)</v>
      </c>
      <c r="BC27" s="77" t="str">
        <f t="shared" ref="BC27" si="72">BB4&amp;" (og)"</f>
        <v xml:space="preserve"> (og)</v>
      </c>
      <c r="BD27" s="77" t="str">
        <f t="shared" ref="BD27:BD48" si="73">BE4&amp;" (og)"</f>
        <v xml:space="preserve"> (og)</v>
      </c>
      <c r="BE27" s="77" t="str">
        <f t="shared" ref="BE27:BE48" si="74">BD4&amp;" (og)"</f>
        <v xml:space="preserve"> (og)</v>
      </c>
      <c r="BF27" s="77" t="str">
        <f t="shared" ref="BF27:BF48" si="75">BG4&amp;" (og)"</f>
        <v xml:space="preserve"> (og)</v>
      </c>
      <c r="BG27" s="77" t="str">
        <f t="shared" ref="BG27:BG48" si="76">BF4&amp;" (og)"</f>
        <v xml:space="preserve"> (og)</v>
      </c>
      <c r="BI27" s="77" t="str">
        <f t="shared" ref="BI27:BI48" si="77">BJ4&amp;" (og)"</f>
        <v xml:space="preserve"> (og)</v>
      </c>
      <c r="BJ27" s="77" t="str">
        <f t="shared" ref="BJ27:BJ48" si="78">BI4&amp;" (og)"</f>
        <v xml:space="preserve"> (og)</v>
      </c>
      <c r="BK27" s="77" t="str">
        <f t="shared" ref="BK27:BK48" si="79">BL4&amp;" (og)"</f>
        <v xml:space="preserve"> (og)</v>
      </c>
      <c r="BL27" s="77" t="str">
        <f t="shared" ref="BL27:BL48" si="80">BK4&amp;" (og)"</f>
        <v xml:space="preserve"> (og)</v>
      </c>
      <c r="BN27" s="77" t="str">
        <f t="shared" ref="BN27:BN48" si="81">BO4&amp;" (og)"</f>
        <v xml:space="preserve"> (og)</v>
      </c>
      <c r="BO27" s="77" t="str">
        <f t="shared" ref="BO27:BO48" si="82">BN4&amp;" (og)"</f>
        <v xml:space="preserve"> (og)</v>
      </c>
      <c r="BQ27" s="77" t="str">
        <f t="shared" ref="BQ27:BQ48" si="83">BR4&amp;" (og)"</f>
        <v xml:space="preserve"> (og)</v>
      </c>
      <c r="BR27" s="77" t="str">
        <f t="shared" ref="BR27:BR48" si="84">BQ4&amp;" (og)"</f>
        <v xml:space="preserve"> (og)</v>
      </c>
      <c r="BT27" s="77" t="str">
        <f t="shared" ref="BT27:BT90" ca="1" si="85">OFFSET($A$2,0,BW27)</f>
        <v>Croatia</v>
      </c>
      <c r="BU27" s="77">
        <f t="shared" si="12"/>
        <v>25</v>
      </c>
      <c r="BV27" s="77" t="s">
        <v>3874</v>
      </c>
      <c r="BW27" s="77">
        <f t="shared" ref="BW27:BW48" si="86">BW4+1</f>
        <v>2</v>
      </c>
      <c r="BX27" s="77" t="str">
        <f t="shared" ref="BX27:BX50" ca="1" si="87">OFFSET(INDIRECT(BV27),0,BW27)</f>
        <v>Š. Vrsaljko</v>
      </c>
      <c r="BY27" s="77">
        <f ca="1">COUNTIF('Group Stages'!$L$14:$S$110,BX27)+COUNTIF('Knock Out Stages'!$N$41:$U$84,BX27)</f>
        <v>0</v>
      </c>
      <c r="BZ27" s="79" t="s">
        <v>3934</v>
      </c>
      <c r="CA27" s="77" t="str">
        <f t="shared" ref="CA27:CA49" ca="1" si="88">OFFSET(INDIRECT(BZ27),0,BW27)</f>
        <v>Šime Vrsaljko</v>
      </c>
      <c r="CB27" s="77">
        <v>24</v>
      </c>
      <c r="CC27" s="77" t="str">
        <f t="array" aca="1" ref="CC27" ca="1">IFERROR(INDEX($BX$3:$BX$738, SMALL(IF(COUNTIF(CC$3, $BY$3:$BY$738), ROW($BX$3:$BX$738)-MIN(ROW($BX$3:$BX$738))+1), $CB27), 0),"")</f>
        <v/>
      </c>
      <c r="CD27" s="77" t="str">
        <f t="array" aca="1" ref="CD27" ca="1">IFERROR(INDEX($BX$3:$BX$738, SMALL(IF(COUNTIF(CD$3, $BY$3:$BY$738), ROW($BX$3:$BX$738)-MIN(ROW($BX$3:$BX$738))+1), $CB27), 0),"")</f>
        <v/>
      </c>
      <c r="CE27" s="77" t="str">
        <f t="array" aca="1" ref="CE27" ca="1">IFERROR(INDEX($BX$3:$BX$738, SMALL(IF(COUNTIF(CE$3, $BY$3:$BY$738), ROW($BX$3:$BX$738)-MIN(ROW($BX$3:$BX$738))+1), $CB27), 0),"")</f>
        <v/>
      </c>
      <c r="CF27" s="77" t="str">
        <f t="array" aca="1" ref="CF27" ca="1">IFERROR(INDEX($BX$3:$BX$738, SMALL(IF(COUNTIF(CF$3, $BY$3:$BY$738), ROW($BX$3:$BX$738)-MIN(ROW($BX$3:$BX$738))+1), $CB27), 0),"")</f>
        <v/>
      </c>
      <c r="CG27" s="77" t="str">
        <f t="array" aca="1" ref="CG27" ca="1">IFERROR(INDEX($BX$3:$BX$738, SMALL(IF(COUNTIF(CG$3, $BY$3:$BY$738), ROW($BX$3:$BX$738)-MIN(ROW($BX$3:$BX$738))+1), $CB27), 0),"")</f>
        <v/>
      </c>
      <c r="CH27" s="77" t="str">
        <f t="array" aca="1" ref="CH27" ca="1">IFERROR(INDEX($BX$3:$BX$738, SMALL(IF(COUNTIF(CH$3, $BY$3:$BY$738), ROW($BX$3:$BX$738)-MIN(ROW($BX$3:$BX$738))+1), $CB27), 0),"")</f>
        <v/>
      </c>
      <c r="CI27" s="77" t="str">
        <f t="array" aca="1" ref="CI27" ca="1">IFERROR(INDEX($BX$3:$BX$738, SMALL(IF(COUNTIF(CI$3, $BY$3:$BY$738), ROW($BX$3:$BX$738)-MIN(ROW($BX$3:$BX$738))+1), $CB27), 0),"")</f>
        <v/>
      </c>
      <c r="CJ27" s="77" t="str">
        <f t="array" aca="1" ref="CJ27" ca="1">IFERROR(INDEX($BX$3:$BX$738, SMALL(IF(COUNTIF(CJ$3, $BY$3:$BY$738), ROW($BX$3:$BX$738)-MIN(ROW($BX$3:$BX$738))+1), $CB27), 0),"")</f>
        <v/>
      </c>
      <c r="CK27" s="77" t="str">
        <f t="array" aca="1" ref="CK27" ca="1">IFERROR(INDEX($BX$3:$BX$738, SMALL(IF(COUNTIF(CK$3, $BY$3:$BY$738), ROW($BX$3:$BX$738)-MIN(ROW($BX$3:$BX$738))+1), $CB27), 0),"")</f>
        <v/>
      </c>
      <c r="CL27" s="77" t="str">
        <f t="array" aca="1" ref="CL27" ca="1">IFERROR(INDEX($BX$3:$BX$738, SMALL(IF(COUNTIF(CL$3, $BY$3:$BY$738), ROW($BX$3:$BX$738)-MIN(ROW($BX$3:$BX$738))+1), $CB27), 0),"")</f>
        <v/>
      </c>
      <c r="CM27" s="77" t="str">
        <f t="array" aca="1" ref="CM27" ca="1">IFERROR(INDEX($BX$3:$BX$738, SMALL(IF(COUNTIF(CM$3, $BY$3:$BY$738), ROW($BX$3:$BX$738)-MIN(ROW($BX$3:$BX$738))+1), $CB27), 0),"")</f>
        <v/>
      </c>
      <c r="CN27" s="77" t="str">
        <f t="array" aca="1" ref="CN27" ca="1">IFERROR(INDEX($BX$3:$BX$738, SMALL(IF(COUNTIF(CN$3, $BY$3:$BY$738), ROW($BX$3:$BX$738)-MIN(ROW($BX$3:$BX$738))+1), $CB27), 0),"")</f>
        <v/>
      </c>
      <c r="CO27" s="77" t="str">
        <f t="array" aca="1" ref="CO27" ca="1">IFERROR(INDEX($BX$3:$BX$738, SMALL(IF(COUNTIF(CO$3, $BY$3:$BY$738), ROW($BX$3:$BX$738)-MIN(ROW($BX$3:$BX$738))+1), $CB27), 0),"")</f>
        <v/>
      </c>
      <c r="CP27" s="77" t="str">
        <f t="array" aca="1" ref="CP27" ca="1">IFERROR(INDEX($BX$3:$BX$738, SMALL(IF(COUNTIF(CP$3, $BY$3:$BY$738), ROW($BX$3:$BX$738)-MIN(ROW($BX$3:$BX$738))+1), $CB27), 0),"")</f>
        <v/>
      </c>
      <c r="CQ27" s="77" t="str">
        <f t="array" aca="1" ref="CQ27" ca="1">IFERROR(INDEX($BX$3:$BX$738, SMALL(IF(COUNTIF(CQ$3, $BY$3:$BY$738), ROW($BX$3:$BX$738)-MIN(ROW($BX$3:$BX$738))+1), $CB27), 0),"")</f>
        <v/>
      </c>
      <c r="CS27" s="77">
        <v>24</v>
      </c>
      <c r="CT27" s="77">
        <v>1</v>
      </c>
      <c r="CV27" s="77" t="str">
        <f t="shared" ca="1" si="10"/>
        <v/>
      </c>
      <c r="CW27" s="77">
        <f t="shared" ca="1" si="13"/>
        <v>0</v>
      </c>
      <c r="CZ27" s="77">
        <v>24</v>
      </c>
      <c r="DA27" s="77" t="str">
        <f t="shared" ca="1" si="14"/>
        <v/>
      </c>
      <c r="DB27" s="77" t="str">
        <f t="shared" ca="1" si="15"/>
        <v/>
      </c>
      <c r="DC27" s="77" t="str">
        <f t="shared" ca="1" si="19"/>
        <v/>
      </c>
      <c r="DD27" s="77" t="str">
        <f t="shared" ca="1" si="17"/>
        <v/>
      </c>
    </row>
    <row r="28" spans="1:111">
      <c r="A28" s="77">
        <f t="shared" si="22"/>
        <v>3</v>
      </c>
      <c r="B28" s="77" t="str">
        <f t="shared" si="23"/>
        <v>D. Pranjić (og)</v>
      </c>
      <c r="C28" s="77" t="str">
        <f t="shared" si="24"/>
        <v>T. Silva (og)</v>
      </c>
      <c r="D28" s="77" t="str">
        <f t="shared" si="25"/>
        <v>T. Silva (og)</v>
      </c>
      <c r="E28" s="77" t="str">
        <f t="shared" si="26"/>
        <v>T. Silva (og)</v>
      </c>
      <c r="F28" s="77" t="str">
        <f t="shared" si="27"/>
        <v>S. de Vrij (og)</v>
      </c>
      <c r="G28" s="77" t="str">
        <f t="shared" si="28"/>
        <v>G. Piqué (og)</v>
      </c>
      <c r="H28" s="77" t="str">
        <f t="shared" si="29"/>
        <v>G. Piqué (og)</v>
      </c>
      <c r="I28" s="77" t="str">
        <f t="shared" si="30"/>
        <v>G. Piqué (og)</v>
      </c>
      <c r="J28" s="77" t="str">
        <f t="shared" si="31"/>
        <v>G. Tzavellas (og)</v>
      </c>
      <c r="K28" s="77" t="str">
        <f t="shared" si="32"/>
        <v>M. Yepes  (og)</v>
      </c>
      <c r="L28" s="77" t="str">
        <f t="shared" si="33"/>
        <v>M. Yepes  (og)</v>
      </c>
      <c r="M28" s="77" t="str">
        <f t="shared" si="34"/>
        <v>M. Yepes  (og)</v>
      </c>
      <c r="N28" s="77" t="str">
        <f t="shared" si="35"/>
        <v>G. González (og)</v>
      </c>
      <c r="O28" s="77" t="str">
        <f t="shared" si="36"/>
        <v>D. Godín (og)</v>
      </c>
      <c r="P28" s="77" t="str">
        <f t="shared" si="37"/>
        <v>D. Godín (og)</v>
      </c>
      <c r="Q28" s="77" t="str">
        <f t="shared" si="38"/>
        <v>D. Godín (og)</v>
      </c>
      <c r="R28" s="77" t="str">
        <f t="shared" si="39"/>
        <v>F. Erazo (og)</v>
      </c>
      <c r="S28" s="77" t="str">
        <f t="shared" si="40"/>
        <v>R. Ziegler (og)</v>
      </c>
      <c r="T28" s="77" t="str">
        <f t="shared" si="41"/>
        <v>R. Ziegler (og)</v>
      </c>
      <c r="U28" s="77" t="str">
        <f t="shared" si="42"/>
        <v>R. Ziegler (og)</v>
      </c>
      <c r="V28" s="77" t="str">
        <f t="shared" si="43"/>
        <v>E. Bičakčić (og)</v>
      </c>
      <c r="W28" s="77" t="str">
        <f t="shared" si="44"/>
        <v>H. Campagnaro (og)</v>
      </c>
      <c r="X28" s="77" t="str">
        <f t="shared" si="45"/>
        <v>H. Campagnaro (og)</v>
      </c>
      <c r="Y28" s="77" t="str">
        <f t="shared" si="46"/>
        <v>H. Campagnaro (og)</v>
      </c>
      <c r="Z28" s="77" t="str">
        <f t="shared" si="47"/>
        <v>Pepe (og)</v>
      </c>
      <c r="AA28" s="77" t="str">
        <f t="shared" si="48"/>
        <v>M. Ginter (og)</v>
      </c>
      <c r="AB28" s="77" t="str">
        <f t="shared" si="49"/>
        <v>M. Ginter (og)</v>
      </c>
      <c r="AC28" s="77" t="str">
        <f t="shared" si="50"/>
        <v>M. Ginter (og)</v>
      </c>
      <c r="AD28" s="77" t="str">
        <f t="shared" si="51"/>
        <v>F. Ghoulam (og)</v>
      </c>
      <c r="AE28" s="77" t="str">
        <f t="shared" si="52"/>
        <v>T. Vermaelen (og)</v>
      </c>
      <c r="AF28" s="77" t="str">
        <f t="shared" si="53"/>
        <v>T. Vermaelen (og)</v>
      </c>
      <c r="AG28" s="77" t="str">
        <f t="shared" si="54"/>
        <v>T. Vermaelen (og)</v>
      </c>
      <c r="AI28" s="77" t="str">
        <f t="shared" ca="1" si="55"/>
        <v xml:space="preserve"> (og)</v>
      </c>
      <c r="AJ28" s="77" t="str">
        <f t="shared" ca="1" si="56"/>
        <v xml:space="preserve"> (og)</v>
      </c>
      <c r="AK28" s="77" t="str">
        <f t="shared" ca="1" si="55"/>
        <v xml:space="preserve"> (og)</v>
      </c>
      <c r="AL28" s="77" t="str">
        <f t="shared" ca="1" si="56"/>
        <v xml:space="preserve"> (og)</v>
      </c>
      <c r="AM28" s="77" t="str">
        <f t="shared" ref="AM28" ca="1" si="89">AN5&amp;" (og)"</f>
        <v xml:space="preserve"> (og)</v>
      </c>
      <c r="AN28" s="77" t="str">
        <f t="shared" ref="AN28" ca="1" si="90">AM5&amp;" (og)"</f>
        <v xml:space="preserve"> (og)</v>
      </c>
      <c r="AO28" s="77" t="str">
        <f t="shared" ref="AO28" ca="1" si="91">AP5&amp;" (og)"</f>
        <v xml:space="preserve"> (og)</v>
      </c>
      <c r="AP28" s="77" t="str">
        <f t="shared" ref="AP28" ca="1" si="92">AO5&amp;" (og)"</f>
        <v xml:space="preserve"> (og)</v>
      </c>
      <c r="AQ28" s="77" t="str">
        <f t="shared" ref="AQ28" ca="1" si="93">AR5&amp;" (og)"</f>
        <v xml:space="preserve"> (og)</v>
      </c>
      <c r="AR28" s="77" t="str">
        <f t="shared" ref="AR28" ca="1" si="94">AQ5&amp;" (og)"</f>
        <v xml:space="preserve"> (og)</v>
      </c>
      <c r="AS28" s="77" t="str">
        <f t="shared" ref="AS28" ca="1" si="95">AT5&amp;" (og)"</f>
        <v xml:space="preserve"> (og)</v>
      </c>
      <c r="AT28" s="77" t="str">
        <f t="shared" ref="AT28" ca="1" si="96">AS5&amp;" (og)"</f>
        <v xml:space="preserve"> (og)</v>
      </c>
      <c r="AU28" s="77" t="str">
        <f t="shared" ref="AU28" ca="1" si="97">AV5&amp;" (og)"</f>
        <v xml:space="preserve"> (og)</v>
      </c>
      <c r="AV28" s="77" t="str">
        <f t="shared" ref="AV28" ca="1" si="98">AU5&amp;" (og)"</f>
        <v xml:space="preserve"> (og)</v>
      </c>
      <c r="AW28" s="77" t="str">
        <f t="shared" ref="AW28" ca="1" si="99">AX5&amp;" (og)"</f>
        <v xml:space="preserve"> (og)</v>
      </c>
      <c r="AX28" s="77" t="str">
        <f t="shared" ref="AX28" ca="1" si="100">AW5&amp;" (og)"</f>
        <v xml:space="preserve"> (og)</v>
      </c>
      <c r="AZ28" s="77" t="str">
        <f t="shared" ref="AZ28" si="101">BA5&amp;" (og)"</f>
        <v xml:space="preserve"> (og)</v>
      </c>
      <c r="BA28" s="77" t="str">
        <f t="shared" ref="BA28" si="102">AZ5&amp;" (og)"</f>
        <v xml:space="preserve"> (og)</v>
      </c>
      <c r="BB28" s="77" t="str">
        <f t="shared" ref="BB28" si="103">BC5&amp;" (og)"</f>
        <v xml:space="preserve"> (og)</v>
      </c>
      <c r="BC28" s="77" t="str">
        <f t="shared" ref="BC28" si="104">BB5&amp;" (og)"</f>
        <v xml:space="preserve"> (og)</v>
      </c>
      <c r="BD28" s="77" t="str">
        <f t="shared" si="73"/>
        <v xml:space="preserve"> (og)</v>
      </c>
      <c r="BE28" s="77" t="str">
        <f t="shared" si="74"/>
        <v xml:space="preserve"> (og)</v>
      </c>
      <c r="BF28" s="77" t="str">
        <f t="shared" si="75"/>
        <v xml:space="preserve"> (og)</v>
      </c>
      <c r="BG28" s="77" t="str">
        <f t="shared" si="76"/>
        <v xml:space="preserve"> (og)</v>
      </c>
      <c r="BI28" s="77" t="str">
        <f t="shared" si="77"/>
        <v xml:space="preserve"> (og)</v>
      </c>
      <c r="BJ28" s="77" t="str">
        <f t="shared" si="78"/>
        <v xml:space="preserve"> (og)</v>
      </c>
      <c r="BK28" s="77" t="str">
        <f t="shared" si="79"/>
        <v xml:space="preserve"> (og)</v>
      </c>
      <c r="BL28" s="77" t="str">
        <f t="shared" si="80"/>
        <v xml:space="preserve"> (og)</v>
      </c>
      <c r="BN28" s="77" t="str">
        <f t="shared" si="81"/>
        <v xml:space="preserve"> (og)</v>
      </c>
      <c r="BO28" s="77" t="str">
        <f t="shared" si="82"/>
        <v xml:space="preserve"> (og)</v>
      </c>
      <c r="BQ28" s="77" t="str">
        <f t="shared" si="83"/>
        <v xml:space="preserve"> (og)</v>
      </c>
      <c r="BR28" s="77" t="str">
        <f t="shared" si="84"/>
        <v xml:space="preserve"> (og)</v>
      </c>
      <c r="BT28" s="77" t="str">
        <f t="shared" ca="1" si="85"/>
        <v>Croatia</v>
      </c>
      <c r="BU28" s="77">
        <f t="shared" si="12"/>
        <v>26</v>
      </c>
      <c r="BV28" s="77" t="s">
        <v>3885</v>
      </c>
      <c r="BW28" s="77">
        <f t="shared" si="86"/>
        <v>2</v>
      </c>
      <c r="BX28" s="77" t="str">
        <f t="shared" ca="1" si="87"/>
        <v>D. Pranjić</v>
      </c>
      <c r="BY28" s="77">
        <f ca="1">COUNTIF('Group Stages'!$L$14:$S$110,BX28)+COUNTIF('Knock Out Stages'!$N$41:$U$84,BX28)</f>
        <v>0</v>
      </c>
      <c r="BZ28" s="79" t="s">
        <v>3935</v>
      </c>
      <c r="CA28" s="77" t="str">
        <f t="shared" ca="1" si="88"/>
        <v>Danijel Pranjić</v>
      </c>
      <c r="CB28" s="77">
        <v>25</v>
      </c>
      <c r="CC28" s="77" t="str">
        <f t="array" aca="1" ref="CC28" ca="1">IFERROR(INDEX($BX$3:$BX$738, SMALL(IF(COUNTIF(CC$3, $BY$3:$BY$738), ROW($BX$3:$BX$738)-MIN(ROW($BX$3:$BX$738))+1), $CB28), 0),"")</f>
        <v/>
      </c>
      <c r="CD28" s="77" t="str">
        <f t="array" aca="1" ref="CD28" ca="1">IFERROR(INDEX($BX$3:$BX$738, SMALL(IF(COUNTIF(CD$3, $BY$3:$BY$738), ROW($BX$3:$BX$738)-MIN(ROW($BX$3:$BX$738))+1), $CB28), 0),"")</f>
        <v/>
      </c>
      <c r="CE28" s="77" t="str">
        <f t="array" aca="1" ref="CE28" ca="1">IFERROR(INDEX($BX$3:$BX$738, SMALL(IF(COUNTIF(CE$3, $BY$3:$BY$738), ROW($BX$3:$BX$738)-MIN(ROW($BX$3:$BX$738))+1), $CB28), 0),"")</f>
        <v/>
      </c>
      <c r="CF28" s="77" t="str">
        <f t="array" aca="1" ref="CF28" ca="1">IFERROR(INDEX($BX$3:$BX$738, SMALL(IF(COUNTIF(CF$3, $BY$3:$BY$738), ROW($BX$3:$BX$738)-MIN(ROW($BX$3:$BX$738))+1), $CB28), 0),"")</f>
        <v/>
      </c>
      <c r="CG28" s="77" t="str">
        <f t="array" aca="1" ref="CG28" ca="1">IFERROR(INDEX($BX$3:$BX$738, SMALL(IF(COUNTIF(CG$3, $BY$3:$BY$738), ROW($BX$3:$BX$738)-MIN(ROW($BX$3:$BX$738))+1), $CB28), 0),"")</f>
        <v/>
      </c>
      <c r="CH28" s="77" t="str">
        <f t="array" aca="1" ref="CH28" ca="1">IFERROR(INDEX($BX$3:$BX$738, SMALL(IF(COUNTIF(CH$3, $BY$3:$BY$738), ROW($BX$3:$BX$738)-MIN(ROW($BX$3:$BX$738))+1), $CB28), 0),"")</f>
        <v/>
      </c>
      <c r="CI28" s="77" t="str">
        <f t="array" aca="1" ref="CI28" ca="1">IFERROR(INDEX($BX$3:$BX$738, SMALL(IF(COUNTIF(CI$3, $BY$3:$BY$738), ROW($BX$3:$BX$738)-MIN(ROW($BX$3:$BX$738))+1), $CB28), 0),"")</f>
        <v/>
      </c>
      <c r="CJ28" s="77" t="str">
        <f t="array" aca="1" ref="CJ28" ca="1">IFERROR(INDEX($BX$3:$BX$738, SMALL(IF(COUNTIF(CJ$3, $BY$3:$BY$738), ROW($BX$3:$BX$738)-MIN(ROW($BX$3:$BX$738))+1), $CB28), 0),"")</f>
        <v/>
      </c>
      <c r="CK28" s="77" t="str">
        <f t="array" aca="1" ref="CK28" ca="1">IFERROR(INDEX($BX$3:$BX$738, SMALL(IF(COUNTIF(CK$3, $BY$3:$BY$738), ROW($BX$3:$BX$738)-MIN(ROW($BX$3:$BX$738))+1), $CB28), 0),"")</f>
        <v/>
      </c>
      <c r="CL28" s="77" t="str">
        <f t="array" aca="1" ref="CL28" ca="1">IFERROR(INDEX($BX$3:$BX$738, SMALL(IF(COUNTIF(CL$3, $BY$3:$BY$738), ROW($BX$3:$BX$738)-MIN(ROW($BX$3:$BX$738))+1), $CB28), 0),"")</f>
        <v/>
      </c>
      <c r="CM28" s="77" t="str">
        <f t="array" aca="1" ref="CM28" ca="1">IFERROR(INDEX($BX$3:$BX$738, SMALL(IF(COUNTIF(CM$3, $BY$3:$BY$738), ROW($BX$3:$BX$738)-MIN(ROW($BX$3:$BX$738))+1), $CB28), 0),"")</f>
        <v/>
      </c>
      <c r="CN28" s="77" t="str">
        <f t="array" aca="1" ref="CN28" ca="1">IFERROR(INDEX($BX$3:$BX$738, SMALL(IF(COUNTIF(CN$3, $BY$3:$BY$738), ROW($BX$3:$BX$738)-MIN(ROW($BX$3:$BX$738))+1), $CB28), 0),"")</f>
        <v/>
      </c>
      <c r="CO28" s="77" t="str">
        <f t="array" aca="1" ref="CO28" ca="1">IFERROR(INDEX($BX$3:$BX$738, SMALL(IF(COUNTIF(CO$3, $BY$3:$BY$738), ROW($BX$3:$BX$738)-MIN(ROW($BX$3:$BX$738))+1), $CB28), 0),"")</f>
        <v/>
      </c>
      <c r="CP28" s="77" t="str">
        <f t="array" aca="1" ref="CP28" ca="1">IFERROR(INDEX($BX$3:$BX$738, SMALL(IF(COUNTIF(CP$3, $BY$3:$BY$738), ROW($BX$3:$BX$738)-MIN(ROW($BX$3:$BX$738))+1), $CB28), 0),"")</f>
        <v/>
      </c>
      <c r="CQ28" s="77" t="str">
        <f t="array" aca="1" ref="CQ28" ca="1">IFERROR(INDEX($BX$3:$BX$738, SMALL(IF(COUNTIF(CQ$3, $BY$3:$BY$738), ROW($BX$3:$BX$738)-MIN(ROW($BX$3:$BX$738))+1), $CB28), 0),"")</f>
        <v/>
      </c>
      <c r="CS28" s="77">
        <v>25</v>
      </c>
      <c r="CT28" s="77">
        <v>1</v>
      </c>
      <c r="CV28" s="77" t="str">
        <f t="shared" ca="1" si="10"/>
        <v/>
      </c>
      <c r="CW28" s="77">
        <f t="shared" ca="1" si="13"/>
        <v>0</v>
      </c>
      <c r="CZ28" s="77">
        <v>25</v>
      </c>
      <c r="DA28" s="77" t="str">
        <f t="shared" ca="1" si="14"/>
        <v/>
      </c>
      <c r="DB28" s="77" t="str">
        <f t="shared" ca="1" si="15"/>
        <v/>
      </c>
      <c r="DC28" s="77" t="str">
        <f t="shared" ca="1" si="19"/>
        <v/>
      </c>
      <c r="DD28" s="77" t="str">
        <f t="shared" ca="1" si="17"/>
        <v/>
      </c>
    </row>
    <row r="29" spans="1:111">
      <c r="A29" s="77">
        <f t="shared" si="22"/>
        <v>4</v>
      </c>
      <c r="B29" s="77" t="str">
        <f t="shared" si="23"/>
        <v>I. Perišić (og)</v>
      </c>
      <c r="C29" s="77" t="str">
        <f t="shared" si="24"/>
        <v>D. Luiz (og)</v>
      </c>
      <c r="D29" s="77" t="str">
        <f t="shared" si="25"/>
        <v>D. Luiz (og)</v>
      </c>
      <c r="E29" s="77" t="str">
        <f t="shared" si="26"/>
        <v>D. Luiz (og)</v>
      </c>
      <c r="F29" s="77" t="str">
        <f t="shared" si="27"/>
        <v>B. Martins Indi (og)</v>
      </c>
      <c r="G29" s="77" t="str">
        <f t="shared" si="28"/>
        <v>J. Martínez (og)</v>
      </c>
      <c r="H29" s="77" t="str">
        <f t="shared" si="29"/>
        <v>J. Martínez (og)</v>
      </c>
      <c r="I29" s="77" t="str">
        <f t="shared" si="30"/>
        <v>J. Martínez (og)</v>
      </c>
      <c r="J29" s="77" t="str">
        <f t="shared" si="31"/>
        <v>K. Manolas (og)</v>
      </c>
      <c r="K29" s="77" t="str">
        <f t="shared" si="32"/>
        <v>S. Arias (og)</v>
      </c>
      <c r="L29" s="77" t="str">
        <f t="shared" si="33"/>
        <v>S. Arias (og)</v>
      </c>
      <c r="M29" s="77" t="str">
        <f t="shared" si="34"/>
        <v>S. Arias (og)</v>
      </c>
      <c r="N29" s="77" t="str">
        <f t="shared" si="35"/>
        <v>M. Umaña (og)</v>
      </c>
      <c r="O29" s="77" t="str">
        <f t="shared" si="36"/>
        <v>S. Coates (og)</v>
      </c>
      <c r="P29" s="77" t="str">
        <f t="shared" si="37"/>
        <v>S. Coates (og)</v>
      </c>
      <c r="Q29" s="77" t="str">
        <f t="shared" si="38"/>
        <v>S. Coates (og)</v>
      </c>
      <c r="R29" s="77" t="str">
        <f t="shared" si="39"/>
        <v>J. Carlos Paredes (og)</v>
      </c>
      <c r="S29" s="77" t="str">
        <f t="shared" si="40"/>
        <v>P. Senderos (og)</v>
      </c>
      <c r="T29" s="77" t="str">
        <f t="shared" si="41"/>
        <v>P. Senderos (og)</v>
      </c>
      <c r="U29" s="77" t="str">
        <f t="shared" si="42"/>
        <v>P. Senderos (og)</v>
      </c>
      <c r="V29" s="77" t="str">
        <f t="shared" si="43"/>
        <v>E. Spahić  (og)</v>
      </c>
      <c r="W29" s="77" t="str">
        <f t="shared" si="44"/>
        <v>P. Zabaleta (og)</v>
      </c>
      <c r="X29" s="77" t="str">
        <f t="shared" si="45"/>
        <v>P. Zabaleta (og)</v>
      </c>
      <c r="Y29" s="77" t="str">
        <f t="shared" si="46"/>
        <v>P. Zabaleta (og)</v>
      </c>
      <c r="Z29" s="77" t="str">
        <f t="shared" si="47"/>
        <v>M. Veloso (og)</v>
      </c>
      <c r="AA29" s="77" t="str">
        <f t="shared" si="48"/>
        <v>B. Höwedes (og)</v>
      </c>
      <c r="AB29" s="77" t="str">
        <f t="shared" si="49"/>
        <v>B. Höwedes (og)</v>
      </c>
      <c r="AC29" s="77" t="str">
        <f t="shared" si="50"/>
        <v>B. Höwedes (og)</v>
      </c>
      <c r="AD29" s="77" t="str">
        <f t="shared" si="51"/>
        <v>E. Belkalem (og)</v>
      </c>
      <c r="AE29" s="77" t="str">
        <f t="shared" si="52"/>
        <v>V. Kompany  (og)</v>
      </c>
      <c r="AF29" s="77" t="str">
        <f t="shared" si="53"/>
        <v>V. Kompany  (og)</v>
      </c>
      <c r="AG29" s="77" t="str">
        <f t="shared" si="54"/>
        <v>V. Kompany  (og)</v>
      </c>
      <c r="AI29" s="77" t="str">
        <f t="shared" ca="1" si="55"/>
        <v xml:space="preserve"> (og)</v>
      </c>
      <c r="AJ29" s="77" t="str">
        <f t="shared" ca="1" si="56"/>
        <v xml:space="preserve"> (og)</v>
      </c>
      <c r="AK29" s="77" t="str">
        <f t="shared" ca="1" si="55"/>
        <v xml:space="preserve"> (og)</v>
      </c>
      <c r="AL29" s="77" t="str">
        <f t="shared" ca="1" si="56"/>
        <v xml:space="preserve"> (og)</v>
      </c>
      <c r="AM29" s="77" t="str">
        <f t="shared" ref="AM29" ca="1" si="105">AN6&amp;" (og)"</f>
        <v xml:space="preserve"> (og)</v>
      </c>
      <c r="AN29" s="77" t="str">
        <f t="shared" ref="AN29" ca="1" si="106">AM6&amp;" (og)"</f>
        <v xml:space="preserve"> (og)</v>
      </c>
      <c r="AO29" s="77" t="str">
        <f t="shared" ref="AO29" ca="1" si="107">AP6&amp;" (og)"</f>
        <v xml:space="preserve"> (og)</v>
      </c>
      <c r="AP29" s="77" t="str">
        <f t="shared" ref="AP29" ca="1" si="108">AO6&amp;" (og)"</f>
        <v xml:space="preserve"> (og)</v>
      </c>
      <c r="AQ29" s="77" t="str">
        <f t="shared" ref="AQ29" ca="1" si="109">AR6&amp;" (og)"</f>
        <v xml:space="preserve"> (og)</v>
      </c>
      <c r="AR29" s="77" t="str">
        <f t="shared" ref="AR29" ca="1" si="110">AQ6&amp;" (og)"</f>
        <v xml:space="preserve"> (og)</v>
      </c>
      <c r="AS29" s="77" t="str">
        <f t="shared" ref="AS29" ca="1" si="111">AT6&amp;" (og)"</f>
        <v xml:space="preserve"> (og)</v>
      </c>
      <c r="AT29" s="77" t="str">
        <f t="shared" ref="AT29" ca="1" si="112">AS6&amp;" (og)"</f>
        <v xml:space="preserve"> (og)</v>
      </c>
      <c r="AU29" s="77" t="str">
        <f t="shared" ref="AU29" ca="1" si="113">AV6&amp;" (og)"</f>
        <v xml:space="preserve"> (og)</v>
      </c>
      <c r="AV29" s="77" t="str">
        <f t="shared" ref="AV29" ca="1" si="114">AU6&amp;" (og)"</f>
        <v xml:space="preserve"> (og)</v>
      </c>
      <c r="AW29" s="77" t="str">
        <f t="shared" ref="AW29" ca="1" si="115">AX6&amp;" (og)"</f>
        <v xml:space="preserve"> (og)</v>
      </c>
      <c r="AX29" s="77" t="str">
        <f t="shared" ref="AX29" ca="1" si="116">AW6&amp;" (og)"</f>
        <v xml:space="preserve"> (og)</v>
      </c>
      <c r="AZ29" s="77" t="str">
        <f t="shared" ref="AZ29" si="117">BA6&amp;" (og)"</f>
        <v xml:space="preserve"> (og)</v>
      </c>
      <c r="BA29" s="77" t="str">
        <f t="shared" ref="BA29" si="118">AZ6&amp;" (og)"</f>
        <v xml:space="preserve"> (og)</v>
      </c>
      <c r="BB29" s="77" t="str">
        <f t="shared" ref="BB29" si="119">BC6&amp;" (og)"</f>
        <v xml:space="preserve"> (og)</v>
      </c>
      <c r="BC29" s="77" t="str">
        <f t="shared" ref="BC29" si="120">BB6&amp;" (og)"</f>
        <v xml:space="preserve"> (og)</v>
      </c>
      <c r="BD29" s="77" t="str">
        <f t="shared" si="73"/>
        <v xml:space="preserve"> (og)</v>
      </c>
      <c r="BE29" s="77" t="str">
        <f t="shared" si="74"/>
        <v xml:space="preserve"> (og)</v>
      </c>
      <c r="BF29" s="77" t="str">
        <f t="shared" si="75"/>
        <v xml:space="preserve"> (og)</v>
      </c>
      <c r="BG29" s="77" t="str">
        <f t="shared" si="76"/>
        <v xml:space="preserve"> (og)</v>
      </c>
      <c r="BI29" s="77" t="str">
        <f t="shared" si="77"/>
        <v xml:space="preserve"> (og)</v>
      </c>
      <c r="BJ29" s="77" t="str">
        <f t="shared" si="78"/>
        <v xml:space="preserve"> (og)</v>
      </c>
      <c r="BK29" s="77" t="str">
        <f t="shared" si="79"/>
        <v xml:space="preserve"> (og)</v>
      </c>
      <c r="BL29" s="77" t="str">
        <f t="shared" si="80"/>
        <v xml:space="preserve"> (og)</v>
      </c>
      <c r="BN29" s="77" t="str">
        <f t="shared" si="81"/>
        <v xml:space="preserve"> (og)</v>
      </c>
      <c r="BO29" s="77" t="str">
        <f t="shared" si="82"/>
        <v xml:space="preserve"> (og)</v>
      </c>
      <c r="BQ29" s="77" t="str">
        <f t="shared" si="83"/>
        <v xml:space="preserve"> (og)</v>
      </c>
      <c r="BR29" s="77" t="str">
        <f t="shared" si="84"/>
        <v xml:space="preserve"> (og)</v>
      </c>
      <c r="BT29" s="77" t="str">
        <f t="shared" ca="1" si="85"/>
        <v>Croatia</v>
      </c>
      <c r="BU29" s="77">
        <f t="shared" si="12"/>
        <v>27</v>
      </c>
      <c r="BV29" s="77" t="s">
        <v>3886</v>
      </c>
      <c r="BW29" s="77">
        <f t="shared" si="86"/>
        <v>2</v>
      </c>
      <c r="BX29" s="77" t="str">
        <f t="shared" ca="1" si="87"/>
        <v>I. Perišić</v>
      </c>
      <c r="BY29" s="77">
        <f ca="1">COUNTIF('Group Stages'!$L$14:$S$110,BX29)+COUNTIF('Knock Out Stages'!$N$41:$U$84,BX29)</f>
        <v>0</v>
      </c>
      <c r="BZ29" s="79" t="s">
        <v>3936</v>
      </c>
      <c r="CA29" s="77" t="str">
        <f t="shared" ca="1" si="88"/>
        <v>Ivan Perišić</v>
      </c>
      <c r="CB29" s="77">
        <v>26</v>
      </c>
      <c r="CC29" s="77" t="str">
        <f t="array" aca="1" ref="CC29" ca="1">IFERROR(INDEX($BX$3:$BX$738, SMALL(IF(COUNTIF(CC$3, $BY$3:$BY$738), ROW($BX$3:$BX$738)-MIN(ROW($BX$3:$BX$738))+1), $CB29), 0),"")</f>
        <v/>
      </c>
      <c r="CD29" s="77" t="str">
        <f t="array" aca="1" ref="CD29" ca="1">IFERROR(INDEX($BX$3:$BX$738, SMALL(IF(COUNTIF(CD$3, $BY$3:$BY$738), ROW($BX$3:$BX$738)-MIN(ROW($BX$3:$BX$738))+1), $CB29), 0),"")</f>
        <v/>
      </c>
      <c r="CE29" s="77" t="str">
        <f t="array" aca="1" ref="CE29" ca="1">IFERROR(INDEX($BX$3:$BX$738, SMALL(IF(COUNTIF(CE$3, $BY$3:$BY$738), ROW($BX$3:$BX$738)-MIN(ROW($BX$3:$BX$738))+1), $CB29), 0),"")</f>
        <v/>
      </c>
      <c r="CF29" s="77" t="str">
        <f t="array" aca="1" ref="CF29" ca="1">IFERROR(INDEX($BX$3:$BX$738, SMALL(IF(COUNTIF(CF$3, $BY$3:$BY$738), ROW($BX$3:$BX$738)-MIN(ROW($BX$3:$BX$738))+1), $CB29), 0),"")</f>
        <v/>
      </c>
      <c r="CG29" s="77" t="str">
        <f t="array" aca="1" ref="CG29" ca="1">IFERROR(INDEX($BX$3:$BX$738, SMALL(IF(COUNTIF(CG$3, $BY$3:$BY$738), ROW($BX$3:$BX$738)-MIN(ROW($BX$3:$BX$738))+1), $CB29), 0),"")</f>
        <v/>
      </c>
      <c r="CH29" s="77" t="str">
        <f t="array" aca="1" ref="CH29" ca="1">IFERROR(INDEX($BX$3:$BX$738, SMALL(IF(COUNTIF(CH$3, $BY$3:$BY$738), ROW($BX$3:$BX$738)-MIN(ROW($BX$3:$BX$738))+1), $CB29), 0),"")</f>
        <v/>
      </c>
      <c r="CI29" s="77" t="str">
        <f t="array" aca="1" ref="CI29" ca="1">IFERROR(INDEX($BX$3:$BX$738, SMALL(IF(COUNTIF(CI$3, $BY$3:$BY$738), ROW($BX$3:$BX$738)-MIN(ROW($BX$3:$BX$738))+1), $CB29), 0),"")</f>
        <v/>
      </c>
      <c r="CJ29" s="77" t="str">
        <f t="array" aca="1" ref="CJ29" ca="1">IFERROR(INDEX($BX$3:$BX$738, SMALL(IF(COUNTIF(CJ$3, $BY$3:$BY$738), ROW($BX$3:$BX$738)-MIN(ROW($BX$3:$BX$738))+1), $CB29), 0),"")</f>
        <v/>
      </c>
      <c r="CK29" s="77" t="str">
        <f t="array" aca="1" ref="CK29" ca="1">IFERROR(INDEX($BX$3:$BX$738, SMALL(IF(COUNTIF(CK$3, $BY$3:$BY$738), ROW($BX$3:$BX$738)-MIN(ROW($BX$3:$BX$738))+1), $CB29), 0),"")</f>
        <v/>
      </c>
      <c r="CL29" s="77" t="str">
        <f t="array" aca="1" ref="CL29" ca="1">IFERROR(INDEX($BX$3:$BX$738, SMALL(IF(COUNTIF(CL$3, $BY$3:$BY$738), ROW($BX$3:$BX$738)-MIN(ROW($BX$3:$BX$738))+1), $CB29), 0),"")</f>
        <v/>
      </c>
      <c r="CM29" s="77" t="str">
        <f t="array" aca="1" ref="CM29" ca="1">IFERROR(INDEX($BX$3:$BX$738, SMALL(IF(COUNTIF(CM$3, $BY$3:$BY$738), ROW($BX$3:$BX$738)-MIN(ROW($BX$3:$BX$738))+1), $CB29), 0),"")</f>
        <v/>
      </c>
      <c r="CN29" s="77" t="str">
        <f t="array" aca="1" ref="CN29" ca="1">IFERROR(INDEX($BX$3:$BX$738, SMALL(IF(COUNTIF(CN$3, $BY$3:$BY$738), ROW($BX$3:$BX$738)-MIN(ROW($BX$3:$BX$738))+1), $CB29), 0),"")</f>
        <v/>
      </c>
      <c r="CO29" s="77" t="str">
        <f t="array" aca="1" ref="CO29" ca="1">IFERROR(INDEX($BX$3:$BX$738, SMALL(IF(COUNTIF(CO$3, $BY$3:$BY$738), ROW($BX$3:$BX$738)-MIN(ROW($BX$3:$BX$738))+1), $CB29), 0),"")</f>
        <v/>
      </c>
      <c r="CP29" s="77" t="str">
        <f t="array" aca="1" ref="CP29" ca="1">IFERROR(INDEX($BX$3:$BX$738, SMALL(IF(COUNTIF(CP$3, $BY$3:$BY$738), ROW($BX$3:$BX$738)-MIN(ROW($BX$3:$BX$738))+1), $CB29), 0),"")</f>
        <v/>
      </c>
      <c r="CQ29" s="77" t="str">
        <f t="array" aca="1" ref="CQ29" ca="1">IFERROR(INDEX($BX$3:$BX$738, SMALL(IF(COUNTIF(CQ$3, $BY$3:$BY$738), ROW($BX$3:$BX$738)-MIN(ROW($BX$3:$BX$738))+1), $CB29), 0),"")</f>
        <v/>
      </c>
      <c r="CS29" s="77">
        <v>26</v>
      </c>
      <c r="CT29" s="77">
        <v>1</v>
      </c>
      <c r="CV29" s="77" t="str">
        <f t="shared" ca="1" si="10"/>
        <v/>
      </c>
      <c r="CW29" s="77">
        <f t="shared" ca="1" si="13"/>
        <v>0</v>
      </c>
      <c r="CZ29" s="77">
        <v>26</v>
      </c>
      <c r="DA29" s="77" t="str">
        <f t="shared" ca="1" si="14"/>
        <v/>
      </c>
      <c r="DB29" s="77" t="str">
        <f t="shared" ca="1" si="15"/>
        <v/>
      </c>
      <c r="DC29" s="77" t="str">
        <f t="shared" ca="1" si="19"/>
        <v/>
      </c>
      <c r="DD29" s="77" t="str">
        <f t="shared" ca="1" si="17"/>
        <v/>
      </c>
    </row>
    <row r="30" spans="1:111">
      <c r="A30" s="77">
        <f t="shared" si="22"/>
        <v>5</v>
      </c>
      <c r="B30" s="77" t="str">
        <f t="shared" si="23"/>
        <v>V. Ćorluka (og)</v>
      </c>
      <c r="C30" s="77" t="str">
        <f t="shared" si="24"/>
        <v>Fernandinho (og)</v>
      </c>
      <c r="D30" s="77" t="str">
        <f t="shared" si="25"/>
        <v>Fernandinho (og)</v>
      </c>
      <c r="E30" s="77" t="str">
        <f t="shared" si="26"/>
        <v>Fernandinho (og)</v>
      </c>
      <c r="F30" s="77" t="str">
        <f t="shared" si="27"/>
        <v>D. Blind (og)</v>
      </c>
      <c r="G30" s="77" t="str">
        <f t="shared" si="28"/>
        <v>Juanfran (og)</v>
      </c>
      <c r="H30" s="77" t="str">
        <f t="shared" si="29"/>
        <v>Juanfran (og)</v>
      </c>
      <c r="I30" s="77" t="str">
        <f t="shared" si="30"/>
        <v>Juanfran (og)</v>
      </c>
      <c r="J30" s="77" t="str">
        <f t="shared" si="31"/>
        <v>V. Moras (og)</v>
      </c>
      <c r="K30" s="77" t="str">
        <f t="shared" si="32"/>
        <v>C. Carbonero (og)</v>
      </c>
      <c r="L30" s="77" t="str">
        <f t="shared" si="33"/>
        <v>C. Carbonero (og)</v>
      </c>
      <c r="M30" s="77" t="str">
        <f t="shared" si="34"/>
        <v>C. Carbonero (og)</v>
      </c>
      <c r="N30" s="77" t="str">
        <f t="shared" si="35"/>
        <v>C. Borges (og)</v>
      </c>
      <c r="O30" s="77" t="str">
        <f t="shared" si="36"/>
        <v>W. Gargano (og)</v>
      </c>
      <c r="P30" s="77" t="str">
        <f t="shared" si="37"/>
        <v>W. Gargano (og)</v>
      </c>
      <c r="Q30" s="77" t="str">
        <f t="shared" si="38"/>
        <v>W. Gargano (og)</v>
      </c>
      <c r="R30" s="77" t="str">
        <f t="shared" si="39"/>
        <v>R. Ibarra (og)</v>
      </c>
      <c r="S30" s="77" t="str">
        <f t="shared" si="40"/>
        <v>S. von Bergen (og)</v>
      </c>
      <c r="T30" s="77" t="str">
        <f t="shared" si="41"/>
        <v>S. von Bergen (og)</v>
      </c>
      <c r="U30" s="77" t="str">
        <f t="shared" si="42"/>
        <v>S. von Bergen (og)</v>
      </c>
      <c r="V30" s="77" t="str">
        <f t="shared" si="43"/>
        <v>S. Kolašinac (og)</v>
      </c>
      <c r="W30" s="77" t="str">
        <f t="shared" si="44"/>
        <v>F. Gago (og)</v>
      </c>
      <c r="X30" s="77" t="str">
        <f t="shared" si="45"/>
        <v>F. Gago (og)</v>
      </c>
      <c r="Y30" s="77" t="str">
        <f t="shared" si="46"/>
        <v>F. Gago (og)</v>
      </c>
      <c r="Z30" s="77" t="str">
        <f t="shared" si="47"/>
        <v>F. Coentrão (og)</v>
      </c>
      <c r="AA30" s="77" t="str">
        <f t="shared" si="48"/>
        <v>M. Hummels (og)</v>
      </c>
      <c r="AB30" s="77" t="str">
        <f t="shared" si="49"/>
        <v>M. Hummels (og)</v>
      </c>
      <c r="AC30" s="77" t="str">
        <f t="shared" si="50"/>
        <v>M. Hummels (og)</v>
      </c>
      <c r="AD30" s="77" t="str">
        <f t="shared" si="51"/>
        <v>R. Halliche (og)</v>
      </c>
      <c r="AE30" s="77" t="str">
        <f t="shared" si="52"/>
        <v>J. Vertonghen (og)</v>
      </c>
      <c r="AF30" s="77" t="str">
        <f t="shared" si="53"/>
        <v>J. Vertonghen (og)</v>
      </c>
      <c r="AG30" s="77" t="str">
        <f t="shared" si="54"/>
        <v>J. Vertonghen (og)</v>
      </c>
      <c r="AI30" s="77" t="str">
        <f t="shared" ca="1" si="55"/>
        <v xml:space="preserve"> (og)</v>
      </c>
      <c r="AJ30" s="77" t="str">
        <f t="shared" ca="1" si="56"/>
        <v xml:space="preserve"> (og)</v>
      </c>
      <c r="AK30" s="77" t="str">
        <f t="shared" ca="1" si="55"/>
        <v xml:space="preserve"> (og)</v>
      </c>
      <c r="AL30" s="77" t="str">
        <f t="shared" ca="1" si="56"/>
        <v xml:space="preserve"> (og)</v>
      </c>
      <c r="AM30" s="77" t="str">
        <f t="shared" ref="AM30" ca="1" si="121">AN7&amp;" (og)"</f>
        <v xml:space="preserve"> (og)</v>
      </c>
      <c r="AN30" s="77" t="str">
        <f t="shared" ref="AN30" ca="1" si="122">AM7&amp;" (og)"</f>
        <v xml:space="preserve"> (og)</v>
      </c>
      <c r="AO30" s="77" t="str">
        <f t="shared" ref="AO30" ca="1" si="123">AP7&amp;" (og)"</f>
        <v xml:space="preserve"> (og)</v>
      </c>
      <c r="AP30" s="77" t="str">
        <f t="shared" ref="AP30" ca="1" si="124">AO7&amp;" (og)"</f>
        <v xml:space="preserve"> (og)</v>
      </c>
      <c r="AQ30" s="77" t="str">
        <f t="shared" ref="AQ30" ca="1" si="125">AR7&amp;" (og)"</f>
        <v xml:space="preserve"> (og)</v>
      </c>
      <c r="AR30" s="77" t="str">
        <f t="shared" ref="AR30" ca="1" si="126">AQ7&amp;" (og)"</f>
        <v xml:space="preserve"> (og)</v>
      </c>
      <c r="AS30" s="77" t="str">
        <f t="shared" ref="AS30" ca="1" si="127">AT7&amp;" (og)"</f>
        <v xml:space="preserve"> (og)</v>
      </c>
      <c r="AT30" s="77" t="str">
        <f t="shared" ref="AT30" ca="1" si="128">AS7&amp;" (og)"</f>
        <v xml:space="preserve"> (og)</v>
      </c>
      <c r="AU30" s="77" t="str">
        <f t="shared" ref="AU30" ca="1" si="129">AV7&amp;" (og)"</f>
        <v xml:space="preserve"> (og)</v>
      </c>
      <c r="AV30" s="77" t="str">
        <f t="shared" ref="AV30" ca="1" si="130">AU7&amp;" (og)"</f>
        <v xml:space="preserve"> (og)</v>
      </c>
      <c r="AW30" s="77" t="str">
        <f t="shared" ref="AW30" ca="1" si="131">AX7&amp;" (og)"</f>
        <v xml:space="preserve"> (og)</v>
      </c>
      <c r="AX30" s="77" t="str">
        <f t="shared" ref="AX30" ca="1" si="132">AW7&amp;" (og)"</f>
        <v xml:space="preserve"> (og)</v>
      </c>
      <c r="AZ30" s="77" t="str">
        <f t="shared" ref="AZ30" si="133">BA7&amp;" (og)"</f>
        <v xml:space="preserve"> (og)</v>
      </c>
      <c r="BA30" s="77" t="str">
        <f t="shared" ref="BA30" si="134">AZ7&amp;" (og)"</f>
        <v xml:space="preserve"> (og)</v>
      </c>
      <c r="BB30" s="77" t="str">
        <f t="shared" ref="BB30" si="135">BC7&amp;" (og)"</f>
        <v xml:space="preserve"> (og)</v>
      </c>
      <c r="BC30" s="77" t="str">
        <f t="shared" ref="BC30" si="136">BB7&amp;" (og)"</f>
        <v xml:space="preserve"> (og)</v>
      </c>
      <c r="BD30" s="77" t="str">
        <f t="shared" si="73"/>
        <v xml:space="preserve"> (og)</v>
      </c>
      <c r="BE30" s="77" t="str">
        <f t="shared" si="74"/>
        <v xml:space="preserve"> (og)</v>
      </c>
      <c r="BF30" s="77" t="str">
        <f t="shared" si="75"/>
        <v xml:space="preserve"> (og)</v>
      </c>
      <c r="BG30" s="77" t="str">
        <f t="shared" si="76"/>
        <v xml:space="preserve"> (og)</v>
      </c>
      <c r="BI30" s="77" t="str">
        <f t="shared" si="77"/>
        <v xml:space="preserve"> (og)</v>
      </c>
      <c r="BJ30" s="77" t="str">
        <f t="shared" si="78"/>
        <v xml:space="preserve"> (og)</v>
      </c>
      <c r="BK30" s="77" t="str">
        <f t="shared" si="79"/>
        <v xml:space="preserve"> (og)</v>
      </c>
      <c r="BL30" s="77" t="str">
        <f t="shared" si="80"/>
        <v xml:space="preserve"> (og)</v>
      </c>
      <c r="BN30" s="77" t="str">
        <f t="shared" si="81"/>
        <v xml:space="preserve"> (og)</v>
      </c>
      <c r="BO30" s="77" t="str">
        <f t="shared" si="82"/>
        <v xml:space="preserve"> (og)</v>
      </c>
      <c r="BQ30" s="77" t="str">
        <f t="shared" si="83"/>
        <v xml:space="preserve"> (og)</v>
      </c>
      <c r="BR30" s="77" t="str">
        <f t="shared" si="84"/>
        <v xml:space="preserve"> (og)</v>
      </c>
      <c r="BT30" s="77" t="str">
        <f t="shared" ca="1" si="85"/>
        <v>Croatia</v>
      </c>
      <c r="BU30" s="77">
        <f t="shared" si="12"/>
        <v>28</v>
      </c>
      <c r="BV30" s="77" t="s">
        <v>3887</v>
      </c>
      <c r="BW30" s="77">
        <f t="shared" si="86"/>
        <v>2</v>
      </c>
      <c r="BX30" s="77" t="str">
        <f t="shared" ca="1" si="87"/>
        <v>V. Ćorluka</v>
      </c>
      <c r="BY30" s="77">
        <f ca="1">COUNTIF('Group Stages'!$L$14:$S$110,BX30)+COUNTIF('Knock Out Stages'!$N$41:$U$84,BX30)</f>
        <v>0</v>
      </c>
      <c r="BZ30" s="79" t="s">
        <v>3937</v>
      </c>
      <c r="CA30" s="77" t="str">
        <f t="shared" ca="1" si="88"/>
        <v>Vedran Ćorluka</v>
      </c>
      <c r="CB30" s="77">
        <v>27</v>
      </c>
      <c r="CC30" s="77" t="str">
        <f t="array" aca="1" ref="CC30" ca="1">IFERROR(INDEX($BX$3:$BX$738, SMALL(IF(COUNTIF(CC$3, $BY$3:$BY$738), ROW($BX$3:$BX$738)-MIN(ROW($BX$3:$BX$738))+1), $CB30), 0),"")</f>
        <v/>
      </c>
      <c r="CD30" s="77" t="str">
        <f t="array" aca="1" ref="CD30" ca="1">IFERROR(INDEX($BX$3:$BX$738, SMALL(IF(COUNTIF(CD$3, $BY$3:$BY$738), ROW($BX$3:$BX$738)-MIN(ROW($BX$3:$BX$738))+1), $CB30), 0),"")</f>
        <v/>
      </c>
      <c r="CE30" s="77" t="str">
        <f t="array" aca="1" ref="CE30" ca="1">IFERROR(INDEX($BX$3:$BX$738, SMALL(IF(COUNTIF(CE$3, $BY$3:$BY$738), ROW($BX$3:$BX$738)-MIN(ROW($BX$3:$BX$738))+1), $CB30), 0),"")</f>
        <v/>
      </c>
      <c r="CF30" s="77" t="str">
        <f t="array" aca="1" ref="CF30" ca="1">IFERROR(INDEX($BX$3:$BX$738, SMALL(IF(COUNTIF(CF$3, $BY$3:$BY$738), ROW($BX$3:$BX$738)-MIN(ROW($BX$3:$BX$738))+1), $CB30), 0),"")</f>
        <v/>
      </c>
      <c r="CG30" s="77" t="str">
        <f t="array" aca="1" ref="CG30" ca="1">IFERROR(INDEX($BX$3:$BX$738, SMALL(IF(COUNTIF(CG$3, $BY$3:$BY$738), ROW($BX$3:$BX$738)-MIN(ROW($BX$3:$BX$738))+1), $CB30), 0),"")</f>
        <v/>
      </c>
      <c r="CH30" s="77" t="str">
        <f t="array" aca="1" ref="CH30" ca="1">IFERROR(INDEX($BX$3:$BX$738, SMALL(IF(COUNTIF(CH$3, $BY$3:$BY$738), ROW($BX$3:$BX$738)-MIN(ROW($BX$3:$BX$738))+1), $CB30), 0),"")</f>
        <v/>
      </c>
      <c r="CI30" s="77" t="str">
        <f t="array" aca="1" ref="CI30" ca="1">IFERROR(INDEX($BX$3:$BX$738, SMALL(IF(COUNTIF(CI$3, $BY$3:$BY$738), ROW($BX$3:$BX$738)-MIN(ROW($BX$3:$BX$738))+1), $CB30), 0),"")</f>
        <v/>
      </c>
      <c r="CJ30" s="77" t="str">
        <f t="array" aca="1" ref="CJ30" ca="1">IFERROR(INDEX($BX$3:$BX$738, SMALL(IF(COUNTIF(CJ$3, $BY$3:$BY$738), ROW($BX$3:$BX$738)-MIN(ROW($BX$3:$BX$738))+1), $CB30), 0),"")</f>
        <v/>
      </c>
      <c r="CK30" s="77" t="str">
        <f t="array" aca="1" ref="CK30" ca="1">IFERROR(INDEX($BX$3:$BX$738, SMALL(IF(COUNTIF(CK$3, $BY$3:$BY$738), ROW($BX$3:$BX$738)-MIN(ROW($BX$3:$BX$738))+1), $CB30), 0),"")</f>
        <v/>
      </c>
      <c r="CL30" s="77" t="str">
        <f t="array" aca="1" ref="CL30" ca="1">IFERROR(INDEX($BX$3:$BX$738, SMALL(IF(COUNTIF(CL$3, $BY$3:$BY$738), ROW($BX$3:$BX$738)-MIN(ROW($BX$3:$BX$738))+1), $CB30), 0),"")</f>
        <v/>
      </c>
      <c r="CM30" s="77" t="str">
        <f t="array" aca="1" ref="CM30" ca="1">IFERROR(INDEX($BX$3:$BX$738, SMALL(IF(COUNTIF(CM$3, $BY$3:$BY$738), ROW($BX$3:$BX$738)-MIN(ROW($BX$3:$BX$738))+1), $CB30), 0),"")</f>
        <v/>
      </c>
      <c r="CN30" s="77" t="str">
        <f t="array" aca="1" ref="CN30" ca="1">IFERROR(INDEX($BX$3:$BX$738, SMALL(IF(COUNTIF(CN$3, $BY$3:$BY$738), ROW($BX$3:$BX$738)-MIN(ROW($BX$3:$BX$738))+1), $CB30), 0),"")</f>
        <v/>
      </c>
      <c r="CO30" s="77" t="str">
        <f t="array" aca="1" ref="CO30" ca="1">IFERROR(INDEX($BX$3:$BX$738, SMALL(IF(COUNTIF(CO$3, $BY$3:$BY$738), ROW($BX$3:$BX$738)-MIN(ROW($BX$3:$BX$738))+1), $CB30), 0),"")</f>
        <v/>
      </c>
      <c r="CP30" s="77" t="str">
        <f t="array" aca="1" ref="CP30" ca="1">IFERROR(INDEX($BX$3:$BX$738, SMALL(IF(COUNTIF(CP$3, $BY$3:$BY$738), ROW($BX$3:$BX$738)-MIN(ROW($BX$3:$BX$738))+1), $CB30), 0),"")</f>
        <v/>
      </c>
      <c r="CQ30" s="77" t="str">
        <f t="array" aca="1" ref="CQ30" ca="1">IFERROR(INDEX($BX$3:$BX$738, SMALL(IF(COUNTIF(CQ$3, $BY$3:$BY$738), ROW($BX$3:$BX$738)-MIN(ROW($BX$3:$BX$738))+1), $CB30), 0),"")</f>
        <v/>
      </c>
      <c r="CS30" s="77">
        <v>27</v>
      </c>
      <c r="CT30" s="77">
        <v>1</v>
      </c>
      <c r="CV30" s="77" t="str">
        <f t="shared" ca="1" si="10"/>
        <v/>
      </c>
      <c r="CW30" s="77">
        <f t="shared" ca="1" si="13"/>
        <v>0</v>
      </c>
      <c r="CZ30" s="77">
        <v>27</v>
      </c>
      <c r="DA30" s="77" t="str">
        <f t="shared" ca="1" si="14"/>
        <v/>
      </c>
      <c r="DB30" s="77" t="str">
        <f t="shared" ca="1" si="15"/>
        <v/>
      </c>
      <c r="DC30" s="77" t="str">
        <f t="shared" ca="1" si="19"/>
        <v/>
      </c>
      <c r="DD30" s="77" t="str">
        <f t="shared" ca="1" si="17"/>
        <v/>
      </c>
    </row>
    <row r="31" spans="1:111">
      <c r="A31" s="77">
        <f t="shared" si="22"/>
        <v>6</v>
      </c>
      <c r="B31" s="77" t="str">
        <f t="shared" si="23"/>
        <v>D. Lovren (og)</v>
      </c>
      <c r="C31" s="77" t="str">
        <f t="shared" si="24"/>
        <v>Marcelo (og)</v>
      </c>
      <c r="D31" s="77" t="str">
        <f t="shared" si="25"/>
        <v>Marcelo (og)</v>
      </c>
      <c r="E31" s="77" t="str">
        <f t="shared" si="26"/>
        <v>Marcelo (og)</v>
      </c>
      <c r="F31" s="77" t="str">
        <f t="shared" si="27"/>
        <v>J. de Guzmán (og)</v>
      </c>
      <c r="G31" s="77" t="str">
        <f t="shared" si="28"/>
        <v>A. Iniesta (og)</v>
      </c>
      <c r="H31" s="77" t="str">
        <f t="shared" si="29"/>
        <v>A. Iniesta (og)</v>
      </c>
      <c r="I31" s="77" t="str">
        <f t="shared" si="30"/>
        <v>A. Iniesta (og)</v>
      </c>
      <c r="J31" s="77" t="str">
        <f t="shared" si="31"/>
        <v>A. Tziolis (og)</v>
      </c>
      <c r="K31" s="77" t="str">
        <f t="shared" si="32"/>
        <v>C. Sánchez (og)</v>
      </c>
      <c r="L31" s="77" t="str">
        <f t="shared" si="33"/>
        <v>C. Sánchez (og)</v>
      </c>
      <c r="M31" s="77" t="str">
        <f t="shared" si="34"/>
        <v>C. Sánchez (og)</v>
      </c>
      <c r="N31" s="77" t="str">
        <f t="shared" si="35"/>
        <v>Ó. Duarte (og)</v>
      </c>
      <c r="O31" s="77" t="str">
        <f t="shared" si="36"/>
        <v>Á. Pereira (og)</v>
      </c>
      <c r="P31" s="77" t="str">
        <f t="shared" si="37"/>
        <v>Á. Pereira (og)</v>
      </c>
      <c r="Q31" s="77" t="str">
        <f t="shared" si="38"/>
        <v>Á. Pereira (og)</v>
      </c>
      <c r="R31" s="77" t="str">
        <f t="shared" si="39"/>
        <v>C. Noboa (og)</v>
      </c>
      <c r="S31" s="77" t="str">
        <f t="shared" si="40"/>
        <v>M. Lang (og)</v>
      </c>
      <c r="T31" s="77" t="str">
        <f t="shared" si="41"/>
        <v>M. Lang (og)</v>
      </c>
      <c r="U31" s="77" t="str">
        <f t="shared" si="42"/>
        <v>M. Lang (og)</v>
      </c>
      <c r="V31" s="77" t="str">
        <f t="shared" si="43"/>
        <v>O. Vranješ (og)</v>
      </c>
      <c r="W31" s="77" t="str">
        <f t="shared" si="44"/>
        <v>L. Biglia (og)</v>
      </c>
      <c r="X31" s="77" t="str">
        <f t="shared" si="45"/>
        <v>L. Biglia (og)</v>
      </c>
      <c r="Y31" s="77" t="str">
        <f t="shared" si="46"/>
        <v>L. Biglia (og)</v>
      </c>
      <c r="Z31" s="77" t="str">
        <f t="shared" si="47"/>
        <v>W. Carvalho (og)</v>
      </c>
      <c r="AA31" s="77" t="str">
        <f t="shared" si="48"/>
        <v>S. Khedira (og)</v>
      </c>
      <c r="AB31" s="77" t="str">
        <f t="shared" si="49"/>
        <v>S. Khedira (og)</v>
      </c>
      <c r="AC31" s="77" t="str">
        <f t="shared" si="50"/>
        <v>S. Khedira (og)</v>
      </c>
      <c r="AD31" s="77" t="str">
        <f t="shared" si="51"/>
        <v>D. Mesbah (og)</v>
      </c>
      <c r="AE31" s="77" t="str">
        <f t="shared" si="52"/>
        <v>A. Witsel (og)</v>
      </c>
      <c r="AF31" s="77" t="str">
        <f t="shared" si="53"/>
        <v>A. Witsel (og)</v>
      </c>
      <c r="AG31" s="77" t="str">
        <f t="shared" si="54"/>
        <v>A. Witsel (og)</v>
      </c>
      <c r="AI31" s="77" t="str">
        <f t="shared" ca="1" si="55"/>
        <v xml:space="preserve"> (og)</v>
      </c>
      <c r="AJ31" s="77" t="str">
        <f t="shared" ca="1" si="56"/>
        <v xml:space="preserve"> (og)</v>
      </c>
      <c r="AK31" s="77" t="str">
        <f t="shared" ca="1" si="55"/>
        <v xml:space="preserve"> (og)</v>
      </c>
      <c r="AL31" s="77" t="str">
        <f t="shared" ca="1" si="56"/>
        <v xml:space="preserve"> (og)</v>
      </c>
      <c r="AM31" s="77" t="str">
        <f t="shared" ref="AM31" ca="1" si="137">AN8&amp;" (og)"</f>
        <v xml:space="preserve"> (og)</v>
      </c>
      <c r="AN31" s="77" t="str">
        <f t="shared" ref="AN31" ca="1" si="138">AM8&amp;" (og)"</f>
        <v xml:space="preserve"> (og)</v>
      </c>
      <c r="AO31" s="77" t="str">
        <f t="shared" ref="AO31" ca="1" si="139">AP8&amp;" (og)"</f>
        <v xml:space="preserve"> (og)</v>
      </c>
      <c r="AP31" s="77" t="str">
        <f t="shared" ref="AP31" ca="1" si="140">AO8&amp;" (og)"</f>
        <v xml:space="preserve"> (og)</v>
      </c>
      <c r="AQ31" s="77" t="str">
        <f t="shared" ref="AQ31" ca="1" si="141">AR8&amp;" (og)"</f>
        <v xml:space="preserve"> (og)</v>
      </c>
      <c r="AR31" s="77" t="str">
        <f t="shared" ref="AR31" ca="1" si="142">AQ8&amp;" (og)"</f>
        <v xml:space="preserve"> (og)</v>
      </c>
      <c r="AS31" s="77" t="str">
        <f t="shared" ref="AS31" ca="1" si="143">AT8&amp;" (og)"</f>
        <v xml:space="preserve"> (og)</v>
      </c>
      <c r="AT31" s="77" t="str">
        <f t="shared" ref="AT31" ca="1" si="144">AS8&amp;" (og)"</f>
        <v xml:space="preserve"> (og)</v>
      </c>
      <c r="AU31" s="77" t="str">
        <f t="shared" ref="AU31" ca="1" si="145">AV8&amp;" (og)"</f>
        <v xml:space="preserve"> (og)</v>
      </c>
      <c r="AV31" s="77" t="str">
        <f t="shared" ref="AV31" ca="1" si="146">AU8&amp;" (og)"</f>
        <v xml:space="preserve"> (og)</v>
      </c>
      <c r="AW31" s="77" t="str">
        <f t="shared" ref="AW31" ca="1" si="147">AX8&amp;" (og)"</f>
        <v xml:space="preserve"> (og)</v>
      </c>
      <c r="AX31" s="77" t="str">
        <f t="shared" ref="AX31" ca="1" si="148">AW8&amp;" (og)"</f>
        <v xml:space="preserve"> (og)</v>
      </c>
      <c r="AZ31" s="77" t="str">
        <f t="shared" ref="AZ31" si="149">BA8&amp;" (og)"</f>
        <v xml:space="preserve"> (og)</v>
      </c>
      <c r="BA31" s="77" t="str">
        <f t="shared" ref="BA31" si="150">AZ8&amp;" (og)"</f>
        <v xml:space="preserve"> (og)</v>
      </c>
      <c r="BB31" s="77" t="str">
        <f t="shared" ref="BB31" si="151">BC8&amp;" (og)"</f>
        <v xml:space="preserve"> (og)</v>
      </c>
      <c r="BC31" s="77" t="str">
        <f t="shared" ref="BC31" si="152">BB8&amp;" (og)"</f>
        <v xml:space="preserve"> (og)</v>
      </c>
      <c r="BD31" s="77" t="str">
        <f t="shared" si="73"/>
        <v xml:space="preserve"> (og)</v>
      </c>
      <c r="BE31" s="77" t="str">
        <f t="shared" si="74"/>
        <v xml:space="preserve"> (og)</v>
      </c>
      <c r="BF31" s="77" t="str">
        <f t="shared" si="75"/>
        <v xml:space="preserve"> (og)</v>
      </c>
      <c r="BG31" s="77" t="str">
        <f t="shared" si="76"/>
        <v xml:space="preserve"> (og)</v>
      </c>
      <c r="BI31" s="77" t="str">
        <f t="shared" si="77"/>
        <v xml:space="preserve"> (og)</v>
      </c>
      <c r="BJ31" s="77" t="str">
        <f t="shared" si="78"/>
        <v xml:space="preserve"> (og)</v>
      </c>
      <c r="BK31" s="77" t="str">
        <f t="shared" si="79"/>
        <v xml:space="preserve"> (og)</v>
      </c>
      <c r="BL31" s="77" t="str">
        <f t="shared" si="80"/>
        <v xml:space="preserve"> (og)</v>
      </c>
      <c r="BN31" s="77" t="str">
        <f t="shared" si="81"/>
        <v xml:space="preserve"> (og)</v>
      </c>
      <c r="BO31" s="77" t="str">
        <f t="shared" si="82"/>
        <v xml:space="preserve"> (og)</v>
      </c>
      <c r="BQ31" s="77" t="str">
        <f t="shared" si="83"/>
        <v xml:space="preserve"> (og)</v>
      </c>
      <c r="BR31" s="77" t="str">
        <f t="shared" si="84"/>
        <v xml:space="preserve"> (og)</v>
      </c>
      <c r="BT31" s="77" t="str">
        <f t="shared" ca="1" si="85"/>
        <v>Croatia</v>
      </c>
      <c r="BU31" s="77">
        <f t="shared" si="12"/>
        <v>29</v>
      </c>
      <c r="BV31" s="77" t="s">
        <v>3888</v>
      </c>
      <c r="BW31" s="77">
        <f t="shared" si="86"/>
        <v>2</v>
      </c>
      <c r="BX31" s="77" t="str">
        <f t="shared" ca="1" si="87"/>
        <v>D. Lovren</v>
      </c>
      <c r="BY31" s="77">
        <f ca="1">COUNTIF('Group Stages'!$L$14:$S$110,BX31)+COUNTIF('Knock Out Stages'!$N$41:$U$84,BX31)</f>
        <v>0</v>
      </c>
      <c r="BZ31" s="79" t="s">
        <v>3938</v>
      </c>
      <c r="CA31" s="77" t="str">
        <f t="shared" ca="1" si="88"/>
        <v>Dejan Lovren</v>
      </c>
      <c r="CB31" s="77">
        <v>28</v>
      </c>
      <c r="CC31" s="77" t="str">
        <f t="array" aca="1" ref="CC31" ca="1">IFERROR(INDEX($BX$3:$BX$738, SMALL(IF(COUNTIF(CC$3, $BY$3:$BY$738), ROW($BX$3:$BX$738)-MIN(ROW($BX$3:$BX$738))+1), $CB31), 0),"")</f>
        <v/>
      </c>
      <c r="CD31" s="77" t="str">
        <f t="array" aca="1" ref="CD31" ca="1">IFERROR(INDEX($BX$3:$BX$738, SMALL(IF(COUNTIF(CD$3, $BY$3:$BY$738), ROW($BX$3:$BX$738)-MIN(ROW($BX$3:$BX$738))+1), $CB31), 0),"")</f>
        <v/>
      </c>
      <c r="CE31" s="77" t="str">
        <f t="array" aca="1" ref="CE31" ca="1">IFERROR(INDEX($BX$3:$BX$738, SMALL(IF(COUNTIF(CE$3, $BY$3:$BY$738), ROW($BX$3:$BX$738)-MIN(ROW($BX$3:$BX$738))+1), $CB31), 0),"")</f>
        <v/>
      </c>
      <c r="CF31" s="77" t="str">
        <f t="array" aca="1" ref="CF31" ca="1">IFERROR(INDEX($BX$3:$BX$738, SMALL(IF(COUNTIF(CF$3, $BY$3:$BY$738), ROW($BX$3:$BX$738)-MIN(ROW($BX$3:$BX$738))+1), $CB31), 0),"")</f>
        <v/>
      </c>
      <c r="CG31" s="77" t="str">
        <f t="array" aca="1" ref="CG31" ca="1">IFERROR(INDEX($BX$3:$BX$738, SMALL(IF(COUNTIF(CG$3, $BY$3:$BY$738), ROW($BX$3:$BX$738)-MIN(ROW($BX$3:$BX$738))+1), $CB31), 0),"")</f>
        <v/>
      </c>
      <c r="CH31" s="77" t="str">
        <f t="array" aca="1" ref="CH31" ca="1">IFERROR(INDEX($BX$3:$BX$738, SMALL(IF(COUNTIF(CH$3, $BY$3:$BY$738), ROW($BX$3:$BX$738)-MIN(ROW($BX$3:$BX$738))+1), $CB31), 0),"")</f>
        <v/>
      </c>
      <c r="CI31" s="77" t="str">
        <f t="array" aca="1" ref="CI31" ca="1">IFERROR(INDEX($BX$3:$BX$738, SMALL(IF(COUNTIF(CI$3, $BY$3:$BY$738), ROW($BX$3:$BX$738)-MIN(ROW($BX$3:$BX$738))+1), $CB31), 0),"")</f>
        <v/>
      </c>
      <c r="CJ31" s="77" t="str">
        <f t="array" aca="1" ref="CJ31" ca="1">IFERROR(INDEX($BX$3:$BX$738, SMALL(IF(COUNTIF(CJ$3, $BY$3:$BY$738), ROW($BX$3:$BX$738)-MIN(ROW($BX$3:$BX$738))+1), $CB31), 0),"")</f>
        <v/>
      </c>
      <c r="CK31" s="77" t="str">
        <f t="array" aca="1" ref="CK31" ca="1">IFERROR(INDEX($BX$3:$BX$738, SMALL(IF(COUNTIF(CK$3, $BY$3:$BY$738), ROW($BX$3:$BX$738)-MIN(ROW($BX$3:$BX$738))+1), $CB31), 0),"")</f>
        <v/>
      </c>
      <c r="CL31" s="77" t="str">
        <f t="array" aca="1" ref="CL31" ca="1">IFERROR(INDEX($BX$3:$BX$738, SMALL(IF(COUNTIF(CL$3, $BY$3:$BY$738), ROW($BX$3:$BX$738)-MIN(ROW($BX$3:$BX$738))+1), $CB31), 0),"")</f>
        <v/>
      </c>
      <c r="CM31" s="77" t="str">
        <f t="array" aca="1" ref="CM31" ca="1">IFERROR(INDEX($BX$3:$BX$738, SMALL(IF(COUNTIF(CM$3, $BY$3:$BY$738), ROW($BX$3:$BX$738)-MIN(ROW($BX$3:$BX$738))+1), $CB31), 0),"")</f>
        <v/>
      </c>
      <c r="CN31" s="77" t="str">
        <f t="array" aca="1" ref="CN31" ca="1">IFERROR(INDEX($BX$3:$BX$738, SMALL(IF(COUNTIF(CN$3, $BY$3:$BY$738), ROW($BX$3:$BX$738)-MIN(ROW($BX$3:$BX$738))+1), $CB31), 0),"")</f>
        <v/>
      </c>
      <c r="CO31" s="77" t="str">
        <f t="array" aca="1" ref="CO31" ca="1">IFERROR(INDEX($BX$3:$BX$738, SMALL(IF(COUNTIF(CO$3, $BY$3:$BY$738), ROW($BX$3:$BX$738)-MIN(ROW($BX$3:$BX$738))+1), $CB31), 0),"")</f>
        <v/>
      </c>
      <c r="CP31" s="77" t="str">
        <f t="array" aca="1" ref="CP31" ca="1">IFERROR(INDEX($BX$3:$BX$738, SMALL(IF(COUNTIF(CP$3, $BY$3:$BY$738), ROW($BX$3:$BX$738)-MIN(ROW($BX$3:$BX$738))+1), $CB31), 0),"")</f>
        <v/>
      </c>
      <c r="CQ31" s="77" t="str">
        <f t="array" aca="1" ref="CQ31" ca="1">IFERROR(INDEX($BX$3:$BX$738, SMALL(IF(COUNTIF(CQ$3, $BY$3:$BY$738), ROW($BX$3:$BX$738)-MIN(ROW($BX$3:$BX$738))+1), $CB31), 0),"")</f>
        <v/>
      </c>
      <c r="CS31" s="77">
        <v>28</v>
      </c>
      <c r="CT31" s="77">
        <v>1</v>
      </c>
      <c r="CV31" s="77" t="str">
        <f t="shared" ca="1" si="10"/>
        <v/>
      </c>
      <c r="CW31" s="77">
        <f t="shared" ca="1" si="13"/>
        <v>0</v>
      </c>
      <c r="CZ31" s="77">
        <v>28</v>
      </c>
      <c r="DA31" s="77" t="str">
        <f t="shared" ca="1" si="14"/>
        <v/>
      </c>
      <c r="DB31" s="77" t="str">
        <f t="shared" ca="1" si="15"/>
        <v/>
      </c>
      <c r="DC31" s="77" t="str">
        <f t="shared" ca="1" si="19"/>
        <v/>
      </c>
      <c r="DD31" s="77" t="str">
        <f t="shared" ca="1" si="17"/>
        <v/>
      </c>
    </row>
    <row r="32" spans="1:111">
      <c r="A32" s="77">
        <f t="shared" si="22"/>
        <v>7</v>
      </c>
      <c r="B32" s="77" t="str">
        <f t="shared" si="23"/>
        <v>I. Rakitić (og)</v>
      </c>
      <c r="C32" s="77" t="str">
        <f t="shared" si="24"/>
        <v>Hulk (og)</v>
      </c>
      <c r="D32" s="77" t="str">
        <f t="shared" si="25"/>
        <v>Hulk (og)</v>
      </c>
      <c r="E32" s="77" t="str">
        <f t="shared" si="26"/>
        <v>Hulk (og)</v>
      </c>
      <c r="F32" s="77" t="str">
        <f t="shared" si="27"/>
        <v>D. Janmaat (og)</v>
      </c>
      <c r="G32" s="77" t="str">
        <f t="shared" si="28"/>
        <v>D. Villa (og)</v>
      </c>
      <c r="H32" s="77" t="str">
        <f t="shared" si="29"/>
        <v>D. Villa (og)</v>
      </c>
      <c r="I32" s="77" t="str">
        <f t="shared" si="30"/>
        <v>D. Villa (og)</v>
      </c>
      <c r="J32" s="77" t="str">
        <f t="shared" si="31"/>
        <v>G. Samaras (og)</v>
      </c>
      <c r="K32" s="77" t="str">
        <f t="shared" si="32"/>
        <v>P. Armero (og)</v>
      </c>
      <c r="L32" s="77" t="str">
        <f t="shared" si="33"/>
        <v>P. Armero (og)</v>
      </c>
      <c r="M32" s="77" t="str">
        <f t="shared" si="34"/>
        <v>P. Armero (og)</v>
      </c>
      <c r="N32" s="77" t="str">
        <f t="shared" si="35"/>
        <v>C. Bolaños (og)</v>
      </c>
      <c r="O32" s="77" t="str">
        <f t="shared" si="36"/>
        <v>C. Rodríguez (og)</v>
      </c>
      <c r="P32" s="77" t="str">
        <f t="shared" si="37"/>
        <v>C. Rodríguez (og)</v>
      </c>
      <c r="Q32" s="77" t="str">
        <f t="shared" si="38"/>
        <v>C. Rodríguez (og)</v>
      </c>
      <c r="R32" s="77" t="str">
        <f t="shared" si="39"/>
        <v>J. Montero (og)</v>
      </c>
      <c r="S32" s="77" t="str">
        <f t="shared" si="40"/>
        <v>T. Barnetta (og)</v>
      </c>
      <c r="T32" s="77" t="str">
        <f t="shared" si="41"/>
        <v>T. Barnetta (og)</v>
      </c>
      <c r="U32" s="77" t="str">
        <f t="shared" si="42"/>
        <v>T. Barnetta (og)</v>
      </c>
      <c r="V32" s="77" t="str">
        <f t="shared" si="43"/>
        <v>M. Bešić (og)</v>
      </c>
      <c r="W32" s="77" t="str">
        <f t="shared" si="44"/>
        <v>Á. di María (og)</v>
      </c>
      <c r="X32" s="77" t="str">
        <f t="shared" si="45"/>
        <v>Á. di María (og)</v>
      </c>
      <c r="Y32" s="77" t="str">
        <f t="shared" si="46"/>
        <v>Á. di María (og)</v>
      </c>
      <c r="Z32" s="77" t="str">
        <f t="shared" si="47"/>
        <v>C. Ronaldo  (og)</v>
      </c>
      <c r="AA32" s="77" t="str">
        <f t="shared" si="48"/>
        <v>B. Schweinsteiger (og)</v>
      </c>
      <c r="AB32" s="77" t="str">
        <f t="shared" si="49"/>
        <v>B. Schweinsteiger (og)</v>
      </c>
      <c r="AC32" s="77" t="str">
        <f t="shared" si="50"/>
        <v>B. Schweinsteiger (og)</v>
      </c>
      <c r="AD32" s="77" t="str">
        <f t="shared" si="51"/>
        <v>C. Medjani (og)</v>
      </c>
      <c r="AE32" s="77" t="str">
        <f t="shared" si="52"/>
        <v>K. De Bruyne (og)</v>
      </c>
      <c r="AF32" s="77" t="str">
        <f t="shared" si="53"/>
        <v>K. De Bruyne (og)</v>
      </c>
      <c r="AG32" s="77" t="str">
        <f t="shared" si="54"/>
        <v>K. De Bruyne (og)</v>
      </c>
      <c r="AI32" s="77" t="str">
        <f t="shared" ca="1" si="55"/>
        <v xml:space="preserve"> (og)</v>
      </c>
      <c r="AJ32" s="77" t="str">
        <f t="shared" ca="1" si="56"/>
        <v xml:space="preserve"> (og)</v>
      </c>
      <c r="AK32" s="77" t="str">
        <f t="shared" ca="1" si="55"/>
        <v xml:space="preserve"> (og)</v>
      </c>
      <c r="AL32" s="77" t="str">
        <f t="shared" ca="1" si="56"/>
        <v xml:space="preserve"> (og)</v>
      </c>
      <c r="AM32" s="77" t="str">
        <f t="shared" ref="AM32" ca="1" si="153">AN9&amp;" (og)"</f>
        <v xml:space="preserve"> (og)</v>
      </c>
      <c r="AN32" s="77" t="str">
        <f t="shared" ref="AN32" ca="1" si="154">AM9&amp;" (og)"</f>
        <v xml:space="preserve"> (og)</v>
      </c>
      <c r="AO32" s="77" t="str">
        <f t="shared" ref="AO32" ca="1" si="155">AP9&amp;" (og)"</f>
        <v xml:space="preserve"> (og)</v>
      </c>
      <c r="AP32" s="77" t="str">
        <f t="shared" ref="AP32" ca="1" si="156">AO9&amp;" (og)"</f>
        <v xml:space="preserve"> (og)</v>
      </c>
      <c r="AQ32" s="77" t="str">
        <f t="shared" ref="AQ32" ca="1" si="157">AR9&amp;" (og)"</f>
        <v xml:space="preserve"> (og)</v>
      </c>
      <c r="AR32" s="77" t="str">
        <f t="shared" ref="AR32" ca="1" si="158">AQ9&amp;" (og)"</f>
        <v xml:space="preserve"> (og)</v>
      </c>
      <c r="AS32" s="77" t="str">
        <f t="shared" ref="AS32" ca="1" si="159">AT9&amp;" (og)"</f>
        <v xml:space="preserve"> (og)</v>
      </c>
      <c r="AT32" s="77" t="str">
        <f t="shared" ref="AT32" ca="1" si="160">AS9&amp;" (og)"</f>
        <v xml:space="preserve"> (og)</v>
      </c>
      <c r="AU32" s="77" t="str">
        <f t="shared" ref="AU32" ca="1" si="161">AV9&amp;" (og)"</f>
        <v xml:space="preserve"> (og)</v>
      </c>
      <c r="AV32" s="77" t="str">
        <f t="shared" ref="AV32" ca="1" si="162">AU9&amp;" (og)"</f>
        <v xml:space="preserve"> (og)</v>
      </c>
      <c r="AW32" s="77" t="str">
        <f t="shared" ref="AW32" ca="1" si="163">AX9&amp;" (og)"</f>
        <v xml:space="preserve"> (og)</v>
      </c>
      <c r="AX32" s="77" t="str">
        <f t="shared" ref="AX32" ca="1" si="164">AW9&amp;" (og)"</f>
        <v xml:space="preserve"> (og)</v>
      </c>
      <c r="AZ32" s="77" t="str">
        <f t="shared" ref="AZ32" si="165">BA9&amp;" (og)"</f>
        <v xml:space="preserve"> (og)</v>
      </c>
      <c r="BA32" s="77" t="str">
        <f t="shared" ref="BA32" si="166">AZ9&amp;" (og)"</f>
        <v xml:space="preserve"> (og)</v>
      </c>
      <c r="BB32" s="77" t="str">
        <f t="shared" ref="BB32" si="167">BC9&amp;" (og)"</f>
        <v xml:space="preserve"> (og)</v>
      </c>
      <c r="BC32" s="77" t="str">
        <f t="shared" ref="BC32" si="168">BB9&amp;" (og)"</f>
        <v xml:space="preserve"> (og)</v>
      </c>
      <c r="BD32" s="77" t="str">
        <f t="shared" si="73"/>
        <v xml:space="preserve"> (og)</v>
      </c>
      <c r="BE32" s="77" t="str">
        <f t="shared" si="74"/>
        <v xml:space="preserve"> (og)</v>
      </c>
      <c r="BF32" s="77" t="str">
        <f t="shared" si="75"/>
        <v xml:space="preserve"> (og)</v>
      </c>
      <c r="BG32" s="77" t="str">
        <f t="shared" si="76"/>
        <v xml:space="preserve"> (og)</v>
      </c>
      <c r="BI32" s="77" t="str">
        <f t="shared" si="77"/>
        <v xml:space="preserve"> (og)</v>
      </c>
      <c r="BJ32" s="77" t="str">
        <f t="shared" si="78"/>
        <v xml:space="preserve"> (og)</v>
      </c>
      <c r="BK32" s="77" t="str">
        <f t="shared" si="79"/>
        <v xml:space="preserve"> (og)</v>
      </c>
      <c r="BL32" s="77" t="str">
        <f t="shared" si="80"/>
        <v xml:space="preserve"> (og)</v>
      </c>
      <c r="BN32" s="77" t="str">
        <f t="shared" si="81"/>
        <v xml:space="preserve"> (og)</v>
      </c>
      <c r="BO32" s="77" t="str">
        <f t="shared" si="82"/>
        <v xml:space="preserve"> (og)</v>
      </c>
      <c r="BQ32" s="77" t="str">
        <f t="shared" si="83"/>
        <v xml:space="preserve"> (og)</v>
      </c>
      <c r="BR32" s="77" t="str">
        <f t="shared" si="84"/>
        <v xml:space="preserve"> (og)</v>
      </c>
      <c r="BT32" s="77" t="str">
        <f t="shared" ca="1" si="85"/>
        <v>Croatia</v>
      </c>
      <c r="BU32" s="77">
        <f t="shared" si="12"/>
        <v>30</v>
      </c>
      <c r="BV32" s="77" t="s">
        <v>3889</v>
      </c>
      <c r="BW32" s="77">
        <f t="shared" si="86"/>
        <v>2</v>
      </c>
      <c r="BX32" s="77" t="str">
        <f t="shared" ca="1" si="87"/>
        <v>I. Rakitić</v>
      </c>
      <c r="BY32" s="77">
        <f ca="1">COUNTIF('Group Stages'!$L$14:$S$110,BX32)+COUNTIF('Knock Out Stages'!$N$41:$U$84,BX32)</f>
        <v>0</v>
      </c>
      <c r="BZ32" s="79" t="s">
        <v>3939</v>
      </c>
      <c r="CA32" s="77" t="str">
        <f t="shared" ca="1" si="88"/>
        <v>Ivan Rakitić</v>
      </c>
      <c r="CB32" s="77">
        <v>29</v>
      </c>
      <c r="CC32" s="77" t="str">
        <f t="array" aca="1" ref="CC32" ca="1">IFERROR(INDEX($BX$3:$BX$738, SMALL(IF(COUNTIF(CC$3, $BY$3:$BY$738), ROW($BX$3:$BX$738)-MIN(ROW($BX$3:$BX$738))+1), $CB32), 0),"")</f>
        <v/>
      </c>
      <c r="CD32" s="77" t="str">
        <f t="array" aca="1" ref="CD32" ca="1">IFERROR(INDEX($BX$3:$BX$738, SMALL(IF(COUNTIF(CD$3, $BY$3:$BY$738), ROW($BX$3:$BX$738)-MIN(ROW($BX$3:$BX$738))+1), $CB32), 0),"")</f>
        <v/>
      </c>
      <c r="CE32" s="77" t="str">
        <f t="array" aca="1" ref="CE32" ca="1">IFERROR(INDEX($BX$3:$BX$738, SMALL(IF(COUNTIF(CE$3, $BY$3:$BY$738), ROW($BX$3:$BX$738)-MIN(ROW($BX$3:$BX$738))+1), $CB32), 0),"")</f>
        <v/>
      </c>
      <c r="CF32" s="77" t="str">
        <f t="array" aca="1" ref="CF32" ca="1">IFERROR(INDEX($BX$3:$BX$738, SMALL(IF(COUNTIF(CF$3, $BY$3:$BY$738), ROW($BX$3:$BX$738)-MIN(ROW($BX$3:$BX$738))+1), $CB32), 0),"")</f>
        <v/>
      </c>
      <c r="CG32" s="77" t="str">
        <f t="array" aca="1" ref="CG32" ca="1">IFERROR(INDEX($BX$3:$BX$738, SMALL(IF(COUNTIF(CG$3, $BY$3:$BY$738), ROW($BX$3:$BX$738)-MIN(ROW($BX$3:$BX$738))+1), $CB32), 0),"")</f>
        <v/>
      </c>
      <c r="CH32" s="77" t="str">
        <f t="array" aca="1" ref="CH32" ca="1">IFERROR(INDEX($BX$3:$BX$738, SMALL(IF(COUNTIF(CH$3, $BY$3:$BY$738), ROW($BX$3:$BX$738)-MIN(ROW($BX$3:$BX$738))+1), $CB32), 0),"")</f>
        <v/>
      </c>
      <c r="CI32" s="77" t="str">
        <f t="array" aca="1" ref="CI32" ca="1">IFERROR(INDEX($BX$3:$BX$738, SMALL(IF(COUNTIF(CI$3, $BY$3:$BY$738), ROW($BX$3:$BX$738)-MIN(ROW($BX$3:$BX$738))+1), $CB32), 0),"")</f>
        <v/>
      </c>
      <c r="CJ32" s="77" t="str">
        <f t="array" aca="1" ref="CJ32" ca="1">IFERROR(INDEX($BX$3:$BX$738, SMALL(IF(COUNTIF(CJ$3, $BY$3:$BY$738), ROW($BX$3:$BX$738)-MIN(ROW($BX$3:$BX$738))+1), $CB32), 0),"")</f>
        <v/>
      </c>
      <c r="CK32" s="77" t="str">
        <f t="array" aca="1" ref="CK32" ca="1">IFERROR(INDEX($BX$3:$BX$738, SMALL(IF(COUNTIF(CK$3, $BY$3:$BY$738), ROW($BX$3:$BX$738)-MIN(ROW($BX$3:$BX$738))+1), $CB32), 0),"")</f>
        <v/>
      </c>
      <c r="CL32" s="77" t="str">
        <f t="array" aca="1" ref="CL32" ca="1">IFERROR(INDEX($BX$3:$BX$738, SMALL(IF(COUNTIF(CL$3, $BY$3:$BY$738), ROW($BX$3:$BX$738)-MIN(ROW($BX$3:$BX$738))+1), $CB32), 0),"")</f>
        <v/>
      </c>
      <c r="CM32" s="77" t="str">
        <f t="array" aca="1" ref="CM32" ca="1">IFERROR(INDEX($BX$3:$BX$738, SMALL(IF(COUNTIF(CM$3, $BY$3:$BY$738), ROW($BX$3:$BX$738)-MIN(ROW($BX$3:$BX$738))+1), $CB32), 0),"")</f>
        <v/>
      </c>
      <c r="CN32" s="77" t="str">
        <f t="array" aca="1" ref="CN32" ca="1">IFERROR(INDEX($BX$3:$BX$738, SMALL(IF(COUNTIF(CN$3, $BY$3:$BY$738), ROW($BX$3:$BX$738)-MIN(ROW($BX$3:$BX$738))+1), $CB32), 0),"")</f>
        <v/>
      </c>
      <c r="CO32" s="77" t="str">
        <f t="array" aca="1" ref="CO32" ca="1">IFERROR(INDEX($BX$3:$BX$738, SMALL(IF(COUNTIF(CO$3, $BY$3:$BY$738), ROW($BX$3:$BX$738)-MIN(ROW($BX$3:$BX$738))+1), $CB32), 0),"")</f>
        <v/>
      </c>
      <c r="CP32" s="77" t="str">
        <f t="array" aca="1" ref="CP32" ca="1">IFERROR(INDEX($BX$3:$BX$738, SMALL(IF(COUNTIF(CP$3, $BY$3:$BY$738), ROW($BX$3:$BX$738)-MIN(ROW($BX$3:$BX$738))+1), $CB32), 0),"")</f>
        <v/>
      </c>
      <c r="CQ32" s="77" t="str">
        <f t="array" aca="1" ref="CQ32" ca="1">IFERROR(INDEX($BX$3:$BX$738, SMALL(IF(COUNTIF(CQ$3, $BY$3:$BY$738), ROW($BX$3:$BX$738)-MIN(ROW($BX$3:$BX$738))+1), $CB32), 0),"")</f>
        <v/>
      </c>
      <c r="CS32" s="77">
        <v>29</v>
      </c>
      <c r="CT32" s="77">
        <v>1</v>
      </c>
      <c r="CV32" s="77" t="str">
        <f t="shared" ca="1" si="10"/>
        <v/>
      </c>
      <c r="CW32" s="77">
        <f t="shared" ca="1" si="13"/>
        <v>0</v>
      </c>
      <c r="CZ32" s="77">
        <v>29</v>
      </c>
      <c r="DA32" s="77" t="str">
        <f t="shared" ca="1" si="14"/>
        <v/>
      </c>
      <c r="DB32" s="77" t="str">
        <f t="shared" ca="1" si="15"/>
        <v/>
      </c>
      <c r="DC32" s="77" t="str">
        <f t="shared" ca="1" si="19"/>
        <v/>
      </c>
      <c r="DD32" s="77" t="str">
        <f t="shared" ca="1" si="17"/>
        <v/>
      </c>
    </row>
    <row r="33" spans="1:108">
      <c r="A33" s="77">
        <f t="shared" si="22"/>
        <v>8</v>
      </c>
      <c r="B33" s="77" t="str">
        <f t="shared" si="23"/>
        <v>O. Vukojević (og)</v>
      </c>
      <c r="C33" s="77" t="str">
        <f t="shared" si="24"/>
        <v>Paulinho (og)</v>
      </c>
      <c r="D33" s="77" t="str">
        <f t="shared" si="25"/>
        <v>Paulinho (og)</v>
      </c>
      <c r="E33" s="77" t="str">
        <f t="shared" si="26"/>
        <v>Paulinho (og)</v>
      </c>
      <c r="F33" s="77" t="str">
        <f t="shared" si="27"/>
        <v>N. de Jong (og)</v>
      </c>
      <c r="G33" s="77" t="str">
        <f t="shared" si="28"/>
        <v>Xavi (og)</v>
      </c>
      <c r="H33" s="77" t="str">
        <f t="shared" si="29"/>
        <v>Xavi (og)</v>
      </c>
      <c r="I33" s="77" t="str">
        <f t="shared" si="30"/>
        <v>Xavi (og)</v>
      </c>
      <c r="J33" s="77" t="str">
        <f t="shared" si="31"/>
        <v>P. Kone (og)</v>
      </c>
      <c r="K33" s="77" t="str">
        <f t="shared" si="32"/>
        <v>A. Aguilar (og)</v>
      </c>
      <c r="L33" s="77" t="str">
        <f t="shared" si="33"/>
        <v>A. Aguilar (og)</v>
      </c>
      <c r="M33" s="77" t="str">
        <f t="shared" si="34"/>
        <v>A. Aguilar (og)</v>
      </c>
      <c r="N33" s="77" t="str">
        <f t="shared" si="35"/>
        <v>H. Mora (og)</v>
      </c>
      <c r="O33" s="77" t="str">
        <f t="shared" si="36"/>
        <v>A. Hernández (og)</v>
      </c>
      <c r="P33" s="77" t="str">
        <f t="shared" si="37"/>
        <v>A. Hernández (og)</v>
      </c>
      <c r="Q33" s="77" t="str">
        <f t="shared" si="38"/>
        <v>A. Hernández (og)</v>
      </c>
      <c r="R33" s="77" t="str">
        <f t="shared" si="39"/>
        <v>É. Méndez (og)</v>
      </c>
      <c r="S33" s="77" t="str">
        <f t="shared" si="40"/>
        <v>G. Inler  (og)</v>
      </c>
      <c r="T33" s="77" t="str">
        <f t="shared" si="41"/>
        <v>G. Inler  (og)</v>
      </c>
      <c r="U33" s="77" t="str">
        <f t="shared" si="42"/>
        <v>G. Inler  (og)</v>
      </c>
      <c r="V33" s="77" t="str">
        <f t="shared" si="43"/>
        <v>M. Pjanić (og)</v>
      </c>
      <c r="W33" s="77" t="str">
        <f t="shared" si="44"/>
        <v>E. Pérez (og)</v>
      </c>
      <c r="X33" s="77" t="str">
        <f t="shared" si="45"/>
        <v>E. Pérez (og)</v>
      </c>
      <c r="Y33" s="77" t="str">
        <f t="shared" si="46"/>
        <v>E. Pérez (og)</v>
      </c>
      <c r="Z33" s="77" t="str">
        <f t="shared" si="47"/>
        <v>J. Moutinho (og)</v>
      </c>
      <c r="AA33" s="77" t="str">
        <f t="shared" si="48"/>
        <v>M. Özil (og)</v>
      </c>
      <c r="AB33" s="77" t="str">
        <f t="shared" si="49"/>
        <v>M. Özil (og)</v>
      </c>
      <c r="AC33" s="77" t="str">
        <f t="shared" si="50"/>
        <v>M. Özil (og)</v>
      </c>
      <c r="AD33" s="77" t="str">
        <f t="shared" si="51"/>
        <v>H. Yebda (og)</v>
      </c>
      <c r="AE33" s="77" t="str">
        <f t="shared" si="52"/>
        <v>M. Fellaini (og)</v>
      </c>
      <c r="AF33" s="77" t="str">
        <f t="shared" si="53"/>
        <v>M. Fellaini (og)</v>
      </c>
      <c r="AG33" s="77" t="str">
        <f t="shared" si="54"/>
        <v>M. Fellaini (og)</v>
      </c>
      <c r="AI33" s="77" t="str">
        <f t="shared" ca="1" si="55"/>
        <v xml:space="preserve"> (og)</v>
      </c>
      <c r="AJ33" s="77" t="str">
        <f t="shared" ca="1" si="56"/>
        <v xml:space="preserve"> (og)</v>
      </c>
      <c r="AK33" s="77" t="str">
        <f t="shared" ca="1" si="55"/>
        <v xml:space="preserve"> (og)</v>
      </c>
      <c r="AL33" s="77" t="str">
        <f t="shared" ca="1" si="56"/>
        <v xml:space="preserve"> (og)</v>
      </c>
      <c r="AM33" s="77" t="str">
        <f t="shared" ref="AM33" ca="1" si="169">AN10&amp;" (og)"</f>
        <v xml:space="preserve"> (og)</v>
      </c>
      <c r="AN33" s="77" t="str">
        <f t="shared" ref="AN33" ca="1" si="170">AM10&amp;" (og)"</f>
        <v xml:space="preserve"> (og)</v>
      </c>
      <c r="AO33" s="77" t="str">
        <f t="shared" ref="AO33" ca="1" si="171">AP10&amp;" (og)"</f>
        <v xml:space="preserve"> (og)</v>
      </c>
      <c r="AP33" s="77" t="str">
        <f t="shared" ref="AP33" ca="1" si="172">AO10&amp;" (og)"</f>
        <v xml:space="preserve"> (og)</v>
      </c>
      <c r="AQ33" s="77" t="str">
        <f t="shared" ref="AQ33" ca="1" si="173">AR10&amp;" (og)"</f>
        <v xml:space="preserve"> (og)</v>
      </c>
      <c r="AR33" s="77" t="str">
        <f t="shared" ref="AR33" ca="1" si="174">AQ10&amp;" (og)"</f>
        <v xml:space="preserve"> (og)</v>
      </c>
      <c r="AS33" s="77" t="str">
        <f t="shared" ref="AS33" ca="1" si="175">AT10&amp;" (og)"</f>
        <v xml:space="preserve"> (og)</v>
      </c>
      <c r="AT33" s="77" t="str">
        <f t="shared" ref="AT33" ca="1" si="176">AS10&amp;" (og)"</f>
        <v xml:space="preserve"> (og)</v>
      </c>
      <c r="AU33" s="77" t="str">
        <f t="shared" ref="AU33" ca="1" si="177">AV10&amp;" (og)"</f>
        <v xml:space="preserve"> (og)</v>
      </c>
      <c r="AV33" s="77" t="str">
        <f t="shared" ref="AV33" ca="1" si="178">AU10&amp;" (og)"</f>
        <v xml:space="preserve"> (og)</v>
      </c>
      <c r="AW33" s="77" t="str">
        <f t="shared" ref="AW33" ca="1" si="179">AX10&amp;" (og)"</f>
        <v xml:space="preserve"> (og)</v>
      </c>
      <c r="AX33" s="77" t="str">
        <f t="shared" ref="AX33" ca="1" si="180">AW10&amp;" (og)"</f>
        <v xml:space="preserve"> (og)</v>
      </c>
      <c r="AZ33" s="77" t="str">
        <f t="shared" ref="AZ33" si="181">BA10&amp;" (og)"</f>
        <v xml:space="preserve"> (og)</v>
      </c>
      <c r="BA33" s="77" t="str">
        <f t="shared" ref="BA33" si="182">AZ10&amp;" (og)"</f>
        <v xml:space="preserve"> (og)</v>
      </c>
      <c r="BB33" s="77" t="str">
        <f t="shared" ref="BB33" si="183">BC10&amp;" (og)"</f>
        <v xml:space="preserve"> (og)</v>
      </c>
      <c r="BC33" s="77" t="str">
        <f t="shared" ref="BC33" si="184">BB10&amp;" (og)"</f>
        <v xml:space="preserve"> (og)</v>
      </c>
      <c r="BD33" s="77" t="str">
        <f t="shared" si="73"/>
        <v xml:space="preserve"> (og)</v>
      </c>
      <c r="BE33" s="77" t="str">
        <f t="shared" si="74"/>
        <v xml:space="preserve"> (og)</v>
      </c>
      <c r="BF33" s="77" t="str">
        <f t="shared" si="75"/>
        <v xml:space="preserve"> (og)</v>
      </c>
      <c r="BG33" s="77" t="str">
        <f t="shared" si="76"/>
        <v xml:space="preserve"> (og)</v>
      </c>
      <c r="BI33" s="77" t="str">
        <f t="shared" si="77"/>
        <v xml:space="preserve"> (og)</v>
      </c>
      <c r="BJ33" s="77" t="str">
        <f t="shared" si="78"/>
        <v xml:space="preserve"> (og)</v>
      </c>
      <c r="BK33" s="77" t="str">
        <f t="shared" si="79"/>
        <v xml:space="preserve"> (og)</v>
      </c>
      <c r="BL33" s="77" t="str">
        <f t="shared" si="80"/>
        <v xml:space="preserve"> (og)</v>
      </c>
      <c r="BN33" s="77" t="str">
        <f t="shared" si="81"/>
        <v xml:space="preserve"> (og)</v>
      </c>
      <c r="BO33" s="77" t="str">
        <f t="shared" si="82"/>
        <v xml:space="preserve"> (og)</v>
      </c>
      <c r="BQ33" s="77" t="str">
        <f t="shared" si="83"/>
        <v xml:space="preserve"> (og)</v>
      </c>
      <c r="BR33" s="77" t="str">
        <f t="shared" si="84"/>
        <v xml:space="preserve"> (og)</v>
      </c>
      <c r="BT33" s="77" t="str">
        <f t="shared" ca="1" si="85"/>
        <v>Croatia</v>
      </c>
      <c r="BU33" s="77">
        <f t="shared" si="12"/>
        <v>31</v>
      </c>
      <c r="BV33" s="77" t="s">
        <v>3890</v>
      </c>
      <c r="BW33" s="77">
        <f t="shared" si="86"/>
        <v>2</v>
      </c>
      <c r="BX33" s="77" t="str">
        <f t="shared" ca="1" si="87"/>
        <v>O. Vukojević</v>
      </c>
      <c r="BY33" s="77">
        <f ca="1">COUNTIF('Group Stages'!$L$14:$S$110,BX33)+COUNTIF('Knock Out Stages'!$N$41:$U$84,BX33)</f>
        <v>0</v>
      </c>
      <c r="BZ33" s="79" t="s">
        <v>3940</v>
      </c>
      <c r="CA33" s="77" t="str">
        <f t="shared" ca="1" si="88"/>
        <v>Ognjen Vukojević</v>
      </c>
      <c r="CB33" s="77">
        <v>30</v>
      </c>
      <c r="CC33" s="77" t="str">
        <f t="array" aca="1" ref="CC33" ca="1">IFERROR(INDEX($BX$3:$BX$738, SMALL(IF(COUNTIF(CC$3, $BY$3:$BY$738), ROW($BX$3:$BX$738)-MIN(ROW($BX$3:$BX$738))+1), $CB33), 0),"")</f>
        <v/>
      </c>
      <c r="CD33" s="77" t="str">
        <f t="array" aca="1" ref="CD33" ca="1">IFERROR(INDEX($BX$3:$BX$738, SMALL(IF(COUNTIF(CD$3, $BY$3:$BY$738), ROW($BX$3:$BX$738)-MIN(ROW($BX$3:$BX$738))+1), $CB33), 0),"")</f>
        <v/>
      </c>
      <c r="CE33" s="77" t="str">
        <f t="array" aca="1" ref="CE33" ca="1">IFERROR(INDEX($BX$3:$BX$738, SMALL(IF(COUNTIF(CE$3, $BY$3:$BY$738), ROW($BX$3:$BX$738)-MIN(ROW($BX$3:$BX$738))+1), $CB33), 0),"")</f>
        <v/>
      </c>
      <c r="CF33" s="77" t="str">
        <f t="array" aca="1" ref="CF33" ca="1">IFERROR(INDEX($BX$3:$BX$738, SMALL(IF(COUNTIF(CF$3, $BY$3:$BY$738), ROW($BX$3:$BX$738)-MIN(ROW($BX$3:$BX$738))+1), $CB33), 0),"")</f>
        <v/>
      </c>
      <c r="CG33" s="77" t="str">
        <f t="array" aca="1" ref="CG33" ca="1">IFERROR(INDEX($BX$3:$BX$738, SMALL(IF(COUNTIF(CG$3, $BY$3:$BY$738), ROW($BX$3:$BX$738)-MIN(ROW($BX$3:$BX$738))+1), $CB33), 0),"")</f>
        <v/>
      </c>
      <c r="CH33" s="77" t="str">
        <f t="array" aca="1" ref="CH33" ca="1">IFERROR(INDEX($BX$3:$BX$738, SMALL(IF(COUNTIF(CH$3, $BY$3:$BY$738), ROW($BX$3:$BX$738)-MIN(ROW($BX$3:$BX$738))+1), $CB33), 0),"")</f>
        <v/>
      </c>
      <c r="CI33" s="77" t="str">
        <f t="array" aca="1" ref="CI33" ca="1">IFERROR(INDEX($BX$3:$BX$738, SMALL(IF(COUNTIF(CI$3, $BY$3:$BY$738), ROW($BX$3:$BX$738)-MIN(ROW($BX$3:$BX$738))+1), $CB33), 0),"")</f>
        <v/>
      </c>
      <c r="CJ33" s="77" t="str">
        <f t="array" aca="1" ref="CJ33" ca="1">IFERROR(INDEX($BX$3:$BX$738, SMALL(IF(COUNTIF(CJ$3, $BY$3:$BY$738), ROW($BX$3:$BX$738)-MIN(ROW($BX$3:$BX$738))+1), $CB33), 0),"")</f>
        <v/>
      </c>
      <c r="CK33" s="77" t="str">
        <f t="array" aca="1" ref="CK33" ca="1">IFERROR(INDEX($BX$3:$BX$738, SMALL(IF(COUNTIF(CK$3, $BY$3:$BY$738), ROW($BX$3:$BX$738)-MIN(ROW($BX$3:$BX$738))+1), $CB33), 0),"")</f>
        <v/>
      </c>
      <c r="CL33" s="77" t="str">
        <f t="array" aca="1" ref="CL33" ca="1">IFERROR(INDEX($BX$3:$BX$738, SMALL(IF(COUNTIF(CL$3, $BY$3:$BY$738), ROW($BX$3:$BX$738)-MIN(ROW($BX$3:$BX$738))+1), $CB33), 0),"")</f>
        <v/>
      </c>
      <c r="CM33" s="77" t="str">
        <f t="array" aca="1" ref="CM33" ca="1">IFERROR(INDEX($BX$3:$BX$738, SMALL(IF(COUNTIF(CM$3, $BY$3:$BY$738), ROW($BX$3:$BX$738)-MIN(ROW($BX$3:$BX$738))+1), $CB33), 0),"")</f>
        <v/>
      </c>
      <c r="CN33" s="77" t="str">
        <f t="array" aca="1" ref="CN33" ca="1">IFERROR(INDEX($BX$3:$BX$738, SMALL(IF(COUNTIF(CN$3, $BY$3:$BY$738), ROW($BX$3:$BX$738)-MIN(ROW($BX$3:$BX$738))+1), $CB33), 0),"")</f>
        <v/>
      </c>
      <c r="CO33" s="77" t="str">
        <f t="array" aca="1" ref="CO33" ca="1">IFERROR(INDEX($BX$3:$BX$738, SMALL(IF(COUNTIF(CO$3, $BY$3:$BY$738), ROW($BX$3:$BX$738)-MIN(ROW($BX$3:$BX$738))+1), $CB33), 0),"")</f>
        <v/>
      </c>
      <c r="CP33" s="77" t="str">
        <f t="array" aca="1" ref="CP33" ca="1">IFERROR(INDEX($BX$3:$BX$738, SMALL(IF(COUNTIF(CP$3, $BY$3:$BY$738), ROW($BX$3:$BX$738)-MIN(ROW($BX$3:$BX$738))+1), $CB33), 0),"")</f>
        <v/>
      </c>
      <c r="CQ33" s="77" t="str">
        <f t="array" aca="1" ref="CQ33" ca="1">IFERROR(INDEX($BX$3:$BX$738, SMALL(IF(COUNTIF(CQ$3, $BY$3:$BY$738), ROW($BX$3:$BX$738)-MIN(ROW($BX$3:$BX$738))+1), $CB33), 0),"")</f>
        <v/>
      </c>
      <c r="CS33" s="77">
        <v>30</v>
      </c>
      <c r="CT33" s="77">
        <v>1</v>
      </c>
      <c r="CV33" s="77" t="str">
        <f t="shared" ca="1" si="10"/>
        <v/>
      </c>
      <c r="CW33" s="77">
        <f t="shared" ca="1" si="13"/>
        <v>0</v>
      </c>
      <c r="CZ33" s="77">
        <v>30</v>
      </c>
      <c r="DA33" s="77" t="str">
        <f t="shared" ca="1" si="14"/>
        <v/>
      </c>
      <c r="DB33" s="77" t="str">
        <f t="shared" ca="1" si="15"/>
        <v/>
      </c>
      <c r="DC33" s="77" t="str">
        <f t="shared" ca="1" si="19"/>
        <v/>
      </c>
      <c r="DD33" s="77" t="str">
        <f t="shared" ca="1" si="17"/>
        <v/>
      </c>
    </row>
    <row r="34" spans="1:108">
      <c r="A34" s="77">
        <f t="shared" si="22"/>
        <v>9</v>
      </c>
      <c r="B34" s="77" t="str">
        <f t="shared" si="23"/>
        <v>N. Jelavić (og)</v>
      </c>
      <c r="C34" s="77" t="str">
        <f t="shared" si="24"/>
        <v>Fred (og)</v>
      </c>
      <c r="D34" s="77" t="str">
        <f t="shared" si="25"/>
        <v>Fred (og)</v>
      </c>
      <c r="E34" s="77" t="str">
        <f t="shared" si="26"/>
        <v>Fred (og)</v>
      </c>
      <c r="F34" s="77" t="str">
        <f t="shared" si="27"/>
        <v>R. van Persie  (og)</v>
      </c>
      <c r="G34" s="77" t="str">
        <f t="shared" si="28"/>
        <v>F. Torres (og)</v>
      </c>
      <c r="H34" s="77" t="str">
        <f t="shared" si="29"/>
        <v>F. Torres (og)</v>
      </c>
      <c r="I34" s="77" t="str">
        <f t="shared" si="30"/>
        <v>F. Torres (og)</v>
      </c>
      <c r="J34" s="77" t="str">
        <f t="shared" si="31"/>
        <v>K. Mitroglou (og)</v>
      </c>
      <c r="K34" s="77" t="str">
        <f t="shared" si="32"/>
        <v>T. Gutiérrez (og)</v>
      </c>
      <c r="L34" s="77" t="str">
        <f t="shared" si="33"/>
        <v>T. Gutiérrez (og)</v>
      </c>
      <c r="M34" s="77" t="str">
        <f t="shared" si="34"/>
        <v>T. Gutiérrez (og)</v>
      </c>
      <c r="N34" s="77" t="str">
        <f t="shared" si="35"/>
        <v>J. Campbell (og)</v>
      </c>
      <c r="O34" s="77" t="str">
        <f t="shared" si="36"/>
        <v>L. Suárez (og)</v>
      </c>
      <c r="P34" s="77" t="str">
        <f t="shared" si="37"/>
        <v>L. Suárez (og)</v>
      </c>
      <c r="Q34" s="77" t="str">
        <f t="shared" si="38"/>
        <v>L. Suárez (og)</v>
      </c>
      <c r="R34" s="77" t="str">
        <f t="shared" si="39"/>
        <v>J. Rojas (og)</v>
      </c>
      <c r="S34" s="77" t="str">
        <f t="shared" si="40"/>
        <v>H. Seferović (og)</v>
      </c>
      <c r="T34" s="77" t="str">
        <f t="shared" si="41"/>
        <v>H. Seferović (og)</v>
      </c>
      <c r="U34" s="77" t="str">
        <f t="shared" si="42"/>
        <v>H. Seferović (og)</v>
      </c>
      <c r="V34" s="77" t="str">
        <f t="shared" si="43"/>
        <v>V. Ibišević (og)</v>
      </c>
      <c r="W34" s="77" t="str">
        <f t="shared" si="44"/>
        <v>G. Higuaín (og)</v>
      </c>
      <c r="X34" s="77" t="str">
        <f t="shared" si="45"/>
        <v>G. Higuaín (og)</v>
      </c>
      <c r="Y34" s="77" t="str">
        <f t="shared" si="46"/>
        <v>G. Higuaín (og)</v>
      </c>
      <c r="Z34" s="77" t="str">
        <f t="shared" si="47"/>
        <v>H. Almeida (og)</v>
      </c>
      <c r="AA34" s="77" t="str">
        <f t="shared" si="48"/>
        <v>A. Schürrle (og)</v>
      </c>
      <c r="AB34" s="77" t="str">
        <f t="shared" si="49"/>
        <v>A. Schürrle (og)</v>
      </c>
      <c r="AC34" s="77" t="str">
        <f t="shared" si="50"/>
        <v>A. Schürrle (og)</v>
      </c>
      <c r="AD34" s="77" t="str">
        <f t="shared" si="51"/>
        <v>N. Ghilas (og)</v>
      </c>
      <c r="AE34" s="77" t="str">
        <f t="shared" si="52"/>
        <v>R. Lukaku (og)</v>
      </c>
      <c r="AF34" s="77" t="str">
        <f t="shared" si="53"/>
        <v>R. Lukaku (og)</v>
      </c>
      <c r="AG34" s="77" t="str">
        <f t="shared" si="54"/>
        <v>R. Lukaku (og)</v>
      </c>
      <c r="AI34" s="77" t="str">
        <f t="shared" ca="1" si="55"/>
        <v xml:space="preserve"> (og)</v>
      </c>
      <c r="AJ34" s="77" t="str">
        <f t="shared" ca="1" si="56"/>
        <v xml:space="preserve"> (og)</v>
      </c>
      <c r="AK34" s="77" t="str">
        <f t="shared" ca="1" si="55"/>
        <v xml:space="preserve"> (og)</v>
      </c>
      <c r="AL34" s="77" t="str">
        <f t="shared" ca="1" si="56"/>
        <v xml:space="preserve"> (og)</v>
      </c>
      <c r="AM34" s="77" t="str">
        <f t="shared" ref="AM34" ca="1" si="185">AN11&amp;" (og)"</f>
        <v xml:space="preserve"> (og)</v>
      </c>
      <c r="AN34" s="77" t="str">
        <f t="shared" ref="AN34" ca="1" si="186">AM11&amp;" (og)"</f>
        <v xml:space="preserve"> (og)</v>
      </c>
      <c r="AO34" s="77" t="str">
        <f t="shared" ref="AO34" ca="1" si="187">AP11&amp;" (og)"</f>
        <v xml:space="preserve"> (og)</v>
      </c>
      <c r="AP34" s="77" t="str">
        <f t="shared" ref="AP34" ca="1" si="188">AO11&amp;" (og)"</f>
        <v xml:space="preserve"> (og)</v>
      </c>
      <c r="AQ34" s="77" t="str">
        <f t="shared" ref="AQ34" ca="1" si="189">AR11&amp;" (og)"</f>
        <v xml:space="preserve"> (og)</v>
      </c>
      <c r="AR34" s="77" t="str">
        <f t="shared" ref="AR34" ca="1" si="190">AQ11&amp;" (og)"</f>
        <v xml:space="preserve"> (og)</v>
      </c>
      <c r="AS34" s="77" t="str">
        <f t="shared" ref="AS34" ca="1" si="191">AT11&amp;" (og)"</f>
        <v xml:space="preserve"> (og)</v>
      </c>
      <c r="AT34" s="77" t="str">
        <f t="shared" ref="AT34" ca="1" si="192">AS11&amp;" (og)"</f>
        <v xml:space="preserve"> (og)</v>
      </c>
      <c r="AU34" s="77" t="str">
        <f t="shared" ref="AU34" ca="1" si="193">AV11&amp;" (og)"</f>
        <v xml:space="preserve"> (og)</v>
      </c>
      <c r="AV34" s="77" t="str">
        <f t="shared" ref="AV34" ca="1" si="194">AU11&amp;" (og)"</f>
        <v xml:space="preserve"> (og)</v>
      </c>
      <c r="AW34" s="77" t="str">
        <f t="shared" ref="AW34" ca="1" si="195">AX11&amp;" (og)"</f>
        <v xml:space="preserve"> (og)</v>
      </c>
      <c r="AX34" s="77" t="str">
        <f t="shared" ref="AX34" ca="1" si="196">AW11&amp;" (og)"</f>
        <v xml:space="preserve"> (og)</v>
      </c>
      <c r="AZ34" s="77" t="str">
        <f t="shared" ref="AZ34" si="197">BA11&amp;" (og)"</f>
        <v xml:space="preserve"> (og)</v>
      </c>
      <c r="BA34" s="77" t="str">
        <f t="shared" ref="BA34" si="198">AZ11&amp;" (og)"</f>
        <v xml:space="preserve"> (og)</v>
      </c>
      <c r="BB34" s="77" t="str">
        <f t="shared" ref="BB34" si="199">BC11&amp;" (og)"</f>
        <v xml:space="preserve"> (og)</v>
      </c>
      <c r="BC34" s="77" t="str">
        <f t="shared" ref="BC34" si="200">BB11&amp;" (og)"</f>
        <v xml:space="preserve"> (og)</v>
      </c>
      <c r="BD34" s="77" t="str">
        <f t="shared" si="73"/>
        <v xml:space="preserve"> (og)</v>
      </c>
      <c r="BE34" s="77" t="str">
        <f t="shared" si="74"/>
        <v xml:space="preserve"> (og)</v>
      </c>
      <c r="BF34" s="77" t="str">
        <f t="shared" si="75"/>
        <v xml:space="preserve"> (og)</v>
      </c>
      <c r="BG34" s="77" t="str">
        <f t="shared" si="76"/>
        <v xml:space="preserve"> (og)</v>
      </c>
      <c r="BI34" s="77" t="str">
        <f t="shared" si="77"/>
        <v xml:space="preserve"> (og)</v>
      </c>
      <c r="BJ34" s="77" t="str">
        <f t="shared" si="78"/>
        <v xml:space="preserve"> (og)</v>
      </c>
      <c r="BK34" s="77" t="str">
        <f t="shared" si="79"/>
        <v xml:space="preserve"> (og)</v>
      </c>
      <c r="BL34" s="77" t="str">
        <f t="shared" si="80"/>
        <v xml:space="preserve"> (og)</v>
      </c>
      <c r="BN34" s="77" t="str">
        <f t="shared" si="81"/>
        <v xml:space="preserve"> (og)</v>
      </c>
      <c r="BO34" s="77" t="str">
        <f t="shared" si="82"/>
        <v xml:space="preserve"> (og)</v>
      </c>
      <c r="BQ34" s="77" t="str">
        <f t="shared" si="83"/>
        <v xml:space="preserve"> (og)</v>
      </c>
      <c r="BR34" s="77" t="str">
        <f t="shared" si="84"/>
        <v xml:space="preserve"> (og)</v>
      </c>
      <c r="BT34" s="77" t="str">
        <f t="shared" ca="1" si="85"/>
        <v>Croatia</v>
      </c>
      <c r="BU34" s="77">
        <f t="shared" si="12"/>
        <v>32</v>
      </c>
      <c r="BV34" s="77" t="s">
        <v>3891</v>
      </c>
      <c r="BW34" s="77">
        <f t="shared" si="86"/>
        <v>2</v>
      </c>
      <c r="BX34" s="77" t="str">
        <f t="shared" ca="1" si="87"/>
        <v>N. Jelavić</v>
      </c>
      <c r="BY34" s="77">
        <f ca="1">COUNTIF('Group Stages'!$L$14:$S$110,BX34)+COUNTIF('Knock Out Stages'!$N$41:$U$84,BX34)</f>
        <v>0</v>
      </c>
      <c r="BZ34" s="79" t="s">
        <v>3941</v>
      </c>
      <c r="CA34" s="77" t="str">
        <f t="shared" ca="1" si="88"/>
        <v>Nikica Jelavić</v>
      </c>
      <c r="CB34" s="77">
        <v>31</v>
      </c>
      <c r="CC34" s="77" t="str">
        <f t="array" aca="1" ref="CC34" ca="1">IFERROR(INDEX($BX$3:$BX$738, SMALL(IF(COUNTIF(CC$3, $BY$3:$BY$738), ROW($BX$3:$BX$738)-MIN(ROW($BX$3:$BX$738))+1), $CB34), 0),"")</f>
        <v/>
      </c>
      <c r="CD34" s="77" t="str">
        <f t="array" aca="1" ref="CD34" ca="1">IFERROR(INDEX($BX$3:$BX$738, SMALL(IF(COUNTIF(CD$3, $BY$3:$BY$738), ROW($BX$3:$BX$738)-MIN(ROW($BX$3:$BX$738))+1), $CB34), 0),"")</f>
        <v/>
      </c>
      <c r="CE34" s="77" t="str">
        <f t="array" aca="1" ref="CE34" ca="1">IFERROR(INDEX($BX$3:$BX$738, SMALL(IF(COUNTIF(CE$3, $BY$3:$BY$738), ROW($BX$3:$BX$738)-MIN(ROW($BX$3:$BX$738))+1), $CB34), 0),"")</f>
        <v/>
      </c>
      <c r="CF34" s="77" t="str">
        <f t="array" aca="1" ref="CF34" ca="1">IFERROR(INDEX($BX$3:$BX$738, SMALL(IF(COUNTIF(CF$3, $BY$3:$BY$738), ROW($BX$3:$BX$738)-MIN(ROW($BX$3:$BX$738))+1), $CB34), 0),"")</f>
        <v/>
      </c>
      <c r="CG34" s="77" t="str">
        <f t="array" aca="1" ref="CG34" ca="1">IFERROR(INDEX($BX$3:$BX$738, SMALL(IF(COUNTIF(CG$3, $BY$3:$BY$738), ROW($BX$3:$BX$738)-MIN(ROW($BX$3:$BX$738))+1), $CB34), 0),"")</f>
        <v/>
      </c>
      <c r="CH34" s="77" t="str">
        <f t="array" aca="1" ref="CH34" ca="1">IFERROR(INDEX($BX$3:$BX$738, SMALL(IF(COUNTIF(CH$3, $BY$3:$BY$738), ROW($BX$3:$BX$738)-MIN(ROW($BX$3:$BX$738))+1), $CB34), 0),"")</f>
        <v/>
      </c>
      <c r="CI34" s="77" t="str">
        <f t="array" aca="1" ref="CI34" ca="1">IFERROR(INDEX($BX$3:$BX$738, SMALL(IF(COUNTIF(CI$3, $BY$3:$BY$738), ROW($BX$3:$BX$738)-MIN(ROW($BX$3:$BX$738))+1), $CB34), 0),"")</f>
        <v/>
      </c>
      <c r="CJ34" s="77" t="str">
        <f t="array" aca="1" ref="CJ34" ca="1">IFERROR(INDEX($BX$3:$BX$738, SMALL(IF(COUNTIF(CJ$3, $BY$3:$BY$738), ROW($BX$3:$BX$738)-MIN(ROW($BX$3:$BX$738))+1), $CB34), 0),"")</f>
        <v/>
      </c>
      <c r="CK34" s="77" t="str">
        <f t="array" aca="1" ref="CK34" ca="1">IFERROR(INDEX($BX$3:$BX$738, SMALL(IF(COUNTIF(CK$3, $BY$3:$BY$738), ROW($BX$3:$BX$738)-MIN(ROW($BX$3:$BX$738))+1), $CB34), 0),"")</f>
        <v/>
      </c>
      <c r="CL34" s="77" t="str">
        <f t="array" aca="1" ref="CL34" ca="1">IFERROR(INDEX($BX$3:$BX$738, SMALL(IF(COUNTIF(CL$3, $BY$3:$BY$738), ROW($BX$3:$BX$738)-MIN(ROW($BX$3:$BX$738))+1), $CB34), 0),"")</f>
        <v/>
      </c>
      <c r="CM34" s="77" t="str">
        <f t="array" aca="1" ref="CM34" ca="1">IFERROR(INDEX($BX$3:$BX$738, SMALL(IF(COUNTIF(CM$3, $BY$3:$BY$738), ROW($BX$3:$BX$738)-MIN(ROW($BX$3:$BX$738))+1), $CB34), 0),"")</f>
        <v/>
      </c>
      <c r="CN34" s="77" t="str">
        <f t="array" aca="1" ref="CN34" ca="1">IFERROR(INDEX($BX$3:$BX$738, SMALL(IF(COUNTIF(CN$3, $BY$3:$BY$738), ROW($BX$3:$BX$738)-MIN(ROW($BX$3:$BX$738))+1), $CB34), 0),"")</f>
        <v/>
      </c>
      <c r="CO34" s="77" t="str">
        <f t="array" aca="1" ref="CO34" ca="1">IFERROR(INDEX($BX$3:$BX$738, SMALL(IF(COUNTIF(CO$3, $BY$3:$BY$738), ROW($BX$3:$BX$738)-MIN(ROW($BX$3:$BX$738))+1), $CB34), 0),"")</f>
        <v/>
      </c>
      <c r="CP34" s="77" t="str">
        <f t="array" aca="1" ref="CP34" ca="1">IFERROR(INDEX($BX$3:$BX$738, SMALL(IF(COUNTIF(CP$3, $BY$3:$BY$738), ROW($BX$3:$BX$738)-MIN(ROW($BX$3:$BX$738))+1), $CB34), 0),"")</f>
        <v/>
      </c>
      <c r="CQ34" s="77" t="str">
        <f t="array" aca="1" ref="CQ34" ca="1">IFERROR(INDEX($BX$3:$BX$738, SMALL(IF(COUNTIF(CQ$3, $BY$3:$BY$738), ROW($BX$3:$BX$738)-MIN(ROW($BX$3:$BX$738))+1), $CB34), 0),"")</f>
        <v/>
      </c>
      <c r="CS34" s="77">
        <v>31</v>
      </c>
      <c r="CT34" s="77">
        <v>1</v>
      </c>
      <c r="CV34" s="77" t="str">
        <f t="shared" ca="1" si="10"/>
        <v/>
      </c>
      <c r="CW34" s="77">
        <f t="shared" ca="1" si="13"/>
        <v>0</v>
      </c>
      <c r="CZ34" s="77">
        <v>31</v>
      </c>
      <c r="DA34" s="77" t="str">
        <f t="shared" ca="1" si="14"/>
        <v/>
      </c>
      <c r="DB34" s="77" t="str">
        <f t="shared" ca="1" si="15"/>
        <v/>
      </c>
      <c r="DC34" s="77" t="str">
        <f t="shared" ca="1" si="19"/>
        <v/>
      </c>
      <c r="DD34" s="77" t="str">
        <f t="shared" ca="1" si="17"/>
        <v/>
      </c>
    </row>
    <row r="35" spans="1:108">
      <c r="A35" s="77">
        <f t="shared" si="22"/>
        <v>10</v>
      </c>
      <c r="B35" s="77" t="str">
        <f t="shared" si="23"/>
        <v>L. Modrić (og)</v>
      </c>
      <c r="C35" s="77" t="str">
        <f t="shared" si="24"/>
        <v>Neymar (og)</v>
      </c>
      <c r="D35" s="77" t="str">
        <f t="shared" si="25"/>
        <v>Neymar (og)</v>
      </c>
      <c r="E35" s="77" t="str">
        <f t="shared" si="26"/>
        <v>Neymar (og)</v>
      </c>
      <c r="F35" s="77" t="str">
        <f t="shared" si="27"/>
        <v>W. Sneijder (og)</v>
      </c>
      <c r="G35" s="77" t="str">
        <f t="shared" si="28"/>
        <v>C. Fàbregas (og)</v>
      </c>
      <c r="H35" s="77" t="str">
        <f t="shared" si="29"/>
        <v>C. Fàbregas (og)</v>
      </c>
      <c r="I35" s="77" t="str">
        <f t="shared" si="30"/>
        <v>C. Fàbregas (og)</v>
      </c>
      <c r="J35" s="77" t="str">
        <f t="shared" si="31"/>
        <v>G. Karagounis  (og)</v>
      </c>
      <c r="K35" s="77" t="str">
        <f t="shared" si="32"/>
        <v>J. Rodríguez (og)</v>
      </c>
      <c r="L35" s="77" t="str">
        <f t="shared" si="33"/>
        <v>J. Rodríguez (og)</v>
      </c>
      <c r="M35" s="77" t="str">
        <f t="shared" si="34"/>
        <v>J. Rodríguez (og)</v>
      </c>
      <c r="N35" s="77" t="str">
        <f t="shared" si="35"/>
        <v>B. Ruiz  (og)</v>
      </c>
      <c r="O35" s="77" t="str">
        <f t="shared" si="36"/>
        <v>D. Forlán (og)</v>
      </c>
      <c r="P35" s="77" t="str">
        <f t="shared" si="37"/>
        <v>D. Forlán (og)</v>
      </c>
      <c r="Q35" s="77" t="str">
        <f t="shared" si="38"/>
        <v>D. Forlán (og)</v>
      </c>
      <c r="R35" s="77" t="str">
        <f t="shared" si="39"/>
        <v>W. Ayoví (og)</v>
      </c>
      <c r="S35" s="77" t="str">
        <f t="shared" si="40"/>
        <v>G. Xhaka (og)</v>
      </c>
      <c r="T35" s="77" t="str">
        <f t="shared" si="41"/>
        <v>G. Xhaka (og)</v>
      </c>
      <c r="U35" s="77" t="str">
        <f t="shared" si="42"/>
        <v>G. Xhaka (og)</v>
      </c>
      <c r="V35" s="77" t="str">
        <f t="shared" si="43"/>
        <v>Z. Misimović (og)</v>
      </c>
      <c r="W35" s="77" t="str">
        <f t="shared" si="44"/>
        <v>L. Messi  (og)</v>
      </c>
      <c r="X35" s="77" t="str">
        <f t="shared" si="45"/>
        <v>L. Messi  (og)</v>
      </c>
      <c r="Y35" s="77" t="str">
        <f t="shared" si="46"/>
        <v>L. Messi  (og)</v>
      </c>
      <c r="Z35" s="77" t="str">
        <f t="shared" si="47"/>
        <v>Vieirinha (og)</v>
      </c>
      <c r="AA35" s="77" t="str">
        <f t="shared" si="48"/>
        <v>L. Podolski (og)</v>
      </c>
      <c r="AB35" s="77" t="str">
        <f t="shared" si="49"/>
        <v>L. Podolski (og)</v>
      </c>
      <c r="AC35" s="77" t="str">
        <f t="shared" si="50"/>
        <v>L. Podolski (og)</v>
      </c>
      <c r="AD35" s="77" t="str">
        <f t="shared" si="51"/>
        <v>S. Feghouli (og)</v>
      </c>
      <c r="AE35" s="77" t="str">
        <f t="shared" si="52"/>
        <v>E. Hazard (og)</v>
      </c>
      <c r="AF35" s="77" t="str">
        <f t="shared" si="53"/>
        <v>E. Hazard (og)</v>
      </c>
      <c r="AG35" s="77" t="str">
        <f t="shared" si="54"/>
        <v>E. Hazard (og)</v>
      </c>
      <c r="AI35" s="77" t="str">
        <f t="shared" ca="1" si="55"/>
        <v xml:space="preserve"> (og)</v>
      </c>
      <c r="AJ35" s="77" t="str">
        <f t="shared" ca="1" si="56"/>
        <v xml:space="preserve"> (og)</v>
      </c>
      <c r="AK35" s="77" t="str">
        <f t="shared" ca="1" si="55"/>
        <v xml:space="preserve"> (og)</v>
      </c>
      <c r="AL35" s="77" t="str">
        <f t="shared" ca="1" si="56"/>
        <v xml:space="preserve"> (og)</v>
      </c>
      <c r="AM35" s="77" t="str">
        <f t="shared" ref="AM35" ca="1" si="201">AN12&amp;" (og)"</f>
        <v xml:space="preserve"> (og)</v>
      </c>
      <c r="AN35" s="77" t="str">
        <f t="shared" ref="AN35" ca="1" si="202">AM12&amp;" (og)"</f>
        <v xml:space="preserve"> (og)</v>
      </c>
      <c r="AO35" s="77" t="str">
        <f t="shared" ref="AO35" ca="1" si="203">AP12&amp;" (og)"</f>
        <v xml:space="preserve"> (og)</v>
      </c>
      <c r="AP35" s="77" t="str">
        <f t="shared" ref="AP35" ca="1" si="204">AO12&amp;" (og)"</f>
        <v xml:space="preserve"> (og)</v>
      </c>
      <c r="AQ35" s="77" t="str">
        <f t="shared" ref="AQ35" ca="1" si="205">AR12&amp;" (og)"</f>
        <v xml:space="preserve"> (og)</v>
      </c>
      <c r="AR35" s="77" t="str">
        <f t="shared" ref="AR35" ca="1" si="206">AQ12&amp;" (og)"</f>
        <v xml:space="preserve"> (og)</v>
      </c>
      <c r="AS35" s="77" t="str">
        <f t="shared" ref="AS35" ca="1" si="207">AT12&amp;" (og)"</f>
        <v xml:space="preserve"> (og)</v>
      </c>
      <c r="AT35" s="77" t="str">
        <f t="shared" ref="AT35" ca="1" si="208">AS12&amp;" (og)"</f>
        <v xml:space="preserve"> (og)</v>
      </c>
      <c r="AU35" s="77" t="str">
        <f t="shared" ref="AU35" ca="1" si="209">AV12&amp;" (og)"</f>
        <v xml:space="preserve"> (og)</v>
      </c>
      <c r="AV35" s="77" t="str">
        <f t="shared" ref="AV35" ca="1" si="210">AU12&amp;" (og)"</f>
        <v xml:space="preserve"> (og)</v>
      </c>
      <c r="AW35" s="77" t="str">
        <f t="shared" ref="AW35" ca="1" si="211">AX12&amp;" (og)"</f>
        <v xml:space="preserve"> (og)</v>
      </c>
      <c r="AX35" s="77" t="str">
        <f t="shared" ref="AX35" ca="1" si="212">AW12&amp;" (og)"</f>
        <v xml:space="preserve"> (og)</v>
      </c>
      <c r="AZ35" s="77" t="str">
        <f t="shared" ref="AZ35" si="213">BA12&amp;" (og)"</f>
        <v xml:space="preserve"> (og)</v>
      </c>
      <c r="BA35" s="77" t="str">
        <f t="shared" ref="BA35" si="214">AZ12&amp;" (og)"</f>
        <v xml:space="preserve"> (og)</v>
      </c>
      <c r="BB35" s="77" t="str">
        <f t="shared" ref="BB35" si="215">BC12&amp;" (og)"</f>
        <v xml:space="preserve"> (og)</v>
      </c>
      <c r="BC35" s="77" t="str">
        <f t="shared" ref="BC35" si="216">BB12&amp;" (og)"</f>
        <v xml:space="preserve"> (og)</v>
      </c>
      <c r="BD35" s="77" t="str">
        <f t="shared" si="73"/>
        <v xml:space="preserve"> (og)</v>
      </c>
      <c r="BE35" s="77" t="str">
        <f t="shared" si="74"/>
        <v xml:space="preserve"> (og)</v>
      </c>
      <c r="BF35" s="77" t="str">
        <f t="shared" si="75"/>
        <v xml:space="preserve"> (og)</v>
      </c>
      <c r="BG35" s="77" t="str">
        <f t="shared" si="76"/>
        <v xml:space="preserve"> (og)</v>
      </c>
      <c r="BI35" s="77" t="str">
        <f t="shared" si="77"/>
        <v xml:space="preserve"> (og)</v>
      </c>
      <c r="BJ35" s="77" t="str">
        <f t="shared" si="78"/>
        <v xml:space="preserve"> (og)</v>
      </c>
      <c r="BK35" s="77" t="str">
        <f t="shared" si="79"/>
        <v xml:space="preserve"> (og)</v>
      </c>
      <c r="BL35" s="77" t="str">
        <f t="shared" si="80"/>
        <v xml:space="preserve"> (og)</v>
      </c>
      <c r="BN35" s="77" t="str">
        <f t="shared" si="81"/>
        <v xml:space="preserve"> (og)</v>
      </c>
      <c r="BO35" s="77" t="str">
        <f t="shared" si="82"/>
        <v xml:space="preserve"> (og)</v>
      </c>
      <c r="BQ35" s="77" t="str">
        <f t="shared" si="83"/>
        <v xml:space="preserve"> (og)</v>
      </c>
      <c r="BR35" s="77" t="str">
        <f t="shared" si="84"/>
        <v xml:space="preserve"> (og)</v>
      </c>
      <c r="BT35" s="77" t="str">
        <f t="shared" ca="1" si="85"/>
        <v>Croatia</v>
      </c>
      <c r="BU35" s="77">
        <f t="shared" si="12"/>
        <v>33</v>
      </c>
      <c r="BV35" s="77" t="s">
        <v>3892</v>
      </c>
      <c r="BW35" s="77">
        <f t="shared" si="86"/>
        <v>2</v>
      </c>
      <c r="BX35" s="77" t="str">
        <f t="shared" ca="1" si="87"/>
        <v>L. Modrić</v>
      </c>
      <c r="BY35" s="77">
        <f ca="1">COUNTIF('Group Stages'!$L$14:$S$110,BX35)+COUNTIF('Knock Out Stages'!$N$41:$U$84,BX35)</f>
        <v>0</v>
      </c>
      <c r="BZ35" s="79" t="s">
        <v>3942</v>
      </c>
      <c r="CA35" s="77" t="str">
        <f t="shared" ca="1" si="88"/>
        <v>Luka Modrić</v>
      </c>
      <c r="CB35" s="77">
        <v>32</v>
      </c>
      <c r="CC35" s="77" t="str">
        <f t="array" aca="1" ref="CC35" ca="1">IFERROR(INDEX($BX$3:$BX$738, SMALL(IF(COUNTIF(CC$3, $BY$3:$BY$738), ROW($BX$3:$BX$738)-MIN(ROW($BX$3:$BX$738))+1), $CB35), 0),"")</f>
        <v/>
      </c>
      <c r="CD35" s="77" t="str">
        <f t="array" aca="1" ref="CD35" ca="1">IFERROR(INDEX($BX$3:$BX$738, SMALL(IF(COUNTIF(CD$3, $BY$3:$BY$738), ROW($BX$3:$BX$738)-MIN(ROW($BX$3:$BX$738))+1), $CB35), 0),"")</f>
        <v/>
      </c>
      <c r="CE35" s="77" t="str">
        <f t="array" aca="1" ref="CE35" ca="1">IFERROR(INDEX($BX$3:$BX$738, SMALL(IF(COUNTIF(CE$3, $BY$3:$BY$738), ROW($BX$3:$BX$738)-MIN(ROW($BX$3:$BX$738))+1), $CB35), 0),"")</f>
        <v/>
      </c>
      <c r="CF35" s="77" t="str">
        <f t="array" aca="1" ref="CF35" ca="1">IFERROR(INDEX($BX$3:$BX$738, SMALL(IF(COUNTIF(CF$3, $BY$3:$BY$738), ROW($BX$3:$BX$738)-MIN(ROW($BX$3:$BX$738))+1), $CB35), 0),"")</f>
        <v/>
      </c>
      <c r="CG35" s="77" t="str">
        <f t="array" aca="1" ref="CG35" ca="1">IFERROR(INDEX($BX$3:$BX$738, SMALL(IF(COUNTIF(CG$3, $BY$3:$BY$738), ROW($BX$3:$BX$738)-MIN(ROW($BX$3:$BX$738))+1), $CB35), 0),"")</f>
        <v/>
      </c>
      <c r="CH35" s="77" t="str">
        <f t="array" aca="1" ref="CH35" ca="1">IFERROR(INDEX($BX$3:$BX$738, SMALL(IF(COUNTIF(CH$3, $BY$3:$BY$738), ROW($BX$3:$BX$738)-MIN(ROW($BX$3:$BX$738))+1), $CB35), 0),"")</f>
        <v/>
      </c>
      <c r="CI35" s="77" t="str">
        <f t="array" aca="1" ref="CI35" ca="1">IFERROR(INDEX($BX$3:$BX$738, SMALL(IF(COUNTIF(CI$3, $BY$3:$BY$738), ROW($BX$3:$BX$738)-MIN(ROW($BX$3:$BX$738))+1), $CB35), 0),"")</f>
        <v/>
      </c>
      <c r="CJ35" s="77" t="str">
        <f t="array" aca="1" ref="CJ35" ca="1">IFERROR(INDEX($BX$3:$BX$738, SMALL(IF(COUNTIF(CJ$3, $BY$3:$BY$738), ROW($BX$3:$BX$738)-MIN(ROW($BX$3:$BX$738))+1), $CB35), 0),"")</f>
        <v/>
      </c>
      <c r="CK35" s="77" t="str">
        <f t="array" aca="1" ref="CK35" ca="1">IFERROR(INDEX($BX$3:$BX$738, SMALL(IF(COUNTIF(CK$3, $BY$3:$BY$738), ROW($BX$3:$BX$738)-MIN(ROW($BX$3:$BX$738))+1), $CB35), 0),"")</f>
        <v/>
      </c>
      <c r="CL35" s="77" t="str">
        <f t="array" aca="1" ref="CL35" ca="1">IFERROR(INDEX($BX$3:$BX$738, SMALL(IF(COUNTIF(CL$3, $BY$3:$BY$738), ROW($BX$3:$BX$738)-MIN(ROW($BX$3:$BX$738))+1), $CB35), 0),"")</f>
        <v/>
      </c>
      <c r="CM35" s="77" t="str">
        <f t="array" aca="1" ref="CM35" ca="1">IFERROR(INDEX($BX$3:$BX$738, SMALL(IF(COUNTIF(CM$3, $BY$3:$BY$738), ROW($BX$3:$BX$738)-MIN(ROW($BX$3:$BX$738))+1), $CB35), 0),"")</f>
        <v/>
      </c>
      <c r="CN35" s="77" t="str">
        <f t="array" aca="1" ref="CN35" ca="1">IFERROR(INDEX($BX$3:$BX$738, SMALL(IF(COUNTIF(CN$3, $BY$3:$BY$738), ROW($BX$3:$BX$738)-MIN(ROW($BX$3:$BX$738))+1), $CB35), 0),"")</f>
        <v/>
      </c>
      <c r="CO35" s="77" t="str">
        <f t="array" aca="1" ref="CO35" ca="1">IFERROR(INDEX($BX$3:$BX$738, SMALL(IF(COUNTIF(CO$3, $BY$3:$BY$738), ROW($BX$3:$BX$738)-MIN(ROW($BX$3:$BX$738))+1), $CB35), 0),"")</f>
        <v/>
      </c>
      <c r="CP35" s="77" t="str">
        <f t="array" aca="1" ref="CP35" ca="1">IFERROR(INDEX($BX$3:$BX$738, SMALL(IF(COUNTIF(CP$3, $BY$3:$BY$738), ROW($BX$3:$BX$738)-MIN(ROW($BX$3:$BX$738))+1), $CB35), 0),"")</f>
        <v/>
      </c>
      <c r="CQ35" s="77" t="str">
        <f t="array" aca="1" ref="CQ35" ca="1">IFERROR(INDEX($BX$3:$BX$738, SMALL(IF(COUNTIF(CQ$3, $BY$3:$BY$738), ROW($BX$3:$BX$738)-MIN(ROW($BX$3:$BX$738))+1), $CB35), 0),"")</f>
        <v/>
      </c>
      <c r="CS35" s="77">
        <v>32</v>
      </c>
      <c r="CT35" s="77">
        <v>1</v>
      </c>
      <c r="CV35" s="77" t="str">
        <f t="shared" ca="1" si="10"/>
        <v/>
      </c>
      <c r="CW35" s="77">
        <f t="shared" ca="1" si="13"/>
        <v>0</v>
      </c>
      <c r="CZ35" s="77">
        <v>32</v>
      </c>
      <c r="DA35" s="77" t="str">
        <f t="shared" ca="1" si="14"/>
        <v/>
      </c>
      <c r="DB35" s="77" t="str">
        <f t="shared" ca="1" si="15"/>
        <v/>
      </c>
      <c r="DC35" s="77" t="str">
        <f t="shared" ca="1" si="19"/>
        <v/>
      </c>
      <c r="DD35" s="77" t="str">
        <f t="shared" ca="1" si="17"/>
        <v/>
      </c>
    </row>
    <row r="36" spans="1:108">
      <c r="A36" s="77">
        <f t="shared" si="22"/>
        <v>11</v>
      </c>
      <c r="B36" s="77" t="str">
        <f t="shared" si="23"/>
        <v>D. Srna  (og)</v>
      </c>
      <c r="C36" s="77" t="str">
        <f t="shared" si="24"/>
        <v>Oscar (og)</v>
      </c>
      <c r="D36" s="77" t="str">
        <f t="shared" si="25"/>
        <v>Oscar (og)</v>
      </c>
      <c r="E36" s="77" t="str">
        <f t="shared" si="26"/>
        <v>Oscar (og)</v>
      </c>
      <c r="F36" s="77" t="str">
        <f t="shared" si="27"/>
        <v>A. Robben (og)</v>
      </c>
      <c r="G36" s="77" t="str">
        <f t="shared" si="28"/>
        <v>Pedro (og)</v>
      </c>
      <c r="H36" s="77" t="str">
        <f t="shared" si="29"/>
        <v>Pedro (og)</v>
      </c>
      <c r="I36" s="77" t="str">
        <f t="shared" si="30"/>
        <v>Pedro (og)</v>
      </c>
      <c r="J36" s="77" t="str">
        <f t="shared" si="31"/>
        <v>L. Vyntra (og)</v>
      </c>
      <c r="K36" s="77" t="str">
        <f t="shared" si="32"/>
        <v>J. Guillermo Cuadrado (og)</v>
      </c>
      <c r="L36" s="77" t="str">
        <f t="shared" si="33"/>
        <v>J. Guillermo Cuadrado (og)</v>
      </c>
      <c r="M36" s="77" t="str">
        <f t="shared" si="34"/>
        <v>J. Guillermo Cuadrado (og)</v>
      </c>
      <c r="N36" s="77" t="str">
        <f t="shared" si="35"/>
        <v>M. Barrantes (og)</v>
      </c>
      <c r="O36" s="77" t="str">
        <f t="shared" si="36"/>
        <v>C. Stuani (og)</v>
      </c>
      <c r="P36" s="77" t="str">
        <f t="shared" si="37"/>
        <v>C. Stuani (og)</v>
      </c>
      <c r="Q36" s="77" t="str">
        <f t="shared" si="38"/>
        <v>C. Stuani (og)</v>
      </c>
      <c r="R36" s="77" t="str">
        <f t="shared" si="39"/>
        <v>F. Caicedo (og)</v>
      </c>
      <c r="S36" s="77" t="str">
        <f t="shared" si="40"/>
        <v>V. Behrami (og)</v>
      </c>
      <c r="T36" s="77" t="str">
        <f t="shared" si="41"/>
        <v>V. Behrami (og)</v>
      </c>
      <c r="U36" s="77" t="str">
        <f t="shared" si="42"/>
        <v>V. Behrami (og)</v>
      </c>
      <c r="V36" s="77" t="str">
        <f t="shared" si="43"/>
        <v>E. Džeko (og)</v>
      </c>
      <c r="W36" s="77" t="str">
        <f t="shared" si="44"/>
        <v>M. Rodríguez (og)</v>
      </c>
      <c r="X36" s="77" t="str">
        <f t="shared" si="45"/>
        <v>M. Rodríguez (og)</v>
      </c>
      <c r="Y36" s="77" t="str">
        <f t="shared" si="46"/>
        <v>M. Rodríguez (og)</v>
      </c>
      <c r="Z36" s="77" t="str">
        <f t="shared" si="47"/>
        <v>Éder (og)</v>
      </c>
      <c r="AA36" s="77" t="str">
        <f t="shared" si="48"/>
        <v>M. Klose (og)</v>
      </c>
      <c r="AB36" s="77" t="str">
        <f t="shared" si="49"/>
        <v>M. Klose (og)</v>
      </c>
      <c r="AC36" s="77" t="str">
        <f t="shared" si="50"/>
        <v>M. Klose (og)</v>
      </c>
      <c r="AD36" s="77" t="str">
        <f t="shared" si="51"/>
        <v>Y. Brahimi (og)</v>
      </c>
      <c r="AE36" s="77" t="str">
        <f t="shared" si="52"/>
        <v>K. Mirallas (og)</v>
      </c>
      <c r="AF36" s="77" t="str">
        <f t="shared" si="53"/>
        <v>K. Mirallas (og)</v>
      </c>
      <c r="AG36" s="77" t="str">
        <f t="shared" si="54"/>
        <v>K. Mirallas (og)</v>
      </c>
      <c r="AI36" s="77" t="str">
        <f t="shared" ca="1" si="55"/>
        <v xml:space="preserve"> (og)</v>
      </c>
      <c r="AJ36" s="77" t="str">
        <f t="shared" ca="1" si="56"/>
        <v xml:space="preserve"> (og)</v>
      </c>
      <c r="AK36" s="77" t="str">
        <f t="shared" ca="1" si="55"/>
        <v xml:space="preserve"> (og)</v>
      </c>
      <c r="AL36" s="77" t="str">
        <f t="shared" ca="1" si="56"/>
        <v xml:space="preserve"> (og)</v>
      </c>
      <c r="AM36" s="77" t="str">
        <f t="shared" ref="AM36" ca="1" si="217">AN13&amp;" (og)"</f>
        <v xml:space="preserve"> (og)</v>
      </c>
      <c r="AN36" s="77" t="str">
        <f t="shared" ref="AN36" ca="1" si="218">AM13&amp;" (og)"</f>
        <v xml:space="preserve"> (og)</v>
      </c>
      <c r="AO36" s="77" t="str">
        <f t="shared" ref="AO36" ca="1" si="219">AP13&amp;" (og)"</f>
        <v xml:space="preserve"> (og)</v>
      </c>
      <c r="AP36" s="77" t="str">
        <f t="shared" ref="AP36" ca="1" si="220">AO13&amp;" (og)"</f>
        <v xml:space="preserve"> (og)</v>
      </c>
      <c r="AQ36" s="77" t="str">
        <f t="shared" ref="AQ36" ca="1" si="221">AR13&amp;" (og)"</f>
        <v xml:space="preserve"> (og)</v>
      </c>
      <c r="AR36" s="77" t="str">
        <f t="shared" ref="AR36" ca="1" si="222">AQ13&amp;" (og)"</f>
        <v xml:space="preserve"> (og)</v>
      </c>
      <c r="AS36" s="77" t="str">
        <f t="shared" ref="AS36" ca="1" si="223">AT13&amp;" (og)"</f>
        <v xml:space="preserve"> (og)</v>
      </c>
      <c r="AT36" s="77" t="str">
        <f t="shared" ref="AT36" ca="1" si="224">AS13&amp;" (og)"</f>
        <v xml:space="preserve"> (og)</v>
      </c>
      <c r="AU36" s="77" t="str">
        <f t="shared" ref="AU36" ca="1" si="225">AV13&amp;" (og)"</f>
        <v xml:space="preserve"> (og)</v>
      </c>
      <c r="AV36" s="77" t="str">
        <f t="shared" ref="AV36" ca="1" si="226">AU13&amp;" (og)"</f>
        <v xml:space="preserve"> (og)</v>
      </c>
      <c r="AW36" s="77" t="str">
        <f t="shared" ref="AW36" ca="1" si="227">AX13&amp;" (og)"</f>
        <v xml:space="preserve"> (og)</v>
      </c>
      <c r="AX36" s="77" t="str">
        <f t="shared" ref="AX36" ca="1" si="228">AW13&amp;" (og)"</f>
        <v xml:space="preserve"> (og)</v>
      </c>
      <c r="AZ36" s="77" t="str">
        <f t="shared" ref="AZ36" si="229">BA13&amp;" (og)"</f>
        <v xml:space="preserve"> (og)</v>
      </c>
      <c r="BA36" s="77" t="str">
        <f t="shared" ref="BA36" si="230">AZ13&amp;" (og)"</f>
        <v xml:space="preserve"> (og)</v>
      </c>
      <c r="BB36" s="77" t="str">
        <f t="shared" ref="BB36" si="231">BC13&amp;" (og)"</f>
        <v xml:space="preserve"> (og)</v>
      </c>
      <c r="BC36" s="77" t="str">
        <f t="shared" ref="BC36" si="232">BB13&amp;" (og)"</f>
        <v xml:space="preserve"> (og)</v>
      </c>
      <c r="BD36" s="77" t="str">
        <f t="shared" si="73"/>
        <v xml:space="preserve"> (og)</v>
      </c>
      <c r="BE36" s="77" t="str">
        <f t="shared" si="74"/>
        <v xml:space="preserve"> (og)</v>
      </c>
      <c r="BF36" s="77" t="str">
        <f t="shared" si="75"/>
        <v xml:space="preserve"> (og)</v>
      </c>
      <c r="BG36" s="77" t="str">
        <f t="shared" si="76"/>
        <v xml:space="preserve"> (og)</v>
      </c>
      <c r="BI36" s="77" t="str">
        <f t="shared" si="77"/>
        <v xml:space="preserve"> (og)</v>
      </c>
      <c r="BJ36" s="77" t="str">
        <f t="shared" si="78"/>
        <v xml:space="preserve"> (og)</v>
      </c>
      <c r="BK36" s="77" t="str">
        <f t="shared" si="79"/>
        <v xml:space="preserve"> (og)</v>
      </c>
      <c r="BL36" s="77" t="str">
        <f t="shared" si="80"/>
        <v xml:space="preserve"> (og)</v>
      </c>
      <c r="BN36" s="77" t="str">
        <f t="shared" si="81"/>
        <v xml:space="preserve"> (og)</v>
      </c>
      <c r="BO36" s="77" t="str">
        <f t="shared" si="82"/>
        <v xml:space="preserve"> (og)</v>
      </c>
      <c r="BQ36" s="77" t="str">
        <f t="shared" si="83"/>
        <v xml:space="preserve"> (og)</v>
      </c>
      <c r="BR36" s="77" t="str">
        <f t="shared" si="84"/>
        <v xml:space="preserve"> (og)</v>
      </c>
      <c r="BT36" s="77" t="str">
        <f t="shared" ca="1" si="85"/>
        <v>Croatia</v>
      </c>
      <c r="BU36" s="77">
        <f t="shared" si="12"/>
        <v>34</v>
      </c>
      <c r="BV36" s="77" t="s">
        <v>3893</v>
      </c>
      <c r="BW36" s="77">
        <f t="shared" si="86"/>
        <v>2</v>
      </c>
      <c r="BX36" s="77" t="str">
        <f t="shared" ca="1" si="87"/>
        <v xml:space="preserve">D. Srna </v>
      </c>
      <c r="BY36" s="77">
        <f ca="1">COUNTIF('Group Stages'!$L$14:$S$110,BX36)+COUNTIF('Knock Out Stages'!$N$41:$U$84,BX36)</f>
        <v>0</v>
      </c>
      <c r="BZ36" s="79" t="s">
        <v>3943</v>
      </c>
      <c r="CA36" s="77" t="str">
        <f t="shared" ca="1" si="88"/>
        <v xml:space="preserve">Darijo Srna </v>
      </c>
      <c r="CB36" s="77">
        <v>33</v>
      </c>
      <c r="CC36" s="77" t="str">
        <f t="array" aca="1" ref="CC36" ca="1">IFERROR(INDEX($BX$3:$BX$738, SMALL(IF(COUNTIF(CC$3, $BY$3:$BY$738), ROW($BX$3:$BX$738)-MIN(ROW($BX$3:$BX$738))+1), $CB36), 0),"")</f>
        <v/>
      </c>
      <c r="CD36" s="77" t="str">
        <f t="array" aca="1" ref="CD36" ca="1">IFERROR(INDEX($BX$3:$BX$738, SMALL(IF(COUNTIF(CD$3, $BY$3:$BY$738), ROW($BX$3:$BX$738)-MIN(ROW($BX$3:$BX$738))+1), $CB36), 0),"")</f>
        <v/>
      </c>
      <c r="CE36" s="77" t="str">
        <f t="array" aca="1" ref="CE36" ca="1">IFERROR(INDEX($BX$3:$BX$738, SMALL(IF(COUNTIF(CE$3, $BY$3:$BY$738), ROW($BX$3:$BX$738)-MIN(ROW($BX$3:$BX$738))+1), $CB36), 0),"")</f>
        <v/>
      </c>
      <c r="CF36" s="77" t="str">
        <f t="array" aca="1" ref="CF36" ca="1">IFERROR(INDEX($BX$3:$BX$738, SMALL(IF(COUNTIF(CF$3, $BY$3:$BY$738), ROW($BX$3:$BX$738)-MIN(ROW($BX$3:$BX$738))+1), $CB36), 0),"")</f>
        <v/>
      </c>
      <c r="CG36" s="77" t="str">
        <f t="array" aca="1" ref="CG36" ca="1">IFERROR(INDEX($BX$3:$BX$738, SMALL(IF(COUNTIF(CG$3, $BY$3:$BY$738), ROW($BX$3:$BX$738)-MIN(ROW($BX$3:$BX$738))+1), $CB36), 0),"")</f>
        <v/>
      </c>
      <c r="CH36" s="77" t="str">
        <f t="array" aca="1" ref="CH36" ca="1">IFERROR(INDEX($BX$3:$BX$738, SMALL(IF(COUNTIF(CH$3, $BY$3:$BY$738), ROW($BX$3:$BX$738)-MIN(ROW($BX$3:$BX$738))+1), $CB36), 0),"")</f>
        <v/>
      </c>
      <c r="CI36" s="77" t="str">
        <f t="array" aca="1" ref="CI36" ca="1">IFERROR(INDEX($BX$3:$BX$738, SMALL(IF(COUNTIF(CI$3, $BY$3:$BY$738), ROW($BX$3:$BX$738)-MIN(ROW($BX$3:$BX$738))+1), $CB36), 0),"")</f>
        <v/>
      </c>
      <c r="CJ36" s="77" t="str">
        <f t="array" aca="1" ref="CJ36" ca="1">IFERROR(INDEX($BX$3:$BX$738, SMALL(IF(COUNTIF(CJ$3, $BY$3:$BY$738), ROW($BX$3:$BX$738)-MIN(ROW($BX$3:$BX$738))+1), $CB36), 0),"")</f>
        <v/>
      </c>
      <c r="CK36" s="77" t="str">
        <f t="array" aca="1" ref="CK36" ca="1">IFERROR(INDEX($BX$3:$BX$738, SMALL(IF(COUNTIF(CK$3, $BY$3:$BY$738), ROW($BX$3:$BX$738)-MIN(ROW($BX$3:$BX$738))+1), $CB36), 0),"")</f>
        <v/>
      </c>
      <c r="CL36" s="77" t="str">
        <f t="array" aca="1" ref="CL36" ca="1">IFERROR(INDEX($BX$3:$BX$738, SMALL(IF(COUNTIF(CL$3, $BY$3:$BY$738), ROW($BX$3:$BX$738)-MIN(ROW($BX$3:$BX$738))+1), $CB36), 0),"")</f>
        <v/>
      </c>
      <c r="CM36" s="77" t="str">
        <f t="array" aca="1" ref="CM36" ca="1">IFERROR(INDEX($BX$3:$BX$738, SMALL(IF(COUNTIF(CM$3, $BY$3:$BY$738), ROW($BX$3:$BX$738)-MIN(ROW($BX$3:$BX$738))+1), $CB36), 0),"")</f>
        <v/>
      </c>
      <c r="CN36" s="77" t="str">
        <f t="array" aca="1" ref="CN36" ca="1">IFERROR(INDEX($BX$3:$BX$738, SMALL(IF(COUNTIF(CN$3, $BY$3:$BY$738), ROW($BX$3:$BX$738)-MIN(ROW($BX$3:$BX$738))+1), $CB36), 0),"")</f>
        <v/>
      </c>
      <c r="CO36" s="77" t="str">
        <f t="array" aca="1" ref="CO36" ca="1">IFERROR(INDEX($BX$3:$BX$738, SMALL(IF(COUNTIF(CO$3, $BY$3:$BY$738), ROW($BX$3:$BX$738)-MIN(ROW($BX$3:$BX$738))+1), $CB36), 0),"")</f>
        <v/>
      </c>
      <c r="CP36" s="77" t="str">
        <f t="array" aca="1" ref="CP36" ca="1">IFERROR(INDEX($BX$3:$BX$738, SMALL(IF(COUNTIF(CP$3, $BY$3:$BY$738), ROW($BX$3:$BX$738)-MIN(ROW($BX$3:$BX$738))+1), $CB36), 0),"")</f>
        <v/>
      </c>
      <c r="CQ36" s="77" t="str">
        <f t="array" aca="1" ref="CQ36" ca="1">IFERROR(INDEX($BX$3:$BX$738, SMALL(IF(COUNTIF(CQ$3, $BY$3:$BY$738), ROW($BX$3:$BX$738)-MIN(ROW($BX$3:$BX$738))+1), $CB36), 0),"")</f>
        <v/>
      </c>
      <c r="CS36" s="77">
        <v>33</v>
      </c>
      <c r="CT36" s="77">
        <v>1</v>
      </c>
      <c r="CV36" s="77" t="str">
        <f t="shared" ca="1" si="10"/>
        <v/>
      </c>
      <c r="CW36" s="77">
        <f t="shared" ca="1" si="13"/>
        <v>0</v>
      </c>
      <c r="CZ36" s="77">
        <v>33</v>
      </c>
      <c r="DA36" s="77" t="str">
        <f t="shared" ca="1" si="14"/>
        <v/>
      </c>
      <c r="DB36" s="77" t="str">
        <f t="shared" ca="1" si="15"/>
        <v/>
      </c>
      <c r="DC36" s="77" t="str">
        <f t="shared" ca="1" si="19"/>
        <v/>
      </c>
      <c r="DD36" s="77" t="str">
        <f t="shared" ca="1" si="17"/>
        <v/>
      </c>
    </row>
    <row r="37" spans="1:108">
      <c r="A37" s="77">
        <f t="shared" si="22"/>
        <v>12</v>
      </c>
      <c r="B37" s="77" t="str">
        <f t="shared" si="23"/>
        <v>O. Zelenika (og)</v>
      </c>
      <c r="C37" s="77" t="str">
        <f t="shared" si="24"/>
        <v>J. César (og)</v>
      </c>
      <c r="D37" s="77" t="str">
        <f t="shared" si="25"/>
        <v>J. César (og)</v>
      </c>
      <c r="E37" s="77" t="str">
        <f t="shared" si="26"/>
        <v>J. César (og)</v>
      </c>
      <c r="F37" s="77" t="str">
        <f t="shared" si="27"/>
        <v>P. Verhaegh (og)</v>
      </c>
      <c r="G37" s="77" t="str">
        <f t="shared" si="28"/>
        <v>D. de Gea (og)</v>
      </c>
      <c r="H37" s="77" t="str">
        <f t="shared" si="29"/>
        <v>D. de Gea (og)</v>
      </c>
      <c r="I37" s="77" t="str">
        <f t="shared" si="30"/>
        <v>D. de Gea (og)</v>
      </c>
      <c r="J37" s="77" t="str">
        <f t="shared" si="31"/>
        <v>P. Glykos (og)</v>
      </c>
      <c r="K37" s="77" t="str">
        <f t="shared" si="32"/>
        <v>C. Vargas (og)</v>
      </c>
      <c r="L37" s="77" t="str">
        <f t="shared" si="33"/>
        <v>C. Vargas (og)</v>
      </c>
      <c r="M37" s="77" t="str">
        <f t="shared" si="34"/>
        <v>C. Vargas (og)</v>
      </c>
      <c r="N37" s="77" t="str">
        <f t="shared" si="35"/>
        <v>W. Francis (og)</v>
      </c>
      <c r="O37" s="77" t="str">
        <f t="shared" si="36"/>
        <v>R. Muñoz (og)</v>
      </c>
      <c r="P37" s="77" t="str">
        <f t="shared" si="37"/>
        <v>R. Muñoz (og)</v>
      </c>
      <c r="Q37" s="77" t="str">
        <f t="shared" si="38"/>
        <v>R. Muñoz (og)</v>
      </c>
      <c r="R37" s="77" t="str">
        <f t="shared" si="39"/>
        <v>A. Bone (og)</v>
      </c>
      <c r="S37" s="77" t="str">
        <f t="shared" si="40"/>
        <v>Y. Sommer (og)</v>
      </c>
      <c r="T37" s="77" t="str">
        <f t="shared" si="41"/>
        <v>Y. Sommer (og)</v>
      </c>
      <c r="U37" s="77" t="str">
        <f t="shared" si="42"/>
        <v>Y. Sommer (og)</v>
      </c>
      <c r="V37" s="77" t="str">
        <f t="shared" si="43"/>
        <v>J. Fejzić (og)</v>
      </c>
      <c r="W37" s="77" t="str">
        <f t="shared" si="44"/>
        <v>A. Orión (og)</v>
      </c>
      <c r="X37" s="77" t="str">
        <f t="shared" si="45"/>
        <v>A. Orión (og)</v>
      </c>
      <c r="Y37" s="77" t="str">
        <f t="shared" si="46"/>
        <v>A. Orión (og)</v>
      </c>
      <c r="Z37" s="77" t="str">
        <f t="shared" si="47"/>
        <v>R. Patrício (og)</v>
      </c>
      <c r="AA37" s="77" t="str">
        <f t="shared" si="48"/>
        <v>R. Zieler (og)</v>
      </c>
      <c r="AB37" s="77" t="str">
        <f t="shared" si="49"/>
        <v>R. Zieler (og)</v>
      </c>
      <c r="AC37" s="77" t="str">
        <f t="shared" si="50"/>
        <v>R. Zieler (og)</v>
      </c>
      <c r="AD37" s="77" t="str">
        <f t="shared" si="51"/>
        <v>M. Lacen (og)</v>
      </c>
      <c r="AE37" s="77" t="str">
        <f t="shared" si="52"/>
        <v>S. Mignolet (og)</v>
      </c>
      <c r="AF37" s="77" t="str">
        <f t="shared" si="53"/>
        <v>S. Mignolet (og)</v>
      </c>
      <c r="AG37" s="77" t="str">
        <f t="shared" si="54"/>
        <v>S. Mignolet (og)</v>
      </c>
      <c r="AI37" s="77" t="str">
        <f t="shared" ca="1" si="55"/>
        <v xml:space="preserve"> (og)</v>
      </c>
      <c r="AJ37" s="77" t="str">
        <f t="shared" ca="1" si="56"/>
        <v xml:space="preserve"> (og)</v>
      </c>
      <c r="AK37" s="77" t="str">
        <f t="shared" ca="1" si="55"/>
        <v xml:space="preserve"> (og)</v>
      </c>
      <c r="AL37" s="77" t="str">
        <f t="shared" ca="1" si="56"/>
        <v xml:space="preserve"> (og)</v>
      </c>
      <c r="AM37" s="77" t="str">
        <f t="shared" ref="AM37" ca="1" si="233">AN14&amp;" (og)"</f>
        <v xml:space="preserve"> (og)</v>
      </c>
      <c r="AN37" s="77" t="str">
        <f t="shared" ref="AN37" ca="1" si="234">AM14&amp;" (og)"</f>
        <v xml:space="preserve"> (og)</v>
      </c>
      <c r="AO37" s="77" t="str">
        <f t="shared" ref="AO37" ca="1" si="235">AP14&amp;" (og)"</f>
        <v xml:space="preserve"> (og)</v>
      </c>
      <c r="AP37" s="77" t="str">
        <f t="shared" ref="AP37" ca="1" si="236">AO14&amp;" (og)"</f>
        <v xml:space="preserve"> (og)</v>
      </c>
      <c r="AQ37" s="77" t="str">
        <f t="shared" ref="AQ37" ca="1" si="237">AR14&amp;" (og)"</f>
        <v xml:space="preserve"> (og)</v>
      </c>
      <c r="AR37" s="77" t="str">
        <f t="shared" ref="AR37" ca="1" si="238">AQ14&amp;" (og)"</f>
        <v xml:space="preserve"> (og)</v>
      </c>
      <c r="AS37" s="77" t="str">
        <f t="shared" ref="AS37" ca="1" si="239">AT14&amp;" (og)"</f>
        <v xml:space="preserve"> (og)</v>
      </c>
      <c r="AT37" s="77" t="str">
        <f t="shared" ref="AT37" ca="1" si="240">AS14&amp;" (og)"</f>
        <v xml:space="preserve"> (og)</v>
      </c>
      <c r="AU37" s="77" t="str">
        <f t="shared" ref="AU37" ca="1" si="241">AV14&amp;" (og)"</f>
        <v xml:space="preserve"> (og)</v>
      </c>
      <c r="AV37" s="77" t="str">
        <f t="shared" ref="AV37" ca="1" si="242">AU14&amp;" (og)"</f>
        <v xml:space="preserve"> (og)</v>
      </c>
      <c r="AW37" s="77" t="str">
        <f t="shared" ref="AW37" ca="1" si="243">AX14&amp;" (og)"</f>
        <v xml:space="preserve"> (og)</v>
      </c>
      <c r="AX37" s="77" t="str">
        <f t="shared" ref="AX37" ca="1" si="244">AW14&amp;" (og)"</f>
        <v xml:space="preserve"> (og)</v>
      </c>
      <c r="AZ37" s="77" t="str">
        <f t="shared" ref="AZ37" si="245">BA14&amp;" (og)"</f>
        <v xml:space="preserve"> (og)</v>
      </c>
      <c r="BA37" s="77" t="str">
        <f t="shared" ref="BA37" si="246">AZ14&amp;" (og)"</f>
        <v xml:space="preserve"> (og)</v>
      </c>
      <c r="BB37" s="77" t="str">
        <f t="shared" ref="BB37" si="247">BC14&amp;" (og)"</f>
        <v xml:space="preserve"> (og)</v>
      </c>
      <c r="BC37" s="77" t="str">
        <f t="shared" ref="BC37" si="248">BB14&amp;" (og)"</f>
        <v xml:space="preserve"> (og)</v>
      </c>
      <c r="BD37" s="77" t="str">
        <f t="shared" si="73"/>
        <v xml:space="preserve"> (og)</v>
      </c>
      <c r="BE37" s="77" t="str">
        <f t="shared" si="74"/>
        <v xml:space="preserve"> (og)</v>
      </c>
      <c r="BF37" s="77" t="str">
        <f t="shared" si="75"/>
        <v xml:space="preserve"> (og)</v>
      </c>
      <c r="BG37" s="77" t="str">
        <f t="shared" si="76"/>
        <v xml:space="preserve"> (og)</v>
      </c>
      <c r="BI37" s="77" t="str">
        <f t="shared" si="77"/>
        <v xml:space="preserve"> (og)</v>
      </c>
      <c r="BJ37" s="77" t="str">
        <f t="shared" si="78"/>
        <v xml:space="preserve"> (og)</v>
      </c>
      <c r="BK37" s="77" t="str">
        <f t="shared" si="79"/>
        <v xml:space="preserve"> (og)</v>
      </c>
      <c r="BL37" s="77" t="str">
        <f t="shared" si="80"/>
        <v xml:space="preserve"> (og)</v>
      </c>
      <c r="BN37" s="77" t="str">
        <f t="shared" si="81"/>
        <v xml:space="preserve"> (og)</v>
      </c>
      <c r="BO37" s="77" t="str">
        <f t="shared" si="82"/>
        <v xml:space="preserve"> (og)</v>
      </c>
      <c r="BQ37" s="77" t="str">
        <f t="shared" si="83"/>
        <v xml:space="preserve"> (og)</v>
      </c>
      <c r="BR37" s="77" t="str">
        <f t="shared" si="84"/>
        <v xml:space="preserve"> (og)</v>
      </c>
      <c r="BT37" s="77" t="str">
        <f t="shared" ca="1" si="85"/>
        <v>Croatia</v>
      </c>
      <c r="BU37" s="77">
        <f t="shared" si="12"/>
        <v>35</v>
      </c>
      <c r="BV37" s="77" t="s">
        <v>3894</v>
      </c>
      <c r="BW37" s="77">
        <f t="shared" si="86"/>
        <v>2</v>
      </c>
      <c r="BX37" s="77" t="str">
        <f t="shared" ca="1" si="87"/>
        <v>O. Zelenika</v>
      </c>
      <c r="BY37" s="77">
        <f ca="1">COUNTIF('Group Stages'!$L$14:$S$110,BX37)+COUNTIF('Knock Out Stages'!$N$41:$U$84,BX37)</f>
        <v>0</v>
      </c>
      <c r="BZ37" s="79" t="s">
        <v>3944</v>
      </c>
      <c r="CA37" s="77" t="str">
        <f t="shared" ca="1" si="88"/>
        <v>Oliver Zelenika</v>
      </c>
      <c r="CB37" s="77">
        <v>34</v>
      </c>
      <c r="CC37" s="77" t="str">
        <f t="array" aca="1" ref="CC37" ca="1">IFERROR(INDEX($BX$3:$BX$738, SMALL(IF(COUNTIF(CC$3, $BY$3:$BY$738), ROW($BX$3:$BX$738)-MIN(ROW($BX$3:$BX$738))+1), $CB37), 0),"")</f>
        <v/>
      </c>
      <c r="CD37" s="77" t="str">
        <f t="array" aca="1" ref="CD37" ca="1">IFERROR(INDEX($BX$3:$BX$738, SMALL(IF(COUNTIF(CD$3, $BY$3:$BY$738), ROW($BX$3:$BX$738)-MIN(ROW($BX$3:$BX$738))+1), $CB37), 0),"")</f>
        <v/>
      </c>
      <c r="CE37" s="77" t="str">
        <f t="array" aca="1" ref="CE37" ca="1">IFERROR(INDEX($BX$3:$BX$738, SMALL(IF(COUNTIF(CE$3, $BY$3:$BY$738), ROW($BX$3:$BX$738)-MIN(ROW($BX$3:$BX$738))+1), $CB37), 0),"")</f>
        <v/>
      </c>
      <c r="CF37" s="77" t="str">
        <f t="array" aca="1" ref="CF37" ca="1">IFERROR(INDEX($BX$3:$BX$738, SMALL(IF(COUNTIF(CF$3, $BY$3:$BY$738), ROW($BX$3:$BX$738)-MIN(ROW($BX$3:$BX$738))+1), $CB37), 0),"")</f>
        <v/>
      </c>
      <c r="CG37" s="77" t="str">
        <f t="array" aca="1" ref="CG37" ca="1">IFERROR(INDEX($BX$3:$BX$738, SMALL(IF(COUNTIF(CG$3, $BY$3:$BY$738), ROW($BX$3:$BX$738)-MIN(ROW($BX$3:$BX$738))+1), $CB37), 0),"")</f>
        <v/>
      </c>
      <c r="CH37" s="77" t="str">
        <f t="array" aca="1" ref="CH37" ca="1">IFERROR(INDEX($BX$3:$BX$738, SMALL(IF(COUNTIF(CH$3, $BY$3:$BY$738), ROW($BX$3:$BX$738)-MIN(ROW($BX$3:$BX$738))+1), $CB37), 0),"")</f>
        <v/>
      </c>
      <c r="CI37" s="77" t="str">
        <f t="array" aca="1" ref="CI37" ca="1">IFERROR(INDEX($BX$3:$BX$738, SMALL(IF(COUNTIF(CI$3, $BY$3:$BY$738), ROW($BX$3:$BX$738)-MIN(ROW($BX$3:$BX$738))+1), $CB37), 0),"")</f>
        <v/>
      </c>
      <c r="CJ37" s="77" t="str">
        <f t="array" aca="1" ref="CJ37" ca="1">IFERROR(INDEX($BX$3:$BX$738, SMALL(IF(COUNTIF(CJ$3, $BY$3:$BY$738), ROW($BX$3:$BX$738)-MIN(ROW($BX$3:$BX$738))+1), $CB37), 0),"")</f>
        <v/>
      </c>
      <c r="CK37" s="77" t="str">
        <f t="array" aca="1" ref="CK37" ca="1">IFERROR(INDEX($BX$3:$BX$738, SMALL(IF(COUNTIF(CK$3, $BY$3:$BY$738), ROW($BX$3:$BX$738)-MIN(ROW($BX$3:$BX$738))+1), $CB37), 0),"")</f>
        <v/>
      </c>
      <c r="CL37" s="77" t="str">
        <f t="array" aca="1" ref="CL37" ca="1">IFERROR(INDEX($BX$3:$BX$738, SMALL(IF(COUNTIF(CL$3, $BY$3:$BY$738), ROW($BX$3:$BX$738)-MIN(ROW($BX$3:$BX$738))+1), $CB37), 0),"")</f>
        <v/>
      </c>
      <c r="CM37" s="77" t="str">
        <f t="array" aca="1" ref="CM37" ca="1">IFERROR(INDEX($BX$3:$BX$738, SMALL(IF(COUNTIF(CM$3, $BY$3:$BY$738), ROW($BX$3:$BX$738)-MIN(ROW($BX$3:$BX$738))+1), $CB37), 0),"")</f>
        <v/>
      </c>
      <c r="CN37" s="77" t="str">
        <f t="array" aca="1" ref="CN37" ca="1">IFERROR(INDEX($BX$3:$BX$738, SMALL(IF(COUNTIF(CN$3, $BY$3:$BY$738), ROW($BX$3:$BX$738)-MIN(ROW($BX$3:$BX$738))+1), $CB37), 0),"")</f>
        <v/>
      </c>
      <c r="CO37" s="77" t="str">
        <f t="array" aca="1" ref="CO37" ca="1">IFERROR(INDEX($BX$3:$BX$738, SMALL(IF(COUNTIF(CO$3, $BY$3:$BY$738), ROW($BX$3:$BX$738)-MIN(ROW($BX$3:$BX$738))+1), $CB37), 0),"")</f>
        <v/>
      </c>
      <c r="CP37" s="77" t="str">
        <f t="array" aca="1" ref="CP37" ca="1">IFERROR(INDEX($BX$3:$BX$738, SMALL(IF(COUNTIF(CP$3, $BY$3:$BY$738), ROW($BX$3:$BX$738)-MIN(ROW($BX$3:$BX$738))+1), $CB37), 0),"")</f>
        <v/>
      </c>
      <c r="CQ37" s="77" t="str">
        <f t="array" aca="1" ref="CQ37" ca="1">IFERROR(INDEX($BX$3:$BX$738, SMALL(IF(COUNTIF(CQ$3, $BY$3:$BY$738), ROW($BX$3:$BX$738)-MIN(ROW($BX$3:$BX$738))+1), $CB37), 0),"")</f>
        <v/>
      </c>
      <c r="CS37" s="77">
        <v>34</v>
      </c>
      <c r="CT37" s="77">
        <v>1</v>
      </c>
      <c r="CV37" s="77" t="str">
        <f t="shared" ca="1" si="10"/>
        <v/>
      </c>
      <c r="CW37" s="77">
        <f t="shared" ca="1" si="13"/>
        <v>0</v>
      </c>
      <c r="CZ37" s="77">
        <v>34</v>
      </c>
      <c r="DA37" s="77" t="str">
        <f t="shared" ca="1" si="14"/>
        <v/>
      </c>
      <c r="DB37" s="77" t="str">
        <f t="shared" ca="1" si="15"/>
        <v/>
      </c>
      <c r="DC37" s="77" t="str">
        <f t="shared" ca="1" si="19"/>
        <v/>
      </c>
      <c r="DD37" s="77" t="str">
        <f t="shared" ca="1" si="17"/>
        <v/>
      </c>
    </row>
    <row r="38" spans="1:108">
      <c r="A38" s="77">
        <f t="shared" si="22"/>
        <v>13</v>
      </c>
      <c r="B38" s="77" t="str">
        <f t="shared" si="23"/>
        <v>G. Schildenfeld (og)</v>
      </c>
      <c r="C38" s="77" t="str">
        <f t="shared" si="24"/>
        <v>Dante (og)</v>
      </c>
      <c r="D38" s="77" t="str">
        <f t="shared" si="25"/>
        <v>Dante (og)</v>
      </c>
      <c r="E38" s="77" t="str">
        <f t="shared" si="26"/>
        <v>Dante (og)</v>
      </c>
      <c r="F38" s="77" t="str">
        <f t="shared" si="27"/>
        <v>J. Veltman (og)</v>
      </c>
      <c r="G38" s="77" t="str">
        <f t="shared" si="28"/>
        <v>J. Mata (og)</v>
      </c>
      <c r="H38" s="77" t="str">
        <f t="shared" si="29"/>
        <v>J. Mata (og)</v>
      </c>
      <c r="I38" s="77" t="str">
        <f t="shared" si="30"/>
        <v>J. Mata (og)</v>
      </c>
      <c r="J38" s="77" t="str">
        <f t="shared" si="31"/>
        <v>S. Kapino (og)</v>
      </c>
      <c r="K38" s="77" t="str">
        <f t="shared" si="32"/>
        <v>F. Guarín (og)</v>
      </c>
      <c r="L38" s="77" t="str">
        <f t="shared" si="33"/>
        <v>F. Guarín (og)</v>
      </c>
      <c r="M38" s="77" t="str">
        <f t="shared" si="34"/>
        <v>F. Guarín (og)</v>
      </c>
      <c r="N38" s="77" t="str">
        <f t="shared" si="35"/>
        <v>E. Granados (og)</v>
      </c>
      <c r="O38" s="77" t="str">
        <f t="shared" si="36"/>
        <v>J. Fucile (og)</v>
      </c>
      <c r="P38" s="77" t="str">
        <f t="shared" si="37"/>
        <v>J. Fucile (og)</v>
      </c>
      <c r="Q38" s="77" t="str">
        <f t="shared" si="38"/>
        <v>J. Fucile (og)</v>
      </c>
      <c r="R38" s="77" t="str">
        <f t="shared" si="39"/>
        <v>E. Valencia (og)</v>
      </c>
      <c r="S38" s="77" t="str">
        <f t="shared" si="40"/>
        <v>R. Rodríguez (og)</v>
      </c>
      <c r="T38" s="77" t="str">
        <f t="shared" si="41"/>
        <v>R. Rodríguez (og)</v>
      </c>
      <c r="U38" s="77" t="str">
        <f t="shared" si="42"/>
        <v>R. Rodríguez (og)</v>
      </c>
      <c r="V38" s="77" t="str">
        <f t="shared" si="43"/>
        <v>M. Mujdža (og)</v>
      </c>
      <c r="W38" s="77" t="str">
        <f t="shared" si="44"/>
        <v>A. Fernández (og)</v>
      </c>
      <c r="X38" s="77" t="str">
        <f t="shared" si="45"/>
        <v>A. Fernández (og)</v>
      </c>
      <c r="Y38" s="77" t="str">
        <f t="shared" si="46"/>
        <v>A. Fernández (og)</v>
      </c>
      <c r="Z38" s="77" t="str">
        <f t="shared" si="47"/>
        <v>R. Costa (og)</v>
      </c>
      <c r="AA38" s="77" t="str">
        <f t="shared" si="48"/>
        <v>T. Müller (og)</v>
      </c>
      <c r="AB38" s="77" t="str">
        <f t="shared" si="49"/>
        <v>T. Müller (og)</v>
      </c>
      <c r="AC38" s="77" t="str">
        <f t="shared" si="50"/>
        <v>T. Müller (og)</v>
      </c>
      <c r="AD38" s="77" t="str">
        <f t="shared" si="51"/>
        <v>I. Slimani (og)</v>
      </c>
      <c r="AE38" s="77" t="str">
        <f t="shared" si="52"/>
        <v>S. Bossut (og)</v>
      </c>
      <c r="AF38" s="77" t="str">
        <f t="shared" si="53"/>
        <v>S. Bossut (og)</v>
      </c>
      <c r="AG38" s="77" t="str">
        <f t="shared" si="54"/>
        <v>S. Bossut (og)</v>
      </c>
      <c r="AI38" s="77" t="str">
        <f t="shared" ca="1" si="55"/>
        <v xml:space="preserve"> (og)</v>
      </c>
      <c r="AJ38" s="77" t="str">
        <f t="shared" ca="1" si="56"/>
        <v xml:space="preserve"> (og)</v>
      </c>
      <c r="AK38" s="77" t="str">
        <f t="shared" ca="1" si="55"/>
        <v xml:space="preserve"> (og)</v>
      </c>
      <c r="AL38" s="77" t="str">
        <f t="shared" ca="1" si="56"/>
        <v xml:space="preserve"> (og)</v>
      </c>
      <c r="AM38" s="77" t="str">
        <f t="shared" ref="AM38" ca="1" si="249">AN15&amp;" (og)"</f>
        <v xml:space="preserve"> (og)</v>
      </c>
      <c r="AN38" s="77" t="str">
        <f t="shared" ref="AN38" ca="1" si="250">AM15&amp;" (og)"</f>
        <v xml:space="preserve"> (og)</v>
      </c>
      <c r="AO38" s="77" t="str">
        <f t="shared" ref="AO38" ca="1" si="251">AP15&amp;" (og)"</f>
        <v xml:space="preserve"> (og)</v>
      </c>
      <c r="AP38" s="77" t="str">
        <f t="shared" ref="AP38" ca="1" si="252">AO15&amp;" (og)"</f>
        <v xml:space="preserve"> (og)</v>
      </c>
      <c r="AQ38" s="77" t="str">
        <f t="shared" ref="AQ38" ca="1" si="253">AR15&amp;" (og)"</f>
        <v xml:space="preserve"> (og)</v>
      </c>
      <c r="AR38" s="77" t="str">
        <f t="shared" ref="AR38" ca="1" si="254">AQ15&amp;" (og)"</f>
        <v xml:space="preserve"> (og)</v>
      </c>
      <c r="AS38" s="77" t="str">
        <f t="shared" ref="AS38" ca="1" si="255">AT15&amp;" (og)"</f>
        <v xml:space="preserve"> (og)</v>
      </c>
      <c r="AT38" s="77" t="str">
        <f t="shared" ref="AT38" ca="1" si="256">AS15&amp;" (og)"</f>
        <v xml:space="preserve"> (og)</v>
      </c>
      <c r="AU38" s="77" t="str">
        <f t="shared" ref="AU38" ca="1" si="257">AV15&amp;" (og)"</f>
        <v xml:space="preserve"> (og)</v>
      </c>
      <c r="AV38" s="77" t="str">
        <f t="shared" ref="AV38" ca="1" si="258">AU15&amp;" (og)"</f>
        <v xml:space="preserve"> (og)</v>
      </c>
      <c r="AW38" s="77" t="str">
        <f t="shared" ref="AW38" ca="1" si="259">AX15&amp;" (og)"</f>
        <v xml:space="preserve"> (og)</v>
      </c>
      <c r="AX38" s="77" t="str">
        <f t="shared" ref="AX38" ca="1" si="260">AW15&amp;" (og)"</f>
        <v xml:space="preserve"> (og)</v>
      </c>
      <c r="AZ38" s="77" t="str">
        <f t="shared" ref="AZ38" si="261">BA15&amp;" (og)"</f>
        <v xml:space="preserve"> (og)</v>
      </c>
      <c r="BA38" s="77" t="str">
        <f t="shared" ref="BA38" si="262">AZ15&amp;" (og)"</f>
        <v xml:space="preserve"> (og)</v>
      </c>
      <c r="BB38" s="77" t="str">
        <f t="shared" ref="BB38" si="263">BC15&amp;" (og)"</f>
        <v xml:space="preserve"> (og)</v>
      </c>
      <c r="BC38" s="77" t="str">
        <f t="shared" ref="BC38" si="264">BB15&amp;" (og)"</f>
        <v xml:space="preserve"> (og)</v>
      </c>
      <c r="BD38" s="77" t="str">
        <f t="shared" si="73"/>
        <v xml:space="preserve"> (og)</v>
      </c>
      <c r="BE38" s="77" t="str">
        <f t="shared" si="74"/>
        <v xml:space="preserve"> (og)</v>
      </c>
      <c r="BF38" s="77" t="str">
        <f t="shared" si="75"/>
        <v xml:space="preserve"> (og)</v>
      </c>
      <c r="BG38" s="77" t="str">
        <f t="shared" si="76"/>
        <v xml:space="preserve"> (og)</v>
      </c>
      <c r="BI38" s="77" t="str">
        <f t="shared" si="77"/>
        <v xml:space="preserve"> (og)</v>
      </c>
      <c r="BJ38" s="77" t="str">
        <f t="shared" si="78"/>
        <v xml:space="preserve"> (og)</v>
      </c>
      <c r="BK38" s="77" t="str">
        <f t="shared" si="79"/>
        <v xml:space="preserve"> (og)</v>
      </c>
      <c r="BL38" s="77" t="str">
        <f t="shared" si="80"/>
        <v xml:space="preserve"> (og)</v>
      </c>
      <c r="BN38" s="77" t="str">
        <f t="shared" si="81"/>
        <v xml:space="preserve"> (og)</v>
      </c>
      <c r="BO38" s="77" t="str">
        <f t="shared" si="82"/>
        <v xml:space="preserve"> (og)</v>
      </c>
      <c r="BQ38" s="77" t="str">
        <f t="shared" si="83"/>
        <v xml:space="preserve"> (og)</v>
      </c>
      <c r="BR38" s="77" t="str">
        <f t="shared" si="84"/>
        <v xml:space="preserve"> (og)</v>
      </c>
      <c r="BT38" s="77" t="str">
        <f t="shared" ca="1" si="85"/>
        <v>Croatia</v>
      </c>
      <c r="BU38" s="77">
        <f t="shared" si="12"/>
        <v>36</v>
      </c>
      <c r="BV38" s="77" t="s">
        <v>3895</v>
      </c>
      <c r="BW38" s="77">
        <f t="shared" si="86"/>
        <v>2</v>
      </c>
      <c r="BX38" s="77" t="str">
        <f t="shared" ca="1" si="87"/>
        <v>G. Schildenfeld</v>
      </c>
      <c r="BY38" s="77">
        <f ca="1">COUNTIF('Group Stages'!$L$14:$S$110,BX38)+COUNTIF('Knock Out Stages'!$N$41:$U$84,BX38)</f>
        <v>0</v>
      </c>
      <c r="BZ38" s="79" t="s">
        <v>3945</v>
      </c>
      <c r="CA38" s="77" t="str">
        <f t="shared" ca="1" si="88"/>
        <v>Gordon Schildenfeld</v>
      </c>
      <c r="CB38" s="77">
        <v>35</v>
      </c>
      <c r="CC38" s="77" t="str">
        <f t="array" aca="1" ref="CC38" ca="1">IFERROR(INDEX($BX$3:$BX$738, SMALL(IF(COUNTIF(CC$3, $BY$3:$BY$738), ROW($BX$3:$BX$738)-MIN(ROW($BX$3:$BX$738))+1), $CB38), 0),"")</f>
        <v/>
      </c>
      <c r="CD38" s="77" t="str">
        <f t="array" aca="1" ref="CD38" ca="1">IFERROR(INDEX($BX$3:$BX$738, SMALL(IF(COUNTIF(CD$3, $BY$3:$BY$738), ROW($BX$3:$BX$738)-MIN(ROW($BX$3:$BX$738))+1), $CB38), 0),"")</f>
        <v/>
      </c>
      <c r="CE38" s="77" t="str">
        <f t="array" aca="1" ref="CE38" ca="1">IFERROR(INDEX($BX$3:$BX$738, SMALL(IF(COUNTIF(CE$3, $BY$3:$BY$738), ROW($BX$3:$BX$738)-MIN(ROW($BX$3:$BX$738))+1), $CB38), 0),"")</f>
        <v/>
      </c>
      <c r="CF38" s="77" t="str">
        <f t="array" aca="1" ref="CF38" ca="1">IFERROR(INDEX($BX$3:$BX$738, SMALL(IF(COUNTIF(CF$3, $BY$3:$BY$738), ROW($BX$3:$BX$738)-MIN(ROW($BX$3:$BX$738))+1), $CB38), 0),"")</f>
        <v/>
      </c>
      <c r="CG38" s="77" t="str">
        <f t="array" aca="1" ref="CG38" ca="1">IFERROR(INDEX($BX$3:$BX$738, SMALL(IF(COUNTIF(CG$3, $BY$3:$BY$738), ROW($BX$3:$BX$738)-MIN(ROW($BX$3:$BX$738))+1), $CB38), 0),"")</f>
        <v/>
      </c>
      <c r="CH38" s="77" t="str">
        <f t="array" aca="1" ref="CH38" ca="1">IFERROR(INDEX($BX$3:$BX$738, SMALL(IF(COUNTIF(CH$3, $BY$3:$BY$738), ROW($BX$3:$BX$738)-MIN(ROW($BX$3:$BX$738))+1), $CB38), 0),"")</f>
        <v/>
      </c>
      <c r="CI38" s="77" t="str">
        <f t="array" aca="1" ref="CI38" ca="1">IFERROR(INDEX($BX$3:$BX$738, SMALL(IF(COUNTIF(CI$3, $BY$3:$BY$738), ROW($BX$3:$BX$738)-MIN(ROW($BX$3:$BX$738))+1), $CB38), 0),"")</f>
        <v/>
      </c>
      <c r="CJ38" s="77" t="str">
        <f t="array" aca="1" ref="CJ38" ca="1">IFERROR(INDEX($BX$3:$BX$738, SMALL(IF(COUNTIF(CJ$3, $BY$3:$BY$738), ROW($BX$3:$BX$738)-MIN(ROW($BX$3:$BX$738))+1), $CB38), 0),"")</f>
        <v/>
      </c>
      <c r="CK38" s="77" t="str">
        <f t="array" aca="1" ref="CK38" ca="1">IFERROR(INDEX($BX$3:$BX$738, SMALL(IF(COUNTIF(CK$3, $BY$3:$BY$738), ROW($BX$3:$BX$738)-MIN(ROW($BX$3:$BX$738))+1), $CB38), 0),"")</f>
        <v/>
      </c>
      <c r="CL38" s="77" t="str">
        <f t="array" aca="1" ref="CL38" ca="1">IFERROR(INDEX($BX$3:$BX$738, SMALL(IF(COUNTIF(CL$3, $BY$3:$BY$738), ROW($BX$3:$BX$738)-MIN(ROW($BX$3:$BX$738))+1), $CB38), 0),"")</f>
        <v/>
      </c>
      <c r="CM38" s="77" t="str">
        <f t="array" aca="1" ref="CM38" ca="1">IFERROR(INDEX($BX$3:$BX$738, SMALL(IF(COUNTIF(CM$3, $BY$3:$BY$738), ROW($BX$3:$BX$738)-MIN(ROW($BX$3:$BX$738))+1), $CB38), 0),"")</f>
        <v/>
      </c>
      <c r="CN38" s="77" t="str">
        <f t="array" aca="1" ref="CN38" ca="1">IFERROR(INDEX($BX$3:$BX$738, SMALL(IF(COUNTIF(CN$3, $BY$3:$BY$738), ROW($BX$3:$BX$738)-MIN(ROW($BX$3:$BX$738))+1), $CB38), 0),"")</f>
        <v/>
      </c>
      <c r="CO38" s="77" t="str">
        <f t="array" aca="1" ref="CO38" ca="1">IFERROR(INDEX($BX$3:$BX$738, SMALL(IF(COUNTIF(CO$3, $BY$3:$BY$738), ROW($BX$3:$BX$738)-MIN(ROW($BX$3:$BX$738))+1), $CB38), 0),"")</f>
        <v/>
      </c>
      <c r="CP38" s="77" t="str">
        <f t="array" aca="1" ref="CP38" ca="1">IFERROR(INDEX($BX$3:$BX$738, SMALL(IF(COUNTIF(CP$3, $BY$3:$BY$738), ROW($BX$3:$BX$738)-MIN(ROW($BX$3:$BX$738))+1), $CB38), 0),"")</f>
        <v/>
      </c>
      <c r="CQ38" s="77" t="str">
        <f t="array" aca="1" ref="CQ38" ca="1">IFERROR(INDEX($BX$3:$BX$738, SMALL(IF(COUNTIF(CQ$3, $BY$3:$BY$738), ROW($BX$3:$BX$738)-MIN(ROW($BX$3:$BX$738))+1), $CB38), 0),"")</f>
        <v/>
      </c>
      <c r="CS38" s="77">
        <v>35</v>
      </c>
      <c r="CT38" s="77">
        <v>1</v>
      </c>
      <c r="CV38" s="77" t="str">
        <f t="shared" ca="1" si="10"/>
        <v/>
      </c>
      <c r="CW38" s="77">
        <f t="shared" ca="1" si="13"/>
        <v>0</v>
      </c>
      <c r="CZ38" s="77">
        <v>35</v>
      </c>
      <c r="DA38" s="77" t="str">
        <f t="shared" ca="1" si="14"/>
        <v/>
      </c>
      <c r="DB38" s="77" t="str">
        <f t="shared" ca="1" si="15"/>
        <v/>
      </c>
      <c r="DC38" s="77" t="str">
        <f t="shared" ca="1" si="19"/>
        <v/>
      </c>
      <c r="DD38" s="77" t="str">
        <f t="shared" ca="1" si="17"/>
        <v/>
      </c>
    </row>
    <row r="39" spans="1:108">
      <c r="A39" s="77">
        <f t="shared" si="22"/>
        <v>14</v>
      </c>
      <c r="B39" s="77" t="str">
        <f t="shared" si="23"/>
        <v>M. Brozović (og)</v>
      </c>
      <c r="C39" s="77" t="str">
        <f t="shared" si="24"/>
        <v>Maxwell (og)</v>
      </c>
      <c r="D39" s="77" t="str">
        <f t="shared" si="25"/>
        <v>Maxwell (og)</v>
      </c>
      <c r="E39" s="77" t="str">
        <f t="shared" si="26"/>
        <v>Maxwell (og)</v>
      </c>
      <c r="F39" s="77" t="str">
        <f t="shared" si="27"/>
        <v>T. Kongolo (og)</v>
      </c>
      <c r="G39" s="77" t="str">
        <f t="shared" si="28"/>
        <v>X. Alonso (og)</v>
      </c>
      <c r="H39" s="77" t="str">
        <f t="shared" si="29"/>
        <v>X. Alonso (og)</v>
      </c>
      <c r="I39" s="77" t="str">
        <f t="shared" si="30"/>
        <v>X. Alonso (og)</v>
      </c>
      <c r="J39" s="77" t="str">
        <f t="shared" si="31"/>
        <v>D. Salpingidis (og)</v>
      </c>
      <c r="K39" s="77" t="str">
        <f t="shared" si="32"/>
        <v>V. Ibarbo (og)</v>
      </c>
      <c r="L39" s="77" t="str">
        <f t="shared" si="33"/>
        <v>V. Ibarbo (og)</v>
      </c>
      <c r="M39" s="77" t="str">
        <f t="shared" si="34"/>
        <v>V. Ibarbo (og)</v>
      </c>
      <c r="N39" s="77" t="str">
        <f t="shared" si="35"/>
        <v>R. Brenes (og)</v>
      </c>
      <c r="O39" s="77" t="str">
        <f t="shared" si="36"/>
        <v>N. Lodeiro (og)</v>
      </c>
      <c r="P39" s="77" t="str">
        <f t="shared" si="37"/>
        <v>N. Lodeiro (og)</v>
      </c>
      <c r="Q39" s="77" t="str">
        <f t="shared" si="38"/>
        <v>N. Lodeiro (og)</v>
      </c>
      <c r="R39" s="77" t="str">
        <f t="shared" si="39"/>
        <v>O. Minda (og)</v>
      </c>
      <c r="S39" s="77" t="str">
        <f t="shared" si="40"/>
        <v>V. Stocker (og)</v>
      </c>
      <c r="T39" s="77" t="str">
        <f t="shared" si="41"/>
        <v>V. Stocker (og)</v>
      </c>
      <c r="U39" s="77" t="str">
        <f t="shared" si="42"/>
        <v>V. Stocker (og)</v>
      </c>
      <c r="V39" s="77" t="str">
        <f t="shared" si="43"/>
        <v>I. Hajrović (og)</v>
      </c>
      <c r="W39" s="77" t="str">
        <f t="shared" si="44"/>
        <v>J. Mascherano (og)</v>
      </c>
      <c r="X39" s="77" t="str">
        <f t="shared" si="45"/>
        <v>J. Mascherano (og)</v>
      </c>
      <c r="Y39" s="77" t="str">
        <f t="shared" si="46"/>
        <v>J. Mascherano (og)</v>
      </c>
      <c r="Z39" s="77" t="str">
        <f t="shared" si="47"/>
        <v>L. Neto (og)</v>
      </c>
      <c r="AA39" s="77" t="str">
        <f t="shared" si="48"/>
        <v>J. Draxler (og)</v>
      </c>
      <c r="AB39" s="77" t="str">
        <f t="shared" si="49"/>
        <v>J. Draxler (og)</v>
      </c>
      <c r="AC39" s="77" t="str">
        <f t="shared" si="50"/>
        <v>J. Draxler (og)</v>
      </c>
      <c r="AD39" s="77" t="str">
        <f t="shared" si="51"/>
        <v>N. Bentaleb (og)</v>
      </c>
      <c r="AE39" s="77" t="str">
        <f t="shared" si="52"/>
        <v>D. Mertens (og)</v>
      </c>
      <c r="AF39" s="77" t="str">
        <f t="shared" si="53"/>
        <v>D. Mertens (og)</v>
      </c>
      <c r="AG39" s="77" t="str">
        <f t="shared" si="54"/>
        <v>D. Mertens (og)</v>
      </c>
      <c r="AI39" s="77" t="str">
        <f t="shared" ca="1" si="55"/>
        <v xml:space="preserve"> (og)</v>
      </c>
      <c r="AJ39" s="77" t="str">
        <f t="shared" ca="1" si="56"/>
        <v xml:space="preserve"> (og)</v>
      </c>
      <c r="AK39" s="77" t="str">
        <f t="shared" ca="1" si="55"/>
        <v xml:space="preserve"> (og)</v>
      </c>
      <c r="AL39" s="77" t="str">
        <f t="shared" ca="1" si="56"/>
        <v xml:space="preserve"> (og)</v>
      </c>
      <c r="AM39" s="77" t="str">
        <f t="shared" ref="AM39" ca="1" si="265">AN16&amp;" (og)"</f>
        <v xml:space="preserve"> (og)</v>
      </c>
      <c r="AN39" s="77" t="str">
        <f t="shared" ref="AN39" ca="1" si="266">AM16&amp;" (og)"</f>
        <v xml:space="preserve"> (og)</v>
      </c>
      <c r="AO39" s="77" t="str">
        <f t="shared" ref="AO39" ca="1" si="267">AP16&amp;" (og)"</f>
        <v xml:space="preserve"> (og)</v>
      </c>
      <c r="AP39" s="77" t="str">
        <f t="shared" ref="AP39" ca="1" si="268">AO16&amp;" (og)"</f>
        <v xml:space="preserve"> (og)</v>
      </c>
      <c r="AQ39" s="77" t="str">
        <f t="shared" ref="AQ39" ca="1" si="269">AR16&amp;" (og)"</f>
        <v xml:space="preserve"> (og)</v>
      </c>
      <c r="AR39" s="77" t="str">
        <f t="shared" ref="AR39" ca="1" si="270">AQ16&amp;" (og)"</f>
        <v xml:space="preserve"> (og)</v>
      </c>
      <c r="AS39" s="77" t="str">
        <f t="shared" ref="AS39" ca="1" si="271">AT16&amp;" (og)"</f>
        <v xml:space="preserve"> (og)</v>
      </c>
      <c r="AT39" s="77" t="str">
        <f t="shared" ref="AT39" ca="1" si="272">AS16&amp;" (og)"</f>
        <v xml:space="preserve"> (og)</v>
      </c>
      <c r="AU39" s="77" t="str">
        <f t="shared" ref="AU39" ca="1" si="273">AV16&amp;" (og)"</f>
        <v xml:space="preserve"> (og)</v>
      </c>
      <c r="AV39" s="77" t="str">
        <f t="shared" ref="AV39" ca="1" si="274">AU16&amp;" (og)"</f>
        <v xml:space="preserve"> (og)</v>
      </c>
      <c r="AW39" s="77" t="str">
        <f t="shared" ref="AW39" ca="1" si="275">AX16&amp;" (og)"</f>
        <v xml:space="preserve"> (og)</v>
      </c>
      <c r="AX39" s="77" t="str">
        <f t="shared" ref="AX39" ca="1" si="276">AW16&amp;" (og)"</f>
        <v xml:space="preserve"> (og)</v>
      </c>
      <c r="AZ39" s="77" t="str">
        <f t="shared" ref="AZ39" si="277">BA16&amp;" (og)"</f>
        <v xml:space="preserve"> (og)</v>
      </c>
      <c r="BA39" s="77" t="str">
        <f t="shared" ref="BA39" si="278">AZ16&amp;" (og)"</f>
        <v xml:space="preserve"> (og)</v>
      </c>
      <c r="BB39" s="77" t="str">
        <f t="shared" ref="BB39" si="279">BC16&amp;" (og)"</f>
        <v xml:space="preserve"> (og)</v>
      </c>
      <c r="BC39" s="77" t="str">
        <f t="shared" ref="BC39" si="280">BB16&amp;" (og)"</f>
        <v xml:space="preserve"> (og)</v>
      </c>
      <c r="BD39" s="77" t="str">
        <f t="shared" si="73"/>
        <v xml:space="preserve"> (og)</v>
      </c>
      <c r="BE39" s="77" t="str">
        <f t="shared" si="74"/>
        <v xml:space="preserve"> (og)</v>
      </c>
      <c r="BF39" s="77" t="str">
        <f t="shared" si="75"/>
        <v xml:space="preserve"> (og)</v>
      </c>
      <c r="BG39" s="77" t="str">
        <f t="shared" si="76"/>
        <v xml:space="preserve"> (og)</v>
      </c>
      <c r="BI39" s="77" t="str">
        <f t="shared" si="77"/>
        <v xml:space="preserve"> (og)</v>
      </c>
      <c r="BJ39" s="77" t="str">
        <f t="shared" si="78"/>
        <v xml:space="preserve"> (og)</v>
      </c>
      <c r="BK39" s="77" t="str">
        <f t="shared" si="79"/>
        <v xml:space="preserve"> (og)</v>
      </c>
      <c r="BL39" s="77" t="str">
        <f t="shared" si="80"/>
        <v xml:space="preserve"> (og)</v>
      </c>
      <c r="BN39" s="77" t="str">
        <f t="shared" si="81"/>
        <v xml:space="preserve"> (og)</v>
      </c>
      <c r="BO39" s="77" t="str">
        <f t="shared" si="82"/>
        <v xml:space="preserve"> (og)</v>
      </c>
      <c r="BQ39" s="77" t="str">
        <f t="shared" si="83"/>
        <v xml:space="preserve"> (og)</v>
      </c>
      <c r="BR39" s="77" t="str">
        <f t="shared" si="84"/>
        <v xml:space="preserve"> (og)</v>
      </c>
      <c r="BT39" s="77" t="str">
        <f t="shared" ca="1" si="85"/>
        <v>Croatia</v>
      </c>
      <c r="BU39" s="77">
        <f t="shared" si="12"/>
        <v>37</v>
      </c>
      <c r="BV39" s="77" t="s">
        <v>3896</v>
      </c>
      <c r="BW39" s="77">
        <f t="shared" si="86"/>
        <v>2</v>
      </c>
      <c r="BX39" s="77" t="str">
        <f t="shared" ca="1" si="87"/>
        <v>M. Brozović</v>
      </c>
      <c r="BY39" s="77">
        <f ca="1">COUNTIF('Group Stages'!$L$14:$S$110,BX39)+COUNTIF('Knock Out Stages'!$N$41:$U$84,BX39)</f>
        <v>0</v>
      </c>
      <c r="BZ39" s="79" t="s">
        <v>3946</v>
      </c>
      <c r="CA39" s="77" t="str">
        <f t="shared" ca="1" si="88"/>
        <v>Marcelo Brozović</v>
      </c>
      <c r="CB39" s="77">
        <v>36</v>
      </c>
      <c r="CC39" s="77" t="str">
        <f t="array" aca="1" ref="CC39" ca="1">IFERROR(INDEX($BX$3:$BX$738, SMALL(IF(COUNTIF(CC$3, $BY$3:$BY$738), ROW($BX$3:$BX$738)-MIN(ROW($BX$3:$BX$738))+1), $CB39), 0),"")</f>
        <v/>
      </c>
      <c r="CD39" s="77" t="str">
        <f t="array" aca="1" ref="CD39" ca="1">IFERROR(INDEX($BX$3:$BX$738, SMALL(IF(COUNTIF(CD$3, $BY$3:$BY$738), ROW($BX$3:$BX$738)-MIN(ROW($BX$3:$BX$738))+1), $CB39), 0),"")</f>
        <v/>
      </c>
      <c r="CE39" s="77" t="str">
        <f t="array" aca="1" ref="CE39" ca="1">IFERROR(INDEX($BX$3:$BX$738, SMALL(IF(COUNTIF(CE$3, $BY$3:$BY$738), ROW($BX$3:$BX$738)-MIN(ROW($BX$3:$BX$738))+1), $CB39), 0),"")</f>
        <v/>
      </c>
      <c r="CF39" s="77" t="str">
        <f t="array" aca="1" ref="CF39" ca="1">IFERROR(INDEX($BX$3:$BX$738, SMALL(IF(COUNTIF(CF$3, $BY$3:$BY$738), ROW($BX$3:$BX$738)-MIN(ROW($BX$3:$BX$738))+1), $CB39), 0),"")</f>
        <v/>
      </c>
      <c r="CG39" s="77" t="str">
        <f t="array" aca="1" ref="CG39" ca="1">IFERROR(INDEX($BX$3:$BX$738, SMALL(IF(COUNTIF(CG$3, $BY$3:$BY$738), ROW($BX$3:$BX$738)-MIN(ROW($BX$3:$BX$738))+1), $CB39), 0),"")</f>
        <v/>
      </c>
      <c r="CH39" s="77" t="str">
        <f t="array" aca="1" ref="CH39" ca="1">IFERROR(INDEX($BX$3:$BX$738, SMALL(IF(COUNTIF(CH$3, $BY$3:$BY$738), ROW($BX$3:$BX$738)-MIN(ROW($BX$3:$BX$738))+1), $CB39), 0),"")</f>
        <v/>
      </c>
      <c r="CI39" s="77" t="str">
        <f t="array" aca="1" ref="CI39" ca="1">IFERROR(INDEX($BX$3:$BX$738, SMALL(IF(COUNTIF(CI$3, $BY$3:$BY$738), ROW($BX$3:$BX$738)-MIN(ROW($BX$3:$BX$738))+1), $CB39), 0),"")</f>
        <v/>
      </c>
      <c r="CJ39" s="77" t="str">
        <f t="array" aca="1" ref="CJ39" ca="1">IFERROR(INDEX($BX$3:$BX$738, SMALL(IF(COUNTIF(CJ$3, $BY$3:$BY$738), ROW($BX$3:$BX$738)-MIN(ROW($BX$3:$BX$738))+1), $CB39), 0),"")</f>
        <v/>
      </c>
      <c r="CK39" s="77" t="str">
        <f t="array" aca="1" ref="CK39" ca="1">IFERROR(INDEX($BX$3:$BX$738, SMALL(IF(COUNTIF(CK$3, $BY$3:$BY$738), ROW($BX$3:$BX$738)-MIN(ROW($BX$3:$BX$738))+1), $CB39), 0),"")</f>
        <v/>
      </c>
      <c r="CL39" s="77" t="str">
        <f t="array" aca="1" ref="CL39" ca="1">IFERROR(INDEX($BX$3:$BX$738, SMALL(IF(COUNTIF(CL$3, $BY$3:$BY$738), ROW($BX$3:$BX$738)-MIN(ROW($BX$3:$BX$738))+1), $CB39), 0),"")</f>
        <v/>
      </c>
      <c r="CM39" s="77" t="str">
        <f t="array" aca="1" ref="CM39" ca="1">IFERROR(INDEX($BX$3:$BX$738, SMALL(IF(COUNTIF(CM$3, $BY$3:$BY$738), ROW($BX$3:$BX$738)-MIN(ROW($BX$3:$BX$738))+1), $CB39), 0),"")</f>
        <v/>
      </c>
      <c r="CN39" s="77" t="str">
        <f t="array" aca="1" ref="CN39" ca="1">IFERROR(INDEX($BX$3:$BX$738, SMALL(IF(COUNTIF(CN$3, $BY$3:$BY$738), ROW($BX$3:$BX$738)-MIN(ROW($BX$3:$BX$738))+1), $CB39), 0),"")</f>
        <v/>
      </c>
      <c r="CO39" s="77" t="str">
        <f t="array" aca="1" ref="CO39" ca="1">IFERROR(INDEX($BX$3:$BX$738, SMALL(IF(COUNTIF(CO$3, $BY$3:$BY$738), ROW($BX$3:$BX$738)-MIN(ROW($BX$3:$BX$738))+1), $CB39), 0),"")</f>
        <v/>
      </c>
      <c r="CP39" s="77" t="str">
        <f t="array" aca="1" ref="CP39" ca="1">IFERROR(INDEX($BX$3:$BX$738, SMALL(IF(COUNTIF(CP$3, $BY$3:$BY$738), ROW($BX$3:$BX$738)-MIN(ROW($BX$3:$BX$738))+1), $CB39), 0),"")</f>
        <v/>
      </c>
      <c r="CQ39" s="77" t="str">
        <f t="array" aca="1" ref="CQ39" ca="1">IFERROR(INDEX($BX$3:$BX$738, SMALL(IF(COUNTIF(CQ$3, $BY$3:$BY$738), ROW($BX$3:$BX$738)-MIN(ROW($BX$3:$BX$738))+1), $CB39), 0),"")</f>
        <v/>
      </c>
      <c r="CS39" s="77">
        <v>36</v>
      </c>
      <c r="CT39" s="77">
        <v>1</v>
      </c>
      <c r="CV39" s="77" t="str">
        <f t="shared" ca="1" si="10"/>
        <v/>
      </c>
      <c r="CW39" s="77">
        <f t="shared" ca="1" si="13"/>
        <v>0</v>
      </c>
      <c r="CZ39" s="77">
        <v>36</v>
      </c>
      <c r="DA39" s="77" t="str">
        <f t="shared" ca="1" si="14"/>
        <v/>
      </c>
      <c r="DB39" s="77" t="str">
        <f t="shared" ca="1" si="15"/>
        <v/>
      </c>
      <c r="DC39" s="77" t="str">
        <f t="shared" ca="1" si="19"/>
        <v/>
      </c>
      <c r="DD39" s="77" t="str">
        <f t="shared" ca="1" si="17"/>
        <v/>
      </c>
    </row>
    <row r="40" spans="1:108">
      <c r="A40" s="77">
        <f t="shared" si="22"/>
        <v>15</v>
      </c>
      <c r="B40" s="77" t="str">
        <f t="shared" si="23"/>
        <v>M. Badelj (og)</v>
      </c>
      <c r="C40" s="77" t="str">
        <f t="shared" si="24"/>
        <v>Henrique (og)</v>
      </c>
      <c r="D40" s="77" t="str">
        <f t="shared" si="25"/>
        <v>Henrique (og)</v>
      </c>
      <c r="E40" s="77" t="str">
        <f t="shared" si="26"/>
        <v>Henrique (og)</v>
      </c>
      <c r="F40" s="77" t="str">
        <f t="shared" si="27"/>
        <v>D. Kuyt (og)</v>
      </c>
      <c r="G40" s="77" t="str">
        <f t="shared" si="28"/>
        <v>S. Ramos (og)</v>
      </c>
      <c r="H40" s="77" t="str">
        <f t="shared" si="29"/>
        <v>S. Ramos (og)</v>
      </c>
      <c r="I40" s="77" t="str">
        <f t="shared" si="30"/>
        <v>S. Ramos (og)</v>
      </c>
      <c r="J40" s="77" t="str">
        <f t="shared" si="31"/>
        <v>V. Torosidis (og)</v>
      </c>
      <c r="K40" s="77" t="str">
        <f t="shared" si="32"/>
        <v>A. Mejía (og)</v>
      </c>
      <c r="L40" s="77" t="str">
        <f t="shared" si="33"/>
        <v>A. Mejía (og)</v>
      </c>
      <c r="M40" s="77" t="str">
        <f t="shared" si="34"/>
        <v>A. Mejía (og)</v>
      </c>
      <c r="N40" s="77" t="str">
        <f t="shared" si="35"/>
        <v>J. Díaz (og)</v>
      </c>
      <c r="O40" s="77" t="str">
        <f t="shared" si="36"/>
        <v>D. Pérez (og)</v>
      </c>
      <c r="P40" s="77" t="str">
        <f t="shared" si="37"/>
        <v>D. Pérez (og)</v>
      </c>
      <c r="Q40" s="77" t="str">
        <f t="shared" si="38"/>
        <v>D. Pérez (og)</v>
      </c>
      <c r="R40" s="77" t="str">
        <f t="shared" si="39"/>
        <v>M. Arroyo (og)</v>
      </c>
      <c r="S40" s="77" t="str">
        <f t="shared" si="40"/>
        <v>B. Džemaili (og)</v>
      </c>
      <c r="T40" s="77" t="str">
        <f t="shared" si="41"/>
        <v>B. Džemaili (og)</v>
      </c>
      <c r="U40" s="77" t="str">
        <f t="shared" si="42"/>
        <v>B. Džemaili (og)</v>
      </c>
      <c r="V40" s="77" t="str">
        <f t="shared" si="43"/>
        <v>T. Šunjić (og)</v>
      </c>
      <c r="W40" s="77" t="str">
        <f t="shared" si="44"/>
        <v>M. Demichelis (og)</v>
      </c>
      <c r="X40" s="77" t="str">
        <f t="shared" si="45"/>
        <v>M. Demichelis (og)</v>
      </c>
      <c r="Y40" s="77" t="str">
        <f t="shared" si="46"/>
        <v>M. Demichelis (og)</v>
      </c>
      <c r="Z40" s="77" t="str">
        <f t="shared" si="47"/>
        <v>R. Silva (og)</v>
      </c>
      <c r="AA40" s="77" t="str">
        <f t="shared" si="48"/>
        <v>E. Durm (og)</v>
      </c>
      <c r="AB40" s="77" t="str">
        <f t="shared" si="49"/>
        <v>E. Durm (og)</v>
      </c>
      <c r="AC40" s="77" t="str">
        <f t="shared" si="50"/>
        <v>E. Durm (og)</v>
      </c>
      <c r="AD40" s="77" t="str">
        <f t="shared" si="51"/>
        <v>E. Arbi Hillel Soudani (og)</v>
      </c>
      <c r="AE40" s="77" t="str">
        <f t="shared" si="52"/>
        <v>D. Van Buyten (og)</v>
      </c>
      <c r="AF40" s="77" t="str">
        <f t="shared" si="53"/>
        <v>D. Van Buyten (og)</v>
      </c>
      <c r="AG40" s="77" t="str">
        <f t="shared" si="54"/>
        <v>D. Van Buyten (og)</v>
      </c>
      <c r="AI40" s="77" t="str">
        <f t="shared" ca="1" si="55"/>
        <v xml:space="preserve"> (og)</v>
      </c>
      <c r="AJ40" s="77" t="str">
        <f t="shared" ca="1" si="56"/>
        <v xml:space="preserve"> (og)</v>
      </c>
      <c r="AK40" s="77" t="str">
        <f t="shared" ca="1" si="55"/>
        <v xml:space="preserve"> (og)</v>
      </c>
      <c r="AL40" s="77" t="str">
        <f t="shared" ca="1" si="56"/>
        <v xml:space="preserve"> (og)</v>
      </c>
      <c r="AM40" s="77" t="str">
        <f t="shared" ref="AM40" ca="1" si="281">AN17&amp;" (og)"</f>
        <v xml:space="preserve"> (og)</v>
      </c>
      <c r="AN40" s="77" t="str">
        <f t="shared" ref="AN40" ca="1" si="282">AM17&amp;" (og)"</f>
        <v xml:space="preserve"> (og)</v>
      </c>
      <c r="AO40" s="77" t="str">
        <f t="shared" ref="AO40" ca="1" si="283">AP17&amp;" (og)"</f>
        <v xml:space="preserve"> (og)</v>
      </c>
      <c r="AP40" s="77" t="str">
        <f t="shared" ref="AP40" ca="1" si="284">AO17&amp;" (og)"</f>
        <v xml:space="preserve"> (og)</v>
      </c>
      <c r="AQ40" s="77" t="str">
        <f t="shared" ref="AQ40" ca="1" si="285">AR17&amp;" (og)"</f>
        <v xml:space="preserve"> (og)</v>
      </c>
      <c r="AR40" s="77" t="str">
        <f t="shared" ref="AR40" ca="1" si="286">AQ17&amp;" (og)"</f>
        <v xml:space="preserve"> (og)</v>
      </c>
      <c r="AS40" s="77" t="str">
        <f t="shared" ref="AS40" ca="1" si="287">AT17&amp;" (og)"</f>
        <v xml:space="preserve"> (og)</v>
      </c>
      <c r="AT40" s="77" t="str">
        <f t="shared" ref="AT40" ca="1" si="288">AS17&amp;" (og)"</f>
        <v xml:space="preserve"> (og)</v>
      </c>
      <c r="AU40" s="77" t="str">
        <f t="shared" ref="AU40" ca="1" si="289">AV17&amp;" (og)"</f>
        <v xml:space="preserve"> (og)</v>
      </c>
      <c r="AV40" s="77" t="str">
        <f t="shared" ref="AV40" ca="1" si="290">AU17&amp;" (og)"</f>
        <v xml:space="preserve"> (og)</v>
      </c>
      <c r="AW40" s="77" t="str">
        <f t="shared" ref="AW40" ca="1" si="291">AX17&amp;" (og)"</f>
        <v xml:space="preserve"> (og)</v>
      </c>
      <c r="AX40" s="77" t="str">
        <f t="shared" ref="AX40" ca="1" si="292">AW17&amp;" (og)"</f>
        <v xml:space="preserve"> (og)</v>
      </c>
      <c r="AZ40" s="77" t="str">
        <f t="shared" ref="AZ40" si="293">BA17&amp;" (og)"</f>
        <v xml:space="preserve"> (og)</v>
      </c>
      <c r="BA40" s="77" t="str">
        <f t="shared" ref="BA40" si="294">AZ17&amp;" (og)"</f>
        <v xml:space="preserve"> (og)</v>
      </c>
      <c r="BB40" s="77" t="str">
        <f t="shared" ref="BB40" si="295">BC17&amp;" (og)"</f>
        <v xml:space="preserve"> (og)</v>
      </c>
      <c r="BC40" s="77" t="str">
        <f t="shared" ref="BC40" si="296">BB17&amp;" (og)"</f>
        <v xml:space="preserve"> (og)</v>
      </c>
      <c r="BD40" s="77" t="str">
        <f t="shared" si="73"/>
        <v xml:space="preserve"> (og)</v>
      </c>
      <c r="BE40" s="77" t="str">
        <f t="shared" si="74"/>
        <v xml:space="preserve"> (og)</v>
      </c>
      <c r="BF40" s="77" t="str">
        <f t="shared" si="75"/>
        <v xml:space="preserve"> (og)</v>
      </c>
      <c r="BG40" s="77" t="str">
        <f t="shared" si="76"/>
        <v xml:space="preserve"> (og)</v>
      </c>
      <c r="BI40" s="77" t="str">
        <f t="shared" si="77"/>
        <v xml:space="preserve"> (og)</v>
      </c>
      <c r="BJ40" s="77" t="str">
        <f t="shared" si="78"/>
        <v xml:space="preserve"> (og)</v>
      </c>
      <c r="BK40" s="77" t="str">
        <f t="shared" si="79"/>
        <v xml:space="preserve"> (og)</v>
      </c>
      <c r="BL40" s="77" t="str">
        <f t="shared" si="80"/>
        <v xml:space="preserve"> (og)</v>
      </c>
      <c r="BN40" s="77" t="str">
        <f t="shared" si="81"/>
        <v xml:space="preserve"> (og)</v>
      </c>
      <c r="BO40" s="77" t="str">
        <f t="shared" si="82"/>
        <v xml:space="preserve"> (og)</v>
      </c>
      <c r="BQ40" s="77" t="str">
        <f t="shared" si="83"/>
        <v xml:space="preserve"> (og)</v>
      </c>
      <c r="BR40" s="77" t="str">
        <f t="shared" si="84"/>
        <v xml:space="preserve"> (og)</v>
      </c>
      <c r="BT40" s="77" t="str">
        <f t="shared" ca="1" si="85"/>
        <v>Croatia</v>
      </c>
      <c r="BU40" s="77">
        <f t="shared" si="12"/>
        <v>38</v>
      </c>
      <c r="BV40" s="77" t="s">
        <v>3897</v>
      </c>
      <c r="BW40" s="77">
        <f t="shared" si="86"/>
        <v>2</v>
      </c>
      <c r="BX40" s="77" t="str">
        <f t="shared" ca="1" si="87"/>
        <v>M. Badelj</v>
      </c>
      <c r="BY40" s="77">
        <f ca="1">COUNTIF('Group Stages'!$L$14:$S$110,BX40)+COUNTIF('Knock Out Stages'!$N$41:$U$84,BX40)</f>
        <v>0</v>
      </c>
      <c r="BZ40" s="79" t="s">
        <v>3947</v>
      </c>
      <c r="CA40" s="77" t="str">
        <f t="shared" ca="1" si="88"/>
        <v>Milan Badelj</v>
      </c>
      <c r="CB40" s="77">
        <v>37</v>
      </c>
      <c r="CC40" s="77" t="str">
        <f t="array" aca="1" ref="CC40" ca="1">IFERROR(INDEX($BX$3:$BX$738, SMALL(IF(COUNTIF(CC$3, $BY$3:$BY$738), ROW($BX$3:$BX$738)-MIN(ROW($BX$3:$BX$738))+1), $CB40), 0),"")</f>
        <v/>
      </c>
      <c r="CD40" s="77" t="str">
        <f t="array" aca="1" ref="CD40" ca="1">IFERROR(INDEX($BX$3:$BX$738, SMALL(IF(COUNTIF(CD$3, $BY$3:$BY$738), ROW($BX$3:$BX$738)-MIN(ROW($BX$3:$BX$738))+1), $CB40), 0),"")</f>
        <v/>
      </c>
      <c r="CE40" s="77" t="str">
        <f t="array" aca="1" ref="CE40" ca="1">IFERROR(INDEX($BX$3:$BX$738, SMALL(IF(COUNTIF(CE$3, $BY$3:$BY$738), ROW($BX$3:$BX$738)-MIN(ROW($BX$3:$BX$738))+1), $CB40), 0),"")</f>
        <v/>
      </c>
      <c r="CF40" s="77" t="str">
        <f t="array" aca="1" ref="CF40" ca="1">IFERROR(INDEX($BX$3:$BX$738, SMALL(IF(COUNTIF(CF$3, $BY$3:$BY$738), ROW($BX$3:$BX$738)-MIN(ROW($BX$3:$BX$738))+1), $CB40), 0),"")</f>
        <v/>
      </c>
      <c r="CG40" s="77" t="str">
        <f t="array" aca="1" ref="CG40" ca="1">IFERROR(INDEX($BX$3:$BX$738, SMALL(IF(COUNTIF(CG$3, $BY$3:$BY$738), ROW($BX$3:$BX$738)-MIN(ROW($BX$3:$BX$738))+1), $CB40), 0),"")</f>
        <v/>
      </c>
      <c r="CH40" s="77" t="str">
        <f t="array" aca="1" ref="CH40" ca="1">IFERROR(INDEX($BX$3:$BX$738, SMALL(IF(COUNTIF(CH$3, $BY$3:$BY$738), ROW($BX$3:$BX$738)-MIN(ROW($BX$3:$BX$738))+1), $CB40), 0),"")</f>
        <v/>
      </c>
      <c r="CI40" s="77" t="str">
        <f t="array" aca="1" ref="CI40" ca="1">IFERROR(INDEX($BX$3:$BX$738, SMALL(IF(COUNTIF(CI$3, $BY$3:$BY$738), ROW($BX$3:$BX$738)-MIN(ROW($BX$3:$BX$738))+1), $CB40), 0),"")</f>
        <v/>
      </c>
      <c r="CJ40" s="77" t="str">
        <f t="array" aca="1" ref="CJ40" ca="1">IFERROR(INDEX($BX$3:$BX$738, SMALL(IF(COUNTIF(CJ$3, $BY$3:$BY$738), ROW($BX$3:$BX$738)-MIN(ROW($BX$3:$BX$738))+1), $CB40), 0),"")</f>
        <v/>
      </c>
      <c r="CK40" s="77" t="str">
        <f t="array" aca="1" ref="CK40" ca="1">IFERROR(INDEX($BX$3:$BX$738, SMALL(IF(COUNTIF(CK$3, $BY$3:$BY$738), ROW($BX$3:$BX$738)-MIN(ROW($BX$3:$BX$738))+1), $CB40), 0),"")</f>
        <v/>
      </c>
      <c r="CL40" s="77" t="str">
        <f t="array" aca="1" ref="CL40" ca="1">IFERROR(INDEX($BX$3:$BX$738, SMALL(IF(COUNTIF(CL$3, $BY$3:$BY$738), ROW($BX$3:$BX$738)-MIN(ROW($BX$3:$BX$738))+1), $CB40), 0),"")</f>
        <v/>
      </c>
      <c r="CM40" s="77" t="str">
        <f t="array" aca="1" ref="CM40" ca="1">IFERROR(INDEX($BX$3:$BX$738, SMALL(IF(COUNTIF(CM$3, $BY$3:$BY$738), ROW($BX$3:$BX$738)-MIN(ROW($BX$3:$BX$738))+1), $CB40), 0),"")</f>
        <v/>
      </c>
      <c r="CN40" s="77" t="str">
        <f t="array" aca="1" ref="CN40" ca="1">IFERROR(INDEX($BX$3:$BX$738, SMALL(IF(COUNTIF(CN$3, $BY$3:$BY$738), ROW($BX$3:$BX$738)-MIN(ROW($BX$3:$BX$738))+1), $CB40), 0),"")</f>
        <v/>
      </c>
      <c r="CO40" s="77" t="str">
        <f t="array" aca="1" ref="CO40" ca="1">IFERROR(INDEX($BX$3:$BX$738, SMALL(IF(COUNTIF(CO$3, $BY$3:$BY$738), ROW($BX$3:$BX$738)-MIN(ROW($BX$3:$BX$738))+1), $CB40), 0),"")</f>
        <v/>
      </c>
      <c r="CP40" s="77" t="str">
        <f t="array" aca="1" ref="CP40" ca="1">IFERROR(INDEX($BX$3:$BX$738, SMALL(IF(COUNTIF(CP$3, $BY$3:$BY$738), ROW($BX$3:$BX$738)-MIN(ROW($BX$3:$BX$738))+1), $CB40), 0),"")</f>
        <v/>
      </c>
      <c r="CQ40" s="77" t="str">
        <f t="array" aca="1" ref="CQ40" ca="1">IFERROR(INDEX($BX$3:$BX$738, SMALL(IF(COUNTIF(CQ$3, $BY$3:$BY$738), ROW($BX$3:$BX$738)-MIN(ROW($BX$3:$BX$738))+1), $CB40), 0),"")</f>
        <v/>
      </c>
      <c r="CS40" s="77">
        <v>37</v>
      </c>
      <c r="CT40" s="77">
        <v>1</v>
      </c>
      <c r="CV40" s="77" t="str">
        <f t="shared" ca="1" si="10"/>
        <v/>
      </c>
      <c r="CW40" s="77">
        <f t="shared" ca="1" si="13"/>
        <v>0</v>
      </c>
      <c r="CZ40" s="77">
        <v>37</v>
      </c>
      <c r="DA40" s="77" t="str">
        <f t="shared" ca="1" si="14"/>
        <v/>
      </c>
      <c r="DB40" s="77" t="str">
        <f t="shared" ca="1" si="15"/>
        <v/>
      </c>
      <c r="DC40" s="77" t="str">
        <f t="shared" ca="1" si="19"/>
        <v/>
      </c>
      <c r="DD40" s="77" t="str">
        <f t="shared" ca="1" si="17"/>
        <v/>
      </c>
    </row>
    <row r="41" spans="1:108">
      <c r="A41" s="77">
        <f t="shared" si="22"/>
        <v>16</v>
      </c>
      <c r="B41" s="77" t="str">
        <f t="shared" si="23"/>
        <v>A. Rebić (og)</v>
      </c>
      <c r="C41" s="77" t="str">
        <f t="shared" si="24"/>
        <v>Ramires (og)</v>
      </c>
      <c r="D41" s="77" t="str">
        <f t="shared" si="25"/>
        <v>Ramires (og)</v>
      </c>
      <c r="E41" s="77" t="str">
        <f t="shared" si="26"/>
        <v>Ramires (og)</v>
      </c>
      <c r="F41" s="77" t="str">
        <f t="shared" si="27"/>
        <v>J. Clasie (og)</v>
      </c>
      <c r="G41" s="77" t="str">
        <f t="shared" si="28"/>
        <v>S. Busquets (og)</v>
      </c>
      <c r="H41" s="77" t="str">
        <f t="shared" si="29"/>
        <v>S. Busquets (og)</v>
      </c>
      <c r="I41" s="77" t="str">
        <f t="shared" si="30"/>
        <v>S. Busquets (og)</v>
      </c>
      <c r="J41" s="77" t="str">
        <f t="shared" si="31"/>
        <v>L. Christodoulopoulos (og)</v>
      </c>
      <c r="K41" s="77" t="str">
        <f t="shared" si="32"/>
        <v>É. Álvarez Balanta (og)</v>
      </c>
      <c r="L41" s="77" t="str">
        <f t="shared" si="33"/>
        <v>É. Álvarez Balanta (og)</v>
      </c>
      <c r="M41" s="77" t="str">
        <f t="shared" si="34"/>
        <v>É. Álvarez Balanta (og)</v>
      </c>
      <c r="N41" s="77" t="str">
        <f t="shared" si="35"/>
        <v>C. Gamboa (og)</v>
      </c>
      <c r="O41" s="77" t="str">
        <f t="shared" si="36"/>
        <v>M. Pereira (og)</v>
      </c>
      <c r="P41" s="77" t="str">
        <f t="shared" si="37"/>
        <v>M. Pereira (og)</v>
      </c>
      <c r="Q41" s="77" t="str">
        <f t="shared" si="38"/>
        <v>M. Pereira (og)</v>
      </c>
      <c r="R41" s="77" t="str">
        <f t="shared" si="39"/>
        <v>A. Valencia  (og)</v>
      </c>
      <c r="S41" s="77" t="str">
        <f t="shared" si="40"/>
        <v>G. Fernandes (og)</v>
      </c>
      <c r="T41" s="77" t="str">
        <f t="shared" si="41"/>
        <v>G. Fernandes (og)</v>
      </c>
      <c r="U41" s="77" t="str">
        <f t="shared" si="42"/>
        <v>G. Fernandes (og)</v>
      </c>
      <c r="V41" s="77" t="str">
        <f t="shared" si="43"/>
        <v>S. Lulić (og)</v>
      </c>
      <c r="W41" s="77" t="str">
        <f t="shared" si="44"/>
        <v>M. Rojo (og)</v>
      </c>
      <c r="X41" s="77" t="str">
        <f t="shared" si="45"/>
        <v>M. Rojo (og)</v>
      </c>
      <c r="Y41" s="77" t="str">
        <f t="shared" si="46"/>
        <v>M. Rojo (og)</v>
      </c>
      <c r="Z41" s="77" t="str">
        <f t="shared" si="47"/>
        <v>R. Meireles (og)</v>
      </c>
      <c r="AA41" s="77" t="str">
        <f t="shared" si="48"/>
        <v>P. Lahm  (og)</v>
      </c>
      <c r="AB41" s="77" t="str">
        <f t="shared" si="49"/>
        <v>P. Lahm  (og)</v>
      </c>
      <c r="AC41" s="77" t="str">
        <f t="shared" si="50"/>
        <v>P. Lahm  (og)</v>
      </c>
      <c r="AD41" s="77" t="str">
        <f t="shared" si="51"/>
        <v>M. Zemmamouche (og)</v>
      </c>
      <c r="AE41" s="77" t="str">
        <f t="shared" si="52"/>
        <v>S. Defour (og)</v>
      </c>
      <c r="AF41" s="77" t="str">
        <f t="shared" si="53"/>
        <v>S. Defour (og)</v>
      </c>
      <c r="AG41" s="77" t="str">
        <f t="shared" si="54"/>
        <v>S. Defour (og)</v>
      </c>
      <c r="AI41" s="77" t="str">
        <f t="shared" ca="1" si="55"/>
        <v xml:space="preserve"> (og)</v>
      </c>
      <c r="AJ41" s="77" t="str">
        <f t="shared" ca="1" si="56"/>
        <v xml:space="preserve"> (og)</v>
      </c>
      <c r="AK41" s="77" t="str">
        <f t="shared" ca="1" si="55"/>
        <v xml:space="preserve"> (og)</v>
      </c>
      <c r="AL41" s="77" t="str">
        <f t="shared" ca="1" si="56"/>
        <v xml:space="preserve"> (og)</v>
      </c>
      <c r="AM41" s="77" t="str">
        <f t="shared" ref="AM41" ca="1" si="297">AN18&amp;" (og)"</f>
        <v xml:space="preserve"> (og)</v>
      </c>
      <c r="AN41" s="77" t="str">
        <f t="shared" ref="AN41" ca="1" si="298">AM18&amp;" (og)"</f>
        <v xml:space="preserve"> (og)</v>
      </c>
      <c r="AO41" s="77" t="str">
        <f t="shared" ref="AO41" ca="1" si="299">AP18&amp;" (og)"</f>
        <v xml:space="preserve"> (og)</v>
      </c>
      <c r="AP41" s="77" t="str">
        <f t="shared" ref="AP41" ca="1" si="300">AO18&amp;" (og)"</f>
        <v xml:space="preserve"> (og)</v>
      </c>
      <c r="AQ41" s="77" t="str">
        <f t="shared" ref="AQ41" ca="1" si="301">AR18&amp;" (og)"</f>
        <v xml:space="preserve"> (og)</v>
      </c>
      <c r="AR41" s="77" t="str">
        <f t="shared" ref="AR41" ca="1" si="302">AQ18&amp;" (og)"</f>
        <v xml:space="preserve"> (og)</v>
      </c>
      <c r="AS41" s="77" t="str">
        <f t="shared" ref="AS41" ca="1" si="303">AT18&amp;" (og)"</f>
        <v xml:space="preserve"> (og)</v>
      </c>
      <c r="AT41" s="77" t="str">
        <f t="shared" ref="AT41" ca="1" si="304">AS18&amp;" (og)"</f>
        <v xml:space="preserve"> (og)</v>
      </c>
      <c r="AU41" s="77" t="str">
        <f t="shared" ref="AU41" ca="1" si="305">AV18&amp;" (og)"</f>
        <v xml:space="preserve"> (og)</v>
      </c>
      <c r="AV41" s="77" t="str">
        <f t="shared" ref="AV41" ca="1" si="306">AU18&amp;" (og)"</f>
        <v xml:space="preserve"> (og)</v>
      </c>
      <c r="AW41" s="77" t="str">
        <f t="shared" ref="AW41" ca="1" si="307">AX18&amp;" (og)"</f>
        <v xml:space="preserve"> (og)</v>
      </c>
      <c r="AX41" s="77" t="str">
        <f t="shared" ref="AX41" ca="1" si="308">AW18&amp;" (og)"</f>
        <v xml:space="preserve"> (og)</v>
      </c>
      <c r="AZ41" s="77" t="str">
        <f t="shared" ref="AZ41" si="309">BA18&amp;" (og)"</f>
        <v xml:space="preserve"> (og)</v>
      </c>
      <c r="BA41" s="77" t="str">
        <f t="shared" ref="BA41" si="310">AZ18&amp;" (og)"</f>
        <v xml:space="preserve"> (og)</v>
      </c>
      <c r="BB41" s="77" t="str">
        <f t="shared" ref="BB41" si="311">BC18&amp;" (og)"</f>
        <v xml:space="preserve"> (og)</v>
      </c>
      <c r="BC41" s="77" t="str">
        <f t="shared" ref="BC41" si="312">BB18&amp;" (og)"</f>
        <v xml:space="preserve"> (og)</v>
      </c>
      <c r="BD41" s="77" t="str">
        <f t="shared" si="73"/>
        <v xml:space="preserve"> (og)</v>
      </c>
      <c r="BE41" s="77" t="str">
        <f t="shared" si="74"/>
        <v xml:space="preserve"> (og)</v>
      </c>
      <c r="BF41" s="77" t="str">
        <f t="shared" si="75"/>
        <v xml:space="preserve"> (og)</v>
      </c>
      <c r="BG41" s="77" t="str">
        <f t="shared" si="76"/>
        <v xml:space="preserve"> (og)</v>
      </c>
      <c r="BI41" s="77" t="str">
        <f t="shared" si="77"/>
        <v xml:space="preserve"> (og)</v>
      </c>
      <c r="BJ41" s="77" t="str">
        <f t="shared" si="78"/>
        <v xml:space="preserve"> (og)</v>
      </c>
      <c r="BK41" s="77" t="str">
        <f t="shared" si="79"/>
        <v xml:space="preserve"> (og)</v>
      </c>
      <c r="BL41" s="77" t="str">
        <f t="shared" si="80"/>
        <v xml:space="preserve"> (og)</v>
      </c>
      <c r="BN41" s="77" t="str">
        <f t="shared" si="81"/>
        <v xml:space="preserve"> (og)</v>
      </c>
      <c r="BO41" s="77" t="str">
        <f t="shared" si="82"/>
        <v xml:space="preserve"> (og)</v>
      </c>
      <c r="BQ41" s="77" t="str">
        <f t="shared" si="83"/>
        <v xml:space="preserve"> (og)</v>
      </c>
      <c r="BR41" s="77" t="str">
        <f t="shared" si="84"/>
        <v xml:space="preserve"> (og)</v>
      </c>
      <c r="BT41" s="77" t="str">
        <f t="shared" ca="1" si="85"/>
        <v>Croatia</v>
      </c>
      <c r="BU41" s="77">
        <f t="shared" si="12"/>
        <v>39</v>
      </c>
      <c r="BV41" s="77" t="s">
        <v>3898</v>
      </c>
      <c r="BW41" s="77">
        <f t="shared" si="86"/>
        <v>2</v>
      </c>
      <c r="BX41" s="77" t="str">
        <f t="shared" ca="1" si="87"/>
        <v>A. Rebić</v>
      </c>
      <c r="BY41" s="77">
        <f ca="1">COUNTIF('Group Stages'!$L$14:$S$110,BX41)+COUNTIF('Knock Out Stages'!$N$41:$U$84,BX41)</f>
        <v>0</v>
      </c>
      <c r="BZ41" s="79" t="s">
        <v>3948</v>
      </c>
      <c r="CA41" s="77" t="str">
        <f t="shared" ca="1" si="88"/>
        <v>Ante Rebić</v>
      </c>
      <c r="CB41" s="77">
        <v>38</v>
      </c>
      <c r="CC41" s="77" t="str">
        <f t="array" aca="1" ref="CC41" ca="1">IFERROR(INDEX($BX$3:$BX$738, SMALL(IF(COUNTIF(CC$3, $BY$3:$BY$738), ROW($BX$3:$BX$738)-MIN(ROW($BX$3:$BX$738))+1), $CB41), 0),"")</f>
        <v/>
      </c>
      <c r="CD41" s="77" t="str">
        <f t="array" aca="1" ref="CD41" ca="1">IFERROR(INDEX($BX$3:$BX$738, SMALL(IF(COUNTIF(CD$3, $BY$3:$BY$738), ROW($BX$3:$BX$738)-MIN(ROW($BX$3:$BX$738))+1), $CB41), 0),"")</f>
        <v/>
      </c>
      <c r="CE41" s="77" t="str">
        <f t="array" aca="1" ref="CE41" ca="1">IFERROR(INDEX($BX$3:$BX$738, SMALL(IF(COUNTIF(CE$3, $BY$3:$BY$738), ROW($BX$3:$BX$738)-MIN(ROW($BX$3:$BX$738))+1), $CB41), 0),"")</f>
        <v/>
      </c>
      <c r="CF41" s="77" t="str">
        <f t="array" aca="1" ref="CF41" ca="1">IFERROR(INDEX($BX$3:$BX$738, SMALL(IF(COUNTIF(CF$3, $BY$3:$BY$738), ROW($BX$3:$BX$738)-MIN(ROW($BX$3:$BX$738))+1), $CB41), 0),"")</f>
        <v/>
      </c>
      <c r="CG41" s="77" t="str">
        <f t="array" aca="1" ref="CG41" ca="1">IFERROR(INDEX($BX$3:$BX$738, SMALL(IF(COUNTIF(CG$3, $BY$3:$BY$738), ROW($BX$3:$BX$738)-MIN(ROW($BX$3:$BX$738))+1), $CB41), 0),"")</f>
        <v/>
      </c>
      <c r="CH41" s="77" t="str">
        <f t="array" aca="1" ref="CH41" ca="1">IFERROR(INDEX($BX$3:$BX$738, SMALL(IF(COUNTIF(CH$3, $BY$3:$BY$738), ROW($BX$3:$BX$738)-MIN(ROW($BX$3:$BX$738))+1), $CB41), 0),"")</f>
        <v/>
      </c>
      <c r="CI41" s="77" t="str">
        <f t="array" aca="1" ref="CI41" ca="1">IFERROR(INDEX($BX$3:$BX$738, SMALL(IF(COUNTIF(CI$3, $BY$3:$BY$738), ROW($BX$3:$BX$738)-MIN(ROW($BX$3:$BX$738))+1), $CB41), 0),"")</f>
        <v/>
      </c>
      <c r="CJ41" s="77" t="str">
        <f t="array" aca="1" ref="CJ41" ca="1">IFERROR(INDEX($BX$3:$BX$738, SMALL(IF(COUNTIF(CJ$3, $BY$3:$BY$738), ROW($BX$3:$BX$738)-MIN(ROW($BX$3:$BX$738))+1), $CB41), 0),"")</f>
        <v/>
      </c>
      <c r="CK41" s="77" t="str">
        <f t="array" aca="1" ref="CK41" ca="1">IFERROR(INDEX($BX$3:$BX$738, SMALL(IF(COUNTIF(CK$3, $BY$3:$BY$738), ROW($BX$3:$BX$738)-MIN(ROW($BX$3:$BX$738))+1), $CB41), 0),"")</f>
        <v/>
      </c>
      <c r="CL41" s="77" t="str">
        <f t="array" aca="1" ref="CL41" ca="1">IFERROR(INDEX($BX$3:$BX$738, SMALL(IF(COUNTIF(CL$3, $BY$3:$BY$738), ROW($BX$3:$BX$738)-MIN(ROW($BX$3:$BX$738))+1), $CB41), 0),"")</f>
        <v/>
      </c>
      <c r="CM41" s="77" t="str">
        <f t="array" aca="1" ref="CM41" ca="1">IFERROR(INDEX($BX$3:$BX$738, SMALL(IF(COUNTIF(CM$3, $BY$3:$BY$738), ROW($BX$3:$BX$738)-MIN(ROW($BX$3:$BX$738))+1), $CB41), 0),"")</f>
        <v/>
      </c>
      <c r="CN41" s="77" t="str">
        <f t="array" aca="1" ref="CN41" ca="1">IFERROR(INDEX($BX$3:$BX$738, SMALL(IF(COUNTIF(CN$3, $BY$3:$BY$738), ROW($BX$3:$BX$738)-MIN(ROW($BX$3:$BX$738))+1), $CB41), 0),"")</f>
        <v/>
      </c>
      <c r="CO41" s="77" t="str">
        <f t="array" aca="1" ref="CO41" ca="1">IFERROR(INDEX($BX$3:$BX$738, SMALL(IF(COUNTIF(CO$3, $BY$3:$BY$738), ROW($BX$3:$BX$738)-MIN(ROW($BX$3:$BX$738))+1), $CB41), 0),"")</f>
        <v/>
      </c>
      <c r="CP41" s="77" t="str">
        <f t="array" aca="1" ref="CP41" ca="1">IFERROR(INDEX($BX$3:$BX$738, SMALL(IF(COUNTIF(CP$3, $BY$3:$BY$738), ROW($BX$3:$BX$738)-MIN(ROW($BX$3:$BX$738))+1), $CB41), 0),"")</f>
        <v/>
      </c>
      <c r="CQ41" s="77" t="str">
        <f t="array" aca="1" ref="CQ41" ca="1">IFERROR(INDEX($BX$3:$BX$738, SMALL(IF(COUNTIF(CQ$3, $BY$3:$BY$738), ROW($BX$3:$BX$738)-MIN(ROW($BX$3:$BX$738))+1), $CB41), 0),"")</f>
        <v/>
      </c>
      <c r="CS41" s="77">
        <v>38</v>
      </c>
      <c r="CT41" s="77">
        <v>1</v>
      </c>
      <c r="CV41" s="77" t="str">
        <f t="shared" ca="1" si="10"/>
        <v/>
      </c>
      <c r="CW41" s="77">
        <f t="shared" ca="1" si="13"/>
        <v>0</v>
      </c>
      <c r="CZ41" s="77">
        <v>38</v>
      </c>
      <c r="DA41" s="77" t="str">
        <f t="shared" ca="1" si="14"/>
        <v/>
      </c>
      <c r="DB41" s="77" t="str">
        <f t="shared" ca="1" si="15"/>
        <v/>
      </c>
      <c r="DC41" s="77" t="str">
        <f t="shared" ca="1" si="19"/>
        <v/>
      </c>
      <c r="DD41" s="77" t="str">
        <f t="shared" ca="1" si="17"/>
        <v/>
      </c>
    </row>
    <row r="42" spans="1:108">
      <c r="A42" s="77">
        <f t="shared" si="22"/>
        <v>17</v>
      </c>
      <c r="B42" s="77" t="str">
        <f t="shared" si="23"/>
        <v>M. Mandžukić (og)</v>
      </c>
      <c r="C42" s="77" t="str">
        <f t="shared" si="24"/>
        <v>L. Gustavo (og)</v>
      </c>
      <c r="D42" s="77" t="str">
        <f t="shared" si="25"/>
        <v>L. Gustavo (og)</v>
      </c>
      <c r="E42" s="77" t="str">
        <f t="shared" si="26"/>
        <v>L. Gustavo (og)</v>
      </c>
      <c r="F42" s="77" t="str">
        <f t="shared" si="27"/>
        <v>J. Lens (og)</v>
      </c>
      <c r="G42" s="77" t="str">
        <f t="shared" si="28"/>
        <v>Koke (og)</v>
      </c>
      <c r="H42" s="77" t="str">
        <f t="shared" si="29"/>
        <v>Koke (og)</v>
      </c>
      <c r="I42" s="77" t="str">
        <f t="shared" si="30"/>
        <v>Koke (og)</v>
      </c>
      <c r="J42" s="77" t="str">
        <f t="shared" si="31"/>
        <v>T. Gekas (og)</v>
      </c>
      <c r="K42" s="77" t="str">
        <f t="shared" si="32"/>
        <v>C. Bacca (og)</v>
      </c>
      <c r="L42" s="77" t="str">
        <f t="shared" si="33"/>
        <v>C. Bacca (og)</v>
      </c>
      <c r="M42" s="77" t="str">
        <f t="shared" si="34"/>
        <v>C. Bacca (og)</v>
      </c>
      <c r="N42" s="77" t="str">
        <f t="shared" si="35"/>
        <v>Y. Tejeda (og)</v>
      </c>
      <c r="O42" s="77" t="str">
        <f t="shared" si="36"/>
        <v>E. Arévalo Ríos (og)</v>
      </c>
      <c r="P42" s="77" t="str">
        <f t="shared" si="37"/>
        <v>E. Arévalo Ríos (og)</v>
      </c>
      <c r="Q42" s="77" t="str">
        <f t="shared" si="38"/>
        <v>E. Arévalo Ríos (og)</v>
      </c>
      <c r="R42" s="77" t="str">
        <f t="shared" si="39"/>
        <v>J. Ayoví (og)</v>
      </c>
      <c r="S42" s="77" t="str">
        <f t="shared" si="40"/>
        <v>M. Gavranović (og)</v>
      </c>
      <c r="T42" s="77" t="str">
        <f t="shared" si="41"/>
        <v>M. Gavranović (og)</v>
      </c>
      <c r="U42" s="77" t="str">
        <f t="shared" si="42"/>
        <v>M. Gavranović (og)</v>
      </c>
      <c r="V42" s="77" t="str">
        <f t="shared" si="43"/>
        <v>S. Ibričić (og)</v>
      </c>
      <c r="W42" s="77" t="str">
        <f t="shared" si="44"/>
        <v>F. Fernández (og)</v>
      </c>
      <c r="X42" s="77" t="str">
        <f t="shared" si="45"/>
        <v>F. Fernández (og)</v>
      </c>
      <c r="Y42" s="77" t="str">
        <f t="shared" si="46"/>
        <v>F. Fernández (og)</v>
      </c>
      <c r="Z42" s="77" t="str">
        <f t="shared" si="47"/>
        <v>Nani (og)</v>
      </c>
      <c r="AA42" s="77" t="str">
        <f t="shared" si="48"/>
        <v>P. Mertesacker (og)</v>
      </c>
      <c r="AB42" s="77" t="str">
        <f t="shared" si="49"/>
        <v>P. Mertesacker (og)</v>
      </c>
      <c r="AC42" s="77" t="str">
        <f t="shared" si="50"/>
        <v>P. Mertesacker (og)</v>
      </c>
      <c r="AD42" s="77" t="str">
        <f t="shared" si="51"/>
        <v>L. Cadamuro-Bentaïba (og)</v>
      </c>
      <c r="AE42" s="77" t="str">
        <f t="shared" si="52"/>
        <v>D. Origi (og)</v>
      </c>
      <c r="AF42" s="77" t="str">
        <f t="shared" si="53"/>
        <v>D. Origi (og)</v>
      </c>
      <c r="AG42" s="77" t="str">
        <f t="shared" si="54"/>
        <v>D. Origi (og)</v>
      </c>
      <c r="AI42" s="77" t="str">
        <f t="shared" ca="1" si="55"/>
        <v xml:space="preserve"> (og)</v>
      </c>
      <c r="AJ42" s="77" t="str">
        <f t="shared" ca="1" si="56"/>
        <v xml:space="preserve"> (og)</v>
      </c>
      <c r="AK42" s="77" t="str">
        <f t="shared" ca="1" si="55"/>
        <v xml:space="preserve"> (og)</v>
      </c>
      <c r="AL42" s="77" t="str">
        <f t="shared" ca="1" si="56"/>
        <v xml:space="preserve"> (og)</v>
      </c>
      <c r="AM42" s="77" t="str">
        <f t="shared" ref="AM42" ca="1" si="313">AN19&amp;" (og)"</f>
        <v xml:space="preserve"> (og)</v>
      </c>
      <c r="AN42" s="77" t="str">
        <f t="shared" ref="AN42" ca="1" si="314">AM19&amp;" (og)"</f>
        <v xml:space="preserve"> (og)</v>
      </c>
      <c r="AO42" s="77" t="str">
        <f t="shared" ref="AO42" ca="1" si="315">AP19&amp;" (og)"</f>
        <v xml:space="preserve"> (og)</v>
      </c>
      <c r="AP42" s="77" t="str">
        <f t="shared" ref="AP42" ca="1" si="316">AO19&amp;" (og)"</f>
        <v xml:space="preserve"> (og)</v>
      </c>
      <c r="AQ42" s="77" t="str">
        <f t="shared" ref="AQ42" ca="1" si="317">AR19&amp;" (og)"</f>
        <v xml:space="preserve"> (og)</v>
      </c>
      <c r="AR42" s="77" t="str">
        <f t="shared" ref="AR42" ca="1" si="318">AQ19&amp;" (og)"</f>
        <v xml:space="preserve"> (og)</v>
      </c>
      <c r="AS42" s="77" t="str">
        <f t="shared" ref="AS42" ca="1" si="319">AT19&amp;" (og)"</f>
        <v xml:space="preserve"> (og)</v>
      </c>
      <c r="AT42" s="77" t="str">
        <f t="shared" ref="AT42" ca="1" si="320">AS19&amp;" (og)"</f>
        <v xml:space="preserve"> (og)</v>
      </c>
      <c r="AU42" s="77" t="str">
        <f t="shared" ref="AU42" ca="1" si="321">AV19&amp;" (og)"</f>
        <v xml:space="preserve"> (og)</v>
      </c>
      <c r="AV42" s="77" t="str">
        <f t="shared" ref="AV42" ca="1" si="322">AU19&amp;" (og)"</f>
        <v xml:space="preserve"> (og)</v>
      </c>
      <c r="AW42" s="77" t="str">
        <f t="shared" ref="AW42" ca="1" si="323">AX19&amp;" (og)"</f>
        <v xml:space="preserve"> (og)</v>
      </c>
      <c r="AX42" s="77" t="str">
        <f t="shared" ref="AX42" ca="1" si="324">AW19&amp;" (og)"</f>
        <v xml:space="preserve"> (og)</v>
      </c>
      <c r="AZ42" s="77" t="str">
        <f t="shared" ref="AZ42" si="325">BA19&amp;" (og)"</f>
        <v xml:space="preserve"> (og)</v>
      </c>
      <c r="BA42" s="77" t="str">
        <f t="shared" ref="BA42" si="326">AZ19&amp;" (og)"</f>
        <v xml:space="preserve"> (og)</v>
      </c>
      <c r="BB42" s="77" t="str">
        <f t="shared" ref="BB42" si="327">BC19&amp;" (og)"</f>
        <v xml:space="preserve"> (og)</v>
      </c>
      <c r="BC42" s="77" t="str">
        <f t="shared" ref="BC42" si="328">BB19&amp;" (og)"</f>
        <v xml:space="preserve"> (og)</v>
      </c>
      <c r="BD42" s="77" t="str">
        <f t="shared" si="73"/>
        <v xml:space="preserve"> (og)</v>
      </c>
      <c r="BE42" s="77" t="str">
        <f t="shared" si="74"/>
        <v xml:space="preserve"> (og)</v>
      </c>
      <c r="BF42" s="77" t="str">
        <f t="shared" si="75"/>
        <v xml:space="preserve"> (og)</v>
      </c>
      <c r="BG42" s="77" t="str">
        <f t="shared" si="76"/>
        <v xml:space="preserve"> (og)</v>
      </c>
      <c r="BI42" s="77" t="str">
        <f t="shared" si="77"/>
        <v xml:space="preserve"> (og)</v>
      </c>
      <c r="BJ42" s="77" t="str">
        <f t="shared" si="78"/>
        <v xml:space="preserve"> (og)</v>
      </c>
      <c r="BK42" s="77" t="str">
        <f t="shared" si="79"/>
        <v xml:space="preserve"> (og)</v>
      </c>
      <c r="BL42" s="77" t="str">
        <f t="shared" si="80"/>
        <v xml:space="preserve"> (og)</v>
      </c>
      <c r="BN42" s="77" t="str">
        <f t="shared" si="81"/>
        <v xml:space="preserve"> (og)</v>
      </c>
      <c r="BO42" s="77" t="str">
        <f t="shared" si="82"/>
        <v xml:space="preserve"> (og)</v>
      </c>
      <c r="BQ42" s="77" t="str">
        <f t="shared" si="83"/>
        <v xml:space="preserve"> (og)</v>
      </c>
      <c r="BR42" s="77" t="str">
        <f t="shared" si="84"/>
        <v xml:space="preserve"> (og)</v>
      </c>
      <c r="BT42" s="77" t="str">
        <f t="shared" ca="1" si="85"/>
        <v>Croatia</v>
      </c>
      <c r="BU42" s="77">
        <f t="shared" si="12"/>
        <v>40</v>
      </c>
      <c r="BV42" s="77" t="s">
        <v>3899</v>
      </c>
      <c r="BW42" s="77">
        <f t="shared" si="86"/>
        <v>2</v>
      </c>
      <c r="BX42" s="77" t="str">
        <f t="shared" ca="1" si="87"/>
        <v>M. Mandžukić</v>
      </c>
      <c r="BY42" s="77">
        <f ca="1">COUNTIF('Group Stages'!$L$14:$S$110,BX42)+COUNTIF('Knock Out Stages'!$N$41:$U$84,BX42)</f>
        <v>0</v>
      </c>
      <c r="BZ42" s="79" t="s">
        <v>3949</v>
      </c>
      <c r="CA42" s="77" t="str">
        <f t="shared" ca="1" si="88"/>
        <v>Mario Mandžukić</v>
      </c>
      <c r="CB42" s="77">
        <v>39</v>
      </c>
      <c r="CC42" s="77" t="str">
        <f t="array" aca="1" ref="CC42" ca="1">IFERROR(INDEX($BX$3:$BX$738, SMALL(IF(COUNTIF(CC$3, $BY$3:$BY$738), ROW($BX$3:$BX$738)-MIN(ROW($BX$3:$BX$738))+1), $CB42), 0),"")</f>
        <v/>
      </c>
      <c r="CD42" s="77" t="str">
        <f t="array" aca="1" ref="CD42" ca="1">IFERROR(INDEX($BX$3:$BX$738, SMALL(IF(COUNTIF(CD$3, $BY$3:$BY$738), ROW($BX$3:$BX$738)-MIN(ROW($BX$3:$BX$738))+1), $CB42), 0),"")</f>
        <v/>
      </c>
      <c r="CE42" s="77" t="str">
        <f t="array" aca="1" ref="CE42" ca="1">IFERROR(INDEX($BX$3:$BX$738, SMALL(IF(COUNTIF(CE$3, $BY$3:$BY$738), ROW($BX$3:$BX$738)-MIN(ROW($BX$3:$BX$738))+1), $CB42), 0),"")</f>
        <v/>
      </c>
      <c r="CF42" s="77" t="str">
        <f t="array" aca="1" ref="CF42" ca="1">IFERROR(INDEX($BX$3:$BX$738, SMALL(IF(COUNTIF(CF$3, $BY$3:$BY$738), ROW($BX$3:$BX$738)-MIN(ROW($BX$3:$BX$738))+1), $CB42), 0),"")</f>
        <v/>
      </c>
      <c r="CG42" s="77" t="str">
        <f t="array" aca="1" ref="CG42" ca="1">IFERROR(INDEX($BX$3:$BX$738, SMALL(IF(COUNTIF(CG$3, $BY$3:$BY$738), ROW($BX$3:$BX$738)-MIN(ROW($BX$3:$BX$738))+1), $CB42), 0),"")</f>
        <v/>
      </c>
      <c r="CH42" s="77" t="str">
        <f t="array" aca="1" ref="CH42" ca="1">IFERROR(INDEX($BX$3:$BX$738, SMALL(IF(COUNTIF(CH$3, $BY$3:$BY$738), ROW($BX$3:$BX$738)-MIN(ROW($BX$3:$BX$738))+1), $CB42), 0),"")</f>
        <v/>
      </c>
      <c r="CI42" s="77" t="str">
        <f t="array" aca="1" ref="CI42" ca="1">IFERROR(INDEX($BX$3:$BX$738, SMALL(IF(COUNTIF(CI$3, $BY$3:$BY$738), ROW($BX$3:$BX$738)-MIN(ROW($BX$3:$BX$738))+1), $CB42), 0),"")</f>
        <v/>
      </c>
      <c r="CJ42" s="77" t="str">
        <f t="array" aca="1" ref="CJ42" ca="1">IFERROR(INDEX($BX$3:$BX$738, SMALL(IF(COUNTIF(CJ$3, $BY$3:$BY$738), ROW($BX$3:$BX$738)-MIN(ROW($BX$3:$BX$738))+1), $CB42), 0),"")</f>
        <v/>
      </c>
      <c r="CK42" s="77" t="str">
        <f t="array" aca="1" ref="CK42" ca="1">IFERROR(INDEX($BX$3:$BX$738, SMALL(IF(COUNTIF(CK$3, $BY$3:$BY$738), ROW($BX$3:$BX$738)-MIN(ROW($BX$3:$BX$738))+1), $CB42), 0),"")</f>
        <v/>
      </c>
      <c r="CL42" s="77" t="str">
        <f t="array" aca="1" ref="CL42" ca="1">IFERROR(INDEX($BX$3:$BX$738, SMALL(IF(COUNTIF(CL$3, $BY$3:$BY$738), ROW($BX$3:$BX$738)-MIN(ROW($BX$3:$BX$738))+1), $CB42), 0),"")</f>
        <v/>
      </c>
      <c r="CM42" s="77" t="str">
        <f t="array" aca="1" ref="CM42" ca="1">IFERROR(INDEX($BX$3:$BX$738, SMALL(IF(COUNTIF(CM$3, $BY$3:$BY$738), ROW($BX$3:$BX$738)-MIN(ROW($BX$3:$BX$738))+1), $CB42), 0),"")</f>
        <v/>
      </c>
      <c r="CN42" s="77" t="str">
        <f t="array" aca="1" ref="CN42" ca="1">IFERROR(INDEX($BX$3:$BX$738, SMALL(IF(COUNTIF(CN$3, $BY$3:$BY$738), ROW($BX$3:$BX$738)-MIN(ROW($BX$3:$BX$738))+1), $CB42), 0),"")</f>
        <v/>
      </c>
      <c r="CO42" s="77" t="str">
        <f t="array" aca="1" ref="CO42" ca="1">IFERROR(INDEX($BX$3:$BX$738, SMALL(IF(COUNTIF(CO$3, $BY$3:$BY$738), ROW($BX$3:$BX$738)-MIN(ROW($BX$3:$BX$738))+1), $CB42), 0),"")</f>
        <v/>
      </c>
      <c r="CP42" s="77" t="str">
        <f t="array" aca="1" ref="CP42" ca="1">IFERROR(INDEX($BX$3:$BX$738, SMALL(IF(COUNTIF(CP$3, $BY$3:$BY$738), ROW($BX$3:$BX$738)-MIN(ROW($BX$3:$BX$738))+1), $CB42), 0),"")</f>
        <v/>
      </c>
      <c r="CQ42" s="77" t="str">
        <f t="array" aca="1" ref="CQ42" ca="1">IFERROR(INDEX($BX$3:$BX$738, SMALL(IF(COUNTIF(CQ$3, $BY$3:$BY$738), ROW($BX$3:$BX$738)-MIN(ROW($BX$3:$BX$738))+1), $CB42), 0),"")</f>
        <v/>
      </c>
      <c r="CS42" s="77">
        <v>39</v>
      </c>
      <c r="CT42" s="77">
        <v>1</v>
      </c>
      <c r="CV42" s="77" t="str">
        <f t="shared" ca="1" si="10"/>
        <v/>
      </c>
      <c r="CW42" s="77">
        <f t="shared" ca="1" si="13"/>
        <v>0</v>
      </c>
      <c r="CZ42" s="77">
        <v>39</v>
      </c>
      <c r="DA42" s="77" t="str">
        <f t="shared" ca="1" si="14"/>
        <v/>
      </c>
      <c r="DB42" s="77" t="str">
        <f t="shared" ca="1" si="15"/>
        <v/>
      </c>
      <c r="DC42" s="77" t="str">
        <f t="shared" ca="1" si="19"/>
        <v/>
      </c>
      <c r="DD42" s="77" t="str">
        <f t="shared" ca="1" si="17"/>
        <v/>
      </c>
    </row>
    <row r="43" spans="1:108">
      <c r="A43" s="77">
        <f t="shared" si="22"/>
        <v>18</v>
      </c>
      <c r="B43" s="77" t="str">
        <f t="shared" si="23"/>
        <v>I. Olić (og)</v>
      </c>
      <c r="C43" s="77" t="str">
        <f t="shared" si="24"/>
        <v>Hernanes (og)</v>
      </c>
      <c r="D43" s="77" t="str">
        <f t="shared" si="25"/>
        <v>Hernanes (og)</v>
      </c>
      <c r="E43" s="77" t="str">
        <f t="shared" si="26"/>
        <v>Hernanes (og)</v>
      </c>
      <c r="F43" s="77" t="str">
        <f t="shared" si="27"/>
        <v>L. Fer (og)</v>
      </c>
      <c r="G43" s="77" t="str">
        <f t="shared" si="28"/>
        <v>J. Alba (og)</v>
      </c>
      <c r="H43" s="77" t="str">
        <f t="shared" si="29"/>
        <v>J. Alba (og)</v>
      </c>
      <c r="I43" s="77" t="str">
        <f t="shared" si="30"/>
        <v>J. Alba (og)</v>
      </c>
      <c r="J43" s="77" t="str">
        <f t="shared" si="31"/>
        <v>G. Fetfatzidis (og)</v>
      </c>
      <c r="K43" s="77" t="str">
        <f t="shared" si="32"/>
        <v>J. Camilo Zúñiga (og)</v>
      </c>
      <c r="L43" s="77" t="str">
        <f t="shared" si="33"/>
        <v>J. Camilo Zúñiga (og)</v>
      </c>
      <c r="M43" s="77" t="str">
        <f t="shared" si="34"/>
        <v>J. Camilo Zúñiga (og)</v>
      </c>
      <c r="N43" s="77" t="str">
        <f t="shared" si="35"/>
        <v>P. Pemberton (og)</v>
      </c>
      <c r="O43" s="77" t="str">
        <f t="shared" si="36"/>
        <v>G. Ramírez (og)</v>
      </c>
      <c r="P43" s="77" t="str">
        <f t="shared" si="37"/>
        <v>G. Ramírez (og)</v>
      </c>
      <c r="Q43" s="77" t="str">
        <f t="shared" si="38"/>
        <v>G. Ramírez (og)</v>
      </c>
      <c r="R43" s="77" t="str">
        <f t="shared" si="39"/>
        <v>Ó. Bagüí (og)</v>
      </c>
      <c r="S43" s="77" t="str">
        <f t="shared" si="40"/>
        <v>A. Mehmedi (og)</v>
      </c>
      <c r="T43" s="77" t="str">
        <f t="shared" si="41"/>
        <v>A. Mehmedi (og)</v>
      </c>
      <c r="U43" s="77" t="str">
        <f t="shared" si="42"/>
        <v>A. Mehmedi (og)</v>
      </c>
      <c r="V43" s="77" t="str">
        <f t="shared" si="43"/>
        <v>H. Medunjanin (og)</v>
      </c>
      <c r="W43" s="77" t="str">
        <f t="shared" si="44"/>
        <v>R. Palacio (og)</v>
      </c>
      <c r="X43" s="77" t="str">
        <f t="shared" si="45"/>
        <v>R. Palacio (og)</v>
      </c>
      <c r="Y43" s="77" t="str">
        <f t="shared" si="46"/>
        <v>R. Palacio (og)</v>
      </c>
      <c r="Z43" s="77" t="str">
        <f t="shared" si="47"/>
        <v>S. Varela (og)</v>
      </c>
      <c r="AA43" s="77" t="str">
        <f t="shared" si="48"/>
        <v>T. Kroos (og)</v>
      </c>
      <c r="AB43" s="77" t="str">
        <f t="shared" si="49"/>
        <v>T. Kroos (og)</v>
      </c>
      <c r="AC43" s="77" t="str">
        <f t="shared" si="50"/>
        <v>T. Kroos (og)</v>
      </c>
      <c r="AD43" s="77" t="str">
        <f t="shared" si="51"/>
        <v>A. Djabou (og)</v>
      </c>
      <c r="AE43" s="77" t="str">
        <f t="shared" si="52"/>
        <v>N. Lombaerts (og)</v>
      </c>
      <c r="AF43" s="77" t="str">
        <f t="shared" si="53"/>
        <v>N. Lombaerts (og)</v>
      </c>
      <c r="AG43" s="77" t="str">
        <f t="shared" si="54"/>
        <v>N. Lombaerts (og)</v>
      </c>
      <c r="AI43" s="77" t="str">
        <f t="shared" ca="1" si="55"/>
        <v xml:space="preserve"> (og)</v>
      </c>
      <c r="AJ43" s="77" t="str">
        <f t="shared" ca="1" si="56"/>
        <v xml:space="preserve"> (og)</v>
      </c>
      <c r="AK43" s="77" t="str">
        <f t="shared" ca="1" si="55"/>
        <v xml:space="preserve"> (og)</v>
      </c>
      <c r="AL43" s="77" t="str">
        <f t="shared" ca="1" si="56"/>
        <v xml:space="preserve"> (og)</v>
      </c>
      <c r="AM43" s="77" t="str">
        <f t="shared" ref="AM43" ca="1" si="329">AN20&amp;" (og)"</f>
        <v xml:space="preserve"> (og)</v>
      </c>
      <c r="AN43" s="77" t="str">
        <f t="shared" ref="AN43" ca="1" si="330">AM20&amp;" (og)"</f>
        <v xml:space="preserve"> (og)</v>
      </c>
      <c r="AO43" s="77" t="str">
        <f t="shared" ref="AO43" ca="1" si="331">AP20&amp;" (og)"</f>
        <v xml:space="preserve"> (og)</v>
      </c>
      <c r="AP43" s="77" t="str">
        <f t="shared" ref="AP43" ca="1" si="332">AO20&amp;" (og)"</f>
        <v xml:space="preserve"> (og)</v>
      </c>
      <c r="AQ43" s="77" t="str">
        <f t="shared" ref="AQ43" ca="1" si="333">AR20&amp;" (og)"</f>
        <v xml:space="preserve"> (og)</v>
      </c>
      <c r="AR43" s="77" t="str">
        <f t="shared" ref="AR43" ca="1" si="334">AQ20&amp;" (og)"</f>
        <v xml:space="preserve"> (og)</v>
      </c>
      <c r="AS43" s="77" t="str">
        <f t="shared" ref="AS43" ca="1" si="335">AT20&amp;" (og)"</f>
        <v xml:space="preserve"> (og)</v>
      </c>
      <c r="AT43" s="77" t="str">
        <f t="shared" ref="AT43" ca="1" si="336">AS20&amp;" (og)"</f>
        <v xml:space="preserve"> (og)</v>
      </c>
      <c r="AU43" s="77" t="str">
        <f t="shared" ref="AU43" ca="1" si="337">AV20&amp;" (og)"</f>
        <v xml:space="preserve"> (og)</v>
      </c>
      <c r="AV43" s="77" t="str">
        <f t="shared" ref="AV43" ca="1" si="338">AU20&amp;" (og)"</f>
        <v xml:space="preserve"> (og)</v>
      </c>
      <c r="AW43" s="77" t="str">
        <f t="shared" ref="AW43" ca="1" si="339">AX20&amp;" (og)"</f>
        <v xml:space="preserve"> (og)</v>
      </c>
      <c r="AX43" s="77" t="str">
        <f t="shared" ref="AX43" ca="1" si="340">AW20&amp;" (og)"</f>
        <v xml:space="preserve"> (og)</v>
      </c>
      <c r="AZ43" s="77" t="str">
        <f t="shared" ref="AZ43" si="341">BA20&amp;" (og)"</f>
        <v xml:space="preserve"> (og)</v>
      </c>
      <c r="BA43" s="77" t="str">
        <f t="shared" ref="BA43" si="342">AZ20&amp;" (og)"</f>
        <v xml:space="preserve"> (og)</v>
      </c>
      <c r="BB43" s="77" t="str">
        <f t="shared" ref="BB43" si="343">BC20&amp;" (og)"</f>
        <v xml:space="preserve"> (og)</v>
      </c>
      <c r="BC43" s="77" t="str">
        <f t="shared" ref="BC43" si="344">BB20&amp;" (og)"</f>
        <v xml:space="preserve"> (og)</v>
      </c>
      <c r="BD43" s="77" t="str">
        <f t="shared" si="73"/>
        <v xml:space="preserve"> (og)</v>
      </c>
      <c r="BE43" s="77" t="str">
        <f t="shared" si="74"/>
        <v xml:space="preserve"> (og)</v>
      </c>
      <c r="BF43" s="77" t="str">
        <f t="shared" si="75"/>
        <v xml:space="preserve"> (og)</v>
      </c>
      <c r="BG43" s="77" t="str">
        <f t="shared" si="76"/>
        <v xml:space="preserve"> (og)</v>
      </c>
      <c r="BI43" s="77" t="str">
        <f t="shared" si="77"/>
        <v xml:space="preserve"> (og)</v>
      </c>
      <c r="BJ43" s="77" t="str">
        <f t="shared" si="78"/>
        <v xml:space="preserve"> (og)</v>
      </c>
      <c r="BK43" s="77" t="str">
        <f t="shared" si="79"/>
        <v xml:space="preserve"> (og)</v>
      </c>
      <c r="BL43" s="77" t="str">
        <f t="shared" si="80"/>
        <v xml:space="preserve"> (og)</v>
      </c>
      <c r="BN43" s="77" t="str">
        <f t="shared" si="81"/>
        <v xml:space="preserve"> (og)</v>
      </c>
      <c r="BO43" s="77" t="str">
        <f t="shared" si="82"/>
        <v xml:space="preserve"> (og)</v>
      </c>
      <c r="BQ43" s="77" t="str">
        <f t="shared" si="83"/>
        <v xml:space="preserve"> (og)</v>
      </c>
      <c r="BR43" s="77" t="str">
        <f t="shared" si="84"/>
        <v xml:space="preserve"> (og)</v>
      </c>
      <c r="BT43" s="77" t="str">
        <f t="shared" ca="1" si="85"/>
        <v>Croatia</v>
      </c>
      <c r="BU43" s="77">
        <f t="shared" si="12"/>
        <v>41</v>
      </c>
      <c r="BV43" s="77" t="s">
        <v>3900</v>
      </c>
      <c r="BW43" s="77">
        <f t="shared" si="86"/>
        <v>2</v>
      </c>
      <c r="BX43" s="77" t="str">
        <f t="shared" ca="1" si="87"/>
        <v>I. Olić</v>
      </c>
      <c r="BY43" s="77">
        <f ca="1">COUNTIF('Group Stages'!$L$14:$S$110,BX43)+COUNTIF('Knock Out Stages'!$N$41:$U$84,BX43)</f>
        <v>0</v>
      </c>
      <c r="BZ43" s="79" t="s">
        <v>3950</v>
      </c>
      <c r="CA43" s="77" t="str">
        <f t="shared" ca="1" si="88"/>
        <v>Ivica Olić</v>
      </c>
      <c r="CB43" s="77">
        <v>40</v>
      </c>
      <c r="CC43" s="77" t="str">
        <f t="array" aca="1" ref="CC43" ca="1">IFERROR(INDEX($BX$3:$BX$738, SMALL(IF(COUNTIF(CC$3, $BY$3:$BY$738), ROW($BX$3:$BX$738)-MIN(ROW($BX$3:$BX$738))+1), $CB43), 0),"")</f>
        <v/>
      </c>
      <c r="CD43" s="77" t="str">
        <f t="array" aca="1" ref="CD43" ca="1">IFERROR(INDEX($BX$3:$BX$738, SMALL(IF(COUNTIF(CD$3, $BY$3:$BY$738), ROW($BX$3:$BX$738)-MIN(ROW($BX$3:$BX$738))+1), $CB43), 0),"")</f>
        <v/>
      </c>
      <c r="CE43" s="77" t="str">
        <f t="array" aca="1" ref="CE43" ca="1">IFERROR(INDEX($BX$3:$BX$738, SMALL(IF(COUNTIF(CE$3, $BY$3:$BY$738), ROW($BX$3:$BX$738)-MIN(ROW($BX$3:$BX$738))+1), $CB43), 0),"")</f>
        <v/>
      </c>
      <c r="CF43" s="77" t="str">
        <f t="array" aca="1" ref="CF43" ca="1">IFERROR(INDEX($BX$3:$BX$738, SMALL(IF(COUNTIF(CF$3, $BY$3:$BY$738), ROW($BX$3:$BX$738)-MIN(ROW($BX$3:$BX$738))+1), $CB43), 0),"")</f>
        <v/>
      </c>
      <c r="CG43" s="77" t="str">
        <f t="array" aca="1" ref="CG43" ca="1">IFERROR(INDEX($BX$3:$BX$738, SMALL(IF(COUNTIF(CG$3, $BY$3:$BY$738), ROW($BX$3:$BX$738)-MIN(ROW($BX$3:$BX$738))+1), $CB43), 0),"")</f>
        <v/>
      </c>
      <c r="CH43" s="77" t="str">
        <f t="array" aca="1" ref="CH43" ca="1">IFERROR(INDEX($BX$3:$BX$738, SMALL(IF(COUNTIF(CH$3, $BY$3:$BY$738), ROW($BX$3:$BX$738)-MIN(ROW($BX$3:$BX$738))+1), $CB43), 0),"")</f>
        <v/>
      </c>
      <c r="CI43" s="77" t="str">
        <f t="array" aca="1" ref="CI43" ca="1">IFERROR(INDEX($BX$3:$BX$738, SMALL(IF(COUNTIF(CI$3, $BY$3:$BY$738), ROW($BX$3:$BX$738)-MIN(ROW($BX$3:$BX$738))+1), $CB43), 0),"")</f>
        <v/>
      </c>
      <c r="CJ43" s="77" t="str">
        <f t="array" aca="1" ref="CJ43" ca="1">IFERROR(INDEX($BX$3:$BX$738, SMALL(IF(COUNTIF(CJ$3, $BY$3:$BY$738), ROW($BX$3:$BX$738)-MIN(ROW($BX$3:$BX$738))+1), $CB43), 0),"")</f>
        <v/>
      </c>
      <c r="CK43" s="77" t="str">
        <f t="array" aca="1" ref="CK43" ca="1">IFERROR(INDEX($BX$3:$BX$738, SMALL(IF(COUNTIF(CK$3, $BY$3:$BY$738), ROW($BX$3:$BX$738)-MIN(ROW($BX$3:$BX$738))+1), $CB43), 0),"")</f>
        <v/>
      </c>
      <c r="CL43" s="77" t="str">
        <f t="array" aca="1" ref="CL43" ca="1">IFERROR(INDEX($BX$3:$BX$738, SMALL(IF(COUNTIF(CL$3, $BY$3:$BY$738), ROW($BX$3:$BX$738)-MIN(ROW($BX$3:$BX$738))+1), $CB43), 0),"")</f>
        <v/>
      </c>
      <c r="CM43" s="77" t="str">
        <f t="array" aca="1" ref="CM43" ca="1">IFERROR(INDEX($BX$3:$BX$738, SMALL(IF(COUNTIF(CM$3, $BY$3:$BY$738), ROW($BX$3:$BX$738)-MIN(ROW($BX$3:$BX$738))+1), $CB43), 0),"")</f>
        <v/>
      </c>
      <c r="CN43" s="77" t="str">
        <f t="array" aca="1" ref="CN43" ca="1">IFERROR(INDEX($BX$3:$BX$738, SMALL(IF(COUNTIF(CN$3, $BY$3:$BY$738), ROW($BX$3:$BX$738)-MIN(ROW($BX$3:$BX$738))+1), $CB43), 0),"")</f>
        <v/>
      </c>
      <c r="CO43" s="77" t="str">
        <f t="array" aca="1" ref="CO43" ca="1">IFERROR(INDEX($BX$3:$BX$738, SMALL(IF(COUNTIF(CO$3, $BY$3:$BY$738), ROW($BX$3:$BX$738)-MIN(ROW($BX$3:$BX$738))+1), $CB43), 0),"")</f>
        <v/>
      </c>
      <c r="CP43" s="77" t="str">
        <f t="array" aca="1" ref="CP43" ca="1">IFERROR(INDEX($BX$3:$BX$738, SMALL(IF(COUNTIF(CP$3, $BY$3:$BY$738), ROW($BX$3:$BX$738)-MIN(ROW($BX$3:$BX$738))+1), $CB43), 0),"")</f>
        <v/>
      </c>
      <c r="CQ43" s="77" t="str">
        <f t="array" aca="1" ref="CQ43" ca="1">IFERROR(INDEX($BX$3:$BX$738, SMALL(IF(COUNTIF(CQ$3, $BY$3:$BY$738), ROW($BX$3:$BX$738)-MIN(ROW($BX$3:$BX$738))+1), $CB43), 0),"")</f>
        <v/>
      </c>
      <c r="CS43" s="77">
        <v>40</v>
      </c>
      <c r="CT43" s="77">
        <v>1</v>
      </c>
      <c r="CV43" s="77" t="str">
        <f t="shared" ca="1" si="10"/>
        <v/>
      </c>
      <c r="CW43" s="77">
        <f t="shared" ca="1" si="13"/>
        <v>0</v>
      </c>
      <c r="CZ43" s="77">
        <v>40</v>
      </c>
      <c r="DA43" s="77" t="str">
        <f t="shared" ca="1" si="14"/>
        <v/>
      </c>
      <c r="DB43" s="77" t="str">
        <f t="shared" ca="1" si="15"/>
        <v/>
      </c>
      <c r="DC43" s="77" t="str">
        <f t="shared" ca="1" si="19"/>
        <v/>
      </c>
      <c r="DD43" s="77" t="str">
        <f t="shared" ca="1" si="17"/>
        <v/>
      </c>
    </row>
    <row r="44" spans="1:108">
      <c r="A44" s="77">
        <f t="shared" si="22"/>
        <v>19</v>
      </c>
      <c r="B44" s="77" t="str">
        <f t="shared" si="23"/>
        <v>Sammir (og)</v>
      </c>
      <c r="C44" s="77" t="str">
        <f t="shared" si="24"/>
        <v>Willian (og)</v>
      </c>
      <c r="D44" s="77" t="str">
        <f t="shared" si="25"/>
        <v>Willian (og)</v>
      </c>
      <c r="E44" s="77" t="str">
        <f t="shared" si="26"/>
        <v>Willian (og)</v>
      </c>
      <c r="F44" s="77" t="str">
        <f t="shared" si="27"/>
        <v>K. Huntelaar (og)</v>
      </c>
      <c r="G44" s="77" t="str">
        <f t="shared" si="28"/>
        <v>D. Costa (og)</v>
      </c>
      <c r="H44" s="77" t="str">
        <f t="shared" si="29"/>
        <v>D. Costa (og)</v>
      </c>
      <c r="I44" s="77" t="str">
        <f t="shared" si="30"/>
        <v>D. Costa (og)</v>
      </c>
      <c r="J44" s="77" t="str">
        <f t="shared" si="31"/>
        <v>S. Papastathopoulos (og)</v>
      </c>
      <c r="K44" s="77" t="str">
        <f t="shared" si="32"/>
        <v>A. Ramos (og)</v>
      </c>
      <c r="L44" s="77" t="str">
        <f t="shared" si="33"/>
        <v>A. Ramos (og)</v>
      </c>
      <c r="M44" s="77" t="str">
        <f t="shared" si="34"/>
        <v>A. Ramos (og)</v>
      </c>
      <c r="N44" s="77" t="str">
        <f t="shared" si="35"/>
        <v>R. Miller (og)</v>
      </c>
      <c r="O44" s="77" t="str">
        <f t="shared" si="36"/>
        <v>J. María Giménez (og)</v>
      </c>
      <c r="P44" s="77" t="str">
        <f t="shared" si="37"/>
        <v>J. María Giménez (og)</v>
      </c>
      <c r="Q44" s="77" t="str">
        <f t="shared" si="38"/>
        <v>J. María Giménez (og)</v>
      </c>
      <c r="R44" s="77" t="str">
        <f t="shared" si="39"/>
        <v>L. Saritama (og)</v>
      </c>
      <c r="S44" s="77" t="str">
        <f t="shared" si="40"/>
        <v>J. Drmić (og)</v>
      </c>
      <c r="T44" s="77" t="str">
        <f t="shared" si="41"/>
        <v>J. Drmić (og)</v>
      </c>
      <c r="U44" s="77" t="str">
        <f t="shared" si="42"/>
        <v>J. Drmić (og)</v>
      </c>
      <c r="V44" s="77" t="str">
        <f t="shared" si="43"/>
        <v>E. Višća (og)</v>
      </c>
      <c r="W44" s="77" t="str">
        <f t="shared" si="44"/>
        <v>R. Álvarez (og)</v>
      </c>
      <c r="X44" s="77" t="str">
        <f t="shared" si="45"/>
        <v>R. Álvarez (og)</v>
      </c>
      <c r="Y44" s="77" t="str">
        <f t="shared" si="46"/>
        <v>R. Álvarez (og)</v>
      </c>
      <c r="Z44" s="77" t="str">
        <f t="shared" si="47"/>
        <v>A. Almeida (og)</v>
      </c>
      <c r="AA44" s="77" t="str">
        <f t="shared" si="48"/>
        <v>M. Götze (og)</v>
      </c>
      <c r="AB44" s="77" t="str">
        <f t="shared" si="49"/>
        <v>M. Götze (og)</v>
      </c>
      <c r="AC44" s="77" t="str">
        <f t="shared" si="50"/>
        <v>M. Götze (og)</v>
      </c>
      <c r="AD44" s="77" t="str">
        <f t="shared" si="51"/>
        <v>S. Taïder (og)</v>
      </c>
      <c r="AE44" s="77" t="str">
        <f t="shared" si="52"/>
        <v>M. Dembélé (og)</v>
      </c>
      <c r="AF44" s="77" t="str">
        <f t="shared" si="53"/>
        <v>M. Dembélé (og)</v>
      </c>
      <c r="AG44" s="77" t="str">
        <f t="shared" si="54"/>
        <v>M. Dembélé (og)</v>
      </c>
      <c r="AI44" s="77" t="str">
        <f t="shared" ca="1" si="55"/>
        <v xml:space="preserve"> (og)</v>
      </c>
      <c r="AJ44" s="77" t="str">
        <f t="shared" ca="1" si="56"/>
        <v xml:space="preserve"> (og)</v>
      </c>
      <c r="AK44" s="77" t="str">
        <f t="shared" ca="1" si="55"/>
        <v xml:space="preserve"> (og)</v>
      </c>
      <c r="AL44" s="77" t="str">
        <f t="shared" ca="1" si="56"/>
        <v xml:space="preserve"> (og)</v>
      </c>
      <c r="AM44" s="77" t="str">
        <f t="shared" ref="AM44" ca="1" si="345">AN21&amp;" (og)"</f>
        <v xml:space="preserve"> (og)</v>
      </c>
      <c r="AN44" s="77" t="str">
        <f t="shared" ref="AN44" ca="1" si="346">AM21&amp;" (og)"</f>
        <v xml:space="preserve"> (og)</v>
      </c>
      <c r="AO44" s="77" t="str">
        <f t="shared" ref="AO44" ca="1" si="347">AP21&amp;" (og)"</f>
        <v xml:space="preserve"> (og)</v>
      </c>
      <c r="AP44" s="77" t="str">
        <f t="shared" ref="AP44" ca="1" si="348">AO21&amp;" (og)"</f>
        <v xml:space="preserve"> (og)</v>
      </c>
      <c r="AQ44" s="77" t="str">
        <f t="shared" ref="AQ44" ca="1" si="349">AR21&amp;" (og)"</f>
        <v xml:space="preserve"> (og)</v>
      </c>
      <c r="AR44" s="77" t="str">
        <f t="shared" ref="AR44" ca="1" si="350">AQ21&amp;" (og)"</f>
        <v xml:space="preserve"> (og)</v>
      </c>
      <c r="AS44" s="77" t="str">
        <f t="shared" ref="AS44" ca="1" si="351">AT21&amp;" (og)"</f>
        <v xml:space="preserve"> (og)</v>
      </c>
      <c r="AT44" s="77" t="str">
        <f t="shared" ref="AT44" ca="1" si="352">AS21&amp;" (og)"</f>
        <v xml:space="preserve"> (og)</v>
      </c>
      <c r="AU44" s="77" t="str">
        <f t="shared" ref="AU44" ca="1" si="353">AV21&amp;" (og)"</f>
        <v xml:space="preserve"> (og)</v>
      </c>
      <c r="AV44" s="77" t="str">
        <f t="shared" ref="AV44" ca="1" si="354">AU21&amp;" (og)"</f>
        <v xml:space="preserve"> (og)</v>
      </c>
      <c r="AW44" s="77" t="str">
        <f t="shared" ref="AW44" ca="1" si="355">AX21&amp;" (og)"</f>
        <v xml:space="preserve"> (og)</v>
      </c>
      <c r="AX44" s="77" t="str">
        <f t="shared" ref="AX44" ca="1" si="356">AW21&amp;" (og)"</f>
        <v xml:space="preserve"> (og)</v>
      </c>
      <c r="AZ44" s="77" t="str">
        <f t="shared" ref="AZ44" si="357">BA21&amp;" (og)"</f>
        <v xml:space="preserve"> (og)</v>
      </c>
      <c r="BA44" s="77" t="str">
        <f t="shared" ref="BA44" si="358">AZ21&amp;" (og)"</f>
        <v xml:space="preserve"> (og)</v>
      </c>
      <c r="BB44" s="77" t="str">
        <f t="shared" ref="BB44" si="359">BC21&amp;" (og)"</f>
        <v xml:space="preserve"> (og)</v>
      </c>
      <c r="BC44" s="77" t="str">
        <f t="shared" ref="BC44" si="360">BB21&amp;" (og)"</f>
        <v xml:space="preserve"> (og)</v>
      </c>
      <c r="BD44" s="77" t="str">
        <f t="shared" si="73"/>
        <v xml:space="preserve"> (og)</v>
      </c>
      <c r="BE44" s="77" t="str">
        <f t="shared" si="74"/>
        <v xml:space="preserve"> (og)</v>
      </c>
      <c r="BF44" s="77" t="str">
        <f t="shared" si="75"/>
        <v xml:space="preserve"> (og)</v>
      </c>
      <c r="BG44" s="77" t="str">
        <f t="shared" si="76"/>
        <v xml:space="preserve"> (og)</v>
      </c>
      <c r="BI44" s="77" t="str">
        <f t="shared" si="77"/>
        <v xml:space="preserve"> (og)</v>
      </c>
      <c r="BJ44" s="77" t="str">
        <f t="shared" si="78"/>
        <v xml:space="preserve"> (og)</v>
      </c>
      <c r="BK44" s="77" t="str">
        <f t="shared" si="79"/>
        <v xml:space="preserve"> (og)</v>
      </c>
      <c r="BL44" s="77" t="str">
        <f t="shared" si="80"/>
        <v xml:space="preserve"> (og)</v>
      </c>
      <c r="BN44" s="77" t="str">
        <f t="shared" si="81"/>
        <v xml:space="preserve"> (og)</v>
      </c>
      <c r="BO44" s="77" t="str">
        <f t="shared" si="82"/>
        <v xml:space="preserve"> (og)</v>
      </c>
      <c r="BQ44" s="77" t="str">
        <f t="shared" si="83"/>
        <v xml:space="preserve"> (og)</v>
      </c>
      <c r="BR44" s="77" t="str">
        <f t="shared" si="84"/>
        <v xml:space="preserve"> (og)</v>
      </c>
      <c r="BT44" s="77" t="str">
        <f t="shared" ca="1" si="85"/>
        <v>Croatia</v>
      </c>
      <c r="BU44" s="77">
        <f t="shared" si="12"/>
        <v>42</v>
      </c>
      <c r="BV44" s="77" t="s">
        <v>3901</v>
      </c>
      <c r="BW44" s="77">
        <f t="shared" si="86"/>
        <v>2</v>
      </c>
      <c r="BX44" s="77" t="str">
        <f t="shared" ca="1" si="87"/>
        <v>Sammir</v>
      </c>
      <c r="BY44" s="77">
        <f ca="1">COUNTIF('Group Stages'!$L$14:$S$110,BX44)+COUNTIF('Knock Out Stages'!$N$41:$U$84,BX44)</f>
        <v>0</v>
      </c>
      <c r="BZ44" s="79" t="s">
        <v>3951</v>
      </c>
      <c r="CA44" s="77" t="str">
        <f t="shared" ca="1" si="88"/>
        <v>Sammir</v>
      </c>
      <c r="CB44" s="77">
        <v>41</v>
      </c>
      <c r="CC44" s="77" t="str">
        <f t="array" aca="1" ref="CC44" ca="1">IFERROR(INDEX($BX$3:$BX$738, SMALL(IF(COUNTIF(CC$3, $BY$3:$BY$738), ROW($BX$3:$BX$738)-MIN(ROW($BX$3:$BX$738))+1), $CB44), 0),"")</f>
        <v/>
      </c>
      <c r="CD44" s="77" t="str">
        <f t="array" aca="1" ref="CD44" ca="1">IFERROR(INDEX($BX$3:$BX$738, SMALL(IF(COUNTIF(CD$3, $BY$3:$BY$738), ROW($BX$3:$BX$738)-MIN(ROW($BX$3:$BX$738))+1), $CB44), 0),"")</f>
        <v/>
      </c>
      <c r="CE44" s="77" t="str">
        <f t="array" aca="1" ref="CE44" ca="1">IFERROR(INDEX($BX$3:$BX$738, SMALL(IF(COUNTIF(CE$3, $BY$3:$BY$738), ROW($BX$3:$BX$738)-MIN(ROW($BX$3:$BX$738))+1), $CB44), 0),"")</f>
        <v/>
      </c>
      <c r="CF44" s="77" t="str">
        <f t="array" aca="1" ref="CF44" ca="1">IFERROR(INDEX($BX$3:$BX$738, SMALL(IF(COUNTIF(CF$3, $BY$3:$BY$738), ROW($BX$3:$BX$738)-MIN(ROW($BX$3:$BX$738))+1), $CB44), 0),"")</f>
        <v/>
      </c>
      <c r="CG44" s="77" t="str">
        <f t="array" aca="1" ref="CG44" ca="1">IFERROR(INDEX($BX$3:$BX$738, SMALL(IF(COUNTIF(CG$3, $BY$3:$BY$738), ROW($BX$3:$BX$738)-MIN(ROW($BX$3:$BX$738))+1), $CB44), 0),"")</f>
        <v/>
      </c>
      <c r="CH44" s="77" t="str">
        <f t="array" aca="1" ref="CH44" ca="1">IFERROR(INDEX($BX$3:$BX$738, SMALL(IF(COUNTIF(CH$3, $BY$3:$BY$738), ROW($BX$3:$BX$738)-MIN(ROW($BX$3:$BX$738))+1), $CB44), 0),"")</f>
        <v/>
      </c>
      <c r="CI44" s="77" t="str">
        <f t="array" aca="1" ref="CI44" ca="1">IFERROR(INDEX($BX$3:$BX$738, SMALL(IF(COUNTIF(CI$3, $BY$3:$BY$738), ROW($BX$3:$BX$738)-MIN(ROW($BX$3:$BX$738))+1), $CB44), 0),"")</f>
        <v/>
      </c>
      <c r="CJ44" s="77" t="str">
        <f t="array" aca="1" ref="CJ44" ca="1">IFERROR(INDEX($BX$3:$BX$738, SMALL(IF(COUNTIF(CJ$3, $BY$3:$BY$738), ROW($BX$3:$BX$738)-MIN(ROW($BX$3:$BX$738))+1), $CB44), 0),"")</f>
        <v/>
      </c>
      <c r="CK44" s="77" t="str">
        <f t="array" aca="1" ref="CK44" ca="1">IFERROR(INDEX($BX$3:$BX$738, SMALL(IF(COUNTIF(CK$3, $BY$3:$BY$738), ROW($BX$3:$BX$738)-MIN(ROW($BX$3:$BX$738))+1), $CB44), 0),"")</f>
        <v/>
      </c>
      <c r="CL44" s="77" t="str">
        <f t="array" aca="1" ref="CL44" ca="1">IFERROR(INDEX($BX$3:$BX$738, SMALL(IF(COUNTIF(CL$3, $BY$3:$BY$738), ROW($BX$3:$BX$738)-MIN(ROW($BX$3:$BX$738))+1), $CB44), 0),"")</f>
        <v/>
      </c>
      <c r="CM44" s="77" t="str">
        <f t="array" aca="1" ref="CM44" ca="1">IFERROR(INDEX($BX$3:$BX$738, SMALL(IF(COUNTIF(CM$3, $BY$3:$BY$738), ROW($BX$3:$BX$738)-MIN(ROW($BX$3:$BX$738))+1), $CB44), 0),"")</f>
        <v/>
      </c>
      <c r="CN44" s="77" t="str">
        <f t="array" aca="1" ref="CN44" ca="1">IFERROR(INDEX($BX$3:$BX$738, SMALL(IF(COUNTIF(CN$3, $BY$3:$BY$738), ROW($BX$3:$BX$738)-MIN(ROW($BX$3:$BX$738))+1), $CB44), 0),"")</f>
        <v/>
      </c>
      <c r="CO44" s="77" t="str">
        <f t="array" aca="1" ref="CO44" ca="1">IFERROR(INDEX($BX$3:$BX$738, SMALL(IF(COUNTIF(CO$3, $BY$3:$BY$738), ROW($BX$3:$BX$738)-MIN(ROW($BX$3:$BX$738))+1), $CB44), 0),"")</f>
        <v/>
      </c>
      <c r="CP44" s="77" t="str">
        <f t="array" aca="1" ref="CP44" ca="1">IFERROR(INDEX($BX$3:$BX$738, SMALL(IF(COUNTIF(CP$3, $BY$3:$BY$738), ROW($BX$3:$BX$738)-MIN(ROW($BX$3:$BX$738))+1), $CB44), 0),"")</f>
        <v/>
      </c>
      <c r="CQ44" s="77" t="str">
        <f t="array" aca="1" ref="CQ44" ca="1">IFERROR(INDEX($BX$3:$BX$738, SMALL(IF(COUNTIF(CQ$3, $BY$3:$BY$738), ROW($BX$3:$BX$738)-MIN(ROW($BX$3:$BX$738))+1), $CB44), 0),"")</f>
        <v/>
      </c>
      <c r="CS44" s="77">
        <v>41</v>
      </c>
      <c r="CT44" s="77">
        <v>1</v>
      </c>
      <c r="CV44" s="77" t="str">
        <f t="shared" ca="1" si="10"/>
        <v/>
      </c>
      <c r="CW44" s="77">
        <f t="shared" ca="1" si="13"/>
        <v>0</v>
      </c>
      <c r="CZ44" s="77">
        <v>41</v>
      </c>
      <c r="DA44" s="77" t="str">
        <f t="shared" ca="1" si="14"/>
        <v/>
      </c>
      <c r="DB44" s="77" t="str">
        <f t="shared" ca="1" si="15"/>
        <v/>
      </c>
      <c r="DC44" s="77" t="str">
        <f t="shared" ca="1" si="19"/>
        <v/>
      </c>
      <c r="DD44" s="77" t="str">
        <f t="shared" ca="1" si="17"/>
        <v/>
      </c>
    </row>
    <row r="45" spans="1:108">
      <c r="A45" s="77">
        <f t="shared" si="22"/>
        <v>20</v>
      </c>
      <c r="B45" s="77" t="str">
        <f t="shared" si="23"/>
        <v>M. Kovačić (og)</v>
      </c>
      <c r="C45" s="77" t="str">
        <f t="shared" si="24"/>
        <v>Bernard (og)</v>
      </c>
      <c r="D45" s="77" t="str">
        <f t="shared" si="25"/>
        <v>Bernard (og)</v>
      </c>
      <c r="E45" s="77" t="str">
        <f t="shared" si="26"/>
        <v>Bernard (og)</v>
      </c>
      <c r="F45" s="77" t="str">
        <f t="shared" si="27"/>
        <v>G. Wijnaldum (og)</v>
      </c>
      <c r="G45" s="77" t="str">
        <f t="shared" si="28"/>
        <v>S. Cazorla (og)</v>
      </c>
      <c r="H45" s="77" t="str">
        <f t="shared" si="29"/>
        <v>S. Cazorla (og)</v>
      </c>
      <c r="I45" s="77" t="str">
        <f t="shared" si="30"/>
        <v>S. Cazorla (og)</v>
      </c>
      <c r="J45" s="77" t="str">
        <f t="shared" si="31"/>
        <v>J. Holebas (og)</v>
      </c>
      <c r="K45" s="77" t="str">
        <f t="shared" si="32"/>
        <v>J. Fernando Quintero (og)</v>
      </c>
      <c r="L45" s="77" t="str">
        <f t="shared" si="33"/>
        <v>J. Fernando Quintero (og)</v>
      </c>
      <c r="M45" s="77" t="str">
        <f t="shared" si="34"/>
        <v>J. Fernando Quintero (og)</v>
      </c>
      <c r="N45" s="77" t="str">
        <f t="shared" si="35"/>
        <v>D. Calvo (og)</v>
      </c>
      <c r="O45" s="77" t="str">
        <f t="shared" si="36"/>
        <v>Á. González (og)</v>
      </c>
      <c r="P45" s="77" t="str">
        <f t="shared" si="37"/>
        <v>Á. González (og)</v>
      </c>
      <c r="Q45" s="77" t="str">
        <f t="shared" si="38"/>
        <v>Á. González (og)</v>
      </c>
      <c r="R45" s="77" t="str">
        <f t="shared" si="39"/>
        <v>F. Martínez (og)</v>
      </c>
      <c r="S45" s="77" t="str">
        <f t="shared" si="40"/>
        <v>J. Djourou (og)</v>
      </c>
      <c r="T45" s="77" t="str">
        <f t="shared" si="41"/>
        <v>J. Djourou (og)</v>
      </c>
      <c r="U45" s="77" t="str">
        <f t="shared" si="42"/>
        <v>J. Djourou (og)</v>
      </c>
      <c r="V45" s="77" t="str">
        <f t="shared" si="43"/>
        <v>A. Hadžić (og)</v>
      </c>
      <c r="W45" s="77" t="str">
        <f t="shared" si="44"/>
        <v>S. Agüero (og)</v>
      </c>
      <c r="X45" s="77" t="str">
        <f t="shared" si="45"/>
        <v>S. Agüero (og)</v>
      </c>
      <c r="Y45" s="77" t="str">
        <f t="shared" si="46"/>
        <v>S. Agüero (og)</v>
      </c>
      <c r="Z45" s="77" t="str">
        <f t="shared" si="47"/>
        <v>R. Amorim (og)</v>
      </c>
      <c r="AA45" s="77" t="str">
        <f t="shared" si="48"/>
        <v>J. Boateng (og)</v>
      </c>
      <c r="AB45" s="77" t="str">
        <f t="shared" si="49"/>
        <v>J. Boateng (og)</v>
      </c>
      <c r="AC45" s="77" t="str">
        <f t="shared" si="50"/>
        <v>J. Boateng (og)</v>
      </c>
      <c r="AD45" s="77" t="str">
        <f t="shared" si="51"/>
        <v>A. Mandi (og)</v>
      </c>
      <c r="AE45" s="77" t="str">
        <f t="shared" si="52"/>
        <v>A. Januzaj (og)</v>
      </c>
      <c r="AF45" s="77" t="str">
        <f t="shared" si="53"/>
        <v>A. Januzaj (og)</v>
      </c>
      <c r="AG45" s="77" t="str">
        <f t="shared" si="54"/>
        <v>A. Januzaj (og)</v>
      </c>
      <c r="AI45" s="77" t="str">
        <f t="shared" ca="1" si="55"/>
        <v xml:space="preserve"> (og)</v>
      </c>
      <c r="AJ45" s="77" t="str">
        <f t="shared" ca="1" si="56"/>
        <v xml:space="preserve"> (og)</v>
      </c>
      <c r="AK45" s="77" t="str">
        <f t="shared" ca="1" si="55"/>
        <v xml:space="preserve"> (og)</v>
      </c>
      <c r="AL45" s="77" t="str">
        <f t="shared" ca="1" si="56"/>
        <v xml:space="preserve"> (og)</v>
      </c>
      <c r="AM45" s="77" t="str">
        <f t="shared" ref="AM45" ca="1" si="361">AN22&amp;" (og)"</f>
        <v xml:space="preserve"> (og)</v>
      </c>
      <c r="AN45" s="77" t="str">
        <f t="shared" ref="AN45" ca="1" si="362">AM22&amp;" (og)"</f>
        <v xml:space="preserve"> (og)</v>
      </c>
      <c r="AO45" s="77" t="str">
        <f t="shared" ref="AO45" ca="1" si="363">AP22&amp;" (og)"</f>
        <v xml:space="preserve"> (og)</v>
      </c>
      <c r="AP45" s="77" t="str">
        <f t="shared" ref="AP45" ca="1" si="364">AO22&amp;" (og)"</f>
        <v xml:space="preserve"> (og)</v>
      </c>
      <c r="AQ45" s="77" t="str">
        <f t="shared" ref="AQ45" ca="1" si="365">AR22&amp;" (og)"</f>
        <v xml:space="preserve"> (og)</v>
      </c>
      <c r="AR45" s="77" t="str">
        <f t="shared" ref="AR45" ca="1" si="366">AQ22&amp;" (og)"</f>
        <v xml:space="preserve"> (og)</v>
      </c>
      <c r="AS45" s="77" t="str">
        <f t="shared" ref="AS45" ca="1" si="367">AT22&amp;" (og)"</f>
        <v xml:space="preserve"> (og)</v>
      </c>
      <c r="AT45" s="77" t="str">
        <f t="shared" ref="AT45" ca="1" si="368">AS22&amp;" (og)"</f>
        <v xml:space="preserve"> (og)</v>
      </c>
      <c r="AU45" s="77" t="str">
        <f t="shared" ref="AU45" ca="1" si="369">AV22&amp;" (og)"</f>
        <v xml:space="preserve"> (og)</v>
      </c>
      <c r="AV45" s="77" t="str">
        <f t="shared" ref="AV45" ca="1" si="370">AU22&amp;" (og)"</f>
        <v xml:space="preserve"> (og)</v>
      </c>
      <c r="AW45" s="77" t="str">
        <f t="shared" ref="AW45" ca="1" si="371">AX22&amp;" (og)"</f>
        <v xml:space="preserve"> (og)</v>
      </c>
      <c r="AX45" s="77" t="str">
        <f t="shared" ref="AX45" ca="1" si="372">AW22&amp;" (og)"</f>
        <v xml:space="preserve"> (og)</v>
      </c>
      <c r="AZ45" s="77" t="str">
        <f t="shared" ref="AZ45" si="373">BA22&amp;" (og)"</f>
        <v xml:space="preserve"> (og)</v>
      </c>
      <c r="BA45" s="77" t="str">
        <f t="shared" ref="BA45" si="374">AZ22&amp;" (og)"</f>
        <v xml:space="preserve"> (og)</v>
      </c>
      <c r="BB45" s="77" t="str">
        <f t="shared" ref="BB45" si="375">BC22&amp;" (og)"</f>
        <v xml:space="preserve"> (og)</v>
      </c>
      <c r="BC45" s="77" t="str">
        <f t="shared" ref="BC45" si="376">BB22&amp;" (og)"</f>
        <v xml:space="preserve"> (og)</v>
      </c>
      <c r="BD45" s="77" t="str">
        <f t="shared" si="73"/>
        <v xml:space="preserve"> (og)</v>
      </c>
      <c r="BE45" s="77" t="str">
        <f t="shared" si="74"/>
        <v xml:space="preserve"> (og)</v>
      </c>
      <c r="BF45" s="77" t="str">
        <f t="shared" si="75"/>
        <v xml:space="preserve"> (og)</v>
      </c>
      <c r="BG45" s="77" t="str">
        <f t="shared" si="76"/>
        <v xml:space="preserve"> (og)</v>
      </c>
      <c r="BI45" s="77" t="str">
        <f t="shared" si="77"/>
        <v xml:space="preserve"> (og)</v>
      </c>
      <c r="BJ45" s="77" t="str">
        <f t="shared" si="78"/>
        <v xml:space="preserve"> (og)</v>
      </c>
      <c r="BK45" s="77" t="str">
        <f t="shared" si="79"/>
        <v xml:space="preserve"> (og)</v>
      </c>
      <c r="BL45" s="77" t="str">
        <f t="shared" si="80"/>
        <v xml:space="preserve"> (og)</v>
      </c>
      <c r="BN45" s="77" t="str">
        <f t="shared" si="81"/>
        <v xml:space="preserve"> (og)</v>
      </c>
      <c r="BO45" s="77" t="str">
        <f t="shared" si="82"/>
        <v xml:space="preserve"> (og)</v>
      </c>
      <c r="BQ45" s="77" t="str">
        <f t="shared" si="83"/>
        <v xml:space="preserve"> (og)</v>
      </c>
      <c r="BR45" s="77" t="str">
        <f t="shared" si="84"/>
        <v xml:space="preserve"> (og)</v>
      </c>
      <c r="BT45" s="77" t="str">
        <f t="shared" ca="1" si="85"/>
        <v>Croatia</v>
      </c>
      <c r="BU45" s="77">
        <f t="shared" si="12"/>
        <v>43</v>
      </c>
      <c r="BV45" s="77" t="s">
        <v>3902</v>
      </c>
      <c r="BW45" s="77">
        <f t="shared" si="86"/>
        <v>2</v>
      </c>
      <c r="BX45" s="77" t="str">
        <f t="shared" ca="1" si="87"/>
        <v>M. Kovačić</v>
      </c>
      <c r="BY45" s="77">
        <f ca="1">COUNTIF('Group Stages'!$L$14:$S$110,BX45)+COUNTIF('Knock Out Stages'!$N$41:$U$84,BX45)</f>
        <v>0</v>
      </c>
      <c r="BZ45" s="79" t="s">
        <v>3952</v>
      </c>
      <c r="CA45" s="77" t="str">
        <f t="shared" ca="1" si="88"/>
        <v>Mateo Kovačić</v>
      </c>
      <c r="CB45" s="77">
        <v>42</v>
      </c>
      <c r="CC45" s="77" t="str">
        <f t="array" aca="1" ref="CC45" ca="1">IFERROR(INDEX($BX$3:$BX$738, SMALL(IF(COUNTIF(CC$3, $BY$3:$BY$738), ROW($BX$3:$BX$738)-MIN(ROW($BX$3:$BX$738))+1), $CB45), 0),"")</f>
        <v/>
      </c>
      <c r="CD45" s="77" t="str">
        <f t="array" aca="1" ref="CD45" ca="1">IFERROR(INDEX($BX$3:$BX$738, SMALL(IF(COUNTIF(CD$3, $BY$3:$BY$738), ROW($BX$3:$BX$738)-MIN(ROW($BX$3:$BX$738))+1), $CB45), 0),"")</f>
        <v/>
      </c>
      <c r="CE45" s="77" t="str">
        <f t="array" aca="1" ref="CE45" ca="1">IFERROR(INDEX($BX$3:$BX$738, SMALL(IF(COUNTIF(CE$3, $BY$3:$BY$738), ROW($BX$3:$BX$738)-MIN(ROW($BX$3:$BX$738))+1), $CB45), 0),"")</f>
        <v/>
      </c>
      <c r="CF45" s="77" t="str">
        <f t="array" aca="1" ref="CF45" ca="1">IFERROR(INDEX($BX$3:$BX$738, SMALL(IF(COUNTIF(CF$3, $BY$3:$BY$738), ROW($BX$3:$BX$738)-MIN(ROW($BX$3:$BX$738))+1), $CB45), 0),"")</f>
        <v/>
      </c>
      <c r="CG45" s="77" t="str">
        <f t="array" aca="1" ref="CG45" ca="1">IFERROR(INDEX($BX$3:$BX$738, SMALL(IF(COUNTIF(CG$3, $BY$3:$BY$738), ROW($BX$3:$BX$738)-MIN(ROW($BX$3:$BX$738))+1), $CB45), 0),"")</f>
        <v/>
      </c>
      <c r="CH45" s="77" t="str">
        <f t="array" aca="1" ref="CH45" ca="1">IFERROR(INDEX($BX$3:$BX$738, SMALL(IF(COUNTIF(CH$3, $BY$3:$BY$738), ROW($BX$3:$BX$738)-MIN(ROW($BX$3:$BX$738))+1), $CB45), 0),"")</f>
        <v/>
      </c>
      <c r="CI45" s="77" t="str">
        <f t="array" aca="1" ref="CI45" ca="1">IFERROR(INDEX($BX$3:$BX$738, SMALL(IF(COUNTIF(CI$3, $BY$3:$BY$738), ROW($BX$3:$BX$738)-MIN(ROW($BX$3:$BX$738))+1), $CB45), 0),"")</f>
        <v/>
      </c>
      <c r="CJ45" s="77" t="str">
        <f t="array" aca="1" ref="CJ45" ca="1">IFERROR(INDEX($BX$3:$BX$738, SMALL(IF(COUNTIF(CJ$3, $BY$3:$BY$738), ROW($BX$3:$BX$738)-MIN(ROW($BX$3:$BX$738))+1), $CB45), 0),"")</f>
        <v/>
      </c>
      <c r="CK45" s="77" t="str">
        <f t="array" aca="1" ref="CK45" ca="1">IFERROR(INDEX($BX$3:$BX$738, SMALL(IF(COUNTIF(CK$3, $BY$3:$BY$738), ROW($BX$3:$BX$738)-MIN(ROW($BX$3:$BX$738))+1), $CB45), 0),"")</f>
        <v/>
      </c>
      <c r="CL45" s="77" t="str">
        <f t="array" aca="1" ref="CL45" ca="1">IFERROR(INDEX($BX$3:$BX$738, SMALL(IF(COUNTIF(CL$3, $BY$3:$BY$738), ROW($BX$3:$BX$738)-MIN(ROW($BX$3:$BX$738))+1), $CB45), 0),"")</f>
        <v/>
      </c>
      <c r="CM45" s="77" t="str">
        <f t="array" aca="1" ref="CM45" ca="1">IFERROR(INDEX($BX$3:$BX$738, SMALL(IF(COUNTIF(CM$3, $BY$3:$BY$738), ROW($BX$3:$BX$738)-MIN(ROW($BX$3:$BX$738))+1), $CB45), 0),"")</f>
        <v/>
      </c>
      <c r="CN45" s="77" t="str">
        <f t="array" aca="1" ref="CN45" ca="1">IFERROR(INDEX($BX$3:$BX$738, SMALL(IF(COUNTIF(CN$3, $BY$3:$BY$738), ROW($BX$3:$BX$738)-MIN(ROW($BX$3:$BX$738))+1), $CB45), 0),"")</f>
        <v/>
      </c>
      <c r="CO45" s="77" t="str">
        <f t="array" aca="1" ref="CO45" ca="1">IFERROR(INDEX($BX$3:$BX$738, SMALL(IF(COUNTIF(CO$3, $BY$3:$BY$738), ROW($BX$3:$BX$738)-MIN(ROW($BX$3:$BX$738))+1), $CB45), 0),"")</f>
        <v/>
      </c>
      <c r="CP45" s="77" t="str">
        <f t="array" aca="1" ref="CP45" ca="1">IFERROR(INDEX($BX$3:$BX$738, SMALL(IF(COUNTIF(CP$3, $BY$3:$BY$738), ROW($BX$3:$BX$738)-MIN(ROW($BX$3:$BX$738))+1), $CB45), 0),"")</f>
        <v/>
      </c>
      <c r="CQ45" s="77" t="str">
        <f t="array" aca="1" ref="CQ45" ca="1">IFERROR(INDEX($BX$3:$BX$738, SMALL(IF(COUNTIF(CQ$3, $BY$3:$BY$738), ROW($BX$3:$BX$738)-MIN(ROW($BX$3:$BX$738))+1), $CB45), 0),"")</f>
        <v/>
      </c>
      <c r="CS45" s="77">
        <v>42</v>
      </c>
      <c r="CT45" s="77">
        <v>1</v>
      </c>
      <c r="CV45" s="77" t="str">
        <f t="shared" ca="1" si="10"/>
        <v/>
      </c>
      <c r="CW45" s="77">
        <f t="shared" ca="1" si="13"/>
        <v>0</v>
      </c>
      <c r="CZ45" s="77">
        <v>42</v>
      </c>
      <c r="DA45" s="77" t="str">
        <f t="shared" ca="1" si="14"/>
        <v/>
      </c>
      <c r="DB45" s="77" t="str">
        <f t="shared" ca="1" si="15"/>
        <v/>
      </c>
      <c r="DC45" s="77" t="str">
        <f t="shared" ca="1" si="19"/>
        <v/>
      </c>
      <c r="DD45" s="77" t="str">
        <f t="shared" ca="1" si="17"/>
        <v/>
      </c>
    </row>
    <row r="46" spans="1:108">
      <c r="A46" s="77">
        <f t="shared" si="22"/>
        <v>21</v>
      </c>
      <c r="B46" s="77" t="str">
        <f t="shared" si="23"/>
        <v>D. Vida (og)</v>
      </c>
      <c r="C46" s="77" t="str">
        <f t="shared" si="24"/>
        <v>Jô (og)</v>
      </c>
      <c r="D46" s="77" t="str">
        <f t="shared" si="25"/>
        <v>Jô (og)</v>
      </c>
      <c r="E46" s="77" t="str">
        <f t="shared" si="26"/>
        <v>Jô (og)</v>
      </c>
      <c r="F46" s="77" t="str">
        <f t="shared" si="27"/>
        <v>M. Depay (og)</v>
      </c>
      <c r="G46" s="77" t="str">
        <f t="shared" si="28"/>
        <v>D. Silva (og)</v>
      </c>
      <c r="H46" s="77" t="str">
        <f t="shared" si="29"/>
        <v>D. Silva (og)</v>
      </c>
      <c r="I46" s="77" t="str">
        <f t="shared" si="30"/>
        <v>D. Silva (og)</v>
      </c>
      <c r="J46" s="77" t="str">
        <f t="shared" si="31"/>
        <v>K. Katsouranis (og)</v>
      </c>
      <c r="K46" s="77" t="str">
        <f t="shared" si="32"/>
        <v>J. Martínez (og)</v>
      </c>
      <c r="L46" s="77" t="str">
        <f t="shared" si="33"/>
        <v>J. Martínez (og)</v>
      </c>
      <c r="M46" s="77" t="str">
        <f t="shared" si="34"/>
        <v>J. Martínez (og)</v>
      </c>
      <c r="N46" s="77" t="str">
        <f t="shared" si="35"/>
        <v>M. Ureña (og)</v>
      </c>
      <c r="O46" s="77" t="str">
        <f t="shared" si="36"/>
        <v>E. Cavani (og)</v>
      </c>
      <c r="P46" s="77" t="str">
        <f t="shared" si="37"/>
        <v>E. Cavani (og)</v>
      </c>
      <c r="Q46" s="77" t="str">
        <f t="shared" si="38"/>
        <v>E. Cavani (og)</v>
      </c>
      <c r="R46" s="77" t="str">
        <f t="shared" si="39"/>
        <v>G. Achilier (og)</v>
      </c>
      <c r="S46" s="77" t="str">
        <f t="shared" si="40"/>
        <v>R. Bürki (og)</v>
      </c>
      <c r="T46" s="77" t="str">
        <f t="shared" si="41"/>
        <v>R. Bürki (og)</v>
      </c>
      <c r="U46" s="77" t="str">
        <f t="shared" si="42"/>
        <v>R. Bürki (og)</v>
      </c>
      <c r="V46" s="77" t="str">
        <f t="shared" si="43"/>
        <v>T. Sušić (og)</v>
      </c>
      <c r="W46" s="77" t="str">
        <f t="shared" si="44"/>
        <v>M. Andújar (og)</v>
      </c>
      <c r="X46" s="77" t="str">
        <f t="shared" si="45"/>
        <v>M. Andújar (og)</v>
      </c>
      <c r="Y46" s="77" t="str">
        <f t="shared" si="46"/>
        <v>M. Andújar (og)</v>
      </c>
      <c r="Z46" s="77" t="str">
        <f t="shared" si="47"/>
        <v>J. Pereira (og)</v>
      </c>
      <c r="AA46" s="77" t="str">
        <f t="shared" si="48"/>
        <v>S. Mustafi (og)</v>
      </c>
      <c r="AB46" s="77" t="str">
        <f t="shared" si="49"/>
        <v>S. Mustafi (og)</v>
      </c>
      <c r="AC46" s="77" t="str">
        <f t="shared" si="50"/>
        <v>S. Mustafi (og)</v>
      </c>
      <c r="AD46" s="77" t="str">
        <f t="shared" si="51"/>
        <v>R. Mahrez (og)</v>
      </c>
      <c r="AE46" s="77" t="str">
        <f t="shared" si="52"/>
        <v>A. Vanden Borre (og)</v>
      </c>
      <c r="AF46" s="77" t="str">
        <f t="shared" si="53"/>
        <v>A. Vanden Borre (og)</v>
      </c>
      <c r="AG46" s="77" t="str">
        <f t="shared" si="54"/>
        <v>A. Vanden Borre (og)</v>
      </c>
      <c r="AI46" s="77" t="str">
        <f t="shared" ca="1" si="55"/>
        <v xml:space="preserve"> (og)</v>
      </c>
      <c r="AJ46" s="77" t="str">
        <f t="shared" ca="1" si="56"/>
        <v xml:space="preserve"> (og)</v>
      </c>
      <c r="AK46" s="77" t="str">
        <f t="shared" ca="1" si="55"/>
        <v xml:space="preserve"> (og)</v>
      </c>
      <c r="AL46" s="77" t="str">
        <f t="shared" ca="1" si="56"/>
        <v xml:space="preserve"> (og)</v>
      </c>
      <c r="AM46" s="77" t="str">
        <f t="shared" ref="AM46" ca="1" si="377">AN23&amp;" (og)"</f>
        <v xml:space="preserve"> (og)</v>
      </c>
      <c r="AN46" s="77" t="str">
        <f t="shared" ref="AN46" ca="1" si="378">AM23&amp;" (og)"</f>
        <v xml:space="preserve"> (og)</v>
      </c>
      <c r="AO46" s="77" t="str">
        <f t="shared" ref="AO46" ca="1" si="379">AP23&amp;" (og)"</f>
        <v xml:space="preserve"> (og)</v>
      </c>
      <c r="AP46" s="77" t="str">
        <f t="shared" ref="AP46" ca="1" si="380">AO23&amp;" (og)"</f>
        <v xml:space="preserve"> (og)</v>
      </c>
      <c r="AQ46" s="77" t="str">
        <f t="shared" ref="AQ46" ca="1" si="381">AR23&amp;" (og)"</f>
        <v xml:space="preserve"> (og)</v>
      </c>
      <c r="AR46" s="77" t="str">
        <f t="shared" ref="AR46" ca="1" si="382">AQ23&amp;" (og)"</f>
        <v xml:space="preserve"> (og)</v>
      </c>
      <c r="AS46" s="77" t="str">
        <f t="shared" ref="AS46" ca="1" si="383">AT23&amp;" (og)"</f>
        <v xml:space="preserve"> (og)</v>
      </c>
      <c r="AT46" s="77" t="str">
        <f t="shared" ref="AT46" ca="1" si="384">AS23&amp;" (og)"</f>
        <v xml:space="preserve"> (og)</v>
      </c>
      <c r="AU46" s="77" t="str">
        <f t="shared" ref="AU46" ca="1" si="385">AV23&amp;" (og)"</f>
        <v xml:space="preserve"> (og)</v>
      </c>
      <c r="AV46" s="77" t="str">
        <f t="shared" ref="AV46" ca="1" si="386">AU23&amp;" (og)"</f>
        <v xml:space="preserve"> (og)</v>
      </c>
      <c r="AW46" s="77" t="str">
        <f t="shared" ref="AW46" ca="1" si="387">AX23&amp;" (og)"</f>
        <v xml:space="preserve"> (og)</v>
      </c>
      <c r="AX46" s="77" t="str">
        <f t="shared" ref="AX46" ca="1" si="388">AW23&amp;" (og)"</f>
        <v xml:space="preserve"> (og)</v>
      </c>
      <c r="AZ46" s="77" t="str">
        <f t="shared" ref="AZ46" si="389">BA23&amp;" (og)"</f>
        <v xml:space="preserve"> (og)</v>
      </c>
      <c r="BA46" s="77" t="str">
        <f t="shared" ref="BA46" si="390">AZ23&amp;" (og)"</f>
        <v xml:space="preserve"> (og)</v>
      </c>
      <c r="BB46" s="77" t="str">
        <f t="shared" ref="BB46" si="391">BC23&amp;" (og)"</f>
        <v xml:space="preserve"> (og)</v>
      </c>
      <c r="BC46" s="77" t="str">
        <f t="shared" ref="BC46" si="392">BB23&amp;" (og)"</f>
        <v xml:space="preserve"> (og)</v>
      </c>
      <c r="BD46" s="77" t="str">
        <f t="shared" si="73"/>
        <v xml:space="preserve"> (og)</v>
      </c>
      <c r="BE46" s="77" t="str">
        <f t="shared" si="74"/>
        <v xml:space="preserve"> (og)</v>
      </c>
      <c r="BF46" s="77" t="str">
        <f t="shared" si="75"/>
        <v xml:space="preserve"> (og)</v>
      </c>
      <c r="BG46" s="77" t="str">
        <f t="shared" si="76"/>
        <v xml:space="preserve"> (og)</v>
      </c>
      <c r="BI46" s="77" t="str">
        <f t="shared" si="77"/>
        <v xml:space="preserve"> (og)</v>
      </c>
      <c r="BJ46" s="77" t="str">
        <f t="shared" si="78"/>
        <v xml:space="preserve"> (og)</v>
      </c>
      <c r="BK46" s="77" t="str">
        <f t="shared" si="79"/>
        <v xml:space="preserve"> (og)</v>
      </c>
      <c r="BL46" s="77" t="str">
        <f t="shared" si="80"/>
        <v xml:space="preserve"> (og)</v>
      </c>
      <c r="BN46" s="77" t="str">
        <f t="shared" si="81"/>
        <v xml:space="preserve"> (og)</v>
      </c>
      <c r="BO46" s="77" t="str">
        <f t="shared" si="82"/>
        <v xml:space="preserve"> (og)</v>
      </c>
      <c r="BQ46" s="77" t="str">
        <f t="shared" si="83"/>
        <v xml:space="preserve"> (og)</v>
      </c>
      <c r="BR46" s="77" t="str">
        <f t="shared" si="84"/>
        <v xml:space="preserve"> (og)</v>
      </c>
      <c r="BT46" s="77" t="str">
        <f t="shared" ca="1" si="85"/>
        <v>Croatia</v>
      </c>
      <c r="BU46" s="77">
        <f t="shared" si="12"/>
        <v>44</v>
      </c>
      <c r="BV46" s="77" t="s">
        <v>3903</v>
      </c>
      <c r="BW46" s="77">
        <f t="shared" si="86"/>
        <v>2</v>
      </c>
      <c r="BX46" s="77" t="str">
        <f t="shared" ca="1" si="87"/>
        <v>D. Vida</v>
      </c>
      <c r="BY46" s="77">
        <f ca="1">COUNTIF('Group Stages'!$L$14:$S$110,BX46)+COUNTIF('Knock Out Stages'!$N$41:$U$84,BX46)</f>
        <v>0</v>
      </c>
      <c r="BZ46" s="79" t="s">
        <v>3953</v>
      </c>
      <c r="CA46" s="77" t="str">
        <f t="shared" ca="1" si="88"/>
        <v>Domagoj Vida</v>
      </c>
      <c r="CB46" s="77">
        <v>43</v>
      </c>
      <c r="CC46" s="77" t="str">
        <f t="array" aca="1" ref="CC46" ca="1">IFERROR(INDEX($BX$3:$BX$738, SMALL(IF(COUNTIF(CC$3, $BY$3:$BY$738), ROW($BX$3:$BX$738)-MIN(ROW($BX$3:$BX$738))+1), $CB46), 0),"")</f>
        <v/>
      </c>
      <c r="CD46" s="77" t="str">
        <f t="array" aca="1" ref="CD46" ca="1">IFERROR(INDEX($BX$3:$BX$738, SMALL(IF(COUNTIF(CD$3, $BY$3:$BY$738), ROW($BX$3:$BX$738)-MIN(ROW($BX$3:$BX$738))+1), $CB46), 0),"")</f>
        <v/>
      </c>
      <c r="CE46" s="77" t="str">
        <f t="array" aca="1" ref="CE46" ca="1">IFERROR(INDEX($BX$3:$BX$738, SMALL(IF(COUNTIF(CE$3, $BY$3:$BY$738), ROW($BX$3:$BX$738)-MIN(ROW($BX$3:$BX$738))+1), $CB46), 0),"")</f>
        <v/>
      </c>
      <c r="CF46" s="77" t="str">
        <f t="array" aca="1" ref="CF46" ca="1">IFERROR(INDEX($BX$3:$BX$738, SMALL(IF(COUNTIF(CF$3, $BY$3:$BY$738), ROW($BX$3:$BX$738)-MIN(ROW($BX$3:$BX$738))+1), $CB46), 0),"")</f>
        <v/>
      </c>
      <c r="CG46" s="77" t="str">
        <f t="array" aca="1" ref="CG46" ca="1">IFERROR(INDEX($BX$3:$BX$738, SMALL(IF(COUNTIF(CG$3, $BY$3:$BY$738), ROW($BX$3:$BX$738)-MIN(ROW($BX$3:$BX$738))+1), $CB46), 0),"")</f>
        <v/>
      </c>
      <c r="CH46" s="77" t="str">
        <f t="array" aca="1" ref="CH46" ca="1">IFERROR(INDEX($BX$3:$BX$738, SMALL(IF(COUNTIF(CH$3, $BY$3:$BY$738), ROW($BX$3:$BX$738)-MIN(ROW($BX$3:$BX$738))+1), $CB46), 0),"")</f>
        <v/>
      </c>
      <c r="CI46" s="77" t="str">
        <f t="array" aca="1" ref="CI46" ca="1">IFERROR(INDEX($BX$3:$BX$738, SMALL(IF(COUNTIF(CI$3, $BY$3:$BY$738), ROW($BX$3:$BX$738)-MIN(ROW($BX$3:$BX$738))+1), $CB46), 0),"")</f>
        <v/>
      </c>
      <c r="CJ46" s="77" t="str">
        <f t="array" aca="1" ref="CJ46" ca="1">IFERROR(INDEX($BX$3:$BX$738, SMALL(IF(COUNTIF(CJ$3, $BY$3:$BY$738), ROW($BX$3:$BX$738)-MIN(ROW($BX$3:$BX$738))+1), $CB46), 0),"")</f>
        <v/>
      </c>
      <c r="CK46" s="77" t="str">
        <f t="array" aca="1" ref="CK46" ca="1">IFERROR(INDEX($BX$3:$BX$738, SMALL(IF(COUNTIF(CK$3, $BY$3:$BY$738), ROW($BX$3:$BX$738)-MIN(ROW($BX$3:$BX$738))+1), $CB46), 0),"")</f>
        <v/>
      </c>
      <c r="CL46" s="77" t="str">
        <f t="array" aca="1" ref="CL46" ca="1">IFERROR(INDEX($BX$3:$BX$738, SMALL(IF(COUNTIF(CL$3, $BY$3:$BY$738), ROW($BX$3:$BX$738)-MIN(ROW($BX$3:$BX$738))+1), $CB46), 0),"")</f>
        <v/>
      </c>
      <c r="CM46" s="77" t="str">
        <f t="array" aca="1" ref="CM46" ca="1">IFERROR(INDEX($BX$3:$BX$738, SMALL(IF(COUNTIF(CM$3, $BY$3:$BY$738), ROW($BX$3:$BX$738)-MIN(ROW($BX$3:$BX$738))+1), $CB46), 0),"")</f>
        <v/>
      </c>
      <c r="CN46" s="77" t="str">
        <f t="array" aca="1" ref="CN46" ca="1">IFERROR(INDEX($BX$3:$BX$738, SMALL(IF(COUNTIF(CN$3, $BY$3:$BY$738), ROW($BX$3:$BX$738)-MIN(ROW($BX$3:$BX$738))+1), $CB46), 0),"")</f>
        <v/>
      </c>
      <c r="CO46" s="77" t="str">
        <f t="array" aca="1" ref="CO46" ca="1">IFERROR(INDEX($BX$3:$BX$738, SMALL(IF(COUNTIF(CO$3, $BY$3:$BY$738), ROW($BX$3:$BX$738)-MIN(ROW($BX$3:$BX$738))+1), $CB46), 0),"")</f>
        <v/>
      </c>
      <c r="CP46" s="77" t="str">
        <f t="array" aca="1" ref="CP46" ca="1">IFERROR(INDEX($BX$3:$BX$738, SMALL(IF(COUNTIF(CP$3, $BY$3:$BY$738), ROW($BX$3:$BX$738)-MIN(ROW($BX$3:$BX$738))+1), $CB46), 0),"")</f>
        <v/>
      </c>
      <c r="CQ46" s="77" t="str">
        <f t="array" aca="1" ref="CQ46" ca="1">IFERROR(INDEX($BX$3:$BX$738, SMALL(IF(COUNTIF(CQ$3, $BY$3:$BY$738), ROW($BX$3:$BX$738)-MIN(ROW($BX$3:$BX$738))+1), $CB46), 0),"")</f>
        <v/>
      </c>
      <c r="CS46" s="77">
        <v>43</v>
      </c>
      <c r="CT46" s="77">
        <f>CT4+1</f>
        <v>2</v>
      </c>
      <c r="CU46" s="77" t="s">
        <v>3963</v>
      </c>
      <c r="CV46" s="77" t="str">
        <f ca="1">OFFSET(INDIRECT(CU46),0,-CT46)</f>
        <v/>
      </c>
      <c r="CW46" s="77">
        <f t="shared" ca="1" si="13"/>
        <v>0</v>
      </c>
      <c r="CZ46" s="77">
        <v>43</v>
      </c>
      <c r="DA46" s="77" t="str">
        <f t="shared" ca="1" si="14"/>
        <v/>
      </c>
      <c r="DB46" s="77" t="str">
        <f t="shared" ca="1" si="15"/>
        <v/>
      </c>
      <c r="DC46" s="77" t="str">
        <f t="shared" ca="1" si="19"/>
        <v/>
      </c>
      <c r="DD46" s="77" t="str">
        <f t="shared" ca="1" si="17"/>
        <v/>
      </c>
    </row>
    <row r="47" spans="1:108">
      <c r="A47" s="77">
        <f t="shared" si="22"/>
        <v>22</v>
      </c>
      <c r="B47" s="77" t="str">
        <f t="shared" si="23"/>
        <v>Eduardo (og)</v>
      </c>
      <c r="C47" s="77" t="str">
        <f t="shared" si="24"/>
        <v>Victor (og)</v>
      </c>
      <c r="D47" s="77" t="str">
        <f t="shared" si="25"/>
        <v>Victor (og)</v>
      </c>
      <c r="E47" s="77" t="str">
        <f t="shared" si="26"/>
        <v>Victor (og)</v>
      </c>
      <c r="F47" s="77" t="str">
        <f t="shared" si="27"/>
        <v>M. Vorm (og)</v>
      </c>
      <c r="G47" s="77" t="str">
        <f t="shared" si="28"/>
        <v>C. Azpilicueta (og)</v>
      </c>
      <c r="H47" s="77" t="str">
        <f t="shared" si="29"/>
        <v>C. Azpilicueta (og)</v>
      </c>
      <c r="I47" s="77" t="str">
        <f t="shared" si="30"/>
        <v>C. Azpilicueta (og)</v>
      </c>
      <c r="J47" s="77" t="str">
        <f t="shared" si="31"/>
        <v>A. Samaris (og)</v>
      </c>
      <c r="K47" s="77" t="str">
        <f t="shared" si="32"/>
        <v>F. Mondragón (og)</v>
      </c>
      <c r="L47" s="77" t="str">
        <f t="shared" si="33"/>
        <v>F. Mondragón (og)</v>
      </c>
      <c r="M47" s="77" t="str">
        <f t="shared" si="34"/>
        <v>F. Mondragón (og)</v>
      </c>
      <c r="N47" s="77" t="str">
        <f t="shared" si="35"/>
        <v>J. Miguel Cubero (og)</v>
      </c>
      <c r="O47" s="77" t="str">
        <f t="shared" si="36"/>
        <v>M. Cáceres (og)</v>
      </c>
      <c r="P47" s="77" t="str">
        <f t="shared" si="37"/>
        <v>M. Cáceres (og)</v>
      </c>
      <c r="Q47" s="77" t="str">
        <f t="shared" si="38"/>
        <v>M. Cáceres (og)</v>
      </c>
      <c r="R47" s="77" t="str">
        <f t="shared" si="39"/>
        <v>A. Domínguez (og)</v>
      </c>
      <c r="S47" s="77" t="str">
        <f t="shared" si="40"/>
        <v>F. Schär (og)</v>
      </c>
      <c r="T47" s="77" t="str">
        <f t="shared" si="41"/>
        <v>F. Schär (og)</v>
      </c>
      <c r="U47" s="77" t="str">
        <f t="shared" si="42"/>
        <v>F. Schär (og)</v>
      </c>
      <c r="V47" s="77" t="str">
        <f t="shared" si="43"/>
        <v>A. Avdukić (og)</v>
      </c>
      <c r="W47" s="77" t="str">
        <f t="shared" si="44"/>
        <v>E. Lavezzi (og)</v>
      </c>
      <c r="X47" s="77" t="str">
        <f t="shared" si="45"/>
        <v>E. Lavezzi (og)</v>
      </c>
      <c r="Y47" s="77" t="str">
        <f t="shared" si="46"/>
        <v>E. Lavezzi (og)</v>
      </c>
      <c r="Z47" s="77" t="str">
        <f t="shared" si="47"/>
        <v>Beto (og)</v>
      </c>
      <c r="AA47" s="77" t="str">
        <f t="shared" si="48"/>
        <v>R. Weidenfeller (og)</v>
      </c>
      <c r="AB47" s="77" t="str">
        <f t="shared" si="49"/>
        <v>R. Weidenfeller (og)</v>
      </c>
      <c r="AC47" s="77" t="str">
        <f t="shared" si="50"/>
        <v>R. Weidenfeller (og)</v>
      </c>
      <c r="AD47" s="77" t="str">
        <f t="shared" si="51"/>
        <v>M. Mostefa (og)</v>
      </c>
      <c r="AE47" s="77" t="str">
        <f t="shared" si="52"/>
        <v>N. Chadli (og)</v>
      </c>
      <c r="AF47" s="77" t="str">
        <f t="shared" si="53"/>
        <v>N. Chadli (og)</v>
      </c>
      <c r="AG47" s="77" t="str">
        <f t="shared" si="54"/>
        <v>N. Chadli (og)</v>
      </c>
      <c r="AI47" s="77" t="str">
        <f t="shared" ca="1" si="55"/>
        <v xml:space="preserve"> (og)</v>
      </c>
      <c r="AJ47" s="77" t="str">
        <f t="shared" ca="1" si="56"/>
        <v xml:space="preserve"> (og)</v>
      </c>
      <c r="AK47" s="77" t="str">
        <f t="shared" ca="1" si="55"/>
        <v xml:space="preserve"> (og)</v>
      </c>
      <c r="AL47" s="77" t="str">
        <f t="shared" ca="1" si="56"/>
        <v xml:space="preserve"> (og)</v>
      </c>
      <c r="AM47" s="77" t="str">
        <f t="shared" ref="AM47" ca="1" si="393">AN24&amp;" (og)"</f>
        <v xml:space="preserve"> (og)</v>
      </c>
      <c r="AN47" s="77" t="str">
        <f t="shared" ref="AN47" ca="1" si="394">AM24&amp;" (og)"</f>
        <v xml:space="preserve"> (og)</v>
      </c>
      <c r="AO47" s="77" t="str">
        <f t="shared" ref="AO47" ca="1" si="395">AP24&amp;" (og)"</f>
        <v xml:space="preserve"> (og)</v>
      </c>
      <c r="AP47" s="77" t="str">
        <f t="shared" ref="AP47" ca="1" si="396">AO24&amp;" (og)"</f>
        <v xml:space="preserve"> (og)</v>
      </c>
      <c r="AQ47" s="77" t="str">
        <f t="shared" ref="AQ47" ca="1" si="397">AR24&amp;" (og)"</f>
        <v xml:space="preserve"> (og)</v>
      </c>
      <c r="AR47" s="77" t="str">
        <f t="shared" ref="AR47" ca="1" si="398">AQ24&amp;" (og)"</f>
        <v xml:space="preserve"> (og)</v>
      </c>
      <c r="AS47" s="77" t="str">
        <f t="shared" ref="AS47" ca="1" si="399">AT24&amp;" (og)"</f>
        <v xml:space="preserve"> (og)</v>
      </c>
      <c r="AT47" s="77" t="str">
        <f t="shared" ref="AT47" ca="1" si="400">AS24&amp;" (og)"</f>
        <v xml:space="preserve"> (og)</v>
      </c>
      <c r="AU47" s="77" t="str">
        <f t="shared" ref="AU47" ca="1" si="401">AV24&amp;" (og)"</f>
        <v xml:space="preserve"> (og)</v>
      </c>
      <c r="AV47" s="77" t="str">
        <f t="shared" ref="AV47" ca="1" si="402">AU24&amp;" (og)"</f>
        <v xml:space="preserve"> (og)</v>
      </c>
      <c r="AW47" s="77" t="str">
        <f t="shared" ref="AW47" ca="1" si="403">AX24&amp;" (og)"</f>
        <v xml:space="preserve"> (og)</v>
      </c>
      <c r="AX47" s="77" t="str">
        <f t="shared" ref="AX47" ca="1" si="404">AW24&amp;" (og)"</f>
        <v xml:space="preserve"> (og)</v>
      </c>
      <c r="AZ47" s="77" t="str">
        <f t="shared" ref="AZ47" si="405">BA24&amp;" (og)"</f>
        <v xml:space="preserve"> (og)</v>
      </c>
      <c r="BA47" s="77" t="str">
        <f t="shared" ref="BA47" si="406">AZ24&amp;" (og)"</f>
        <v xml:space="preserve"> (og)</v>
      </c>
      <c r="BB47" s="77" t="str">
        <f t="shared" ref="BB47" si="407">BC24&amp;" (og)"</f>
        <v xml:space="preserve"> (og)</v>
      </c>
      <c r="BC47" s="77" t="str">
        <f t="shared" ref="BC47" si="408">BB24&amp;" (og)"</f>
        <v xml:space="preserve"> (og)</v>
      </c>
      <c r="BD47" s="77" t="str">
        <f t="shared" si="73"/>
        <v xml:space="preserve"> (og)</v>
      </c>
      <c r="BE47" s="77" t="str">
        <f t="shared" si="74"/>
        <v xml:space="preserve"> (og)</v>
      </c>
      <c r="BF47" s="77" t="str">
        <f t="shared" si="75"/>
        <v xml:space="preserve"> (og)</v>
      </c>
      <c r="BG47" s="77" t="str">
        <f t="shared" si="76"/>
        <v xml:space="preserve"> (og)</v>
      </c>
      <c r="BI47" s="77" t="str">
        <f t="shared" si="77"/>
        <v xml:space="preserve"> (og)</v>
      </c>
      <c r="BJ47" s="77" t="str">
        <f t="shared" si="78"/>
        <v xml:space="preserve"> (og)</v>
      </c>
      <c r="BK47" s="77" t="str">
        <f t="shared" si="79"/>
        <v xml:space="preserve"> (og)</v>
      </c>
      <c r="BL47" s="77" t="str">
        <f t="shared" si="80"/>
        <v xml:space="preserve"> (og)</v>
      </c>
      <c r="BN47" s="77" t="str">
        <f t="shared" si="81"/>
        <v xml:space="preserve"> (og)</v>
      </c>
      <c r="BO47" s="77" t="str">
        <f t="shared" si="82"/>
        <v xml:space="preserve"> (og)</v>
      </c>
      <c r="BQ47" s="77" t="str">
        <f t="shared" si="83"/>
        <v xml:space="preserve"> (og)</v>
      </c>
      <c r="BR47" s="77" t="str">
        <f t="shared" si="84"/>
        <v xml:space="preserve"> (og)</v>
      </c>
      <c r="BT47" s="77" t="str">
        <f t="shared" ca="1" si="85"/>
        <v>Croatia</v>
      </c>
      <c r="BU47" s="77">
        <f t="shared" si="12"/>
        <v>45</v>
      </c>
      <c r="BV47" s="77" t="s">
        <v>3904</v>
      </c>
      <c r="BW47" s="77">
        <f t="shared" si="86"/>
        <v>2</v>
      </c>
      <c r="BX47" s="77" t="str">
        <f t="shared" ca="1" si="87"/>
        <v>Eduardo</v>
      </c>
      <c r="BY47" s="77">
        <f ca="1">COUNTIF('Group Stages'!$L$14:$S$110,BX47)+COUNTIF('Knock Out Stages'!$N$41:$U$84,BX47)</f>
        <v>0</v>
      </c>
      <c r="BZ47" s="79" t="s">
        <v>3954</v>
      </c>
      <c r="CA47" s="77" t="str">
        <f t="shared" ca="1" si="88"/>
        <v>Eduardo</v>
      </c>
      <c r="CB47" s="77">
        <v>44</v>
      </c>
      <c r="CC47" s="77" t="str">
        <f t="array" aca="1" ref="CC47" ca="1">IFERROR(INDEX($BX$3:$BX$738, SMALL(IF(COUNTIF(CC$3, $BY$3:$BY$738), ROW($BX$3:$BX$738)-MIN(ROW($BX$3:$BX$738))+1), $CB47), 0),"")</f>
        <v/>
      </c>
      <c r="CD47" s="77" t="str">
        <f t="array" aca="1" ref="CD47" ca="1">IFERROR(INDEX($BX$3:$BX$738, SMALL(IF(COUNTIF(CD$3, $BY$3:$BY$738), ROW($BX$3:$BX$738)-MIN(ROW($BX$3:$BX$738))+1), $CB47), 0),"")</f>
        <v/>
      </c>
      <c r="CE47" s="77" t="str">
        <f t="array" aca="1" ref="CE47" ca="1">IFERROR(INDEX($BX$3:$BX$738, SMALL(IF(COUNTIF(CE$3, $BY$3:$BY$738), ROW($BX$3:$BX$738)-MIN(ROW($BX$3:$BX$738))+1), $CB47), 0),"")</f>
        <v/>
      </c>
      <c r="CF47" s="77" t="str">
        <f t="array" aca="1" ref="CF47" ca="1">IFERROR(INDEX($BX$3:$BX$738, SMALL(IF(COUNTIF(CF$3, $BY$3:$BY$738), ROW($BX$3:$BX$738)-MIN(ROW($BX$3:$BX$738))+1), $CB47), 0),"")</f>
        <v/>
      </c>
      <c r="CG47" s="77" t="str">
        <f t="array" aca="1" ref="CG47" ca="1">IFERROR(INDEX($BX$3:$BX$738, SMALL(IF(COUNTIF(CG$3, $BY$3:$BY$738), ROW($BX$3:$BX$738)-MIN(ROW($BX$3:$BX$738))+1), $CB47), 0),"")</f>
        <v/>
      </c>
      <c r="CH47" s="77" t="str">
        <f t="array" aca="1" ref="CH47" ca="1">IFERROR(INDEX($BX$3:$BX$738, SMALL(IF(COUNTIF(CH$3, $BY$3:$BY$738), ROW($BX$3:$BX$738)-MIN(ROW($BX$3:$BX$738))+1), $CB47), 0),"")</f>
        <v/>
      </c>
      <c r="CI47" s="77" t="str">
        <f t="array" aca="1" ref="CI47" ca="1">IFERROR(INDEX($BX$3:$BX$738, SMALL(IF(COUNTIF(CI$3, $BY$3:$BY$738), ROW($BX$3:$BX$738)-MIN(ROW($BX$3:$BX$738))+1), $CB47), 0),"")</f>
        <v/>
      </c>
      <c r="CJ47" s="77" t="str">
        <f t="array" aca="1" ref="CJ47" ca="1">IFERROR(INDEX($BX$3:$BX$738, SMALL(IF(COUNTIF(CJ$3, $BY$3:$BY$738), ROW($BX$3:$BX$738)-MIN(ROW($BX$3:$BX$738))+1), $CB47), 0),"")</f>
        <v/>
      </c>
      <c r="CK47" s="77" t="str">
        <f t="array" aca="1" ref="CK47" ca="1">IFERROR(INDEX($BX$3:$BX$738, SMALL(IF(COUNTIF(CK$3, $BY$3:$BY$738), ROW($BX$3:$BX$738)-MIN(ROW($BX$3:$BX$738))+1), $CB47), 0),"")</f>
        <v/>
      </c>
      <c r="CL47" s="77" t="str">
        <f t="array" aca="1" ref="CL47" ca="1">IFERROR(INDEX($BX$3:$BX$738, SMALL(IF(COUNTIF(CL$3, $BY$3:$BY$738), ROW($BX$3:$BX$738)-MIN(ROW($BX$3:$BX$738))+1), $CB47), 0),"")</f>
        <v/>
      </c>
      <c r="CM47" s="77" t="str">
        <f t="array" aca="1" ref="CM47" ca="1">IFERROR(INDEX($BX$3:$BX$738, SMALL(IF(COUNTIF(CM$3, $BY$3:$BY$738), ROW($BX$3:$BX$738)-MIN(ROW($BX$3:$BX$738))+1), $CB47), 0),"")</f>
        <v/>
      </c>
      <c r="CN47" s="77" t="str">
        <f t="array" aca="1" ref="CN47" ca="1">IFERROR(INDEX($BX$3:$BX$738, SMALL(IF(COUNTIF(CN$3, $BY$3:$BY$738), ROW($BX$3:$BX$738)-MIN(ROW($BX$3:$BX$738))+1), $CB47), 0),"")</f>
        <v/>
      </c>
      <c r="CO47" s="77" t="str">
        <f t="array" aca="1" ref="CO47" ca="1">IFERROR(INDEX($BX$3:$BX$738, SMALL(IF(COUNTIF(CO$3, $BY$3:$BY$738), ROW($BX$3:$BX$738)-MIN(ROW($BX$3:$BX$738))+1), $CB47), 0),"")</f>
        <v/>
      </c>
      <c r="CP47" s="77" t="str">
        <f t="array" aca="1" ref="CP47" ca="1">IFERROR(INDEX($BX$3:$BX$738, SMALL(IF(COUNTIF(CP$3, $BY$3:$BY$738), ROW($BX$3:$BX$738)-MIN(ROW($BX$3:$BX$738))+1), $CB47), 0),"")</f>
        <v/>
      </c>
      <c r="CQ47" s="77" t="str">
        <f t="array" aca="1" ref="CQ47" ca="1">IFERROR(INDEX($BX$3:$BX$738, SMALL(IF(COUNTIF(CQ$3, $BY$3:$BY$738), ROW($BX$3:$BX$738)-MIN(ROW($BX$3:$BX$738))+1), $CB47), 0),"")</f>
        <v/>
      </c>
      <c r="CS47" s="77">
        <f>CS46+1</f>
        <v>44</v>
      </c>
      <c r="CT47" s="77">
        <f>CT5+1</f>
        <v>2</v>
      </c>
      <c r="CU47" s="77" t="s">
        <v>3964</v>
      </c>
      <c r="CV47" s="77" t="str">
        <f ca="1">OFFSET(INDIRECT(CU47),0,-CT47)</f>
        <v/>
      </c>
      <c r="CW47" s="77">
        <f t="shared" ca="1" si="13"/>
        <v>0</v>
      </c>
      <c r="CZ47" s="77">
        <v>44</v>
      </c>
      <c r="DA47" s="77" t="str">
        <f t="shared" ca="1" si="14"/>
        <v/>
      </c>
      <c r="DB47" s="77" t="str">
        <f t="shared" ca="1" si="15"/>
        <v/>
      </c>
      <c r="DC47" s="77" t="str">
        <f t="shared" ca="1" si="19"/>
        <v/>
      </c>
      <c r="DD47" s="77" t="str">
        <f t="shared" ca="1" si="17"/>
        <v/>
      </c>
    </row>
    <row r="48" spans="1:108">
      <c r="A48" s="77">
        <f t="shared" si="22"/>
        <v>23</v>
      </c>
      <c r="B48" s="77" t="str">
        <f t="shared" si="23"/>
        <v>D. Subašić (og)</v>
      </c>
      <c r="C48" s="77" t="str">
        <f t="shared" si="24"/>
        <v>Maicon (og)</v>
      </c>
      <c r="D48" s="77" t="str">
        <f t="shared" si="25"/>
        <v>Maicon (og)</v>
      </c>
      <c r="E48" s="77" t="str">
        <f t="shared" si="26"/>
        <v>Maicon (og)</v>
      </c>
      <c r="F48" s="77" t="str">
        <f t="shared" si="27"/>
        <v>T. Krul (og)</v>
      </c>
      <c r="G48" s="77" t="str">
        <f t="shared" si="28"/>
        <v>P. Reina (og)</v>
      </c>
      <c r="H48" s="77" t="str">
        <f t="shared" si="29"/>
        <v>P. Reina (og)</v>
      </c>
      <c r="I48" s="77" t="str">
        <f t="shared" si="30"/>
        <v>P. Reina (og)</v>
      </c>
      <c r="J48" s="77" t="str">
        <f t="shared" si="31"/>
        <v>P. Tachtsidis (og)</v>
      </c>
      <c r="K48" s="77" t="str">
        <f t="shared" si="32"/>
        <v>C. Valdés (og)</v>
      </c>
      <c r="L48" s="77" t="str">
        <f t="shared" si="33"/>
        <v>C. Valdés (og)</v>
      </c>
      <c r="M48" s="77" t="str">
        <f t="shared" si="34"/>
        <v>C. Valdés (og)</v>
      </c>
      <c r="N48" s="77" t="str">
        <f t="shared" si="35"/>
        <v>D. Cambronero (og)</v>
      </c>
      <c r="O48" s="77" t="str">
        <f t="shared" si="36"/>
        <v>M. Silva (og)</v>
      </c>
      <c r="P48" s="77" t="str">
        <f t="shared" si="37"/>
        <v>M. Silva (og)</v>
      </c>
      <c r="Q48" s="77" t="str">
        <f t="shared" si="38"/>
        <v>M. Silva (og)</v>
      </c>
      <c r="R48" s="77" t="str">
        <f t="shared" si="39"/>
        <v>C. Gruezo (og)</v>
      </c>
      <c r="S48" s="77" t="str">
        <f t="shared" si="40"/>
        <v>X. Shaqiri (og)</v>
      </c>
      <c r="T48" s="77" t="str">
        <f t="shared" si="41"/>
        <v>X. Shaqiri (og)</v>
      </c>
      <c r="U48" s="77" t="str">
        <f t="shared" si="42"/>
        <v>X. Shaqiri (og)</v>
      </c>
      <c r="V48" s="77" t="str">
        <f t="shared" si="43"/>
        <v>S. Salihović (og)</v>
      </c>
      <c r="W48" s="77" t="str">
        <f t="shared" si="44"/>
        <v>J. María Basanta (og)</v>
      </c>
      <c r="X48" s="77" t="str">
        <f t="shared" si="45"/>
        <v>J. María Basanta (og)</v>
      </c>
      <c r="Y48" s="77" t="str">
        <f t="shared" si="46"/>
        <v>J. María Basanta (og)</v>
      </c>
      <c r="Z48" s="77" t="str">
        <f t="shared" si="47"/>
        <v>H. Postiga (og)</v>
      </c>
      <c r="AA48" s="77" t="str">
        <f t="shared" si="48"/>
        <v>C. Kramer (og)</v>
      </c>
      <c r="AB48" s="77" t="str">
        <f t="shared" si="49"/>
        <v>C. Kramer (og)</v>
      </c>
      <c r="AC48" s="77" t="str">
        <f t="shared" si="50"/>
        <v>C. Kramer (og)</v>
      </c>
      <c r="AD48" s="77" t="str">
        <f t="shared" si="51"/>
        <v>R. M'Bolhi (og)</v>
      </c>
      <c r="AE48" s="77" t="str">
        <f t="shared" si="52"/>
        <v>L. Ciman (og)</v>
      </c>
      <c r="AF48" s="77" t="str">
        <f t="shared" si="53"/>
        <v>L. Ciman (og)</v>
      </c>
      <c r="AG48" s="77" t="str">
        <f t="shared" si="54"/>
        <v>L. Ciman (og)</v>
      </c>
      <c r="AI48" s="77" t="str">
        <f t="shared" ca="1" si="55"/>
        <v xml:space="preserve"> (og)</v>
      </c>
      <c r="AJ48" s="77" t="str">
        <f t="shared" ca="1" si="56"/>
        <v xml:space="preserve"> (og)</v>
      </c>
      <c r="AK48" s="77" t="str">
        <f t="shared" ca="1" si="55"/>
        <v xml:space="preserve"> (og)</v>
      </c>
      <c r="AL48" s="77" t="str">
        <f t="shared" ca="1" si="56"/>
        <v xml:space="preserve"> (og)</v>
      </c>
      <c r="AM48" s="77" t="str">
        <f t="shared" ref="AM48" ca="1" si="409">AN25&amp;" (og)"</f>
        <v xml:space="preserve"> (og)</v>
      </c>
      <c r="AN48" s="77" t="str">
        <f t="shared" ref="AN48" ca="1" si="410">AM25&amp;" (og)"</f>
        <v xml:space="preserve"> (og)</v>
      </c>
      <c r="AO48" s="77" t="str">
        <f t="shared" ref="AO48" ca="1" si="411">AP25&amp;" (og)"</f>
        <v xml:space="preserve"> (og)</v>
      </c>
      <c r="AP48" s="77" t="str">
        <f t="shared" ref="AP48" ca="1" si="412">AO25&amp;" (og)"</f>
        <v xml:space="preserve"> (og)</v>
      </c>
      <c r="AQ48" s="77" t="str">
        <f t="shared" ref="AQ48" ca="1" si="413">AR25&amp;" (og)"</f>
        <v xml:space="preserve"> (og)</v>
      </c>
      <c r="AR48" s="77" t="str">
        <f t="shared" ref="AR48" ca="1" si="414">AQ25&amp;" (og)"</f>
        <v xml:space="preserve"> (og)</v>
      </c>
      <c r="AS48" s="77" t="str">
        <f t="shared" ref="AS48" ca="1" si="415">AT25&amp;" (og)"</f>
        <v xml:space="preserve"> (og)</v>
      </c>
      <c r="AT48" s="77" t="str">
        <f t="shared" ref="AT48" ca="1" si="416">AS25&amp;" (og)"</f>
        <v xml:space="preserve"> (og)</v>
      </c>
      <c r="AU48" s="77" t="str">
        <f t="shared" ref="AU48" ca="1" si="417">AV25&amp;" (og)"</f>
        <v xml:space="preserve"> (og)</v>
      </c>
      <c r="AV48" s="77" t="str">
        <f t="shared" ref="AV48" ca="1" si="418">AU25&amp;" (og)"</f>
        <v xml:space="preserve"> (og)</v>
      </c>
      <c r="AW48" s="77" t="str">
        <f t="shared" ref="AW48" ca="1" si="419">AX25&amp;" (og)"</f>
        <v xml:space="preserve"> (og)</v>
      </c>
      <c r="AX48" s="77" t="str">
        <f t="shared" ref="AX48" ca="1" si="420">AW25&amp;" (og)"</f>
        <v xml:space="preserve"> (og)</v>
      </c>
      <c r="AZ48" s="77" t="str">
        <f t="shared" ref="AZ48" si="421">BA25&amp;" (og)"</f>
        <v xml:space="preserve"> (og)</v>
      </c>
      <c r="BA48" s="77" t="str">
        <f t="shared" ref="BA48" si="422">AZ25&amp;" (og)"</f>
        <v xml:space="preserve"> (og)</v>
      </c>
      <c r="BB48" s="77" t="str">
        <f t="shared" ref="BB48" si="423">BC25&amp;" (og)"</f>
        <v xml:space="preserve"> (og)</v>
      </c>
      <c r="BC48" s="77" t="str">
        <f t="shared" ref="BC48" si="424">BB25&amp;" (og)"</f>
        <v xml:space="preserve"> (og)</v>
      </c>
      <c r="BD48" s="77" t="str">
        <f t="shared" si="73"/>
        <v xml:space="preserve"> (og)</v>
      </c>
      <c r="BE48" s="77" t="str">
        <f t="shared" si="74"/>
        <v xml:space="preserve"> (og)</v>
      </c>
      <c r="BF48" s="77" t="str">
        <f t="shared" si="75"/>
        <v xml:space="preserve"> (og)</v>
      </c>
      <c r="BG48" s="77" t="str">
        <f t="shared" si="76"/>
        <v xml:space="preserve"> (og)</v>
      </c>
      <c r="BI48" s="77" t="str">
        <f t="shared" si="77"/>
        <v xml:space="preserve"> (og)</v>
      </c>
      <c r="BJ48" s="77" t="str">
        <f t="shared" si="78"/>
        <v xml:space="preserve"> (og)</v>
      </c>
      <c r="BK48" s="77" t="str">
        <f t="shared" si="79"/>
        <v xml:space="preserve"> (og)</v>
      </c>
      <c r="BL48" s="77" t="str">
        <f t="shared" si="80"/>
        <v xml:space="preserve"> (og)</v>
      </c>
      <c r="BN48" s="77" t="str">
        <f t="shared" si="81"/>
        <v xml:space="preserve"> (og)</v>
      </c>
      <c r="BO48" s="77" t="str">
        <f t="shared" si="82"/>
        <v xml:space="preserve"> (og)</v>
      </c>
      <c r="BQ48" s="77" t="str">
        <f t="shared" si="83"/>
        <v xml:space="preserve"> (og)</v>
      </c>
      <c r="BR48" s="77" t="str">
        <f t="shared" si="84"/>
        <v xml:space="preserve"> (og)</v>
      </c>
      <c r="BT48" s="77" t="str">
        <f t="shared" ca="1" si="85"/>
        <v>Croatia</v>
      </c>
      <c r="BU48" s="77">
        <f t="shared" si="12"/>
        <v>46</v>
      </c>
      <c r="BV48" s="77" t="s">
        <v>3905</v>
      </c>
      <c r="BW48" s="77">
        <f t="shared" si="86"/>
        <v>2</v>
      </c>
      <c r="BX48" s="77" t="str">
        <f t="shared" ca="1" si="87"/>
        <v>D. Subašić</v>
      </c>
      <c r="BY48" s="77">
        <f ca="1">COUNTIF('Group Stages'!$L$14:$S$110,BX48)+COUNTIF('Knock Out Stages'!$N$41:$U$84,BX48)</f>
        <v>0</v>
      </c>
      <c r="BZ48" s="79" t="s">
        <v>3955</v>
      </c>
      <c r="CA48" s="77" t="str">
        <f t="shared" ca="1" si="88"/>
        <v>Danijel Subašić</v>
      </c>
      <c r="CB48" s="77">
        <v>45</v>
      </c>
      <c r="CC48" s="77" t="str">
        <f t="array" aca="1" ref="CC48" ca="1">IFERROR(INDEX($BX$3:$BX$738, SMALL(IF(COUNTIF(CC$3, $BY$3:$BY$738), ROW($BX$3:$BX$738)-MIN(ROW($BX$3:$BX$738))+1), $CB48), 0),"")</f>
        <v/>
      </c>
      <c r="CD48" s="77" t="str">
        <f t="array" aca="1" ref="CD48" ca="1">IFERROR(INDEX($BX$3:$BX$738, SMALL(IF(COUNTIF(CD$3, $BY$3:$BY$738), ROW($BX$3:$BX$738)-MIN(ROW($BX$3:$BX$738))+1), $CB48), 0),"")</f>
        <v/>
      </c>
      <c r="CE48" s="77" t="str">
        <f t="array" aca="1" ref="CE48" ca="1">IFERROR(INDEX($BX$3:$BX$738, SMALL(IF(COUNTIF(CE$3, $BY$3:$BY$738), ROW($BX$3:$BX$738)-MIN(ROW($BX$3:$BX$738))+1), $CB48), 0),"")</f>
        <v/>
      </c>
      <c r="CF48" s="77" t="str">
        <f t="array" aca="1" ref="CF48" ca="1">IFERROR(INDEX($BX$3:$BX$738, SMALL(IF(COUNTIF(CF$3, $BY$3:$BY$738), ROW($BX$3:$BX$738)-MIN(ROW($BX$3:$BX$738))+1), $CB48), 0),"")</f>
        <v/>
      </c>
      <c r="CG48" s="77" t="str">
        <f t="array" aca="1" ref="CG48" ca="1">IFERROR(INDEX($BX$3:$BX$738, SMALL(IF(COUNTIF(CG$3, $BY$3:$BY$738), ROW($BX$3:$BX$738)-MIN(ROW($BX$3:$BX$738))+1), $CB48), 0),"")</f>
        <v/>
      </c>
      <c r="CH48" s="77" t="str">
        <f t="array" aca="1" ref="CH48" ca="1">IFERROR(INDEX($BX$3:$BX$738, SMALL(IF(COUNTIF(CH$3, $BY$3:$BY$738), ROW($BX$3:$BX$738)-MIN(ROW($BX$3:$BX$738))+1), $CB48), 0),"")</f>
        <v/>
      </c>
      <c r="CI48" s="77" t="str">
        <f t="array" aca="1" ref="CI48" ca="1">IFERROR(INDEX($BX$3:$BX$738, SMALL(IF(COUNTIF(CI$3, $BY$3:$BY$738), ROW($BX$3:$BX$738)-MIN(ROW($BX$3:$BX$738))+1), $CB48), 0),"")</f>
        <v/>
      </c>
      <c r="CJ48" s="77" t="str">
        <f t="array" aca="1" ref="CJ48" ca="1">IFERROR(INDEX($BX$3:$BX$738, SMALL(IF(COUNTIF(CJ$3, $BY$3:$BY$738), ROW($BX$3:$BX$738)-MIN(ROW($BX$3:$BX$738))+1), $CB48), 0),"")</f>
        <v/>
      </c>
      <c r="CK48" s="77" t="str">
        <f t="array" aca="1" ref="CK48" ca="1">IFERROR(INDEX($BX$3:$BX$738, SMALL(IF(COUNTIF(CK$3, $BY$3:$BY$738), ROW($BX$3:$BX$738)-MIN(ROW($BX$3:$BX$738))+1), $CB48), 0),"")</f>
        <v/>
      </c>
      <c r="CL48" s="77" t="str">
        <f t="array" aca="1" ref="CL48" ca="1">IFERROR(INDEX($BX$3:$BX$738, SMALL(IF(COUNTIF(CL$3, $BY$3:$BY$738), ROW($BX$3:$BX$738)-MIN(ROW($BX$3:$BX$738))+1), $CB48), 0),"")</f>
        <v/>
      </c>
      <c r="CM48" s="77" t="str">
        <f t="array" aca="1" ref="CM48" ca="1">IFERROR(INDEX($BX$3:$BX$738, SMALL(IF(COUNTIF(CM$3, $BY$3:$BY$738), ROW($BX$3:$BX$738)-MIN(ROW($BX$3:$BX$738))+1), $CB48), 0),"")</f>
        <v/>
      </c>
      <c r="CN48" s="77" t="str">
        <f t="array" aca="1" ref="CN48" ca="1">IFERROR(INDEX($BX$3:$BX$738, SMALL(IF(COUNTIF(CN$3, $BY$3:$BY$738), ROW($BX$3:$BX$738)-MIN(ROW($BX$3:$BX$738))+1), $CB48), 0),"")</f>
        <v/>
      </c>
      <c r="CO48" s="77" t="str">
        <f t="array" aca="1" ref="CO48" ca="1">IFERROR(INDEX($BX$3:$BX$738, SMALL(IF(COUNTIF(CO$3, $BY$3:$BY$738), ROW($BX$3:$BX$738)-MIN(ROW($BX$3:$BX$738))+1), $CB48), 0),"")</f>
        <v/>
      </c>
      <c r="CP48" s="77" t="str">
        <f t="array" aca="1" ref="CP48" ca="1">IFERROR(INDEX($BX$3:$BX$738, SMALL(IF(COUNTIF(CP$3, $BY$3:$BY$738), ROW($BX$3:$BX$738)-MIN(ROW($BX$3:$BX$738))+1), $CB48), 0),"")</f>
        <v/>
      </c>
      <c r="CQ48" s="77" t="str">
        <f t="array" aca="1" ref="CQ48" ca="1">IFERROR(INDEX($BX$3:$BX$738, SMALL(IF(COUNTIF(CQ$3, $BY$3:$BY$738), ROW($BX$3:$BX$738)-MIN(ROW($BX$3:$BX$738))+1), $CB48), 0),"")</f>
        <v/>
      </c>
      <c r="CS48" s="77">
        <f t="shared" ref="CS48:CS88" si="425">CS47+1</f>
        <v>45</v>
      </c>
      <c r="CT48" s="77">
        <f t="shared" ref="CT48:CT111" si="426">CT6+1</f>
        <v>2</v>
      </c>
      <c r="CU48" s="77" t="s">
        <v>3965</v>
      </c>
      <c r="CV48" s="77" t="str">
        <f t="shared" ref="CV48:CV49" ca="1" si="427">OFFSET(INDIRECT(CU48),0,-CT48)</f>
        <v/>
      </c>
      <c r="CW48" s="77">
        <f t="shared" ca="1" si="13"/>
        <v>0</v>
      </c>
      <c r="CZ48" s="77">
        <v>45</v>
      </c>
      <c r="DA48" s="77" t="str">
        <f t="shared" ca="1" si="14"/>
        <v/>
      </c>
      <c r="DB48" s="77" t="str">
        <f t="shared" ca="1" si="15"/>
        <v/>
      </c>
      <c r="DC48" s="77" t="str">
        <f t="shared" ca="1" si="19"/>
        <v/>
      </c>
      <c r="DD48" s="77" t="str">
        <f t="shared" ca="1" si="17"/>
        <v/>
      </c>
    </row>
    <row r="49" spans="1:108">
      <c r="BT49" s="77" t="str">
        <f t="shared" ca="1" si="85"/>
        <v>Mexico</v>
      </c>
      <c r="BU49" s="77">
        <f t="shared" si="12"/>
        <v>47</v>
      </c>
      <c r="BV49" s="77" t="str">
        <f>BV26</f>
        <v>A3</v>
      </c>
      <c r="BW49" s="77">
        <f>BW26+1</f>
        <v>3</v>
      </c>
      <c r="BX49" s="77" t="str">
        <f t="shared" ca="1" si="87"/>
        <v>J. de Jesús Corona</v>
      </c>
      <c r="BY49" s="77">
        <f ca="1">COUNTIF('Group Stages'!$L$14:$S$110,BX49)+COUNTIF('Knock Out Stages'!$N$41:$U$84,BX49)</f>
        <v>0</v>
      </c>
      <c r="BZ49" s="77" t="str">
        <f>BZ26</f>
        <v>'Player Database'!A3</v>
      </c>
      <c r="CA49" s="77" t="str">
        <f t="shared" ca="1" si="88"/>
        <v>José de Jesús Corona</v>
      </c>
      <c r="CB49" s="77">
        <v>46</v>
      </c>
      <c r="CC49" s="77" t="str">
        <f t="array" aca="1" ref="CC49" ca="1">IFERROR(INDEX($BX$3:$BX$738, SMALL(IF(COUNTIF(CC$3, $BY$3:$BY$738), ROW($BX$3:$BX$738)-MIN(ROW($BX$3:$BX$738))+1), $CB49), 0),"")</f>
        <v/>
      </c>
      <c r="CS49" s="77">
        <f t="shared" si="425"/>
        <v>46</v>
      </c>
      <c r="CT49" s="77">
        <f t="shared" si="426"/>
        <v>2</v>
      </c>
      <c r="CU49" s="77" t="s">
        <v>3966</v>
      </c>
      <c r="CV49" s="77" t="str">
        <f t="shared" ca="1" si="427"/>
        <v/>
      </c>
      <c r="CW49" s="77">
        <f t="shared" ca="1" si="13"/>
        <v>0</v>
      </c>
      <c r="CZ49" s="77">
        <v>46</v>
      </c>
      <c r="DA49" s="77" t="str">
        <f t="shared" ca="1" si="14"/>
        <v/>
      </c>
      <c r="DB49" s="77" t="str">
        <f t="shared" ca="1" si="15"/>
        <v/>
      </c>
      <c r="DC49" s="77" t="str">
        <f t="shared" ca="1" si="19"/>
        <v/>
      </c>
      <c r="DD49" s="77" t="str">
        <f t="shared" ca="1" si="17"/>
        <v/>
      </c>
    </row>
    <row r="50" spans="1:108">
      <c r="A50" s="77">
        <v>2</v>
      </c>
      <c r="BT50" s="77" t="str">
        <f t="shared" ca="1" si="85"/>
        <v>Mexico</v>
      </c>
      <c r="BU50" s="77">
        <f t="shared" si="12"/>
        <v>48</v>
      </c>
      <c r="BV50" s="77" t="str">
        <f>BV27</f>
        <v>A4</v>
      </c>
      <c r="BW50" s="77">
        <f t="shared" ref="BW50:BW113" si="428">BW27+1</f>
        <v>3</v>
      </c>
      <c r="BX50" s="77" t="str">
        <f t="shared" ca="1" si="87"/>
        <v>F. Javier Rodríguez</v>
      </c>
      <c r="BY50" s="77">
        <f ca="1">COUNTIF('Group Stages'!$L$14:$S$110,BX50)+COUNTIF('Knock Out Stages'!$N$41:$U$84,BX50)</f>
        <v>0</v>
      </c>
      <c r="BZ50" s="77" t="str">
        <f t="shared" ref="BZ50:BZ113" si="429">BZ27</f>
        <v>'Player Database'!A4</v>
      </c>
      <c r="CA50" s="77" t="str">
        <f t="shared" ref="CA50:CA113" ca="1" si="430">OFFSET(INDIRECT(BZ50),0,BW50)</f>
        <v>Francisco Javier Rodríguez</v>
      </c>
      <c r="CB50" s="77">
        <v>47</v>
      </c>
      <c r="CC50" s="77" t="str">
        <f t="array" aca="1" ref="CC50" ca="1">IFERROR(INDEX($BX$3:$BX$738, SMALL(IF(COUNTIF(CC$3, $BY$3:$BY$738), ROW($BX$3:$BX$738)-MIN(ROW($BX$3:$BX$738))+1), $CB50), 0),"")</f>
        <v/>
      </c>
      <c r="CS50" s="77">
        <f t="shared" si="425"/>
        <v>47</v>
      </c>
      <c r="CT50" s="77">
        <f t="shared" si="426"/>
        <v>2</v>
      </c>
      <c r="CU50" s="77" t="s">
        <v>3967</v>
      </c>
      <c r="CV50" s="77" t="str">
        <f t="shared" ref="CV50:CV88" ca="1" si="431">OFFSET(INDIRECT(CU50),0,-CT50)</f>
        <v/>
      </c>
      <c r="CW50" s="77">
        <f t="shared" ca="1" si="13"/>
        <v>0</v>
      </c>
      <c r="CZ50" s="77">
        <v>47</v>
      </c>
      <c r="DA50" s="77" t="str">
        <f t="shared" ca="1" si="14"/>
        <v/>
      </c>
      <c r="DB50" s="77" t="str">
        <f t="shared" ca="1" si="15"/>
        <v/>
      </c>
      <c r="DC50" s="77" t="str">
        <f t="shared" ca="1" si="19"/>
        <v/>
      </c>
      <c r="DD50" s="77" t="str">
        <f t="shared" ca="1" si="17"/>
        <v/>
      </c>
    </row>
    <row r="51" spans="1:108">
      <c r="A51" s="77">
        <v>1</v>
      </c>
      <c r="B51" s="77" t="str">
        <f>B3</f>
        <v>Jefferson</v>
      </c>
      <c r="C51" s="77" t="str">
        <f>C3</f>
        <v>S. Pletikosa</v>
      </c>
      <c r="D51" s="77" t="str">
        <f t="shared" ref="D51:E51" si="432">D3</f>
        <v>J. de Jesús Corona</v>
      </c>
      <c r="E51" s="77" t="str">
        <f t="shared" si="432"/>
        <v>L. Feudjou</v>
      </c>
      <c r="F51" s="77" t="str">
        <f>F3</f>
        <v xml:space="preserve">I. Casillas </v>
      </c>
      <c r="G51" s="77" t="str">
        <f>G3</f>
        <v>J. Cillessen</v>
      </c>
      <c r="H51" s="77" t="str">
        <f t="shared" ref="H51:I51" si="433">H3</f>
        <v xml:space="preserve">C. Bravo </v>
      </c>
      <c r="I51" s="77" t="str">
        <f t="shared" si="433"/>
        <v>M. Ryan</v>
      </c>
      <c r="J51" s="77" t="str">
        <f>J3</f>
        <v>D. Ospina</v>
      </c>
      <c r="K51" s="77" t="str">
        <f>K3</f>
        <v>O. Karnezis</v>
      </c>
      <c r="L51" s="77" t="str">
        <f t="shared" ref="L51:M51" si="434">L3</f>
        <v>B. Barry</v>
      </c>
      <c r="M51" s="77" t="str">
        <f t="shared" si="434"/>
        <v>E. Kawashima</v>
      </c>
      <c r="N51" s="77" t="str">
        <f>N3</f>
        <v>F. Muslera</v>
      </c>
      <c r="O51" s="77" t="str">
        <f>O3</f>
        <v>K. Navas</v>
      </c>
      <c r="P51" s="77" t="str">
        <f t="shared" ref="P51:Q51" si="435">P3</f>
        <v>J. Hart</v>
      </c>
      <c r="Q51" s="77" t="str">
        <f t="shared" si="435"/>
        <v xml:space="preserve">G. Buffon </v>
      </c>
      <c r="R51" s="77" t="str">
        <f>R3</f>
        <v>D. Benaglio</v>
      </c>
      <c r="S51" s="77" t="str">
        <f>S3</f>
        <v>M. Banguera</v>
      </c>
      <c r="T51" s="77" t="str">
        <f t="shared" ref="T51:U51" si="436">T3</f>
        <v xml:space="preserve">H. Lloris </v>
      </c>
      <c r="U51" s="77" t="str">
        <f t="shared" si="436"/>
        <v>L. López</v>
      </c>
      <c r="V51" s="77" t="str">
        <f>V3</f>
        <v>S. Romero</v>
      </c>
      <c r="W51" s="77" t="str">
        <f>W3</f>
        <v>A. Begović</v>
      </c>
      <c r="X51" s="77" t="str">
        <f t="shared" ref="X51:Y51" si="437">X3</f>
        <v>R. Ahmadi</v>
      </c>
      <c r="Y51" s="77" t="str">
        <f t="shared" si="437"/>
        <v xml:space="preserve">V. Enyeama </v>
      </c>
      <c r="Z51" s="77" t="str">
        <f>Z3</f>
        <v>M. Neuer</v>
      </c>
      <c r="AA51" s="77" t="str">
        <f>AA3</f>
        <v>Eduardo</v>
      </c>
      <c r="AB51" s="77" t="str">
        <f t="shared" ref="AB51:AC51" si="438">AB3</f>
        <v>S. Adams</v>
      </c>
      <c r="AC51" s="77" t="str">
        <f t="shared" si="438"/>
        <v>T. Howard</v>
      </c>
      <c r="AD51" s="77" t="str">
        <f>AD3</f>
        <v>T. Courtois</v>
      </c>
      <c r="AE51" s="77" t="str">
        <f>AE3</f>
        <v>C. Si Mohamed</v>
      </c>
      <c r="AF51" s="77" t="str">
        <f t="shared" ref="AF51:AG51" si="439">AF3</f>
        <v>I. Akinfeev</v>
      </c>
      <c r="AG51" s="77" t="str">
        <f t="shared" si="439"/>
        <v>J. Sung-ryong</v>
      </c>
      <c r="BT51" s="77" t="str">
        <f t="shared" ca="1" si="85"/>
        <v>Mexico</v>
      </c>
      <c r="BU51" s="77">
        <f t="shared" si="12"/>
        <v>49</v>
      </c>
      <c r="BV51" s="77" t="str">
        <f t="shared" ref="BV51:BV114" si="440">BV28</f>
        <v>A5</v>
      </c>
      <c r="BW51" s="77">
        <f t="shared" si="428"/>
        <v>3</v>
      </c>
      <c r="BX51" s="77" t="str">
        <f t="shared" ref="BX51:BX114" ca="1" si="441">OFFSET(INDIRECT(BV51),0,BW51)</f>
        <v>C. Salcido</v>
      </c>
      <c r="BY51" s="77">
        <f ca="1">COUNTIF('Group Stages'!$L$14:$S$110,BX51)+COUNTIF('Knock Out Stages'!$N$41:$U$84,BX51)</f>
        <v>0</v>
      </c>
      <c r="BZ51" s="77" t="str">
        <f t="shared" si="429"/>
        <v>'Player Database'!A5</v>
      </c>
      <c r="CA51" s="77" t="str">
        <f t="shared" ca="1" si="430"/>
        <v>Carlos Salcido</v>
      </c>
      <c r="CB51" s="77">
        <v>48</v>
      </c>
      <c r="CC51" s="77" t="str">
        <f t="array" aca="1" ref="CC51" ca="1">IFERROR(INDEX($BX$3:$BX$738, SMALL(IF(COUNTIF(CC$3, $BY$3:$BY$738), ROW($BX$3:$BX$738)-MIN(ROW($BX$3:$BX$738))+1), $CB51), 0),"")</f>
        <v/>
      </c>
      <c r="CS51" s="77">
        <f t="shared" si="425"/>
        <v>48</v>
      </c>
      <c r="CT51" s="77">
        <f t="shared" si="426"/>
        <v>2</v>
      </c>
      <c r="CU51" s="77" t="s">
        <v>3968</v>
      </c>
      <c r="CV51" s="77" t="str">
        <f t="shared" ca="1" si="431"/>
        <v/>
      </c>
      <c r="CW51" s="77">
        <f t="shared" ca="1" si="13"/>
        <v>0</v>
      </c>
      <c r="CZ51" s="77">
        <v>48</v>
      </c>
      <c r="DA51" s="77" t="str">
        <f t="shared" ca="1" si="14"/>
        <v/>
      </c>
      <c r="DB51" s="77" t="str">
        <f t="shared" ca="1" si="15"/>
        <v/>
      </c>
      <c r="DC51" s="77" t="str">
        <f t="shared" ca="1" si="19"/>
        <v/>
      </c>
      <c r="DD51" s="77" t="str">
        <f t="shared" ca="1" si="17"/>
        <v/>
      </c>
    </row>
    <row r="52" spans="1:108">
      <c r="A52" s="77">
        <v>2</v>
      </c>
      <c r="B52" s="77" t="str">
        <f t="shared" ref="B52:E73" si="442">B4</f>
        <v>D. Alves</v>
      </c>
      <c r="C52" s="77" t="str">
        <f t="shared" si="442"/>
        <v>Š. Vrsaljko</v>
      </c>
      <c r="D52" s="77" t="str">
        <f t="shared" si="442"/>
        <v>F. Javier Rodríguez</v>
      </c>
      <c r="E52" s="77" t="str">
        <f t="shared" si="442"/>
        <v>B. Assou-Ekotto</v>
      </c>
      <c r="F52" s="77" t="str">
        <f t="shared" ref="F52:AG52" si="443">F4</f>
        <v>R. Albiol</v>
      </c>
      <c r="G52" s="77" t="str">
        <f t="shared" si="443"/>
        <v>R. Vlaar</v>
      </c>
      <c r="H52" s="77" t="str">
        <f t="shared" si="443"/>
        <v>E. Mena</v>
      </c>
      <c r="I52" s="77" t="str">
        <f t="shared" si="443"/>
        <v>I. Franjić</v>
      </c>
      <c r="J52" s="77" t="str">
        <f t="shared" si="443"/>
        <v>C. Zapata</v>
      </c>
      <c r="K52" s="77" t="str">
        <f t="shared" si="443"/>
        <v>G. Maniatis</v>
      </c>
      <c r="L52" s="77" t="str">
        <f t="shared" si="443"/>
        <v>O. Viera</v>
      </c>
      <c r="M52" s="77" t="str">
        <f t="shared" si="443"/>
        <v>A. Uchida</v>
      </c>
      <c r="N52" s="77" t="str">
        <f t="shared" si="443"/>
        <v xml:space="preserve">D. Lugano </v>
      </c>
      <c r="O52" s="77" t="str">
        <f t="shared" si="443"/>
        <v>J. Acosta</v>
      </c>
      <c r="P52" s="77" t="str">
        <f t="shared" si="443"/>
        <v>G. Johnson</v>
      </c>
      <c r="Q52" s="77" t="str">
        <f t="shared" si="443"/>
        <v>M. De Sciglio</v>
      </c>
      <c r="R52" s="77" t="str">
        <f t="shared" si="443"/>
        <v>S. Lichtsteiner</v>
      </c>
      <c r="S52" s="77" t="str">
        <f t="shared" si="443"/>
        <v>J. Guagua</v>
      </c>
      <c r="T52" s="77" t="str">
        <f t="shared" si="443"/>
        <v>M. Debuchy</v>
      </c>
      <c r="U52" s="77" t="str">
        <f t="shared" si="443"/>
        <v>O. Chávez</v>
      </c>
      <c r="V52" s="77" t="str">
        <f t="shared" si="443"/>
        <v>E. Garay</v>
      </c>
      <c r="W52" s="77" t="str">
        <f t="shared" si="443"/>
        <v>A. Vršajević</v>
      </c>
      <c r="X52" s="77" t="str">
        <f t="shared" si="443"/>
        <v>K. Heydari</v>
      </c>
      <c r="Y52" s="77" t="str">
        <f t="shared" si="443"/>
        <v>J. Yobo</v>
      </c>
      <c r="Z52" s="77" t="str">
        <f t="shared" si="443"/>
        <v>K. Großkreutz</v>
      </c>
      <c r="AA52" s="77" t="str">
        <f t="shared" si="443"/>
        <v>B. Alves</v>
      </c>
      <c r="AB52" s="77" t="str">
        <f t="shared" si="443"/>
        <v>S. Inkoom</v>
      </c>
      <c r="AC52" s="77" t="str">
        <f t="shared" si="443"/>
        <v>D. Yedlin</v>
      </c>
      <c r="AD52" s="77" t="str">
        <f t="shared" si="443"/>
        <v>T. Alderweireld</v>
      </c>
      <c r="AE52" s="77" t="str">
        <f t="shared" si="443"/>
        <v xml:space="preserve">M. Bougherra </v>
      </c>
      <c r="AF52" s="77" t="str">
        <f t="shared" si="443"/>
        <v>A. Kozlov</v>
      </c>
      <c r="AG52" s="77" t="str">
        <f t="shared" si="443"/>
        <v>K. Chang-soo</v>
      </c>
      <c r="BT52" s="77" t="str">
        <f t="shared" ca="1" si="85"/>
        <v>Mexico</v>
      </c>
      <c r="BU52" s="77">
        <f t="shared" si="12"/>
        <v>50</v>
      </c>
      <c r="BV52" s="77" t="str">
        <f t="shared" si="440"/>
        <v>A6</v>
      </c>
      <c r="BW52" s="77">
        <f t="shared" si="428"/>
        <v>3</v>
      </c>
      <c r="BX52" s="77" t="str">
        <f t="shared" ca="1" si="441"/>
        <v xml:space="preserve">R. Márquez </v>
      </c>
      <c r="BY52" s="77">
        <f ca="1">COUNTIF('Group Stages'!$L$14:$S$110,BX52)+COUNTIF('Knock Out Stages'!$N$41:$U$84,BX52)</f>
        <v>0</v>
      </c>
      <c r="BZ52" s="77" t="str">
        <f t="shared" si="429"/>
        <v>'Player Database'!A6</v>
      </c>
      <c r="CA52" s="77" t="str">
        <f t="shared" ca="1" si="430"/>
        <v xml:space="preserve">Rafael Márquez </v>
      </c>
      <c r="CB52" s="77">
        <v>49</v>
      </c>
      <c r="CC52" s="77" t="str">
        <f t="array" aca="1" ref="CC52" ca="1">IFERROR(INDEX($BX$3:$BX$738, SMALL(IF(COUNTIF(CC$3, $BY$3:$BY$738), ROW($BX$3:$BX$738)-MIN(ROW($BX$3:$BX$738))+1), $CB52), 0),"")</f>
        <v/>
      </c>
      <c r="CS52" s="77">
        <f t="shared" si="425"/>
        <v>49</v>
      </c>
      <c r="CT52" s="77">
        <f t="shared" si="426"/>
        <v>2</v>
      </c>
      <c r="CU52" s="77" t="s">
        <v>3969</v>
      </c>
      <c r="CV52" s="77" t="str">
        <f t="shared" ca="1" si="431"/>
        <v/>
      </c>
      <c r="CW52" s="77">
        <f t="shared" ca="1" si="13"/>
        <v>0</v>
      </c>
      <c r="CZ52" s="77">
        <v>49</v>
      </c>
      <c r="DA52" s="77" t="str">
        <f t="shared" ca="1" si="14"/>
        <v/>
      </c>
      <c r="DB52" s="77" t="str">
        <f t="shared" ca="1" si="15"/>
        <v/>
      </c>
      <c r="DC52" s="77" t="str">
        <f t="shared" ca="1" si="19"/>
        <v/>
      </c>
      <c r="DD52" s="77" t="str">
        <f t="shared" ca="1" si="17"/>
        <v/>
      </c>
    </row>
    <row r="53" spans="1:108">
      <c r="A53" s="77">
        <v>3</v>
      </c>
      <c r="B53" s="77" t="str">
        <f t="shared" si="442"/>
        <v>T. Silva</v>
      </c>
      <c r="C53" s="77" t="str">
        <f t="shared" si="442"/>
        <v>D. Pranjić</v>
      </c>
      <c r="D53" s="77" t="str">
        <f t="shared" si="442"/>
        <v>C. Salcido</v>
      </c>
      <c r="E53" s="77" t="str">
        <f t="shared" si="442"/>
        <v>N. N'Koulou</v>
      </c>
      <c r="F53" s="77" t="str">
        <f t="shared" ref="F53:AG53" si="444">F5</f>
        <v>G. Piqué</v>
      </c>
      <c r="G53" s="77" t="str">
        <f t="shared" si="444"/>
        <v>S. de Vrij</v>
      </c>
      <c r="H53" s="77" t="str">
        <f t="shared" si="444"/>
        <v>M. Albornoz</v>
      </c>
      <c r="I53" s="77" t="str">
        <f t="shared" si="444"/>
        <v>J. Davidson</v>
      </c>
      <c r="J53" s="77" t="str">
        <f t="shared" si="444"/>
        <v xml:space="preserve">M. Yepes </v>
      </c>
      <c r="K53" s="77" t="str">
        <f t="shared" si="444"/>
        <v>G. Tzavellas</v>
      </c>
      <c r="L53" s="77" t="str">
        <f t="shared" si="444"/>
        <v>A. Boka</v>
      </c>
      <c r="M53" s="77" t="str">
        <f t="shared" si="444"/>
        <v>G. Sakai</v>
      </c>
      <c r="N53" s="77" t="str">
        <f t="shared" si="444"/>
        <v>D. Godín</v>
      </c>
      <c r="O53" s="77" t="str">
        <f t="shared" si="444"/>
        <v>G. González</v>
      </c>
      <c r="P53" s="77" t="str">
        <f t="shared" si="444"/>
        <v>L. Baines</v>
      </c>
      <c r="Q53" s="77" t="str">
        <f t="shared" si="444"/>
        <v>G. Chiellini</v>
      </c>
      <c r="R53" s="77" t="str">
        <f t="shared" si="444"/>
        <v>R. Ziegler</v>
      </c>
      <c r="S53" s="77" t="str">
        <f t="shared" si="444"/>
        <v>F. Erazo</v>
      </c>
      <c r="T53" s="77" t="str">
        <f t="shared" si="444"/>
        <v>P. Evra</v>
      </c>
      <c r="U53" s="77" t="str">
        <f t="shared" si="444"/>
        <v>M. Figueroa</v>
      </c>
      <c r="V53" s="77" t="str">
        <f t="shared" si="444"/>
        <v>H. Campagnaro</v>
      </c>
      <c r="W53" s="77" t="str">
        <f t="shared" si="444"/>
        <v>E. Bičakčić</v>
      </c>
      <c r="X53" s="77" t="str">
        <f t="shared" si="444"/>
        <v>E. Hajsafi</v>
      </c>
      <c r="Y53" s="77" t="str">
        <f t="shared" si="444"/>
        <v>E. Uzoenyi</v>
      </c>
      <c r="Z53" s="77" t="str">
        <f t="shared" si="444"/>
        <v>M. Ginter</v>
      </c>
      <c r="AA53" s="77" t="str">
        <f t="shared" si="444"/>
        <v>Pepe</v>
      </c>
      <c r="AB53" s="77" t="str">
        <f t="shared" si="444"/>
        <v xml:space="preserve">A. Gyan </v>
      </c>
      <c r="AC53" s="77" t="str">
        <f t="shared" si="444"/>
        <v>O. Gonzalez</v>
      </c>
      <c r="AD53" s="77" t="str">
        <f t="shared" si="444"/>
        <v>T. Vermaelen</v>
      </c>
      <c r="AE53" s="77" t="str">
        <f t="shared" si="444"/>
        <v>F. Ghoulam</v>
      </c>
      <c r="AF53" s="77" t="str">
        <f t="shared" si="444"/>
        <v>G. Shchennikov</v>
      </c>
      <c r="AG53" s="77" t="str">
        <f t="shared" si="444"/>
        <v>Y. Suk-young</v>
      </c>
      <c r="BT53" s="77" t="str">
        <f t="shared" ca="1" si="85"/>
        <v>Mexico</v>
      </c>
      <c r="BU53" s="77">
        <f t="shared" si="12"/>
        <v>51</v>
      </c>
      <c r="BV53" s="77" t="str">
        <f t="shared" si="440"/>
        <v>A7</v>
      </c>
      <c r="BW53" s="77">
        <f t="shared" si="428"/>
        <v>3</v>
      </c>
      <c r="BX53" s="77" t="str">
        <f t="shared" ca="1" si="441"/>
        <v>D. Reyes</v>
      </c>
      <c r="BY53" s="77">
        <f ca="1">COUNTIF('Group Stages'!$L$14:$S$110,BX53)+COUNTIF('Knock Out Stages'!$N$41:$U$84,BX53)</f>
        <v>0</v>
      </c>
      <c r="BZ53" s="77" t="str">
        <f t="shared" si="429"/>
        <v>'Player Database'!A7</v>
      </c>
      <c r="CA53" s="77" t="str">
        <f t="shared" ca="1" si="430"/>
        <v>Diego Reyes</v>
      </c>
      <c r="CB53" s="77">
        <v>50</v>
      </c>
      <c r="CC53" s="77" t="str">
        <f t="array" aca="1" ref="CC53" ca="1">IFERROR(INDEX($BX$3:$BX$738, SMALL(IF(COUNTIF(CC$3, $BY$3:$BY$738), ROW($BX$3:$BX$738)-MIN(ROW($BX$3:$BX$738))+1), $CB53), 0),"")</f>
        <v/>
      </c>
      <c r="CS53" s="77">
        <f t="shared" si="425"/>
        <v>50</v>
      </c>
      <c r="CT53" s="77">
        <f t="shared" si="426"/>
        <v>2</v>
      </c>
      <c r="CU53" s="77" t="s">
        <v>3970</v>
      </c>
      <c r="CV53" s="77" t="str">
        <f t="shared" ca="1" si="431"/>
        <v/>
      </c>
      <c r="CW53" s="77">
        <f t="shared" ca="1" si="13"/>
        <v>0</v>
      </c>
      <c r="CZ53" s="77">
        <v>50</v>
      </c>
      <c r="DA53" s="77" t="str">
        <f t="shared" ca="1" si="14"/>
        <v/>
      </c>
      <c r="DB53" s="77" t="str">
        <f t="shared" ca="1" si="15"/>
        <v/>
      </c>
      <c r="DC53" s="77" t="str">
        <f t="shared" ca="1" si="19"/>
        <v/>
      </c>
      <c r="DD53" s="77" t="str">
        <f t="shared" ca="1" si="17"/>
        <v/>
      </c>
    </row>
    <row r="54" spans="1:108">
      <c r="A54" s="77">
        <v>4</v>
      </c>
      <c r="B54" s="77" t="str">
        <f t="shared" si="442"/>
        <v>D. Luiz</v>
      </c>
      <c r="C54" s="77" t="str">
        <f t="shared" si="442"/>
        <v>I. Perišić</v>
      </c>
      <c r="D54" s="77" t="str">
        <f t="shared" si="442"/>
        <v xml:space="preserve">R. Márquez </v>
      </c>
      <c r="E54" s="77" t="str">
        <f t="shared" si="442"/>
        <v>C. Djeugoué</v>
      </c>
      <c r="F54" s="77" t="str">
        <f t="shared" ref="F54:AG54" si="445">F6</f>
        <v>J. Martínez</v>
      </c>
      <c r="G54" s="77" t="str">
        <f t="shared" si="445"/>
        <v>B. Martins Indi</v>
      </c>
      <c r="H54" s="77" t="str">
        <f t="shared" si="445"/>
        <v>M. Isla</v>
      </c>
      <c r="I54" s="77" t="str">
        <f t="shared" si="445"/>
        <v>T. Cahill</v>
      </c>
      <c r="J54" s="77" t="str">
        <f t="shared" si="445"/>
        <v>S. Arias</v>
      </c>
      <c r="K54" s="77" t="str">
        <f t="shared" si="445"/>
        <v>K. Manolas</v>
      </c>
      <c r="L54" s="77" t="str">
        <f t="shared" si="445"/>
        <v>K. Touré</v>
      </c>
      <c r="M54" s="77" t="str">
        <f t="shared" si="445"/>
        <v>K. Honda</v>
      </c>
      <c r="N54" s="77" t="str">
        <f t="shared" si="445"/>
        <v>S. Coates</v>
      </c>
      <c r="O54" s="77" t="str">
        <f t="shared" si="445"/>
        <v>M. Umaña</v>
      </c>
      <c r="P54" s="77" t="str">
        <f t="shared" si="445"/>
        <v xml:space="preserve">S. Gerrard </v>
      </c>
      <c r="Q54" s="77" t="str">
        <f t="shared" si="445"/>
        <v>M. Darmian</v>
      </c>
      <c r="R54" s="77" t="str">
        <f t="shared" si="445"/>
        <v>P. Senderos</v>
      </c>
      <c r="S54" s="77" t="str">
        <f t="shared" si="445"/>
        <v>J. Carlos Paredes</v>
      </c>
      <c r="T54" s="77" t="str">
        <f t="shared" si="445"/>
        <v>R. Varane</v>
      </c>
      <c r="U54" s="77" t="str">
        <f t="shared" si="445"/>
        <v>J. Pablo Montes</v>
      </c>
      <c r="V54" s="77" t="str">
        <f t="shared" si="445"/>
        <v>P. Zabaleta</v>
      </c>
      <c r="W54" s="77" t="str">
        <f t="shared" si="445"/>
        <v xml:space="preserve">E. Spahić </v>
      </c>
      <c r="X54" s="77" t="str">
        <f t="shared" si="445"/>
        <v>J. Hosseini</v>
      </c>
      <c r="Y54" s="77" t="str">
        <f t="shared" si="445"/>
        <v>R. Gabriel</v>
      </c>
      <c r="Z54" s="77" t="str">
        <f t="shared" si="445"/>
        <v>B. Höwedes</v>
      </c>
      <c r="AA54" s="77" t="str">
        <f t="shared" si="445"/>
        <v>M. Veloso</v>
      </c>
      <c r="AB54" s="77" t="str">
        <f t="shared" si="445"/>
        <v>D. Opare</v>
      </c>
      <c r="AC54" s="77" t="str">
        <f t="shared" si="445"/>
        <v>M. Bradley</v>
      </c>
      <c r="AD54" s="77" t="str">
        <f t="shared" si="445"/>
        <v xml:space="preserve">V. Kompany </v>
      </c>
      <c r="AE54" s="77" t="str">
        <f t="shared" si="445"/>
        <v>E. Belkalem</v>
      </c>
      <c r="AF54" s="77" t="str">
        <f t="shared" si="445"/>
        <v>S. Ignashevich</v>
      </c>
      <c r="AG54" s="77" t="str">
        <f t="shared" si="445"/>
        <v>K. Tae-hwi</v>
      </c>
      <c r="BT54" s="77" t="str">
        <f t="shared" ca="1" si="85"/>
        <v>Mexico</v>
      </c>
      <c r="BU54" s="77">
        <f t="shared" si="12"/>
        <v>52</v>
      </c>
      <c r="BV54" s="77" t="str">
        <f t="shared" si="440"/>
        <v>A8</v>
      </c>
      <c r="BW54" s="77">
        <f t="shared" si="428"/>
        <v>3</v>
      </c>
      <c r="BX54" s="77" t="str">
        <f t="shared" ca="1" si="441"/>
        <v>H. Herrera</v>
      </c>
      <c r="BY54" s="77">
        <f ca="1">COUNTIF('Group Stages'!$L$14:$S$110,BX54)+COUNTIF('Knock Out Stages'!$N$41:$U$84,BX54)</f>
        <v>0</v>
      </c>
      <c r="BZ54" s="77" t="str">
        <f t="shared" si="429"/>
        <v>'Player Database'!A8</v>
      </c>
      <c r="CA54" s="77" t="str">
        <f t="shared" ca="1" si="430"/>
        <v>Héctor Herrera</v>
      </c>
      <c r="CB54" s="77">
        <v>51</v>
      </c>
      <c r="CC54" s="77" t="str">
        <f t="array" aca="1" ref="CC54" ca="1">IFERROR(INDEX($BX$3:$BX$738, SMALL(IF(COUNTIF(CC$3, $BY$3:$BY$738), ROW($BX$3:$BX$738)-MIN(ROW($BX$3:$BX$738))+1), $CB54), 0),"")</f>
        <v/>
      </c>
      <c r="CS54" s="77">
        <f t="shared" si="425"/>
        <v>51</v>
      </c>
      <c r="CT54" s="77">
        <f t="shared" si="426"/>
        <v>2</v>
      </c>
      <c r="CU54" s="77" t="s">
        <v>3971</v>
      </c>
      <c r="CV54" s="77" t="str">
        <f t="shared" ca="1" si="431"/>
        <v/>
      </c>
      <c r="CW54" s="77">
        <f t="shared" ca="1" si="13"/>
        <v>0</v>
      </c>
      <c r="CZ54" s="77">
        <v>51</v>
      </c>
      <c r="DA54" s="77" t="str">
        <f t="shared" ca="1" si="14"/>
        <v/>
      </c>
      <c r="DB54" s="77" t="str">
        <f t="shared" ca="1" si="15"/>
        <v/>
      </c>
      <c r="DC54" s="77" t="str">
        <f t="shared" ca="1" si="19"/>
        <v/>
      </c>
      <c r="DD54" s="77" t="str">
        <f t="shared" ca="1" si="17"/>
        <v/>
      </c>
    </row>
    <row r="55" spans="1:108">
      <c r="A55" s="77">
        <v>5</v>
      </c>
      <c r="B55" s="77" t="str">
        <f t="shared" si="442"/>
        <v>Fernandinho</v>
      </c>
      <c r="C55" s="77" t="str">
        <f t="shared" si="442"/>
        <v>V. Ćorluka</v>
      </c>
      <c r="D55" s="77" t="str">
        <f t="shared" si="442"/>
        <v>D. Reyes</v>
      </c>
      <c r="E55" s="77" t="str">
        <f t="shared" si="442"/>
        <v>D. Nounkeu</v>
      </c>
      <c r="F55" s="77" t="str">
        <f t="shared" ref="F55:AG55" si="446">F7</f>
        <v>Juanfran</v>
      </c>
      <c r="G55" s="77" t="str">
        <f t="shared" si="446"/>
        <v>D. Blind</v>
      </c>
      <c r="H55" s="77" t="str">
        <f t="shared" si="446"/>
        <v>F. Silva</v>
      </c>
      <c r="I55" s="77" t="str">
        <f t="shared" si="446"/>
        <v>M. Milligan</v>
      </c>
      <c r="J55" s="77" t="str">
        <f t="shared" si="446"/>
        <v>C. Carbonero</v>
      </c>
      <c r="K55" s="77" t="str">
        <f t="shared" si="446"/>
        <v>V. Moras</v>
      </c>
      <c r="L55" s="77" t="str">
        <f t="shared" si="446"/>
        <v>D. Zokora</v>
      </c>
      <c r="M55" s="77" t="str">
        <f t="shared" si="446"/>
        <v>Y. Nagatomo</v>
      </c>
      <c r="N55" s="77" t="str">
        <f t="shared" si="446"/>
        <v>W. Gargano</v>
      </c>
      <c r="O55" s="77" t="str">
        <f t="shared" si="446"/>
        <v>C. Borges</v>
      </c>
      <c r="P55" s="77" t="str">
        <f t="shared" si="446"/>
        <v>G. Cahill</v>
      </c>
      <c r="Q55" s="77" t="str">
        <f t="shared" si="446"/>
        <v>T. Motta</v>
      </c>
      <c r="R55" s="77" t="str">
        <f t="shared" si="446"/>
        <v>S. von Bergen</v>
      </c>
      <c r="S55" s="77" t="str">
        <f t="shared" si="446"/>
        <v>R. Ibarra</v>
      </c>
      <c r="T55" s="77" t="str">
        <f t="shared" si="446"/>
        <v>M. Sakho</v>
      </c>
      <c r="U55" s="77" t="str">
        <f t="shared" si="446"/>
        <v>V. Bernárdez</v>
      </c>
      <c r="V55" s="77" t="str">
        <f t="shared" si="446"/>
        <v>F. Gago</v>
      </c>
      <c r="W55" s="77" t="str">
        <f t="shared" si="446"/>
        <v>S. Kolašinac</v>
      </c>
      <c r="X55" s="77" t="str">
        <f t="shared" si="446"/>
        <v>A. Hossein Sadeghi</v>
      </c>
      <c r="Y55" s="77" t="str">
        <f t="shared" si="446"/>
        <v>E. Ambrose</v>
      </c>
      <c r="Z55" s="77" t="str">
        <f t="shared" si="446"/>
        <v>M. Hummels</v>
      </c>
      <c r="AA55" s="77" t="str">
        <f t="shared" si="446"/>
        <v>F. Coentrão</v>
      </c>
      <c r="AB55" s="77" t="str">
        <f t="shared" si="446"/>
        <v>M. Essien</v>
      </c>
      <c r="AC55" s="77" t="str">
        <f t="shared" si="446"/>
        <v>M. Besler</v>
      </c>
      <c r="AD55" s="77" t="str">
        <f t="shared" si="446"/>
        <v>J. Vertonghen</v>
      </c>
      <c r="AE55" s="77" t="str">
        <f t="shared" si="446"/>
        <v>R. Halliche</v>
      </c>
      <c r="AF55" s="77" t="str">
        <f t="shared" si="446"/>
        <v>A. Semyonov</v>
      </c>
      <c r="AG55" s="77" t="str">
        <f t="shared" si="446"/>
        <v>K. Young-gwon</v>
      </c>
      <c r="BT55" s="77" t="str">
        <f t="shared" ca="1" si="85"/>
        <v>Mexico</v>
      </c>
      <c r="BU55" s="77">
        <f t="shared" si="12"/>
        <v>53</v>
      </c>
      <c r="BV55" s="77" t="str">
        <f t="shared" si="440"/>
        <v>A9</v>
      </c>
      <c r="BW55" s="77">
        <f t="shared" si="428"/>
        <v>3</v>
      </c>
      <c r="BX55" s="77" t="str">
        <f t="shared" ca="1" si="441"/>
        <v>M. Layún</v>
      </c>
      <c r="BY55" s="77">
        <f ca="1">COUNTIF('Group Stages'!$L$14:$S$110,BX55)+COUNTIF('Knock Out Stages'!$N$41:$U$84,BX55)</f>
        <v>0</v>
      </c>
      <c r="BZ55" s="77" t="str">
        <f t="shared" si="429"/>
        <v>'Player Database'!A9</v>
      </c>
      <c r="CA55" s="77" t="str">
        <f t="shared" ca="1" si="430"/>
        <v>Miguel Layún</v>
      </c>
      <c r="CB55" s="77">
        <v>52</v>
      </c>
      <c r="CC55" s="77" t="str">
        <f t="array" aca="1" ref="CC55" ca="1">IFERROR(INDEX($BX$3:$BX$738, SMALL(IF(COUNTIF(CC$3, $BY$3:$BY$738), ROW($BX$3:$BX$738)-MIN(ROW($BX$3:$BX$738))+1), $CB55), 0),"")</f>
        <v/>
      </c>
      <c r="CS55" s="77">
        <f t="shared" si="425"/>
        <v>52</v>
      </c>
      <c r="CT55" s="77">
        <f t="shared" si="426"/>
        <v>2</v>
      </c>
      <c r="CU55" s="77" t="s">
        <v>3972</v>
      </c>
      <c r="CV55" s="77" t="str">
        <f t="shared" ca="1" si="431"/>
        <v/>
      </c>
      <c r="CW55" s="77">
        <f t="shared" ca="1" si="13"/>
        <v>0</v>
      </c>
      <c r="CZ55" s="77">
        <v>52</v>
      </c>
      <c r="DA55" s="77" t="str">
        <f t="shared" ca="1" si="14"/>
        <v/>
      </c>
      <c r="DB55" s="77" t="str">
        <f t="shared" ca="1" si="15"/>
        <v/>
      </c>
      <c r="DC55" s="77" t="str">
        <f t="shared" ca="1" si="19"/>
        <v/>
      </c>
      <c r="DD55" s="77" t="str">
        <f t="shared" ca="1" si="17"/>
        <v/>
      </c>
    </row>
    <row r="56" spans="1:108">
      <c r="A56" s="77">
        <v>6</v>
      </c>
      <c r="B56" s="77" t="str">
        <f t="shared" si="442"/>
        <v>Marcelo</v>
      </c>
      <c r="C56" s="77" t="str">
        <f t="shared" si="442"/>
        <v>D. Lovren</v>
      </c>
      <c r="D56" s="77" t="str">
        <f t="shared" si="442"/>
        <v>H. Herrera</v>
      </c>
      <c r="E56" s="77" t="str">
        <f t="shared" si="442"/>
        <v>A. Song</v>
      </c>
      <c r="F56" s="77" t="str">
        <f t="shared" ref="F56:AG56" si="447">F8</f>
        <v>A. Iniesta</v>
      </c>
      <c r="G56" s="77" t="str">
        <f t="shared" si="447"/>
        <v>J. de Guzmán</v>
      </c>
      <c r="H56" s="77" t="str">
        <f t="shared" si="447"/>
        <v>C. Carmona</v>
      </c>
      <c r="I56" s="77" t="str">
        <f t="shared" si="447"/>
        <v>M. Špiranović</v>
      </c>
      <c r="J56" s="77" t="str">
        <f t="shared" si="447"/>
        <v>C. Sánchez</v>
      </c>
      <c r="K56" s="77" t="str">
        <f t="shared" si="447"/>
        <v>A. Tziolis</v>
      </c>
      <c r="L56" s="77" t="str">
        <f t="shared" si="447"/>
        <v>M. Bolly</v>
      </c>
      <c r="M56" s="77" t="str">
        <f t="shared" si="447"/>
        <v>M. Morishige</v>
      </c>
      <c r="N56" s="77" t="str">
        <f t="shared" si="447"/>
        <v>Á. Pereira</v>
      </c>
      <c r="O56" s="77" t="str">
        <f t="shared" si="447"/>
        <v>Ó. Duarte</v>
      </c>
      <c r="P56" s="77" t="str">
        <f t="shared" si="447"/>
        <v>P. Jagielka</v>
      </c>
      <c r="Q56" s="77" t="str">
        <f t="shared" si="447"/>
        <v>A. Candreva</v>
      </c>
      <c r="R56" s="77" t="str">
        <f t="shared" si="447"/>
        <v>M. Lang</v>
      </c>
      <c r="S56" s="77" t="str">
        <f t="shared" si="447"/>
        <v>C. Noboa</v>
      </c>
      <c r="T56" s="77" t="str">
        <f t="shared" si="447"/>
        <v>Y. Cabaye</v>
      </c>
      <c r="U56" s="77" t="str">
        <f t="shared" si="447"/>
        <v>J. Carlos García</v>
      </c>
      <c r="V56" s="77" t="str">
        <f t="shared" si="447"/>
        <v>L. Biglia</v>
      </c>
      <c r="W56" s="77" t="str">
        <f t="shared" si="447"/>
        <v>O. Vranješ</v>
      </c>
      <c r="X56" s="77" t="str">
        <f t="shared" si="447"/>
        <v xml:space="preserve">J. Nekounam </v>
      </c>
      <c r="Y56" s="77" t="str">
        <f t="shared" si="447"/>
        <v>A. Egwuekwe</v>
      </c>
      <c r="Z56" s="77" t="str">
        <f t="shared" si="447"/>
        <v>S. Khedira</v>
      </c>
      <c r="AA56" s="77" t="str">
        <f t="shared" si="447"/>
        <v>W. Carvalho</v>
      </c>
      <c r="AB56" s="77" t="str">
        <f t="shared" si="447"/>
        <v>A. Acquah</v>
      </c>
      <c r="AC56" s="77" t="str">
        <f t="shared" si="447"/>
        <v>J. Brooks</v>
      </c>
      <c r="AD56" s="77" t="str">
        <f t="shared" si="447"/>
        <v>A. Witsel</v>
      </c>
      <c r="AE56" s="77" t="str">
        <f t="shared" si="447"/>
        <v>D. Mesbah</v>
      </c>
      <c r="AF56" s="77" t="str">
        <f t="shared" si="447"/>
        <v>M. Kanunnikov</v>
      </c>
      <c r="AG56" s="77" t="str">
        <f t="shared" si="447"/>
        <v>H. Seok-ho</v>
      </c>
      <c r="BT56" s="77" t="str">
        <f t="shared" ca="1" si="85"/>
        <v>Mexico</v>
      </c>
      <c r="BU56" s="77">
        <f t="shared" si="12"/>
        <v>54</v>
      </c>
      <c r="BV56" s="77" t="str">
        <f t="shared" si="440"/>
        <v>A10</v>
      </c>
      <c r="BW56" s="77">
        <f t="shared" si="428"/>
        <v>3</v>
      </c>
      <c r="BX56" s="77" t="str">
        <f t="shared" ca="1" si="441"/>
        <v>M. Fabián</v>
      </c>
      <c r="BY56" s="77">
        <f ca="1">COUNTIF('Group Stages'!$L$14:$S$110,BX56)+COUNTIF('Knock Out Stages'!$N$41:$U$84,BX56)</f>
        <v>0</v>
      </c>
      <c r="BZ56" s="77" t="str">
        <f t="shared" si="429"/>
        <v>'Player Database'!A10</v>
      </c>
      <c r="CA56" s="77" t="str">
        <f t="shared" ca="1" si="430"/>
        <v>Marco Fabián</v>
      </c>
      <c r="CB56" s="77">
        <v>53</v>
      </c>
      <c r="CC56" s="77" t="str">
        <f t="array" aca="1" ref="CC56" ca="1">IFERROR(INDEX($BX$3:$BX$738, SMALL(IF(COUNTIF(CC$3, $BY$3:$BY$738), ROW($BX$3:$BX$738)-MIN(ROW($BX$3:$BX$738))+1), $CB56), 0),"")</f>
        <v/>
      </c>
      <c r="CS56" s="77">
        <f t="shared" si="425"/>
        <v>53</v>
      </c>
      <c r="CT56" s="77">
        <f t="shared" si="426"/>
        <v>2</v>
      </c>
      <c r="CU56" s="77" t="s">
        <v>3973</v>
      </c>
      <c r="CV56" s="77" t="str">
        <f t="shared" ca="1" si="431"/>
        <v/>
      </c>
      <c r="CW56" s="77">
        <f t="shared" ca="1" si="13"/>
        <v>0</v>
      </c>
      <c r="CZ56" s="77">
        <v>53</v>
      </c>
      <c r="DA56" s="77" t="str">
        <f t="shared" ca="1" si="14"/>
        <v/>
      </c>
      <c r="DB56" s="77" t="str">
        <f t="shared" ca="1" si="15"/>
        <v/>
      </c>
      <c r="DC56" s="77" t="str">
        <f t="shared" ca="1" si="19"/>
        <v/>
      </c>
      <c r="DD56" s="77" t="str">
        <f t="shared" ca="1" si="17"/>
        <v/>
      </c>
    </row>
    <row r="57" spans="1:108">
      <c r="A57" s="77">
        <v>7</v>
      </c>
      <c r="B57" s="77" t="str">
        <f t="shared" si="442"/>
        <v>Hulk</v>
      </c>
      <c r="C57" s="77" t="str">
        <f t="shared" si="442"/>
        <v>I. Rakitić</v>
      </c>
      <c r="D57" s="77" t="str">
        <f t="shared" si="442"/>
        <v>M. Layún</v>
      </c>
      <c r="E57" s="77" t="str">
        <f t="shared" si="442"/>
        <v>L. N'Guémo</v>
      </c>
      <c r="F57" s="77" t="str">
        <f t="shared" ref="F57:AG57" si="448">F9</f>
        <v>D. Villa</v>
      </c>
      <c r="G57" s="77" t="str">
        <f t="shared" si="448"/>
        <v>D. Janmaat</v>
      </c>
      <c r="H57" s="77" t="str">
        <f t="shared" si="448"/>
        <v>A. Sánchez</v>
      </c>
      <c r="I57" s="77" t="str">
        <f t="shared" si="448"/>
        <v>M. Leckie</v>
      </c>
      <c r="J57" s="77" t="str">
        <f t="shared" si="448"/>
        <v>P. Armero</v>
      </c>
      <c r="K57" s="77" t="str">
        <f t="shared" si="448"/>
        <v>G. Samaras</v>
      </c>
      <c r="L57" s="77" t="str">
        <f t="shared" si="448"/>
        <v>J. Akpa-Akpro</v>
      </c>
      <c r="M57" s="77" t="str">
        <f t="shared" si="448"/>
        <v>Y. Endō</v>
      </c>
      <c r="N57" s="77" t="str">
        <f t="shared" si="448"/>
        <v>C. Rodríguez</v>
      </c>
      <c r="O57" s="77" t="str">
        <f t="shared" si="448"/>
        <v>C. Bolaños</v>
      </c>
      <c r="P57" s="77" t="str">
        <f t="shared" si="448"/>
        <v>J. Wilshere</v>
      </c>
      <c r="Q57" s="77" t="str">
        <f t="shared" si="448"/>
        <v>I. Abate</v>
      </c>
      <c r="R57" s="77" t="str">
        <f t="shared" si="448"/>
        <v>T. Barnetta</v>
      </c>
      <c r="S57" s="77" t="str">
        <f t="shared" si="448"/>
        <v>J. Montero</v>
      </c>
      <c r="T57" s="77" t="str">
        <f t="shared" si="448"/>
        <v>R. Cabella[38]</v>
      </c>
      <c r="U57" s="77" t="str">
        <f t="shared" si="448"/>
        <v>E. Izaguirre</v>
      </c>
      <c r="V57" s="77" t="str">
        <f t="shared" si="448"/>
        <v>Á. di María</v>
      </c>
      <c r="W57" s="77" t="str">
        <f t="shared" si="448"/>
        <v>M. Bešić</v>
      </c>
      <c r="X57" s="77" t="str">
        <f t="shared" si="448"/>
        <v>M. Shojaei</v>
      </c>
      <c r="Y57" s="77" t="str">
        <f t="shared" si="448"/>
        <v>A. Musa</v>
      </c>
      <c r="Z57" s="77" t="str">
        <f t="shared" si="448"/>
        <v>B. Schweinsteiger</v>
      </c>
      <c r="AA57" s="77" t="str">
        <f t="shared" si="448"/>
        <v xml:space="preserve">C. Ronaldo </v>
      </c>
      <c r="AB57" s="77" t="str">
        <f t="shared" si="448"/>
        <v>C. Atsu</v>
      </c>
      <c r="AC57" s="77" t="str">
        <f t="shared" si="448"/>
        <v>D. Beasley</v>
      </c>
      <c r="AD57" s="77" t="str">
        <f t="shared" si="448"/>
        <v>K. De Bruyne</v>
      </c>
      <c r="AE57" s="77" t="str">
        <f t="shared" si="448"/>
        <v>C. Medjani</v>
      </c>
      <c r="AF57" s="77" t="str">
        <f t="shared" si="448"/>
        <v>I. Denisov</v>
      </c>
      <c r="AG57" s="77" t="str">
        <f t="shared" si="448"/>
        <v>K. Bo-kyung</v>
      </c>
      <c r="BT57" s="77" t="str">
        <f t="shared" ca="1" si="85"/>
        <v>Mexico</v>
      </c>
      <c r="BU57" s="77">
        <f t="shared" si="12"/>
        <v>55</v>
      </c>
      <c r="BV57" s="77" t="str">
        <f t="shared" si="440"/>
        <v>A11</v>
      </c>
      <c r="BW57" s="77">
        <f t="shared" si="428"/>
        <v>3</v>
      </c>
      <c r="BX57" s="77" t="str">
        <f t="shared" ca="1" si="441"/>
        <v>R. Jiménez</v>
      </c>
      <c r="BY57" s="77">
        <f ca="1">COUNTIF('Group Stages'!$L$14:$S$110,BX57)+COUNTIF('Knock Out Stages'!$N$41:$U$84,BX57)</f>
        <v>0</v>
      </c>
      <c r="BZ57" s="77" t="str">
        <f t="shared" si="429"/>
        <v>'Player Database'!A11</v>
      </c>
      <c r="CA57" s="77" t="str">
        <f t="shared" ca="1" si="430"/>
        <v>Raúl Jiménez</v>
      </c>
      <c r="CB57" s="77">
        <v>54</v>
      </c>
      <c r="CC57" s="77" t="str">
        <f t="array" aca="1" ref="CC57" ca="1">IFERROR(INDEX($BX$3:$BX$738, SMALL(IF(COUNTIF(CC$3, $BY$3:$BY$738), ROW($BX$3:$BX$738)-MIN(ROW($BX$3:$BX$738))+1), $CB57), 0),"")</f>
        <v/>
      </c>
      <c r="CS57" s="77">
        <f t="shared" si="425"/>
        <v>54</v>
      </c>
      <c r="CT57" s="77">
        <f t="shared" si="426"/>
        <v>2</v>
      </c>
      <c r="CU57" s="77" t="s">
        <v>3974</v>
      </c>
      <c r="CV57" s="77" t="str">
        <f t="shared" ca="1" si="431"/>
        <v/>
      </c>
      <c r="CW57" s="77">
        <f t="shared" ca="1" si="13"/>
        <v>0</v>
      </c>
      <c r="CZ57" s="77">
        <v>54</v>
      </c>
      <c r="DA57" s="77" t="str">
        <f t="shared" ca="1" si="14"/>
        <v/>
      </c>
      <c r="DB57" s="77" t="str">
        <f t="shared" ca="1" si="15"/>
        <v/>
      </c>
      <c r="DC57" s="77" t="str">
        <f t="shared" ca="1" si="19"/>
        <v/>
      </c>
      <c r="DD57" s="77" t="str">
        <f t="shared" ca="1" si="17"/>
        <v/>
      </c>
    </row>
    <row r="58" spans="1:108">
      <c r="A58" s="77">
        <v>8</v>
      </c>
      <c r="B58" s="77" t="str">
        <f t="shared" si="442"/>
        <v>Paulinho</v>
      </c>
      <c r="C58" s="77" t="str">
        <f t="shared" si="442"/>
        <v>O. Vukojević</v>
      </c>
      <c r="D58" s="77" t="str">
        <f t="shared" si="442"/>
        <v>M. Fabián</v>
      </c>
      <c r="E58" s="77" t="str">
        <f t="shared" si="442"/>
        <v>B. Moukandjo</v>
      </c>
      <c r="F58" s="77" t="str">
        <f t="shared" ref="F58:AG58" si="449">F10</f>
        <v>Xavi</v>
      </c>
      <c r="G58" s="77" t="str">
        <f t="shared" si="449"/>
        <v>N. de Jong</v>
      </c>
      <c r="H58" s="77" t="str">
        <f t="shared" si="449"/>
        <v>A. Vidal</v>
      </c>
      <c r="I58" s="77" t="str">
        <f t="shared" si="449"/>
        <v>B. Wright</v>
      </c>
      <c r="J58" s="77" t="str">
        <f t="shared" si="449"/>
        <v>A. Aguilar</v>
      </c>
      <c r="K58" s="77" t="str">
        <f t="shared" si="449"/>
        <v>P. Kone</v>
      </c>
      <c r="L58" s="77" t="str">
        <f t="shared" si="449"/>
        <v>S. Kalou</v>
      </c>
      <c r="M58" s="77" t="str">
        <f t="shared" si="449"/>
        <v>H. Kiyotake</v>
      </c>
      <c r="N58" s="77" t="str">
        <f t="shared" si="449"/>
        <v>A. Hernández</v>
      </c>
      <c r="O58" s="77" t="str">
        <f t="shared" si="449"/>
        <v>H. Mora</v>
      </c>
      <c r="P58" s="77" t="str">
        <f t="shared" si="449"/>
        <v>F. Lampard</v>
      </c>
      <c r="Q58" s="77" t="str">
        <f t="shared" si="449"/>
        <v>C. Marchisio</v>
      </c>
      <c r="R58" s="77" t="str">
        <f t="shared" si="449"/>
        <v xml:space="preserve">G. Inler </v>
      </c>
      <c r="S58" s="77" t="str">
        <f t="shared" si="449"/>
        <v>É. Méndez</v>
      </c>
      <c r="T58" s="77" t="str">
        <f t="shared" si="449"/>
        <v>M. Valbuena</v>
      </c>
      <c r="U58" s="77" t="str">
        <f t="shared" si="449"/>
        <v>W. Palacios</v>
      </c>
      <c r="V58" s="77" t="str">
        <f t="shared" si="449"/>
        <v>E. Pérez</v>
      </c>
      <c r="W58" s="77" t="str">
        <f t="shared" si="449"/>
        <v>M. Pjanić</v>
      </c>
      <c r="X58" s="77" t="str">
        <f t="shared" si="449"/>
        <v>R. Haghighi</v>
      </c>
      <c r="Y58" s="77" t="str">
        <f t="shared" si="449"/>
        <v>P. Odemwingie</v>
      </c>
      <c r="Z58" s="77" t="str">
        <f t="shared" si="449"/>
        <v>M. Özil</v>
      </c>
      <c r="AA58" s="77" t="str">
        <f t="shared" si="449"/>
        <v>J. Moutinho</v>
      </c>
      <c r="AB58" s="77" t="str">
        <f t="shared" si="449"/>
        <v>E. Agyemang-Badu</v>
      </c>
      <c r="AC58" s="77" t="str">
        <f t="shared" si="449"/>
        <v xml:space="preserve">C. Dempsey </v>
      </c>
      <c r="AD58" s="77" t="str">
        <f t="shared" si="449"/>
        <v>M. Fellaini</v>
      </c>
      <c r="AE58" s="77" t="str">
        <f t="shared" si="449"/>
        <v>H. Yebda</v>
      </c>
      <c r="AF58" s="77" t="str">
        <f t="shared" si="449"/>
        <v>D. Glushakov</v>
      </c>
      <c r="AG58" s="77" t="str">
        <f t="shared" si="449"/>
        <v>H. Dae-sung</v>
      </c>
      <c r="BT58" s="77" t="str">
        <f t="shared" ca="1" si="85"/>
        <v>Mexico</v>
      </c>
      <c r="BU58" s="77">
        <f t="shared" si="12"/>
        <v>56</v>
      </c>
      <c r="BV58" s="77" t="str">
        <f t="shared" si="440"/>
        <v>A12</v>
      </c>
      <c r="BW58" s="77">
        <f t="shared" si="428"/>
        <v>3</v>
      </c>
      <c r="BX58" s="77" t="str">
        <f t="shared" ca="1" si="441"/>
        <v>G. dos Santos</v>
      </c>
      <c r="BY58" s="77">
        <f ca="1">COUNTIF('Group Stages'!$L$14:$S$110,BX58)+COUNTIF('Knock Out Stages'!$N$41:$U$84,BX58)</f>
        <v>0</v>
      </c>
      <c r="BZ58" s="77" t="str">
        <f t="shared" si="429"/>
        <v>'Player Database'!A12</v>
      </c>
      <c r="CA58" s="77" t="str">
        <f t="shared" ca="1" si="430"/>
        <v>Giovani dos Santos</v>
      </c>
      <c r="CB58" s="77">
        <v>55</v>
      </c>
      <c r="CC58" s="77" t="str">
        <f t="array" aca="1" ref="CC58" ca="1">IFERROR(INDEX($BX$3:$BX$738, SMALL(IF(COUNTIF(CC$3, $BY$3:$BY$738), ROW($BX$3:$BX$738)-MIN(ROW($BX$3:$BX$738))+1), $CB58), 0),"")</f>
        <v/>
      </c>
      <c r="CS58" s="77">
        <f t="shared" si="425"/>
        <v>55</v>
      </c>
      <c r="CT58" s="77">
        <f t="shared" si="426"/>
        <v>2</v>
      </c>
      <c r="CU58" s="77" t="s">
        <v>3975</v>
      </c>
      <c r="CV58" s="77" t="str">
        <f t="shared" ca="1" si="431"/>
        <v/>
      </c>
      <c r="CW58" s="77">
        <f t="shared" ca="1" si="13"/>
        <v>0</v>
      </c>
      <c r="CZ58" s="77">
        <v>55</v>
      </c>
      <c r="DA58" s="77" t="str">
        <f t="shared" ca="1" si="14"/>
        <v/>
      </c>
      <c r="DB58" s="77" t="str">
        <f t="shared" ca="1" si="15"/>
        <v/>
      </c>
      <c r="DC58" s="77" t="str">
        <f t="shared" ca="1" si="19"/>
        <v/>
      </c>
      <c r="DD58" s="77" t="str">
        <f t="shared" ca="1" si="17"/>
        <v/>
      </c>
    </row>
    <row r="59" spans="1:108">
      <c r="A59" s="77">
        <v>9</v>
      </c>
      <c r="B59" s="77" t="str">
        <f t="shared" si="442"/>
        <v>Fred</v>
      </c>
      <c r="C59" s="77" t="str">
        <f t="shared" si="442"/>
        <v>N. Jelavić</v>
      </c>
      <c r="D59" s="77" t="str">
        <f t="shared" si="442"/>
        <v>R. Jiménez</v>
      </c>
      <c r="E59" s="77" t="str">
        <f t="shared" si="442"/>
        <v xml:space="preserve">S. Eto'o </v>
      </c>
      <c r="F59" s="77" t="str">
        <f t="shared" ref="F59:AG59" si="450">F11</f>
        <v>F. Torres</v>
      </c>
      <c r="G59" s="77" t="str">
        <f t="shared" si="450"/>
        <v xml:space="preserve">R. van Persie </v>
      </c>
      <c r="H59" s="77" t="str">
        <f t="shared" si="450"/>
        <v>M. Pinilla</v>
      </c>
      <c r="I59" s="77" t="str">
        <f t="shared" si="450"/>
        <v>A. Taggart</v>
      </c>
      <c r="J59" s="77" t="str">
        <f t="shared" si="450"/>
        <v>T. Gutiérrez</v>
      </c>
      <c r="K59" s="77" t="str">
        <f t="shared" si="450"/>
        <v>K. Mitroglou</v>
      </c>
      <c r="L59" s="77" t="str">
        <f t="shared" si="450"/>
        <v>C. Tioté</v>
      </c>
      <c r="M59" s="77" t="str">
        <f t="shared" si="450"/>
        <v>S. Okazaki</v>
      </c>
      <c r="N59" s="77" t="str">
        <f t="shared" si="450"/>
        <v>L. Suárez</v>
      </c>
      <c r="O59" s="77" t="str">
        <f t="shared" si="450"/>
        <v>J. Campbell</v>
      </c>
      <c r="P59" s="77" t="str">
        <f t="shared" si="450"/>
        <v>D. Sturridge</v>
      </c>
      <c r="Q59" s="77" t="str">
        <f t="shared" si="450"/>
        <v>M. Balotelli</v>
      </c>
      <c r="R59" s="77" t="str">
        <f t="shared" si="450"/>
        <v>H. Seferović</v>
      </c>
      <c r="S59" s="77" t="str">
        <f t="shared" si="450"/>
        <v>J. Rojas</v>
      </c>
      <c r="T59" s="77" t="str">
        <f t="shared" si="450"/>
        <v>O. Giroud</v>
      </c>
      <c r="U59" s="77" t="str">
        <f t="shared" si="450"/>
        <v>J. Palacios</v>
      </c>
      <c r="V59" s="77" t="str">
        <f t="shared" si="450"/>
        <v>G. Higuaín</v>
      </c>
      <c r="W59" s="77" t="str">
        <f t="shared" si="450"/>
        <v>V. Ibišević</v>
      </c>
      <c r="X59" s="77" t="str">
        <f t="shared" si="450"/>
        <v>A. Jahanbakhsh</v>
      </c>
      <c r="Y59" s="77" t="str">
        <f t="shared" si="450"/>
        <v>E. Emenike</v>
      </c>
      <c r="Z59" s="77" t="str">
        <f t="shared" si="450"/>
        <v>A. Schürrle</v>
      </c>
      <c r="AA59" s="77" t="str">
        <f t="shared" si="450"/>
        <v>H. Almeida</v>
      </c>
      <c r="AB59" s="77" t="str">
        <f t="shared" si="450"/>
        <v>K. Boateng</v>
      </c>
      <c r="AC59" s="77" t="str">
        <f t="shared" si="450"/>
        <v>A. Jóhannsson</v>
      </c>
      <c r="AD59" s="77" t="str">
        <f t="shared" si="450"/>
        <v>R. Lukaku</v>
      </c>
      <c r="AE59" s="77" t="str">
        <f t="shared" si="450"/>
        <v>N. Ghilas</v>
      </c>
      <c r="AF59" s="77" t="str">
        <f t="shared" si="450"/>
        <v>A. Kokorin</v>
      </c>
      <c r="AG59" s="77" t="str">
        <f t="shared" si="450"/>
        <v>S. Heung-min</v>
      </c>
      <c r="BT59" s="77" t="str">
        <f t="shared" ca="1" si="85"/>
        <v>Mexico</v>
      </c>
      <c r="BU59" s="77">
        <f t="shared" si="12"/>
        <v>57</v>
      </c>
      <c r="BV59" s="77" t="str">
        <f t="shared" si="440"/>
        <v>A13</v>
      </c>
      <c r="BW59" s="77">
        <f t="shared" si="428"/>
        <v>3</v>
      </c>
      <c r="BX59" s="77" t="str">
        <f t="shared" ca="1" si="441"/>
        <v>A. Pulido</v>
      </c>
      <c r="BY59" s="77">
        <f ca="1">COUNTIF('Group Stages'!$L$14:$S$110,BX59)+COUNTIF('Knock Out Stages'!$N$41:$U$84,BX59)</f>
        <v>0</v>
      </c>
      <c r="BZ59" s="77" t="str">
        <f t="shared" si="429"/>
        <v>'Player Database'!A13</v>
      </c>
      <c r="CA59" s="77" t="str">
        <f t="shared" ca="1" si="430"/>
        <v>Alan Pulido</v>
      </c>
      <c r="CB59" s="77">
        <v>56</v>
      </c>
      <c r="CC59" s="77" t="str">
        <f t="array" aca="1" ref="CC59" ca="1">IFERROR(INDEX($BX$3:$BX$738, SMALL(IF(COUNTIF(CC$3, $BY$3:$BY$738), ROW($BX$3:$BX$738)-MIN(ROW($BX$3:$BX$738))+1), $CB59), 0),"")</f>
        <v/>
      </c>
      <c r="CS59" s="77">
        <f t="shared" si="425"/>
        <v>56</v>
      </c>
      <c r="CT59" s="77">
        <f t="shared" si="426"/>
        <v>2</v>
      </c>
      <c r="CU59" s="77" t="s">
        <v>3976</v>
      </c>
      <c r="CV59" s="77" t="str">
        <f t="shared" ca="1" si="431"/>
        <v/>
      </c>
      <c r="CW59" s="77">
        <f t="shared" ca="1" si="13"/>
        <v>0</v>
      </c>
      <c r="CZ59" s="77">
        <v>56</v>
      </c>
      <c r="DA59" s="77" t="str">
        <f t="shared" ca="1" si="14"/>
        <v/>
      </c>
      <c r="DB59" s="77" t="str">
        <f t="shared" ca="1" si="15"/>
        <v/>
      </c>
      <c r="DC59" s="77" t="str">
        <f t="shared" ca="1" si="19"/>
        <v/>
      </c>
      <c r="DD59" s="77" t="str">
        <f t="shared" ca="1" si="17"/>
        <v/>
      </c>
    </row>
    <row r="60" spans="1:108">
      <c r="A60" s="77">
        <v>10</v>
      </c>
      <c r="B60" s="77" t="str">
        <f t="shared" si="442"/>
        <v>Neymar</v>
      </c>
      <c r="C60" s="77" t="str">
        <f t="shared" si="442"/>
        <v>L. Modrić</v>
      </c>
      <c r="D60" s="77" t="str">
        <f t="shared" si="442"/>
        <v>G. dos Santos</v>
      </c>
      <c r="E60" s="77" t="str">
        <f t="shared" si="442"/>
        <v>V. Aboubakar</v>
      </c>
      <c r="F60" s="77" t="str">
        <f t="shared" ref="F60:AG60" si="451">F12</f>
        <v>C. Fàbregas</v>
      </c>
      <c r="G60" s="77" t="str">
        <f t="shared" si="451"/>
        <v>W. Sneijder</v>
      </c>
      <c r="H60" s="77" t="str">
        <f t="shared" si="451"/>
        <v>J. Valdívia</v>
      </c>
      <c r="I60" s="77" t="str">
        <f t="shared" si="451"/>
        <v>B. Halloran</v>
      </c>
      <c r="J60" s="77" t="str">
        <f t="shared" si="451"/>
        <v>J. Rodríguez</v>
      </c>
      <c r="K60" s="77" t="str">
        <f t="shared" si="451"/>
        <v xml:space="preserve">G. Karagounis </v>
      </c>
      <c r="L60" s="77" t="str">
        <f t="shared" si="451"/>
        <v>Gervinho</v>
      </c>
      <c r="M60" s="77" t="str">
        <f t="shared" si="451"/>
        <v>S. Kagawa</v>
      </c>
      <c r="N60" s="77" t="str">
        <f t="shared" si="451"/>
        <v>D. Forlán</v>
      </c>
      <c r="O60" s="77" t="str">
        <f t="shared" si="451"/>
        <v xml:space="preserve">B. Ruiz </v>
      </c>
      <c r="P60" s="77" t="str">
        <f t="shared" si="451"/>
        <v>W. Rooney</v>
      </c>
      <c r="Q60" s="77" t="str">
        <f t="shared" si="451"/>
        <v>A. Cassano</v>
      </c>
      <c r="R60" s="77" t="str">
        <f t="shared" si="451"/>
        <v>G. Xhaka</v>
      </c>
      <c r="S60" s="77" t="str">
        <f t="shared" si="451"/>
        <v>W. Ayoví</v>
      </c>
      <c r="T60" s="77" t="str">
        <f t="shared" si="451"/>
        <v>K. Benzema</v>
      </c>
      <c r="U60" s="77" t="str">
        <f t="shared" si="451"/>
        <v>M. Martínez</v>
      </c>
      <c r="V60" s="77" t="str">
        <f t="shared" si="451"/>
        <v xml:space="preserve">L. Messi </v>
      </c>
      <c r="W60" s="77" t="str">
        <f t="shared" si="451"/>
        <v>Z. Misimović</v>
      </c>
      <c r="X60" s="77" t="str">
        <f t="shared" si="451"/>
        <v>K. Ansarifard</v>
      </c>
      <c r="Y60" s="77" t="str">
        <f t="shared" si="451"/>
        <v>J. Obi Mikel</v>
      </c>
      <c r="Z60" s="77" t="str">
        <f t="shared" si="451"/>
        <v>L. Podolski</v>
      </c>
      <c r="AA60" s="77" t="str">
        <f t="shared" si="451"/>
        <v>Vieirinha</v>
      </c>
      <c r="AB60" s="77" t="str">
        <f t="shared" si="451"/>
        <v>A. Ayew</v>
      </c>
      <c r="AC60" s="77" t="str">
        <f t="shared" si="451"/>
        <v>M. Diskerud</v>
      </c>
      <c r="AD60" s="77" t="str">
        <f t="shared" si="451"/>
        <v>E. Hazard</v>
      </c>
      <c r="AE60" s="77" t="str">
        <f t="shared" si="451"/>
        <v>S. Feghouli</v>
      </c>
      <c r="AF60" s="77" t="str">
        <f t="shared" si="451"/>
        <v>A. Dzagoev</v>
      </c>
      <c r="AG60" s="77" t="str">
        <f t="shared" si="451"/>
        <v>P. Chu-young</v>
      </c>
      <c r="BT60" s="77" t="str">
        <f t="shared" ca="1" si="85"/>
        <v>Mexico</v>
      </c>
      <c r="BU60" s="77">
        <f t="shared" si="12"/>
        <v>58</v>
      </c>
      <c r="BV60" s="77" t="str">
        <f t="shared" si="440"/>
        <v>A14</v>
      </c>
      <c r="BW60" s="77">
        <f t="shared" si="428"/>
        <v>3</v>
      </c>
      <c r="BX60" s="77" t="str">
        <f t="shared" ca="1" si="441"/>
        <v>A. Talavera</v>
      </c>
      <c r="BY60" s="77">
        <f ca="1">COUNTIF('Group Stages'!$L$14:$S$110,BX60)+COUNTIF('Knock Out Stages'!$N$41:$U$84,BX60)</f>
        <v>0</v>
      </c>
      <c r="BZ60" s="77" t="str">
        <f t="shared" si="429"/>
        <v>'Player Database'!A14</v>
      </c>
      <c r="CA60" s="77" t="str">
        <f t="shared" ca="1" si="430"/>
        <v>Alfredo Talavera</v>
      </c>
      <c r="CB60" s="77">
        <v>57</v>
      </c>
      <c r="CC60" s="77" t="str">
        <f t="array" aca="1" ref="CC60" ca="1">IFERROR(INDEX($BX$3:$BX$738, SMALL(IF(COUNTIF(CC$3, $BY$3:$BY$738), ROW($BX$3:$BX$738)-MIN(ROW($BX$3:$BX$738))+1), $CB60), 0),"")</f>
        <v/>
      </c>
      <c r="CS60" s="77">
        <f t="shared" si="425"/>
        <v>57</v>
      </c>
      <c r="CT60" s="77">
        <f t="shared" si="426"/>
        <v>2</v>
      </c>
      <c r="CU60" s="77" t="s">
        <v>3977</v>
      </c>
      <c r="CV60" s="77" t="str">
        <f t="shared" ca="1" si="431"/>
        <v/>
      </c>
      <c r="CW60" s="77">
        <f t="shared" ca="1" si="13"/>
        <v>0</v>
      </c>
      <c r="CZ60" s="77">
        <v>57</v>
      </c>
      <c r="DA60" s="77" t="str">
        <f t="shared" ca="1" si="14"/>
        <v/>
      </c>
      <c r="DB60" s="77" t="str">
        <f t="shared" ca="1" si="15"/>
        <v/>
      </c>
      <c r="DC60" s="77" t="str">
        <f t="shared" ca="1" si="19"/>
        <v/>
      </c>
      <c r="DD60" s="77" t="str">
        <f t="shared" ca="1" si="17"/>
        <v/>
      </c>
    </row>
    <row r="61" spans="1:108">
      <c r="A61" s="77">
        <v>11</v>
      </c>
      <c r="B61" s="77" t="str">
        <f t="shared" si="442"/>
        <v>Oscar</v>
      </c>
      <c r="C61" s="77" t="str">
        <f t="shared" si="442"/>
        <v xml:space="preserve">D. Srna </v>
      </c>
      <c r="D61" s="77" t="str">
        <f t="shared" si="442"/>
        <v>A. Pulido</v>
      </c>
      <c r="E61" s="77" t="str">
        <f t="shared" si="442"/>
        <v>J. Makoun</v>
      </c>
      <c r="F61" s="77" t="str">
        <f t="shared" ref="F61:AG61" si="452">F13</f>
        <v>Pedro</v>
      </c>
      <c r="G61" s="77" t="str">
        <f t="shared" si="452"/>
        <v>A. Robben</v>
      </c>
      <c r="H61" s="77" t="str">
        <f t="shared" si="452"/>
        <v>E. Vargas</v>
      </c>
      <c r="I61" s="77" t="str">
        <f t="shared" si="452"/>
        <v>T. Oar</v>
      </c>
      <c r="J61" s="77" t="str">
        <f t="shared" si="452"/>
        <v>J. Guillermo Cuadrado</v>
      </c>
      <c r="K61" s="77" t="str">
        <f t="shared" si="452"/>
        <v>L. Vyntra</v>
      </c>
      <c r="L61" s="77" t="str">
        <f t="shared" si="452"/>
        <v xml:space="preserve">D. Drogba </v>
      </c>
      <c r="M61" s="77" t="str">
        <f t="shared" si="452"/>
        <v>Y. Kakitani</v>
      </c>
      <c r="N61" s="77" t="str">
        <f t="shared" si="452"/>
        <v>C. Stuani</v>
      </c>
      <c r="O61" s="77" t="str">
        <f t="shared" si="452"/>
        <v>M. Barrantes</v>
      </c>
      <c r="P61" s="77" t="str">
        <f t="shared" si="452"/>
        <v>D. Welbeck</v>
      </c>
      <c r="Q61" s="77" t="str">
        <f t="shared" si="452"/>
        <v>A. Cerci</v>
      </c>
      <c r="R61" s="77" t="str">
        <f t="shared" si="452"/>
        <v>V. Behrami</v>
      </c>
      <c r="S61" s="77" t="str">
        <f t="shared" si="452"/>
        <v>F. Caicedo</v>
      </c>
      <c r="T61" s="77" t="str">
        <f t="shared" si="452"/>
        <v>A. Griezmann</v>
      </c>
      <c r="U61" s="77" t="str">
        <f t="shared" si="452"/>
        <v>J. Bengtson</v>
      </c>
      <c r="V61" s="77" t="str">
        <f t="shared" si="452"/>
        <v>M. Rodríguez</v>
      </c>
      <c r="W61" s="77" t="str">
        <f t="shared" si="452"/>
        <v>E. Džeko</v>
      </c>
      <c r="X61" s="77" t="str">
        <f t="shared" si="452"/>
        <v>G. Haddadifar</v>
      </c>
      <c r="Y61" s="77" t="str">
        <f t="shared" si="452"/>
        <v>V. Moses</v>
      </c>
      <c r="Z61" s="77" t="str">
        <f t="shared" si="452"/>
        <v>M. Klose</v>
      </c>
      <c r="AA61" s="77" t="str">
        <f t="shared" si="452"/>
        <v>Éder</v>
      </c>
      <c r="AB61" s="77" t="str">
        <f t="shared" si="452"/>
        <v>S. Muntari</v>
      </c>
      <c r="AC61" s="77" t="str">
        <f t="shared" si="452"/>
        <v>A. Bedoya</v>
      </c>
      <c r="AD61" s="77" t="str">
        <f t="shared" si="452"/>
        <v>K. Mirallas</v>
      </c>
      <c r="AE61" s="77" t="str">
        <f t="shared" si="452"/>
        <v>Y. Brahimi</v>
      </c>
      <c r="AF61" s="77" t="str">
        <f t="shared" si="452"/>
        <v>A. Kerzhakov</v>
      </c>
      <c r="AG61" s="77" t="str">
        <f t="shared" si="452"/>
        <v>L. Keun-ho</v>
      </c>
      <c r="BT61" s="77" t="str">
        <f t="shared" ca="1" si="85"/>
        <v>Mexico</v>
      </c>
      <c r="BU61" s="77">
        <f t="shared" si="12"/>
        <v>59</v>
      </c>
      <c r="BV61" s="77" t="str">
        <f t="shared" si="440"/>
        <v>A15</v>
      </c>
      <c r="BW61" s="77">
        <f t="shared" si="428"/>
        <v>3</v>
      </c>
      <c r="BX61" s="77" t="str">
        <f t="shared" ca="1" si="441"/>
        <v>G. Ochoa</v>
      </c>
      <c r="BY61" s="77">
        <f ca="1">COUNTIF('Group Stages'!$L$14:$S$110,BX61)+COUNTIF('Knock Out Stages'!$N$41:$U$84,BX61)</f>
        <v>0</v>
      </c>
      <c r="BZ61" s="77" t="str">
        <f t="shared" si="429"/>
        <v>'Player Database'!A15</v>
      </c>
      <c r="CA61" s="77" t="str">
        <f t="shared" ca="1" si="430"/>
        <v>Guillermo Ochoa</v>
      </c>
      <c r="CB61" s="77">
        <v>58</v>
      </c>
      <c r="CC61" s="77" t="str">
        <f t="array" aca="1" ref="CC61" ca="1">IFERROR(INDEX($BX$3:$BX$738, SMALL(IF(COUNTIF(CC$3, $BY$3:$BY$738), ROW($BX$3:$BX$738)-MIN(ROW($BX$3:$BX$738))+1), $CB61), 0),"")</f>
        <v/>
      </c>
      <c r="CS61" s="77">
        <f t="shared" si="425"/>
        <v>58</v>
      </c>
      <c r="CT61" s="77">
        <f t="shared" si="426"/>
        <v>2</v>
      </c>
      <c r="CU61" s="77" t="s">
        <v>3978</v>
      </c>
      <c r="CV61" s="77" t="str">
        <f t="shared" ca="1" si="431"/>
        <v/>
      </c>
      <c r="CW61" s="77">
        <f t="shared" ca="1" si="13"/>
        <v>0</v>
      </c>
      <c r="CZ61" s="77">
        <v>58</v>
      </c>
      <c r="DA61" s="77" t="str">
        <f t="shared" ca="1" si="14"/>
        <v/>
      </c>
      <c r="DB61" s="77" t="str">
        <f t="shared" ca="1" si="15"/>
        <v/>
      </c>
      <c r="DC61" s="77" t="str">
        <f t="shared" ca="1" si="19"/>
        <v/>
      </c>
      <c r="DD61" s="77" t="str">
        <f t="shared" ca="1" si="17"/>
        <v/>
      </c>
    </row>
    <row r="62" spans="1:108">
      <c r="A62" s="77">
        <v>12</v>
      </c>
      <c r="B62" s="77" t="str">
        <f t="shared" si="442"/>
        <v>J. César</v>
      </c>
      <c r="C62" s="77" t="str">
        <f t="shared" si="442"/>
        <v>O. Zelenika</v>
      </c>
      <c r="D62" s="77" t="str">
        <f t="shared" si="442"/>
        <v>A. Talavera</v>
      </c>
      <c r="E62" s="77" t="str">
        <f t="shared" si="442"/>
        <v>H. Bedimo</v>
      </c>
      <c r="F62" s="77" t="str">
        <f t="shared" ref="F62:AG62" si="453">F14</f>
        <v>D. de Gea</v>
      </c>
      <c r="G62" s="77" t="str">
        <f t="shared" si="453"/>
        <v>P. Verhaegh</v>
      </c>
      <c r="H62" s="77" t="str">
        <f t="shared" si="453"/>
        <v>C. Toselli</v>
      </c>
      <c r="I62" s="77" t="str">
        <f t="shared" si="453"/>
        <v>M. Langerak</v>
      </c>
      <c r="J62" s="77" t="str">
        <f t="shared" si="453"/>
        <v>C. Vargas</v>
      </c>
      <c r="K62" s="77" t="str">
        <f t="shared" si="453"/>
        <v>P. Glykos</v>
      </c>
      <c r="L62" s="77" t="str">
        <f t="shared" si="453"/>
        <v>W. Bony</v>
      </c>
      <c r="M62" s="77" t="str">
        <f t="shared" si="453"/>
        <v>S. Nishikawa</v>
      </c>
      <c r="N62" s="77" t="str">
        <f t="shared" si="453"/>
        <v>R. Muñoz</v>
      </c>
      <c r="O62" s="77" t="str">
        <f t="shared" si="453"/>
        <v>W. Francis</v>
      </c>
      <c r="P62" s="77" t="str">
        <f t="shared" si="453"/>
        <v>C. Smalling</v>
      </c>
      <c r="Q62" s="77" t="str">
        <f t="shared" si="453"/>
        <v>S. Sirigu</v>
      </c>
      <c r="R62" s="77" t="str">
        <f t="shared" si="453"/>
        <v>Y. Sommer</v>
      </c>
      <c r="S62" s="77" t="str">
        <f t="shared" si="453"/>
        <v>A. Bone</v>
      </c>
      <c r="T62" s="77" t="str">
        <f t="shared" si="453"/>
        <v>R. Mavuba</v>
      </c>
      <c r="U62" s="77" t="str">
        <f t="shared" si="453"/>
        <v>E. Delgado[42]</v>
      </c>
      <c r="V62" s="77" t="str">
        <f t="shared" si="453"/>
        <v>A. Orión</v>
      </c>
      <c r="W62" s="77" t="str">
        <f t="shared" si="453"/>
        <v>J. Fejzić</v>
      </c>
      <c r="X62" s="77" t="str">
        <f t="shared" si="453"/>
        <v>A. Haghighi</v>
      </c>
      <c r="Y62" s="77" t="str">
        <f t="shared" si="453"/>
        <v>K. Odunlami</v>
      </c>
      <c r="Z62" s="77" t="str">
        <f t="shared" si="453"/>
        <v>R. Zieler</v>
      </c>
      <c r="AA62" s="77" t="str">
        <f t="shared" si="453"/>
        <v>R. Patrício</v>
      </c>
      <c r="AB62" s="77" t="str">
        <f t="shared" si="453"/>
        <v>A. Kwarasey</v>
      </c>
      <c r="AC62" s="77" t="str">
        <f t="shared" si="453"/>
        <v>B. Guzan</v>
      </c>
      <c r="AD62" s="77" t="str">
        <f t="shared" si="453"/>
        <v>S. Mignolet</v>
      </c>
      <c r="AE62" s="77" t="str">
        <f t="shared" si="453"/>
        <v>M. Lacen</v>
      </c>
      <c r="AF62" s="77" t="str">
        <f t="shared" si="453"/>
        <v>Y. Lodygin</v>
      </c>
      <c r="AG62" s="77" t="str">
        <f t="shared" si="453"/>
        <v>L. Yong</v>
      </c>
      <c r="BT62" s="77" t="str">
        <f t="shared" ca="1" si="85"/>
        <v>Mexico</v>
      </c>
      <c r="BU62" s="77">
        <f t="shared" si="12"/>
        <v>60</v>
      </c>
      <c r="BV62" s="77" t="str">
        <f t="shared" si="440"/>
        <v>A16</v>
      </c>
      <c r="BW62" s="77">
        <f t="shared" si="428"/>
        <v>3</v>
      </c>
      <c r="BX62" s="77" t="str">
        <f t="shared" ca="1" si="441"/>
        <v>J. Hernández</v>
      </c>
      <c r="BY62" s="77">
        <f ca="1">COUNTIF('Group Stages'!$L$14:$S$110,BX62)+COUNTIF('Knock Out Stages'!$N$41:$U$84,BX62)</f>
        <v>0</v>
      </c>
      <c r="BZ62" s="77" t="str">
        <f t="shared" si="429"/>
        <v>'Player Database'!A16</v>
      </c>
      <c r="CA62" s="77" t="str">
        <f t="shared" ca="1" si="430"/>
        <v>Javier Hernández</v>
      </c>
      <c r="CB62" s="77">
        <v>59</v>
      </c>
      <c r="CC62" s="77" t="str">
        <f t="array" aca="1" ref="CC62" ca="1">IFERROR(INDEX($BX$3:$BX$738, SMALL(IF(COUNTIF(CC$3, $BY$3:$BY$738), ROW($BX$3:$BX$738)-MIN(ROW($BX$3:$BX$738))+1), $CB62), 0),"")</f>
        <v/>
      </c>
      <c r="CS62" s="77">
        <f t="shared" si="425"/>
        <v>59</v>
      </c>
      <c r="CT62" s="77">
        <f t="shared" si="426"/>
        <v>2</v>
      </c>
      <c r="CU62" s="77" t="s">
        <v>3979</v>
      </c>
      <c r="CV62" s="77" t="str">
        <f t="shared" ca="1" si="431"/>
        <v/>
      </c>
      <c r="CW62" s="77">
        <f t="shared" ca="1" si="13"/>
        <v>0</v>
      </c>
      <c r="CZ62" s="77">
        <v>59</v>
      </c>
      <c r="DA62" s="77" t="str">
        <f t="shared" ca="1" si="14"/>
        <v/>
      </c>
      <c r="DB62" s="77" t="str">
        <f t="shared" ca="1" si="15"/>
        <v/>
      </c>
      <c r="DC62" s="77" t="str">
        <f t="shared" ca="1" si="19"/>
        <v/>
      </c>
      <c r="DD62" s="77" t="str">
        <f t="shared" ca="1" si="17"/>
        <v/>
      </c>
    </row>
    <row r="63" spans="1:108">
      <c r="A63" s="77">
        <v>13</v>
      </c>
      <c r="B63" s="77" t="str">
        <f t="shared" si="442"/>
        <v>Dante</v>
      </c>
      <c r="C63" s="77" t="str">
        <f t="shared" si="442"/>
        <v>G. Schildenfeld</v>
      </c>
      <c r="D63" s="77" t="str">
        <f t="shared" si="442"/>
        <v>G. Ochoa</v>
      </c>
      <c r="E63" s="77" t="str">
        <f t="shared" si="442"/>
        <v>M. Choupo-Moting</v>
      </c>
      <c r="F63" s="77" t="str">
        <f t="shared" ref="F63:AG63" si="454">F15</f>
        <v>J. Mata</v>
      </c>
      <c r="G63" s="77" t="str">
        <f t="shared" si="454"/>
        <v>J. Veltman</v>
      </c>
      <c r="H63" s="77" t="str">
        <f t="shared" si="454"/>
        <v>J. Rojas</v>
      </c>
      <c r="I63" s="77" t="str">
        <f t="shared" si="454"/>
        <v>O. Bozanić</v>
      </c>
      <c r="J63" s="77" t="str">
        <f t="shared" si="454"/>
        <v>F. Guarín</v>
      </c>
      <c r="K63" s="77" t="str">
        <f t="shared" si="454"/>
        <v>S. Kapino</v>
      </c>
      <c r="L63" s="77" t="str">
        <f t="shared" si="454"/>
        <v>D. Ya Konan</v>
      </c>
      <c r="M63" s="77" t="str">
        <f t="shared" si="454"/>
        <v>Y. Ōkubo</v>
      </c>
      <c r="N63" s="77" t="str">
        <f t="shared" si="454"/>
        <v>J. Fucile</v>
      </c>
      <c r="O63" s="77" t="str">
        <f t="shared" si="454"/>
        <v>E. Granados</v>
      </c>
      <c r="P63" s="77" t="str">
        <f t="shared" si="454"/>
        <v>B. Foster</v>
      </c>
      <c r="Q63" s="77" t="str">
        <f t="shared" si="454"/>
        <v>M. Perin</v>
      </c>
      <c r="R63" s="77" t="str">
        <f t="shared" si="454"/>
        <v>R. Rodríguez</v>
      </c>
      <c r="S63" s="77" t="str">
        <f t="shared" si="454"/>
        <v>E. Valencia</v>
      </c>
      <c r="T63" s="77" t="str">
        <f t="shared" si="454"/>
        <v>E. Mangala</v>
      </c>
      <c r="U63" s="77" t="str">
        <f t="shared" si="454"/>
        <v>C. Costly</v>
      </c>
      <c r="V63" s="77" t="str">
        <f t="shared" si="454"/>
        <v>A. Fernández</v>
      </c>
      <c r="W63" s="77" t="str">
        <f t="shared" si="454"/>
        <v>M. Mujdža</v>
      </c>
      <c r="X63" s="77" t="str">
        <f t="shared" si="454"/>
        <v>H. Mahini</v>
      </c>
      <c r="Y63" s="77" t="str">
        <f t="shared" si="454"/>
        <v>J. Oshaniwa</v>
      </c>
      <c r="Z63" s="77" t="str">
        <f t="shared" si="454"/>
        <v>T. Müller</v>
      </c>
      <c r="AA63" s="77" t="str">
        <f t="shared" si="454"/>
        <v>R. Costa</v>
      </c>
      <c r="AB63" s="77" t="str">
        <f t="shared" si="454"/>
        <v>J. Ayew</v>
      </c>
      <c r="AC63" s="77" t="str">
        <f t="shared" si="454"/>
        <v>J. Jones</v>
      </c>
      <c r="AD63" s="77" t="str">
        <f t="shared" si="454"/>
        <v>S. Bossut</v>
      </c>
      <c r="AE63" s="77" t="str">
        <f t="shared" si="454"/>
        <v>I. Slimani</v>
      </c>
      <c r="AF63" s="77" t="str">
        <f t="shared" si="454"/>
        <v>V. Granat</v>
      </c>
      <c r="AG63" s="77" t="str">
        <f t="shared" si="454"/>
        <v xml:space="preserve">K. Ja-cheol </v>
      </c>
      <c r="BT63" s="77" t="str">
        <f t="shared" ca="1" si="85"/>
        <v>Mexico</v>
      </c>
      <c r="BU63" s="77">
        <f t="shared" si="12"/>
        <v>61</v>
      </c>
      <c r="BV63" s="77" t="str">
        <f t="shared" si="440"/>
        <v>A17</v>
      </c>
      <c r="BW63" s="77">
        <f t="shared" si="428"/>
        <v>3</v>
      </c>
      <c r="BX63" s="77" t="str">
        <f t="shared" ca="1" si="441"/>
        <v>H. Moreno</v>
      </c>
      <c r="BY63" s="77">
        <f ca="1">COUNTIF('Group Stages'!$L$14:$S$110,BX63)+COUNTIF('Knock Out Stages'!$N$41:$U$84,BX63)</f>
        <v>0</v>
      </c>
      <c r="BZ63" s="77" t="str">
        <f t="shared" si="429"/>
        <v>'Player Database'!A17</v>
      </c>
      <c r="CA63" s="77" t="str">
        <f t="shared" ca="1" si="430"/>
        <v>Héctor Moreno</v>
      </c>
      <c r="CB63" s="77">
        <v>60</v>
      </c>
      <c r="CC63" s="77" t="str">
        <f t="array" aca="1" ref="CC63" ca="1">IFERROR(INDEX($BX$3:$BX$738, SMALL(IF(COUNTIF(CC$3, $BY$3:$BY$738), ROW($BX$3:$BX$738)-MIN(ROW($BX$3:$BX$738))+1), $CB63), 0),"")</f>
        <v/>
      </c>
      <c r="CS63" s="77">
        <f t="shared" si="425"/>
        <v>60</v>
      </c>
      <c r="CT63" s="77">
        <f t="shared" si="426"/>
        <v>2</v>
      </c>
      <c r="CU63" s="77" t="s">
        <v>3980</v>
      </c>
      <c r="CV63" s="77" t="str">
        <f t="shared" ca="1" si="431"/>
        <v/>
      </c>
      <c r="CW63" s="77">
        <f t="shared" ca="1" si="13"/>
        <v>0</v>
      </c>
      <c r="CZ63" s="77">
        <v>60</v>
      </c>
      <c r="DA63" s="77" t="str">
        <f t="shared" ca="1" si="14"/>
        <v/>
      </c>
      <c r="DB63" s="77" t="str">
        <f t="shared" ca="1" si="15"/>
        <v/>
      </c>
      <c r="DC63" s="77" t="str">
        <f t="shared" ca="1" si="19"/>
        <v/>
      </c>
      <c r="DD63" s="77" t="str">
        <f t="shared" ca="1" si="17"/>
        <v/>
      </c>
    </row>
    <row r="64" spans="1:108">
      <c r="A64" s="77">
        <v>14</v>
      </c>
      <c r="B64" s="77" t="str">
        <f t="shared" si="442"/>
        <v>Maxwell</v>
      </c>
      <c r="C64" s="77" t="str">
        <f t="shared" si="442"/>
        <v>M. Brozović</v>
      </c>
      <c r="D64" s="77" t="str">
        <f t="shared" si="442"/>
        <v>J. Hernández</v>
      </c>
      <c r="E64" s="77" t="str">
        <f t="shared" si="442"/>
        <v>A. Chedjou</v>
      </c>
      <c r="F64" s="77" t="str">
        <f t="shared" ref="F64:AG64" si="455">F16</f>
        <v>X. Alonso</v>
      </c>
      <c r="G64" s="77" t="str">
        <f t="shared" si="455"/>
        <v>T. Kongolo</v>
      </c>
      <c r="H64" s="77" t="str">
        <f t="shared" si="455"/>
        <v>F. Orellana</v>
      </c>
      <c r="I64" s="77" t="str">
        <f t="shared" si="455"/>
        <v>J. Troisi</v>
      </c>
      <c r="J64" s="77" t="str">
        <f t="shared" si="455"/>
        <v>V. Ibarbo</v>
      </c>
      <c r="K64" s="77" t="str">
        <f t="shared" si="455"/>
        <v>D. Salpingidis</v>
      </c>
      <c r="L64" s="77" t="str">
        <f t="shared" si="455"/>
        <v>I. Diomandé</v>
      </c>
      <c r="M64" s="77" t="str">
        <f t="shared" si="455"/>
        <v>T. Aoyama</v>
      </c>
      <c r="N64" s="77" t="str">
        <f t="shared" si="455"/>
        <v>N. Lodeiro</v>
      </c>
      <c r="O64" s="77" t="str">
        <f t="shared" si="455"/>
        <v>R. Brenes</v>
      </c>
      <c r="P64" s="77" t="str">
        <f t="shared" si="455"/>
        <v>J. Henderson</v>
      </c>
      <c r="Q64" s="77" t="str">
        <f t="shared" si="455"/>
        <v>A. Aquilani</v>
      </c>
      <c r="R64" s="77" t="str">
        <f t="shared" si="455"/>
        <v>V. Stocker</v>
      </c>
      <c r="S64" s="77" t="str">
        <f t="shared" si="455"/>
        <v>O. Minda</v>
      </c>
      <c r="T64" s="77" t="str">
        <f t="shared" si="455"/>
        <v>B. Matuidi</v>
      </c>
      <c r="U64" s="77" t="str">
        <f t="shared" si="455"/>
        <v>Ó. García</v>
      </c>
      <c r="V64" s="77" t="str">
        <f t="shared" si="455"/>
        <v>J. Mascherano</v>
      </c>
      <c r="W64" s="77" t="str">
        <f t="shared" si="455"/>
        <v>I. Hajrović</v>
      </c>
      <c r="X64" s="77" t="str">
        <f t="shared" si="455"/>
        <v>A. Teymourian</v>
      </c>
      <c r="Y64" s="77" t="str">
        <f t="shared" si="455"/>
        <v>G. Oboabona</v>
      </c>
      <c r="Z64" s="77" t="str">
        <f t="shared" si="455"/>
        <v>J. Draxler</v>
      </c>
      <c r="AA64" s="77" t="str">
        <f t="shared" si="455"/>
        <v>L. Neto</v>
      </c>
      <c r="AB64" s="77" t="str">
        <f t="shared" si="455"/>
        <v>A. Adomah</v>
      </c>
      <c r="AC64" s="77" t="str">
        <f t="shared" si="455"/>
        <v>B. Davis</v>
      </c>
      <c r="AD64" s="77" t="str">
        <f t="shared" si="455"/>
        <v>D. Mertens</v>
      </c>
      <c r="AE64" s="77" t="str">
        <f t="shared" si="455"/>
        <v>N. Bentaleb</v>
      </c>
      <c r="AF64" s="77" t="str">
        <f t="shared" si="455"/>
        <v xml:space="preserve">V. Berezutski </v>
      </c>
      <c r="AG64" s="77" t="str">
        <f t="shared" si="455"/>
        <v>H. Kook-young</v>
      </c>
      <c r="BT64" s="77" t="str">
        <f t="shared" ca="1" si="85"/>
        <v>Mexico</v>
      </c>
      <c r="BU64" s="77">
        <f t="shared" si="12"/>
        <v>62</v>
      </c>
      <c r="BV64" s="77" t="str">
        <f t="shared" si="440"/>
        <v>A18</v>
      </c>
      <c r="BW64" s="77">
        <f t="shared" si="428"/>
        <v>3</v>
      </c>
      <c r="BX64" s="77" t="str">
        <f t="shared" ca="1" si="441"/>
        <v>M. Ángel Ponce</v>
      </c>
      <c r="BY64" s="77">
        <f ca="1">COUNTIF('Group Stages'!$L$14:$S$110,BX64)+COUNTIF('Knock Out Stages'!$N$41:$U$84,BX64)</f>
        <v>0</v>
      </c>
      <c r="BZ64" s="77" t="str">
        <f t="shared" si="429"/>
        <v>'Player Database'!A18</v>
      </c>
      <c r="CA64" s="77" t="str">
        <f t="shared" ca="1" si="430"/>
        <v>Miguel Ángel Ponce</v>
      </c>
      <c r="CB64" s="77">
        <v>61</v>
      </c>
      <c r="CC64" s="77" t="str">
        <f t="array" aca="1" ref="CC64" ca="1">IFERROR(INDEX($BX$3:$BX$738, SMALL(IF(COUNTIF(CC$3, $BY$3:$BY$738), ROW($BX$3:$BX$738)-MIN(ROW($BX$3:$BX$738))+1), $CB64), 0),"")</f>
        <v/>
      </c>
      <c r="CS64" s="77">
        <f t="shared" si="425"/>
        <v>61</v>
      </c>
      <c r="CT64" s="77">
        <f t="shared" si="426"/>
        <v>2</v>
      </c>
      <c r="CU64" s="77" t="s">
        <v>3981</v>
      </c>
      <c r="CV64" s="77" t="str">
        <f t="shared" ca="1" si="431"/>
        <v/>
      </c>
      <c r="CW64" s="77">
        <f t="shared" ca="1" si="13"/>
        <v>0</v>
      </c>
      <c r="CZ64" s="77">
        <v>61</v>
      </c>
      <c r="DA64" s="77" t="str">
        <f t="shared" ca="1" si="14"/>
        <v/>
      </c>
      <c r="DB64" s="77" t="str">
        <f t="shared" ca="1" si="15"/>
        <v/>
      </c>
      <c r="DC64" s="77" t="str">
        <f t="shared" ca="1" si="19"/>
        <v/>
      </c>
      <c r="DD64" s="77" t="str">
        <f t="shared" ca="1" si="17"/>
        <v/>
      </c>
    </row>
    <row r="65" spans="1:108">
      <c r="A65" s="77">
        <v>15</v>
      </c>
      <c r="B65" s="77" t="str">
        <f t="shared" si="442"/>
        <v>Henrique</v>
      </c>
      <c r="C65" s="77" t="str">
        <f t="shared" si="442"/>
        <v>M. Badelj</v>
      </c>
      <c r="D65" s="77" t="str">
        <f t="shared" si="442"/>
        <v>H. Moreno</v>
      </c>
      <c r="E65" s="77" t="str">
        <f t="shared" si="442"/>
        <v>P. Webó</v>
      </c>
      <c r="F65" s="77" t="str">
        <f t="shared" ref="F65:AG65" si="456">F17</f>
        <v>S. Ramos</v>
      </c>
      <c r="G65" s="77" t="str">
        <f t="shared" si="456"/>
        <v>D. Kuyt</v>
      </c>
      <c r="H65" s="77" t="str">
        <f t="shared" si="456"/>
        <v>J. Beausejour</v>
      </c>
      <c r="I65" s="77" t="str">
        <f t="shared" si="456"/>
        <v xml:space="preserve">M. Jedinak </v>
      </c>
      <c r="J65" s="77" t="str">
        <f t="shared" si="456"/>
        <v>A. Mejía</v>
      </c>
      <c r="K65" s="77" t="str">
        <f t="shared" si="456"/>
        <v>V. Torosidis</v>
      </c>
      <c r="L65" s="77" t="str">
        <f t="shared" si="456"/>
        <v>M. Gradel</v>
      </c>
      <c r="M65" s="77" t="str">
        <f t="shared" si="456"/>
        <v>Y. Konno</v>
      </c>
      <c r="N65" s="77" t="str">
        <f t="shared" si="456"/>
        <v>D. Pérez</v>
      </c>
      <c r="O65" s="77" t="str">
        <f t="shared" si="456"/>
        <v>J. Díaz</v>
      </c>
      <c r="P65" s="77" t="str">
        <f t="shared" si="456"/>
        <v>A. Oxlade-Chamberlain</v>
      </c>
      <c r="Q65" s="77" t="str">
        <f t="shared" si="456"/>
        <v>A. Barzagli</v>
      </c>
      <c r="R65" s="77" t="str">
        <f t="shared" si="456"/>
        <v>B. Džemaili</v>
      </c>
      <c r="S65" s="77" t="str">
        <f t="shared" si="456"/>
        <v>M. Arroyo</v>
      </c>
      <c r="T65" s="77" t="str">
        <f t="shared" si="456"/>
        <v>B. Sagna</v>
      </c>
      <c r="U65" s="77" t="str">
        <f t="shared" si="456"/>
        <v>R. Espinoza</v>
      </c>
      <c r="V65" s="77" t="str">
        <f t="shared" si="456"/>
        <v>M. Demichelis</v>
      </c>
      <c r="W65" s="77" t="str">
        <f t="shared" si="456"/>
        <v>T. Šunjić</v>
      </c>
      <c r="X65" s="77" t="str">
        <f t="shared" si="456"/>
        <v>P. Montazeri</v>
      </c>
      <c r="Y65" s="77" t="str">
        <f t="shared" si="456"/>
        <v>R. Azeez</v>
      </c>
      <c r="Z65" s="77" t="str">
        <f t="shared" si="456"/>
        <v>E. Durm</v>
      </c>
      <c r="AA65" s="77" t="str">
        <f t="shared" si="456"/>
        <v>R. Silva</v>
      </c>
      <c r="AB65" s="77" t="str">
        <f t="shared" si="456"/>
        <v>R. Sumaila</v>
      </c>
      <c r="AC65" s="77" t="str">
        <f t="shared" si="456"/>
        <v>K. Beckerman</v>
      </c>
      <c r="AD65" s="77" t="str">
        <f t="shared" si="456"/>
        <v>D. Van Buyten</v>
      </c>
      <c r="AE65" s="77" t="str">
        <f t="shared" si="456"/>
        <v>E. Arbi Hillel Soudani</v>
      </c>
      <c r="AF65" s="77" t="str">
        <f t="shared" si="456"/>
        <v>P. Mogilevets</v>
      </c>
      <c r="AG65" s="77" t="str">
        <f t="shared" si="456"/>
        <v>P. Jong-woo</v>
      </c>
      <c r="BT65" s="77" t="str">
        <f t="shared" ca="1" si="85"/>
        <v>Mexico</v>
      </c>
      <c r="BU65" s="77">
        <f t="shared" si="12"/>
        <v>63</v>
      </c>
      <c r="BV65" s="77" t="str">
        <f t="shared" si="440"/>
        <v>A19</v>
      </c>
      <c r="BW65" s="77">
        <f t="shared" si="428"/>
        <v>3</v>
      </c>
      <c r="BX65" s="77" t="str">
        <f t="shared" ca="1" si="441"/>
        <v>I. Brizuela</v>
      </c>
      <c r="BY65" s="77">
        <f ca="1">COUNTIF('Group Stages'!$L$14:$S$110,BX65)+COUNTIF('Knock Out Stages'!$N$41:$U$84,BX65)</f>
        <v>0</v>
      </c>
      <c r="BZ65" s="77" t="str">
        <f t="shared" si="429"/>
        <v>'Player Database'!A19</v>
      </c>
      <c r="CA65" s="77" t="str">
        <f t="shared" ca="1" si="430"/>
        <v>Isaác Brizuela</v>
      </c>
      <c r="CB65" s="77">
        <v>62</v>
      </c>
      <c r="CC65" s="77" t="str">
        <f t="array" aca="1" ref="CC65" ca="1">IFERROR(INDEX($BX$3:$BX$738, SMALL(IF(COUNTIF(CC$3, $BY$3:$BY$738), ROW($BX$3:$BX$738)-MIN(ROW($BX$3:$BX$738))+1), $CB65), 0),"")</f>
        <v/>
      </c>
      <c r="CS65" s="77">
        <f t="shared" si="425"/>
        <v>62</v>
      </c>
      <c r="CT65" s="77">
        <f t="shared" si="426"/>
        <v>2</v>
      </c>
      <c r="CU65" s="77" t="s">
        <v>3982</v>
      </c>
      <c r="CV65" s="77" t="str">
        <f t="shared" ca="1" si="431"/>
        <v/>
      </c>
      <c r="CW65" s="77">
        <f t="shared" ca="1" si="13"/>
        <v>0</v>
      </c>
      <c r="CZ65" s="77">
        <v>62</v>
      </c>
      <c r="DA65" s="77" t="str">
        <f t="shared" ca="1" si="14"/>
        <v/>
      </c>
      <c r="DB65" s="77" t="str">
        <f t="shared" ca="1" si="15"/>
        <v/>
      </c>
      <c r="DC65" s="77" t="str">
        <f t="shared" ca="1" si="19"/>
        <v/>
      </c>
      <c r="DD65" s="77" t="str">
        <f t="shared" ca="1" si="17"/>
        <v/>
      </c>
    </row>
    <row r="66" spans="1:108">
      <c r="A66" s="77">
        <v>16</v>
      </c>
      <c r="B66" s="77" t="str">
        <f t="shared" si="442"/>
        <v>Ramires</v>
      </c>
      <c r="C66" s="77" t="str">
        <f t="shared" si="442"/>
        <v>A. Rebić</v>
      </c>
      <c r="D66" s="77" t="str">
        <f t="shared" si="442"/>
        <v>M. Ángel Ponce</v>
      </c>
      <c r="E66" s="77" t="str">
        <f t="shared" si="442"/>
        <v>C. Itandje</v>
      </c>
      <c r="F66" s="77" t="str">
        <f t="shared" ref="F66:AG66" si="457">F18</f>
        <v>S. Busquets</v>
      </c>
      <c r="G66" s="77" t="str">
        <f t="shared" si="457"/>
        <v>J. Clasie</v>
      </c>
      <c r="H66" s="77" t="str">
        <f t="shared" si="457"/>
        <v>F. Gutiérrez</v>
      </c>
      <c r="I66" s="77" t="str">
        <f t="shared" si="457"/>
        <v>J. Holland</v>
      </c>
      <c r="J66" s="77" t="str">
        <f t="shared" si="457"/>
        <v>É. Álvarez Balanta</v>
      </c>
      <c r="K66" s="77" t="str">
        <f t="shared" si="457"/>
        <v>L. Christodoulopoulos</v>
      </c>
      <c r="L66" s="77" t="str">
        <f t="shared" si="457"/>
        <v>S. Gbohouo</v>
      </c>
      <c r="M66" s="77" t="str">
        <f t="shared" si="457"/>
        <v>H. Yamaguchi</v>
      </c>
      <c r="N66" s="77" t="str">
        <f t="shared" si="457"/>
        <v>M. Pereira</v>
      </c>
      <c r="O66" s="77" t="str">
        <f t="shared" si="457"/>
        <v>C. Gamboa</v>
      </c>
      <c r="P66" s="77" t="str">
        <f t="shared" si="457"/>
        <v>P. Jones</v>
      </c>
      <c r="Q66" s="77" t="str">
        <f t="shared" si="457"/>
        <v>D. De Rossi</v>
      </c>
      <c r="R66" s="77" t="str">
        <f t="shared" si="457"/>
        <v>G. Fernandes</v>
      </c>
      <c r="S66" s="77" t="str">
        <f t="shared" si="457"/>
        <v xml:space="preserve">A. Valencia </v>
      </c>
      <c r="T66" s="77" t="str">
        <f t="shared" si="457"/>
        <v>S. Ruffier[39]</v>
      </c>
      <c r="U66" s="77" t="str">
        <f t="shared" si="457"/>
        <v>R. Martínez</v>
      </c>
      <c r="V66" s="77" t="str">
        <f t="shared" si="457"/>
        <v>M. Rojo</v>
      </c>
      <c r="W66" s="77" t="str">
        <f t="shared" si="457"/>
        <v>S. Lulić</v>
      </c>
      <c r="X66" s="77" t="str">
        <f t="shared" si="457"/>
        <v>R. Ghoochannejhad</v>
      </c>
      <c r="Y66" s="77" t="str">
        <f t="shared" si="457"/>
        <v>A. Ejide</v>
      </c>
      <c r="Z66" s="77" t="str">
        <f t="shared" si="457"/>
        <v xml:space="preserve">P. Lahm </v>
      </c>
      <c r="AA66" s="77" t="str">
        <f t="shared" si="457"/>
        <v>R. Meireles</v>
      </c>
      <c r="AB66" s="77" t="str">
        <f t="shared" si="457"/>
        <v>F. Dauda</v>
      </c>
      <c r="AC66" s="77" t="str">
        <f t="shared" si="457"/>
        <v>J. Green</v>
      </c>
      <c r="AD66" s="77" t="str">
        <f t="shared" si="457"/>
        <v>S. Defour</v>
      </c>
      <c r="AE66" s="77" t="str">
        <f t="shared" si="457"/>
        <v>M. Zemmamouche</v>
      </c>
      <c r="AF66" s="77" t="str">
        <f t="shared" si="457"/>
        <v>S. Ryzhikov</v>
      </c>
      <c r="AG66" s="77" t="str">
        <f t="shared" si="457"/>
        <v>K. Sung-yueng</v>
      </c>
      <c r="BT66" s="77" t="str">
        <f t="shared" ca="1" si="85"/>
        <v>Mexico</v>
      </c>
      <c r="BU66" s="77">
        <f t="shared" si="12"/>
        <v>64</v>
      </c>
      <c r="BV66" s="77" t="str">
        <f t="shared" si="440"/>
        <v>A20</v>
      </c>
      <c r="BW66" s="77">
        <f t="shared" si="428"/>
        <v>3</v>
      </c>
      <c r="BX66" s="77" t="str">
        <f t="shared" ca="1" si="441"/>
        <v>A. Guardado</v>
      </c>
      <c r="BY66" s="77">
        <f ca="1">COUNTIF('Group Stages'!$L$14:$S$110,BX66)+COUNTIF('Knock Out Stages'!$N$41:$U$84,BX66)</f>
        <v>0</v>
      </c>
      <c r="BZ66" s="77" t="str">
        <f t="shared" si="429"/>
        <v>'Player Database'!A20</v>
      </c>
      <c r="CA66" s="77" t="str">
        <f t="shared" ca="1" si="430"/>
        <v>Andrés Guardado</v>
      </c>
      <c r="CB66" s="77">
        <v>63</v>
      </c>
      <c r="CC66" s="77" t="str">
        <f t="array" aca="1" ref="CC66" ca="1">IFERROR(INDEX($BX$3:$BX$738, SMALL(IF(COUNTIF(CC$3, $BY$3:$BY$738), ROW($BX$3:$BX$738)-MIN(ROW($BX$3:$BX$738))+1), $CB66), 0),"")</f>
        <v/>
      </c>
      <c r="CS66" s="77">
        <f t="shared" si="425"/>
        <v>63</v>
      </c>
      <c r="CT66" s="77">
        <f t="shared" si="426"/>
        <v>2</v>
      </c>
      <c r="CU66" s="77" t="s">
        <v>3983</v>
      </c>
      <c r="CV66" s="77" t="str">
        <f t="shared" ca="1" si="431"/>
        <v/>
      </c>
      <c r="CW66" s="77">
        <f t="shared" ca="1" si="13"/>
        <v>0</v>
      </c>
      <c r="CZ66" s="77">
        <v>63</v>
      </c>
      <c r="DA66" s="77" t="str">
        <f t="shared" ca="1" si="14"/>
        <v/>
      </c>
      <c r="DB66" s="77" t="str">
        <f t="shared" ca="1" si="15"/>
        <v/>
      </c>
      <c r="DC66" s="77" t="str">
        <f t="shared" ca="1" si="19"/>
        <v/>
      </c>
      <c r="DD66" s="77" t="str">
        <f t="shared" ca="1" si="17"/>
        <v/>
      </c>
    </row>
    <row r="67" spans="1:108">
      <c r="A67" s="77">
        <v>17</v>
      </c>
      <c r="B67" s="77" t="str">
        <f t="shared" si="442"/>
        <v>L. Gustavo</v>
      </c>
      <c r="C67" s="77" t="str">
        <f t="shared" si="442"/>
        <v>M. Mandžukić</v>
      </c>
      <c r="D67" s="77" t="str">
        <f t="shared" si="442"/>
        <v>I. Brizuela</v>
      </c>
      <c r="E67" s="77" t="str">
        <f t="shared" si="442"/>
        <v>S. Mbia</v>
      </c>
      <c r="F67" s="77" t="str">
        <f t="shared" ref="F67:AG67" si="458">F19</f>
        <v>Koke</v>
      </c>
      <c r="G67" s="77" t="str">
        <f t="shared" si="458"/>
        <v>J. Lens</v>
      </c>
      <c r="H67" s="77" t="str">
        <f t="shared" si="458"/>
        <v>G. Medel</v>
      </c>
      <c r="I67" s="77" t="str">
        <f t="shared" si="458"/>
        <v>M. McKay</v>
      </c>
      <c r="J67" s="77" t="str">
        <f t="shared" si="458"/>
        <v>C. Bacca</v>
      </c>
      <c r="K67" s="77" t="str">
        <f t="shared" si="458"/>
        <v>T. Gekas</v>
      </c>
      <c r="L67" s="77" t="str">
        <f t="shared" si="458"/>
        <v>S. Aurier</v>
      </c>
      <c r="M67" s="77" t="str">
        <f t="shared" si="458"/>
        <v xml:space="preserve">M. Hasebe </v>
      </c>
      <c r="N67" s="77" t="str">
        <f t="shared" si="458"/>
        <v>E. Arévalo Ríos</v>
      </c>
      <c r="O67" s="77" t="str">
        <f t="shared" si="458"/>
        <v>Y. Tejeda</v>
      </c>
      <c r="P67" s="77" t="str">
        <f t="shared" si="458"/>
        <v>J. Milner</v>
      </c>
      <c r="Q67" s="77" t="str">
        <f t="shared" si="458"/>
        <v>C. Immobile</v>
      </c>
      <c r="R67" s="77" t="str">
        <f t="shared" si="458"/>
        <v>M. Gavranović</v>
      </c>
      <c r="S67" s="77" t="str">
        <f t="shared" si="458"/>
        <v>J. Ayoví</v>
      </c>
      <c r="T67" s="77" t="str">
        <f t="shared" si="458"/>
        <v>L. Digne</v>
      </c>
      <c r="U67" s="77" t="str">
        <f t="shared" si="458"/>
        <v>M. Chávez</v>
      </c>
      <c r="V67" s="77" t="str">
        <f t="shared" si="458"/>
        <v>F. Fernández</v>
      </c>
      <c r="W67" s="77" t="str">
        <f t="shared" si="458"/>
        <v>S. Ibričić</v>
      </c>
      <c r="X67" s="77" t="str">
        <f t="shared" si="458"/>
        <v>A. Alenemeh</v>
      </c>
      <c r="Y67" s="77" t="str">
        <f t="shared" si="458"/>
        <v>O. Onazi</v>
      </c>
      <c r="Z67" s="77" t="str">
        <f t="shared" si="458"/>
        <v>P. Mertesacker</v>
      </c>
      <c r="AA67" s="77" t="str">
        <f t="shared" si="458"/>
        <v>Nani</v>
      </c>
      <c r="AB67" s="77" t="str">
        <f t="shared" si="458"/>
        <v>M. Rabiu</v>
      </c>
      <c r="AC67" s="77" t="str">
        <f t="shared" si="458"/>
        <v>J. Altidore</v>
      </c>
      <c r="AD67" s="77" t="str">
        <f t="shared" si="458"/>
        <v>D. Origi</v>
      </c>
      <c r="AE67" s="77" t="str">
        <f t="shared" si="458"/>
        <v>L. Cadamuro-Bentaïba</v>
      </c>
      <c r="AF67" s="77" t="str">
        <f t="shared" si="458"/>
        <v>O. Shatov</v>
      </c>
      <c r="AG67" s="77" t="str">
        <f t="shared" si="458"/>
        <v>L. Chung-yong</v>
      </c>
      <c r="BT67" s="77" t="str">
        <f t="shared" ca="1" si="85"/>
        <v>Mexico</v>
      </c>
      <c r="BU67" s="77">
        <f t="shared" si="12"/>
        <v>65</v>
      </c>
      <c r="BV67" s="77" t="str">
        <f t="shared" si="440"/>
        <v>A21</v>
      </c>
      <c r="BW67" s="77">
        <f t="shared" si="428"/>
        <v>3</v>
      </c>
      <c r="BX67" s="77" t="str">
        <f t="shared" ca="1" si="441"/>
        <v>O. Peralta</v>
      </c>
      <c r="BY67" s="77">
        <f ca="1">COUNTIF('Group Stages'!$L$14:$S$110,BX67)+COUNTIF('Knock Out Stages'!$N$41:$U$84,BX67)</f>
        <v>0</v>
      </c>
      <c r="BZ67" s="77" t="str">
        <f t="shared" si="429"/>
        <v>'Player Database'!A21</v>
      </c>
      <c r="CA67" s="77" t="str">
        <f t="shared" ca="1" si="430"/>
        <v>Oribe Peralta</v>
      </c>
      <c r="CB67" s="77">
        <v>64</v>
      </c>
      <c r="CC67" s="77" t="str">
        <f t="array" aca="1" ref="CC67" ca="1">IFERROR(INDEX($BX$3:$BX$738, SMALL(IF(COUNTIF(CC$3, $BY$3:$BY$738), ROW($BX$3:$BX$738)-MIN(ROW($BX$3:$BX$738))+1), $CB67), 0),"")</f>
        <v/>
      </c>
      <c r="CS67" s="77">
        <f t="shared" si="425"/>
        <v>64</v>
      </c>
      <c r="CT67" s="77">
        <f t="shared" si="426"/>
        <v>2</v>
      </c>
      <c r="CU67" s="77" t="s">
        <v>3984</v>
      </c>
      <c r="CV67" s="77" t="str">
        <f t="shared" ca="1" si="431"/>
        <v/>
      </c>
      <c r="CW67" s="77">
        <f t="shared" ca="1" si="13"/>
        <v>0</v>
      </c>
      <c r="CZ67" s="77">
        <v>64</v>
      </c>
      <c r="DA67" s="77" t="str">
        <f t="shared" ca="1" si="14"/>
        <v/>
      </c>
      <c r="DB67" s="77" t="str">
        <f t="shared" ca="1" si="15"/>
        <v/>
      </c>
      <c r="DC67" s="77" t="str">
        <f t="shared" ca="1" si="19"/>
        <v/>
      </c>
      <c r="DD67" s="77" t="str">
        <f t="shared" ca="1" si="17"/>
        <v/>
      </c>
    </row>
    <row r="68" spans="1:108">
      <c r="A68" s="77">
        <v>18</v>
      </c>
      <c r="B68" s="77" t="str">
        <f t="shared" si="442"/>
        <v>Hernanes</v>
      </c>
      <c r="C68" s="77" t="str">
        <f t="shared" si="442"/>
        <v>I. Olić</v>
      </c>
      <c r="D68" s="77" t="str">
        <f t="shared" si="442"/>
        <v>A. Guardado</v>
      </c>
      <c r="E68" s="77" t="str">
        <f t="shared" si="442"/>
        <v>E. Enoh</v>
      </c>
      <c r="F68" s="77" t="str">
        <f t="shared" ref="F68:AG68" si="459">F20</f>
        <v>J. Alba</v>
      </c>
      <c r="G68" s="77" t="str">
        <f t="shared" si="459"/>
        <v>L. Fer</v>
      </c>
      <c r="H68" s="77" t="str">
        <f t="shared" si="459"/>
        <v>G. Jara</v>
      </c>
      <c r="I68" s="77" t="str">
        <f t="shared" si="459"/>
        <v>E. Galeković</v>
      </c>
      <c r="J68" s="77" t="str">
        <f t="shared" si="459"/>
        <v>J. Camilo Zúñiga</v>
      </c>
      <c r="K68" s="77" t="str">
        <f t="shared" si="459"/>
        <v>G. Fetfatzidis</v>
      </c>
      <c r="L68" s="77" t="str">
        <f t="shared" si="459"/>
        <v>C. Djakpa</v>
      </c>
      <c r="M68" s="77" t="str">
        <f t="shared" si="459"/>
        <v>Y. Osako</v>
      </c>
      <c r="N68" s="77" t="str">
        <f t="shared" si="459"/>
        <v>G. Ramírez</v>
      </c>
      <c r="O68" s="77" t="str">
        <f t="shared" si="459"/>
        <v>P. Pemberton</v>
      </c>
      <c r="P68" s="77" t="str">
        <f t="shared" si="459"/>
        <v>R. Lambert</v>
      </c>
      <c r="Q68" s="77" t="str">
        <f t="shared" si="459"/>
        <v>M. Parolo</v>
      </c>
      <c r="R68" s="77" t="str">
        <f t="shared" si="459"/>
        <v>A. Mehmedi</v>
      </c>
      <c r="S68" s="77" t="str">
        <f t="shared" si="459"/>
        <v>Ó. Bagüí</v>
      </c>
      <c r="T68" s="77" t="str">
        <f t="shared" si="459"/>
        <v>M. Sissoko</v>
      </c>
      <c r="U68" s="77" t="str">
        <f t="shared" si="459"/>
        <v xml:space="preserve">N. Valladares </v>
      </c>
      <c r="V68" s="77" t="str">
        <f t="shared" si="459"/>
        <v>R. Palacio</v>
      </c>
      <c r="W68" s="77" t="str">
        <f t="shared" si="459"/>
        <v>H. Medunjanin</v>
      </c>
      <c r="X68" s="77" t="str">
        <f t="shared" si="459"/>
        <v>B. Rahmani</v>
      </c>
      <c r="Y68" s="77" t="str">
        <f t="shared" si="459"/>
        <v>M. Babatunde</v>
      </c>
      <c r="Z68" s="77" t="str">
        <f t="shared" si="459"/>
        <v>T. Kroos</v>
      </c>
      <c r="AA68" s="77" t="str">
        <f t="shared" si="459"/>
        <v>S. Varela</v>
      </c>
      <c r="AB68" s="77" t="str">
        <f t="shared" si="459"/>
        <v>M. Waris</v>
      </c>
      <c r="AC68" s="77" t="str">
        <f t="shared" si="459"/>
        <v>C. Wondolowski</v>
      </c>
      <c r="AD68" s="77" t="str">
        <f t="shared" si="459"/>
        <v>N. Lombaerts</v>
      </c>
      <c r="AE68" s="77" t="str">
        <f t="shared" si="459"/>
        <v>A. Djabou</v>
      </c>
      <c r="AF68" s="77" t="str">
        <f t="shared" si="459"/>
        <v>Y. Zhirkov</v>
      </c>
      <c r="AG68" s="77" t="str">
        <f t="shared" si="459"/>
        <v>K. Shin-wook</v>
      </c>
      <c r="BT68" s="77" t="str">
        <f t="shared" ca="1" si="85"/>
        <v>Mexico</v>
      </c>
      <c r="BU68" s="77">
        <f t="shared" si="12"/>
        <v>66</v>
      </c>
      <c r="BV68" s="77" t="str">
        <f t="shared" si="440"/>
        <v>A22</v>
      </c>
      <c r="BW68" s="77">
        <f t="shared" si="428"/>
        <v>3</v>
      </c>
      <c r="BX68" s="77" t="str">
        <f t="shared" ca="1" si="441"/>
        <v>J. Aquino</v>
      </c>
      <c r="BY68" s="77">
        <f ca="1">COUNTIF('Group Stages'!$L$14:$S$110,BX68)+COUNTIF('Knock Out Stages'!$N$41:$U$84,BX68)</f>
        <v>0</v>
      </c>
      <c r="BZ68" s="77" t="str">
        <f t="shared" si="429"/>
        <v>'Player Database'!A22</v>
      </c>
      <c r="CA68" s="77" t="str">
        <f t="shared" ca="1" si="430"/>
        <v>Javier Aquino</v>
      </c>
      <c r="CB68" s="77">
        <v>65</v>
      </c>
      <c r="CC68" s="77" t="str">
        <f t="array" aca="1" ref="CC68" ca="1">IFERROR(INDEX($BX$3:$BX$738, SMALL(IF(COUNTIF(CC$3, $BY$3:$BY$738), ROW($BX$3:$BX$738)-MIN(ROW($BX$3:$BX$738))+1), $CB68), 0),"")</f>
        <v/>
      </c>
      <c r="CS68" s="77">
        <f t="shared" si="425"/>
        <v>65</v>
      </c>
      <c r="CT68" s="77">
        <f t="shared" si="426"/>
        <v>2</v>
      </c>
      <c r="CU68" s="77" t="s">
        <v>3985</v>
      </c>
      <c r="CV68" s="77" t="str">
        <f t="shared" ca="1" si="431"/>
        <v/>
      </c>
      <c r="CW68" s="77">
        <f t="shared" ca="1" si="13"/>
        <v>0</v>
      </c>
      <c r="CZ68" s="77">
        <v>65</v>
      </c>
      <c r="DA68" s="77" t="str">
        <f t="shared" ca="1" si="14"/>
        <v/>
      </c>
      <c r="DB68" s="77" t="str">
        <f t="shared" ca="1" si="15"/>
        <v/>
      </c>
      <c r="DC68" s="77" t="str">
        <f t="shared" ca="1" si="19"/>
        <v/>
      </c>
      <c r="DD68" s="77" t="str">
        <f t="shared" ca="1" si="17"/>
        <v/>
      </c>
    </row>
    <row r="69" spans="1:108">
      <c r="A69" s="77">
        <v>19</v>
      </c>
      <c r="B69" s="77" t="str">
        <f t="shared" si="442"/>
        <v>Willian</v>
      </c>
      <c r="C69" s="77" t="str">
        <f t="shared" si="442"/>
        <v>Sammir</v>
      </c>
      <c r="D69" s="77" t="str">
        <f t="shared" si="442"/>
        <v>O. Peralta</v>
      </c>
      <c r="E69" s="77" t="str">
        <f t="shared" si="442"/>
        <v>F. Olinga</v>
      </c>
      <c r="F69" s="77" t="str">
        <f t="shared" ref="F69:AG69" si="460">F21</f>
        <v>D. Costa</v>
      </c>
      <c r="G69" s="77" t="str">
        <f t="shared" si="460"/>
        <v>K. Huntelaar</v>
      </c>
      <c r="H69" s="77" t="str">
        <f t="shared" si="460"/>
        <v>J. Pedro Fuenzalida</v>
      </c>
      <c r="I69" s="77" t="str">
        <f t="shared" si="460"/>
        <v>R. McGowan</v>
      </c>
      <c r="J69" s="77" t="str">
        <f t="shared" si="460"/>
        <v>A. Ramos</v>
      </c>
      <c r="K69" s="77" t="str">
        <f t="shared" si="460"/>
        <v>S. Papastathopoulos</v>
      </c>
      <c r="L69" s="77" t="str">
        <f t="shared" si="460"/>
        <v>Y. Touré</v>
      </c>
      <c r="M69" s="77" t="str">
        <f t="shared" si="460"/>
        <v>M. Inoha</v>
      </c>
      <c r="N69" s="77" t="str">
        <f t="shared" si="460"/>
        <v>J. María Giménez</v>
      </c>
      <c r="O69" s="77" t="str">
        <f t="shared" si="460"/>
        <v>R. Miller</v>
      </c>
      <c r="P69" s="77" t="str">
        <f t="shared" si="460"/>
        <v>R. Sterling</v>
      </c>
      <c r="Q69" s="77" t="str">
        <f t="shared" si="460"/>
        <v>L. Bonucci</v>
      </c>
      <c r="R69" s="77" t="str">
        <f t="shared" si="460"/>
        <v>J. Drmić</v>
      </c>
      <c r="S69" s="77" t="str">
        <f t="shared" si="460"/>
        <v>L. Saritama</v>
      </c>
      <c r="T69" s="77" t="str">
        <f t="shared" si="460"/>
        <v>P. Pogba</v>
      </c>
      <c r="U69" s="77" t="str">
        <f t="shared" si="460"/>
        <v>L. Garrido</v>
      </c>
      <c r="V69" s="77" t="str">
        <f t="shared" si="460"/>
        <v>R. Álvarez</v>
      </c>
      <c r="W69" s="77" t="str">
        <f t="shared" si="460"/>
        <v>E. Višća</v>
      </c>
      <c r="X69" s="77" t="str">
        <f t="shared" si="460"/>
        <v>H. Beikzadeh</v>
      </c>
      <c r="Y69" s="77" t="str">
        <f t="shared" si="460"/>
        <v>U. Nwofor</v>
      </c>
      <c r="Z69" s="77" t="str">
        <f t="shared" si="460"/>
        <v>M. Götze</v>
      </c>
      <c r="AA69" s="77" t="str">
        <f t="shared" si="460"/>
        <v>A. Almeida</v>
      </c>
      <c r="AB69" s="77" t="str">
        <f t="shared" si="460"/>
        <v>J. Mensah</v>
      </c>
      <c r="AC69" s="77" t="str">
        <f t="shared" si="460"/>
        <v>G. Zusi</v>
      </c>
      <c r="AD69" s="77" t="str">
        <f t="shared" si="460"/>
        <v>M. Dembélé</v>
      </c>
      <c r="AE69" s="77" t="str">
        <f t="shared" si="460"/>
        <v>S. Taïder</v>
      </c>
      <c r="AF69" s="77" t="str">
        <f t="shared" si="460"/>
        <v>A. Samedov</v>
      </c>
      <c r="AG69" s="77" t="str">
        <f t="shared" si="460"/>
        <v>J. Dong-won</v>
      </c>
      <c r="BT69" s="77" t="str">
        <f t="shared" ca="1" si="85"/>
        <v>Mexico</v>
      </c>
      <c r="BU69" s="77">
        <f t="shared" ref="BU69:BU132" si="461">BU68+1</f>
        <v>67</v>
      </c>
      <c r="BV69" s="77" t="str">
        <f t="shared" si="440"/>
        <v>A23</v>
      </c>
      <c r="BW69" s="77">
        <f t="shared" si="428"/>
        <v>3</v>
      </c>
      <c r="BX69" s="77" t="str">
        <f t="shared" ca="1" si="441"/>
        <v>C. Peña</v>
      </c>
      <c r="BY69" s="77">
        <f ca="1">COUNTIF('Group Stages'!$L$14:$S$110,BX69)+COUNTIF('Knock Out Stages'!$N$41:$U$84,BX69)</f>
        <v>0</v>
      </c>
      <c r="BZ69" s="77" t="str">
        <f t="shared" si="429"/>
        <v>'Player Database'!A23</v>
      </c>
      <c r="CA69" s="77" t="str">
        <f t="shared" ca="1" si="430"/>
        <v>Carlos Peña</v>
      </c>
      <c r="CB69" s="77">
        <v>66</v>
      </c>
      <c r="CC69" s="77" t="str">
        <f t="array" aca="1" ref="CC69" ca="1">IFERROR(INDEX($BX$3:$BX$738, SMALL(IF(COUNTIF(CC$3, $BY$3:$BY$738), ROW($BX$3:$BX$738)-MIN(ROW($BX$3:$BX$738))+1), $CB69), 0),"")</f>
        <v/>
      </c>
      <c r="CS69" s="77">
        <f t="shared" si="425"/>
        <v>66</v>
      </c>
      <c r="CT69" s="77">
        <f t="shared" si="426"/>
        <v>2</v>
      </c>
      <c r="CU69" s="77" t="s">
        <v>3986</v>
      </c>
      <c r="CV69" s="77" t="str">
        <f t="shared" ca="1" si="431"/>
        <v/>
      </c>
      <c r="CW69" s="77">
        <f t="shared" ref="CW69:CW132" ca="1" si="462">IF(CV69&lt;&gt;"",CW68+1,CW68)</f>
        <v>0</v>
      </c>
      <c r="CZ69" s="77">
        <v>66</v>
      </c>
      <c r="DA69" s="77" t="str">
        <f t="shared" ref="DA69:DA132" ca="1" si="463">IFERROR(INDEX($CV$4:$CV$633,MATCH(CZ69,$CW$4:$CW$633,0),0),"")</f>
        <v/>
      </c>
      <c r="DB69" s="77" t="str">
        <f t="shared" ref="DB69:DB132" ca="1" si="464">IFERROR(VLOOKUP(DA69,$BX$3:$BY$738,2,FALSE),"")</f>
        <v/>
      </c>
      <c r="DC69" s="77" t="str">
        <f t="shared" ca="1" si="19"/>
        <v/>
      </c>
      <c r="DD69" s="77" t="str">
        <f t="shared" ref="DD69:DD132" ca="1" si="465">IFERROR(INDEX($BT$3:$BT$738,MATCH(DA69,$BX$3:$BX$738,0),0),"")</f>
        <v/>
      </c>
    </row>
    <row r="70" spans="1:108">
      <c r="A70" s="77">
        <v>20</v>
      </c>
      <c r="B70" s="77" t="str">
        <f t="shared" si="442"/>
        <v>Bernard</v>
      </c>
      <c r="C70" s="77" t="str">
        <f t="shared" si="442"/>
        <v>M. Kovačić</v>
      </c>
      <c r="D70" s="77" t="str">
        <f t="shared" si="442"/>
        <v>J. Aquino</v>
      </c>
      <c r="E70" s="77" t="str">
        <f t="shared" si="442"/>
        <v>E. Salli</v>
      </c>
      <c r="F70" s="77" t="str">
        <f t="shared" ref="F70:AG70" si="466">F22</f>
        <v>S. Cazorla</v>
      </c>
      <c r="G70" s="77" t="str">
        <f t="shared" si="466"/>
        <v>G. Wijnaldum</v>
      </c>
      <c r="H70" s="77" t="str">
        <f t="shared" si="466"/>
        <v>C. Aránguiz</v>
      </c>
      <c r="I70" s="77" t="str">
        <f t="shared" si="466"/>
        <v>D. Vidošić</v>
      </c>
      <c r="J70" s="77" t="str">
        <f t="shared" si="466"/>
        <v>J. Fernando Quintero</v>
      </c>
      <c r="K70" s="77" t="str">
        <f t="shared" si="466"/>
        <v>J. Holebas</v>
      </c>
      <c r="L70" s="77" t="str">
        <f t="shared" si="466"/>
        <v>S. Die</v>
      </c>
      <c r="M70" s="77" t="str">
        <f t="shared" si="466"/>
        <v>M. Saitō</v>
      </c>
      <c r="N70" s="77" t="str">
        <f t="shared" si="466"/>
        <v>Á. González</v>
      </c>
      <c r="O70" s="77" t="str">
        <f t="shared" si="466"/>
        <v>D. Calvo</v>
      </c>
      <c r="P70" s="77" t="str">
        <f t="shared" si="466"/>
        <v>A. Lallana</v>
      </c>
      <c r="Q70" s="77" t="str">
        <f t="shared" si="466"/>
        <v>G. Paletta</v>
      </c>
      <c r="R70" s="77" t="str">
        <f t="shared" si="466"/>
        <v>J. Djourou</v>
      </c>
      <c r="S70" s="77" t="str">
        <f t="shared" si="466"/>
        <v>F. Martínez</v>
      </c>
      <c r="T70" s="77" t="str">
        <f t="shared" si="466"/>
        <v>L. Rémy</v>
      </c>
      <c r="U70" s="77" t="str">
        <f t="shared" si="466"/>
        <v>J. Claros</v>
      </c>
      <c r="V70" s="77" t="str">
        <f t="shared" si="466"/>
        <v>S. Agüero</v>
      </c>
      <c r="W70" s="77" t="str">
        <f t="shared" si="466"/>
        <v>A. Hadžić</v>
      </c>
      <c r="X70" s="77" t="str">
        <f t="shared" si="466"/>
        <v>S. Beitashour</v>
      </c>
      <c r="Y70" s="77" t="str">
        <f t="shared" si="466"/>
        <v>M. Uchebo</v>
      </c>
      <c r="Z70" s="77" t="str">
        <f t="shared" si="466"/>
        <v>J. Boateng</v>
      </c>
      <c r="AA70" s="77" t="str">
        <f t="shared" si="466"/>
        <v>R. Amorim</v>
      </c>
      <c r="AB70" s="77" t="str">
        <f t="shared" si="466"/>
        <v>K. Asamoah</v>
      </c>
      <c r="AC70" s="77" t="str">
        <f t="shared" si="466"/>
        <v>G. Cameron</v>
      </c>
      <c r="AD70" s="77" t="str">
        <f t="shared" si="466"/>
        <v>A. Januzaj</v>
      </c>
      <c r="AE70" s="77" t="str">
        <f t="shared" si="466"/>
        <v>A. Mandi</v>
      </c>
      <c r="AF70" s="77" t="str">
        <f t="shared" si="466"/>
        <v>V. Fayzulin</v>
      </c>
      <c r="AG70" s="77" t="str">
        <f t="shared" si="466"/>
        <v>H. Jeong-ho</v>
      </c>
      <c r="BT70" s="77" t="str">
        <f t="shared" ca="1" si="85"/>
        <v>Mexico</v>
      </c>
      <c r="BU70" s="77">
        <f t="shared" si="461"/>
        <v>68</v>
      </c>
      <c r="BV70" s="77" t="str">
        <f t="shared" si="440"/>
        <v>A24</v>
      </c>
      <c r="BW70" s="77">
        <f t="shared" si="428"/>
        <v>3</v>
      </c>
      <c r="BX70" s="77" t="str">
        <f t="shared" ca="1" si="441"/>
        <v>P. Aguilar</v>
      </c>
      <c r="BY70" s="77">
        <f ca="1">COUNTIF('Group Stages'!$L$14:$S$110,BX70)+COUNTIF('Knock Out Stages'!$N$41:$U$84,BX70)</f>
        <v>0</v>
      </c>
      <c r="BZ70" s="77" t="str">
        <f t="shared" si="429"/>
        <v>'Player Database'!A24</v>
      </c>
      <c r="CA70" s="77" t="str">
        <f t="shared" ca="1" si="430"/>
        <v>Paul Aguilar</v>
      </c>
      <c r="CB70" s="77">
        <v>67</v>
      </c>
      <c r="CC70" s="77" t="str">
        <f t="array" aca="1" ref="CC70" ca="1">IFERROR(INDEX($BX$3:$BX$738, SMALL(IF(COUNTIF(CC$3, $BY$3:$BY$738), ROW($BX$3:$BX$738)-MIN(ROW($BX$3:$BX$738))+1), $CB70), 0),"")</f>
        <v/>
      </c>
      <c r="CS70" s="77">
        <f t="shared" si="425"/>
        <v>67</v>
      </c>
      <c r="CT70" s="77">
        <f t="shared" si="426"/>
        <v>2</v>
      </c>
      <c r="CU70" s="77" t="s">
        <v>3987</v>
      </c>
      <c r="CV70" s="77" t="str">
        <f t="shared" ca="1" si="431"/>
        <v/>
      </c>
      <c r="CW70" s="77">
        <f t="shared" ca="1" si="462"/>
        <v>0</v>
      </c>
      <c r="CZ70" s="77">
        <v>67</v>
      </c>
      <c r="DA70" s="77" t="str">
        <f t="shared" ca="1" si="463"/>
        <v/>
      </c>
      <c r="DB70" s="77" t="str">
        <f t="shared" ca="1" si="464"/>
        <v/>
      </c>
      <c r="DC70" s="77" t="str">
        <f t="shared" ca="1" si="19"/>
        <v/>
      </c>
      <c r="DD70" s="77" t="str">
        <f t="shared" ca="1" si="465"/>
        <v/>
      </c>
    </row>
    <row r="71" spans="1:108">
      <c r="A71" s="77">
        <v>21</v>
      </c>
      <c r="B71" s="77" t="str">
        <f t="shared" si="442"/>
        <v>Jô</v>
      </c>
      <c r="C71" s="77" t="str">
        <f t="shared" si="442"/>
        <v>D. Vida</v>
      </c>
      <c r="D71" s="77" t="str">
        <f t="shared" si="442"/>
        <v>C. Peña</v>
      </c>
      <c r="E71" s="77" t="str">
        <f t="shared" si="442"/>
        <v>J. Matip</v>
      </c>
      <c r="F71" s="77" t="str">
        <f t="shared" ref="F71:AG71" si="467">F23</f>
        <v>D. Silva</v>
      </c>
      <c r="G71" s="77" t="str">
        <f t="shared" si="467"/>
        <v>M. Depay</v>
      </c>
      <c r="H71" s="77" t="str">
        <f t="shared" si="467"/>
        <v>M. Díaz</v>
      </c>
      <c r="I71" s="77" t="str">
        <f t="shared" si="467"/>
        <v>M. Luongo</v>
      </c>
      <c r="J71" s="77" t="str">
        <f t="shared" si="467"/>
        <v>J. Martínez</v>
      </c>
      <c r="K71" s="77" t="str">
        <f t="shared" si="467"/>
        <v>K. Katsouranis</v>
      </c>
      <c r="L71" s="77" t="str">
        <f t="shared" si="467"/>
        <v>G. Sio</v>
      </c>
      <c r="M71" s="77" t="str">
        <f t="shared" si="467"/>
        <v>H. Sakai</v>
      </c>
      <c r="N71" s="77" t="str">
        <f t="shared" si="467"/>
        <v>E. Cavani</v>
      </c>
      <c r="O71" s="77" t="str">
        <f t="shared" si="467"/>
        <v>M. Ureña</v>
      </c>
      <c r="P71" s="77" t="str">
        <f t="shared" si="467"/>
        <v>R. Barkley</v>
      </c>
      <c r="Q71" s="77" t="str">
        <f t="shared" si="467"/>
        <v>A. Pirlo</v>
      </c>
      <c r="R71" s="77" t="str">
        <f t="shared" si="467"/>
        <v>R. Bürki</v>
      </c>
      <c r="S71" s="77" t="str">
        <f t="shared" si="467"/>
        <v>G. Achilier</v>
      </c>
      <c r="T71" s="77" t="str">
        <f t="shared" si="467"/>
        <v>L. Koscielny</v>
      </c>
      <c r="U71" s="77" t="str">
        <f t="shared" si="467"/>
        <v>A. Najar</v>
      </c>
      <c r="V71" s="77" t="str">
        <f t="shared" si="467"/>
        <v>M. Andújar</v>
      </c>
      <c r="W71" s="77" t="str">
        <f t="shared" si="467"/>
        <v>T. Sušić</v>
      </c>
      <c r="X71" s="77" t="str">
        <f t="shared" si="467"/>
        <v>A. Dejagah</v>
      </c>
      <c r="Y71" s="77" t="str">
        <f t="shared" si="467"/>
        <v>C. Agbim</v>
      </c>
      <c r="Z71" s="77" t="str">
        <f t="shared" si="467"/>
        <v>S. Mustafi</v>
      </c>
      <c r="AA71" s="77" t="str">
        <f t="shared" si="467"/>
        <v>J. Pereira</v>
      </c>
      <c r="AB71" s="77" t="str">
        <f t="shared" si="467"/>
        <v>J. Boye</v>
      </c>
      <c r="AC71" s="77" t="str">
        <f t="shared" si="467"/>
        <v>T. Chandler</v>
      </c>
      <c r="AD71" s="77" t="str">
        <f t="shared" si="467"/>
        <v>A. Vanden Borre</v>
      </c>
      <c r="AE71" s="77" t="str">
        <f t="shared" si="467"/>
        <v>R. Mahrez</v>
      </c>
      <c r="AF71" s="77" t="str">
        <f t="shared" si="467"/>
        <v>A. Ionov</v>
      </c>
      <c r="AG71" s="77" t="str">
        <f t="shared" si="467"/>
        <v>K. Seung-gyu</v>
      </c>
      <c r="BT71" s="77" t="str">
        <f t="shared" ca="1" si="85"/>
        <v>Mexico</v>
      </c>
      <c r="BU71" s="77">
        <f t="shared" si="461"/>
        <v>69</v>
      </c>
      <c r="BV71" s="77" t="str">
        <f t="shared" si="440"/>
        <v>A25</v>
      </c>
      <c r="BW71" s="77">
        <f t="shared" si="428"/>
        <v>3</v>
      </c>
      <c r="BX71" s="77" t="str">
        <f t="shared" ca="1" si="441"/>
        <v>J. Juan Vázquez</v>
      </c>
      <c r="BY71" s="77">
        <f ca="1">COUNTIF('Group Stages'!$L$14:$S$110,BX71)+COUNTIF('Knock Out Stages'!$N$41:$U$84,BX71)</f>
        <v>0</v>
      </c>
      <c r="BZ71" s="77" t="str">
        <f t="shared" si="429"/>
        <v>'Player Database'!A25</v>
      </c>
      <c r="CA71" s="77" t="str">
        <f t="shared" ca="1" si="430"/>
        <v>José Juan Vázquez</v>
      </c>
      <c r="CB71" s="77">
        <v>68</v>
      </c>
      <c r="CC71" s="77" t="str">
        <f t="array" aca="1" ref="CC71" ca="1">IFERROR(INDEX($BX$3:$BX$738, SMALL(IF(COUNTIF(CC$3, $BY$3:$BY$738), ROW($BX$3:$BX$738)-MIN(ROW($BX$3:$BX$738))+1), $CB71), 0),"")</f>
        <v/>
      </c>
      <c r="CS71" s="77">
        <f t="shared" si="425"/>
        <v>68</v>
      </c>
      <c r="CT71" s="77">
        <f t="shared" si="426"/>
        <v>2</v>
      </c>
      <c r="CU71" s="77" t="s">
        <v>3988</v>
      </c>
      <c r="CV71" s="77" t="str">
        <f t="shared" ca="1" si="431"/>
        <v/>
      </c>
      <c r="CW71" s="77">
        <f t="shared" ca="1" si="462"/>
        <v>0</v>
      </c>
      <c r="CZ71" s="77">
        <v>68</v>
      </c>
      <c r="DA71" s="77" t="str">
        <f t="shared" ca="1" si="463"/>
        <v/>
      </c>
      <c r="DB71" s="77" t="str">
        <f t="shared" ca="1" si="464"/>
        <v/>
      </c>
      <c r="DC71" s="77" t="str">
        <f t="shared" ca="1" si="19"/>
        <v/>
      </c>
      <c r="DD71" s="77" t="str">
        <f t="shared" ca="1" si="465"/>
        <v/>
      </c>
    </row>
    <row r="72" spans="1:108">
      <c r="A72" s="77">
        <v>22</v>
      </c>
      <c r="B72" s="77" t="str">
        <f t="shared" si="442"/>
        <v>Victor</v>
      </c>
      <c r="C72" s="77" t="str">
        <f t="shared" si="442"/>
        <v>Eduardo</v>
      </c>
      <c r="D72" s="77" t="str">
        <f t="shared" si="442"/>
        <v>P. Aguilar</v>
      </c>
      <c r="E72" s="77" t="str">
        <f t="shared" si="442"/>
        <v>A. Nyom</v>
      </c>
      <c r="F72" s="77" t="str">
        <f t="shared" ref="F72:AG72" si="468">F24</f>
        <v>C. Azpilicueta</v>
      </c>
      <c r="G72" s="77" t="str">
        <f t="shared" si="468"/>
        <v>M. Vorm</v>
      </c>
      <c r="H72" s="77" t="str">
        <f t="shared" si="468"/>
        <v>E. Paredes</v>
      </c>
      <c r="I72" s="77" t="str">
        <f t="shared" si="468"/>
        <v>A. Wilkinson</v>
      </c>
      <c r="J72" s="77" t="str">
        <f t="shared" si="468"/>
        <v>F. Mondragón</v>
      </c>
      <c r="K72" s="77" t="str">
        <f t="shared" si="468"/>
        <v>A. Samaris</v>
      </c>
      <c r="L72" s="77" t="str">
        <f t="shared" si="468"/>
        <v>S. Bamba</v>
      </c>
      <c r="M72" s="77" t="str">
        <f t="shared" si="468"/>
        <v>M. Yoshida</v>
      </c>
      <c r="N72" s="77" t="str">
        <f t="shared" si="468"/>
        <v>M. Cáceres</v>
      </c>
      <c r="O72" s="77" t="str">
        <f t="shared" si="468"/>
        <v>J. Miguel Cubero</v>
      </c>
      <c r="P72" s="77" t="str">
        <f t="shared" si="468"/>
        <v>F. Forster</v>
      </c>
      <c r="Q72" s="77" t="str">
        <f t="shared" si="468"/>
        <v>L. Insigne</v>
      </c>
      <c r="R72" s="77" t="str">
        <f t="shared" si="468"/>
        <v>F. Schär</v>
      </c>
      <c r="S72" s="77" t="str">
        <f t="shared" si="468"/>
        <v>A. Domínguez</v>
      </c>
      <c r="T72" s="77" t="str">
        <f t="shared" si="468"/>
        <v>M. Schneiderlin[40]</v>
      </c>
      <c r="U72" s="77" t="str">
        <f t="shared" si="468"/>
        <v>D. Escober</v>
      </c>
      <c r="V72" s="77" t="str">
        <f t="shared" si="468"/>
        <v>E. Lavezzi</v>
      </c>
      <c r="W72" s="77" t="str">
        <f t="shared" si="468"/>
        <v>A. Avdukić</v>
      </c>
      <c r="X72" s="77" t="str">
        <f t="shared" si="468"/>
        <v>D. Davari</v>
      </c>
      <c r="Y72" s="77" t="str">
        <f t="shared" si="468"/>
        <v>K. Omeruo</v>
      </c>
      <c r="Z72" s="77" t="str">
        <f t="shared" si="468"/>
        <v>R. Weidenfeller</v>
      </c>
      <c r="AA72" s="77" t="str">
        <f t="shared" si="468"/>
        <v>Beto</v>
      </c>
      <c r="AB72" s="77" t="str">
        <f t="shared" si="468"/>
        <v>W. Mubarak</v>
      </c>
      <c r="AC72" s="77" t="str">
        <f t="shared" si="468"/>
        <v>N. Rimando</v>
      </c>
      <c r="AD72" s="77" t="str">
        <f t="shared" si="468"/>
        <v>N. Chadli</v>
      </c>
      <c r="AE72" s="77" t="str">
        <f t="shared" si="468"/>
        <v>M. Mostefa</v>
      </c>
      <c r="AF72" s="77" t="str">
        <f t="shared" si="468"/>
        <v>A. Yeshchenko</v>
      </c>
      <c r="AG72" s="77" t="str">
        <f t="shared" si="468"/>
        <v>P. Joo-ho[66]</v>
      </c>
      <c r="BT72" s="77" t="str">
        <f t="shared" ca="1" si="85"/>
        <v>Cameroon</v>
      </c>
      <c r="BU72" s="77">
        <f t="shared" si="461"/>
        <v>70</v>
      </c>
      <c r="BV72" s="77" t="str">
        <f t="shared" si="440"/>
        <v>A3</v>
      </c>
      <c r="BW72" s="77">
        <f t="shared" si="428"/>
        <v>4</v>
      </c>
      <c r="BX72" s="77" t="str">
        <f t="shared" ca="1" si="441"/>
        <v>L. Feudjou</v>
      </c>
      <c r="BY72" s="77">
        <f ca="1">COUNTIF('Group Stages'!$L$14:$S$110,BX72)+COUNTIF('Knock Out Stages'!$N$41:$U$84,BX72)</f>
        <v>0</v>
      </c>
      <c r="BZ72" s="77" t="str">
        <f t="shared" si="429"/>
        <v>'Player Database'!A3</v>
      </c>
      <c r="CA72" s="77" t="str">
        <f t="shared" ca="1" si="430"/>
        <v>Loïc Feudjou</v>
      </c>
      <c r="CB72" s="77">
        <v>69</v>
      </c>
      <c r="CC72" s="77" t="str">
        <f t="array" aca="1" ref="CC72" ca="1">IFERROR(INDEX($BX$3:$BX$738, SMALL(IF(COUNTIF(CC$3, $BY$3:$BY$738), ROW($BX$3:$BX$738)-MIN(ROW($BX$3:$BX$738))+1), $CB72), 0),"")</f>
        <v/>
      </c>
      <c r="CS72" s="77">
        <f t="shared" si="425"/>
        <v>69</v>
      </c>
      <c r="CT72" s="77">
        <f t="shared" si="426"/>
        <v>2</v>
      </c>
      <c r="CU72" s="77" t="s">
        <v>3989</v>
      </c>
      <c r="CV72" s="77" t="str">
        <f t="shared" ca="1" si="431"/>
        <v/>
      </c>
      <c r="CW72" s="77">
        <f t="shared" ca="1" si="462"/>
        <v>0</v>
      </c>
      <c r="CZ72" s="77">
        <v>69</v>
      </c>
      <c r="DA72" s="77" t="str">
        <f t="shared" ca="1" si="463"/>
        <v/>
      </c>
      <c r="DB72" s="77" t="str">
        <f t="shared" ca="1" si="464"/>
        <v/>
      </c>
      <c r="DC72" s="77" t="str">
        <f t="shared" ca="1" si="19"/>
        <v/>
      </c>
      <c r="DD72" s="77" t="str">
        <f t="shared" ca="1" si="465"/>
        <v/>
      </c>
    </row>
    <row r="73" spans="1:108">
      <c r="A73" s="77">
        <v>23</v>
      </c>
      <c r="B73" s="77" t="str">
        <f t="shared" si="442"/>
        <v>Maicon</v>
      </c>
      <c r="C73" s="77" t="str">
        <f t="shared" si="442"/>
        <v>D. Subašić</v>
      </c>
      <c r="D73" s="77" t="str">
        <f t="shared" si="442"/>
        <v>J. Juan Vázquez</v>
      </c>
      <c r="E73" s="77" t="str">
        <f t="shared" si="442"/>
        <v>S. N'Djock</v>
      </c>
      <c r="F73" s="77" t="str">
        <f t="shared" ref="F73:AG73" si="469">F25</f>
        <v>P. Reina</v>
      </c>
      <c r="G73" s="77" t="str">
        <f t="shared" si="469"/>
        <v>T. Krul</v>
      </c>
      <c r="H73" s="77" t="str">
        <f t="shared" si="469"/>
        <v>J. Herrera</v>
      </c>
      <c r="I73" s="77" t="str">
        <f t="shared" si="469"/>
        <v>M. Bresciano</v>
      </c>
      <c r="J73" s="77" t="str">
        <f t="shared" si="469"/>
        <v>C. Valdés</v>
      </c>
      <c r="K73" s="77" t="str">
        <f t="shared" si="469"/>
        <v>P. Tachtsidis</v>
      </c>
      <c r="L73" s="77" t="str">
        <f t="shared" si="469"/>
        <v>S. Mandé</v>
      </c>
      <c r="M73" s="77" t="str">
        <f t="shared" si="469"/>
        <v>S. Gonda</v>
      </c>
      <c r="N73" s="77" t="str">
        <f t="shared" si="469"/>
        <v>M. Silva</v>
      </c>
      <c r="O73" s="77" t="str">
        <f t="shared" si="469"/>
        <v>D. Cambronero</v>
      </c>
      <c r="P73" s="77" t="str">
        <f t="shared" si="469"/>
        <v>L. Shaw</v>
      </c>
      <c r="Q73" s="77" t="str">
        <f t="shared" si="469"/>
        <v>M. Verratti</v>
      </c>
      <c r="R73" s="77" t="str">
        <f t="shared" si="469"/>
        <v>X. Shaqiri</v>
      </c>
      <c r="S73" s="77" t="str">
        <f t="shared" si="469"/>
        <v>C. Gruezo</v>
      </c>
      <c r="T73" s="77" t="str">
        <f t="shared" si="469"/>
        <v>M. Landreau</v>
      </c>
      <c r="U73" s="77" t="str">
        <f t="shared" si="469"/>
        <v>B. Beckeles</v>
      </c>
      <c r="V73" s="77" t="str">
        <f t="shared" si="469"/>
        <v>J. María Basanta</v>
      </c>
      <c r="W73" s="77" t="str">
        <f t="shared" si="469"/>
        <v>S. Salihović</v>
      </c>
      <c r="X73" s="77" t="str">
        <f t="shared" si="469"/>
        <v>M. Pouladi</v>
      </c>
      <c r="Y73" s="77" t="str">
        <f t="shared" si="469"/>
        <v>S. Ameobi</v>
      </c>
      <c r="Z73" s="77" t="str">
        <f t="shared" si="469"/>
        <v>C. Kramer</v>
      </c>
      <c r="AA73" s="77" t="str">
        <f t="shared" si="469"/>
        <v>H. Postiga</v>
      </c>
      <c r="AB73" s="77" t="str">
        <f t="shared" si="469"/>
        <v>H. Afful</v>
      </c>
      <c r="AC73" s="77" t="str">
        <f t="shared" si="469"/>
        <v>F. Johnson</v>
      </c>
      <c r="AD73" s="77" t="str">
        <f t="shared" si="469"/>
        <v>L. Ciman</v>
      </c>
      <c r="AE73" s="77" t="str">
        <f t="shared" si="469"/>
        <v>R. M'Bolhi</v>
      </c>
      <c r="AF73" s="77" t="str">
        <f t="shared" si="469"/>
        <v>D. Kombarov</v>
      </c>
      <c r="AG73" s="77" t="str">
        <f t="shared" si="469"/>
        <v>L. Bum-young</v>
      </c>
      <c r="BT73" s="77" t="str">
        <f t="shared" ca="1" si="85"/>
        <v>Cameroon</v>
      </c>
      <c r="BU73" s="77">
        <f t="shared" si="461"/>
        <v>71</v>
      </c>
      <c r="BV73" s="77" t="str">
        <f t="shared" si="440"/>
        <v>A4</v>
      </c>
      <c r="BW73" s="77">
        <f t="shared" si="428"/>
        <v>4</v>
      </c>
      <c r="BX73" s="77" t="str">
        <f t="shared" ca="1" si="441"/>
        <v>B. Assou-Ekotto</v>
      </c>
      <c r="BY73" s="77">
        <f ca="1">COUNTIF('Group Stages'!$L$14:$S$110,BX73)+COUNTIF('Knock Out Stages'!$N$41:$U$84,BX73)</f>
        <v>0</v>
      </c>
      <c r="BZ73" s="77" t="str">
        <f t="shared" si="429"/>
        <v>'Player Database'!A4</v>
      </c>
      <c r="CA73" s="77" t="str">
        <f t="shared" ca="1" si="430"/>
        <v>Benoît Assou-Ekotto</v>
      </c>
      <c r="CB73" s="77">
        <v>70</v>
      </c>
      <c r="CC73" s="77" t="str">
        <f t="array" aca="1" ref="CC73" ca="1">IFERROR(INDEX($BX$3:$BX$738, SMALL(IF(COUNTIF(CC$3, $BY$3:$BY$738), ROW($BX$3:$BX$738)-MIN(ROW($BX$3:$BX$738))+1), $CB73), 0),"")</f>
        <v/>
      </c>
      <c r="CS73" s="77">
        <f t="shared" si="425"/>
        <v>70</v>
      </c>
      <c r="CT73" s="77">
        <f t="shared" si="426"/>
        <v>2</v>
      </c>
      <c r="CU73" s="77" t="s">
        <v>3990</v>
      </c>
      <c r="CV73" s="77" t="str">
        <f t="shared" ca="1" si="431"/>
        <v/>
      </c>
      <c r="CW73" s="77">
        <f t="shared" ca="1" si="462"/>
        <v>0</v>
      </c>
      <c r="CZ73" s="77">
        <v>70</v>
      </c>
      <c r="DA73" s="77" t="str">
        <f t="shared" ca="1" si="463"/>
        <v/>
      </c>
      <c r="DB73" s="77" t="str">
        <f t="shared" ca="1" si="464"/>
        <v/>
      </c>
      <c r="DC73" s="77" t="str">
        <f t="shared" ref="DC73:DC136" ca="1" si="470">IFERROR(VLOOKUP(DA73,$BX$3:$CA$738,4,FALSE),"")</f>
        <v/>
      </c>
      <c r="DD73" s="77" t="str">
        <f t="shared" ca="1" si="465"/>
        <v/>
      </c>
    </row>
    <row r="74" spans="1:108">
      <c r="A74" s="77">
        <f>A51</f>
        <v>1</v>
      </c>
      <c r="B74" s="77" t="str">
        <f>D3&amp;" (og)"</f>
        <v>J. de Jesús Corona (og)</v>
      </c>
      <c r="C74" s="77" t="str">
        <f>D3&amp;" (og)"</f>
        <v>J. de Jesús Corona (og)</v>
      </c>
      <c r="D74" s="77" t="str">
        <f>C3&amp;" (og)"</f>
        <v>S. Pletikosa (og)</v>
      </c>
      <c r="E74" s="77" t="str">
        <f>C3&amp;" (og)"</f>
        <v>S. Pletikosa (og)</v>
      </c>
      <c r="F74" s="77" t="str">
        <f>H3&amp;" (og)"</f>
        <v>C. Bravo  (og)</v>
      </c>
      <c r="G74" s="77" t="str">
        <f>H3&amp;" (og)"</f>
        <v>C. Bravo  (og)</v>
      </c>
      <c r="H74" s="77" t="str">
        <f>G3&amp;" (og)"</f>
        <v>J. Cillessen (og)</v>
      </c>
      <c r="I74" s="77" t="str">
        <f>G3&amp;" (og)"</f>
        <v>J. Cillessen (og)</v>
      </c>
      <c r="J74" s="77" t="str">
        <f>L3&amp;" (og)"</f>
        <v>B. Barry (og)</v>
      </c>
      <c r="K74" s="77" t="str">
        <f>L3&amp;" (og)"</f>
        <v>B. Barry (og)</v>
      </c>
      <c r="L74" s="77" t="str">
        <f>K3&amp;" (og)"</f>
        <v>O. Karnezis (og)</v>
      </c>
      <c r="M74" s="77" t="str">
        <f>K3&amp;" (og)"</f>
        <v>O. Karnezis (og)</v>
      </c>
      <c r="N74" s="77" t="str">
        <f>P3&amp;" (og)"</f>
        <v>J. Hart (og)</v>
      </c>
      <c r="O74" s="77" t="str">
        <f>P3&amp;" (og)"</f>
        <v>J. Hart (og)</v>
      </c>
      <c r="P74" s="77" t="str">
        <f>O3&amp;" (og)"</f>
        <v>K. Navas (og)</v>
      </c>
      <c r="Q74" s="77" t="str">
        <f>O3&amp;" (og)"</f>
        <v>K. Navas (og)</v>
      </c>
      <c r="R74" s="77" t="str">
        <f>T3&amp;" (og)"</f>
        <v>H. Lloris  (og)</v>
      </c>
      <c r="S74" s="77" t="str">
        <f>T3&amp;" (og)"</f>
        <v>H. Lloris  (og)</v>
      </c>
      <c r="T74" s="77" t="str">
        <f>S3&amp;" (og)"</f>
        <v>M. Banguera (og)</v>
      </c>
      <c r="U74" s="77" t="str">
        <f>S3&amp;" (og)"</f>
        <v>M. Banguera (og)</v>
      </c>
      <c r="V74" s="77" t="str">
        <f>X3&amp;" (og)"</f>
        <v>R. Ahmadi (og)</v>
      </c>
      <c r="W74" s="77" t="str">
        <f>X3&amp;" (og)"</f>
        <v>R. Ahmadi (og)</v>
      </c>
      <c r="X74" s="77" t="str">
        <f>W3&amp;" (og)"</f>
        <v>A. Begović (og)</v>
      </c>
      <c r="Y74" s="77" t="str">
        <f>W3&amp;" (og)"</f>
        <v>A. Begović (og)</v>
      </c>
      <c r="Z74" s="77" t="str">
        <f>AB3&amp;" (og)"</f>
        <v>S. Adams (og)</v>
      </c>
      <c r="AA74" s="77" t="str">
        <f>AB3&amp;" (og)"</f>
        <v>S. Adams (og)</v>
      </c>
      <c r="AB74" s="77" t="str">
        <f>AA3&amp;" (og)"</f>
        <v>Eduardo (og)</v>
      </c>
      <c r="AC74" s="77" t="str">
        <f>AA3&amp;" (og)"</f>
        <v>Eduardo (og)</v>
      </c>
      <c r="AD74" s="77" t="str">
        <f>AF3&amp;" (og)"</f>
        <v>I. Akinfeev (og)</v>
      </c>
      <c r="AE74" s="77" t="str">
        <f>AF3&amp;" (og)"</f>
        <v>I. Akinfeev (og)</v>
      </c>
      <c r="AF74" s="77" t="str">
        <f>AE3&amp;" (og)"</f>
        <v>C. Si Mohamed (og)</v>
      </c>
      <c r="AG74" s="77" t="str">
        <f>AE3&amp;" (og)"</f>
        <v>C. Si Mohamed (og)</v>
      </c>
      <c r="BT74" s="77" t="str">
        <f t="shared" ca="1" si="85"/>
        <v>Cameroon</v>
      </c>
      <c r="BU74" s="77">
        <f t="shared" si="461"/>
        <v>72</v>
      </c>
      <c r="BV74" s="77" t="str">
        <f t="shared" si="440"/>
        <v>A5</v>
      </c>
      <c r="BW74" s="77">
        <f t="shared" si="428"/>
        <v>4</v>
      </c>
      <c r="BX74" s="77" t="str">
        <f t="shared" ca="1" si="441"/>
        <v>N. N'Koulou</v>
      </c>
      <c r="BY74" s="77">
        <f ca="1">COUNTIF('Group Stages'!$L$14:$S$110,BX74)+COUNTIF('Knock Out Stages'!$N$41:$U$84,BX74)</f>
        <v>0</v>
      </c>
      <c r="BZ74" s="77" t="str">
        <f t="shared" si="429"/>
        <v>'Player Database'!A5</v>
      </c>
      <c r="CA74" s="77" t="str">
        <f t="shared" ca="1" si="430"/>
        <v>Nicolas N'Koulou</v>
      </c>
      <c r="CB74" s="77">
        <v>71</v>
      </c>
      <c r="CC74" s="77" t="str">
        <f t="array" aca="1" ref="CC74" ca="1">IFERROR(INDEX($BX$3:$BX$738, SMALL(IF(COUNTIF(CC$3, $BY$3:$BY$738), ROW($BX$3:$BX$738)-MIN(ROW($BX$3:$BX$738))+1), $CB74), 0),"")</f>
        <v/>
      </c>
      <c r="CS74" s="77">
        <f t="shared" si="425"/>
        <v>71</v>
      </c>
      <c r="CT74" s="77">
        <f t="shared" si="426"/>
        <v>2</v>
      </c>
      <c r="CU74" s="77" t="s">
        <v>3991</v>
      </c>
      <c r="CV74" s="77" t="str">
        <f t="shared" ca="1" si="431"/>
        <v/>
      </c>
      <c r="CW74" s="77">
        <f t="shared" ca="1" si="462"/>
        <v>0</v>
      </c>
      <c r="CZ74" s="77">
        <v>71</v>
      </c>
      <c r="DA74" s="77" t="str">
        <f t="shared" ca="1" si="463"/>
        <v/>
      </c>
      <c r="DB74" s="77" t="str">
        <f t="shared" ca="1" si="464"/>
        <v/>
      </c>
      <c r="DC74" s="77" t="str">
        <f t="shared" ca="1" si="470"/>
        <v/>
      </c>
      <c r="DD74" s="77" t="str">
        <f t="shared" ca="1" si="465"/>
        <v/>
      </c>
    </row>
    <row r="75" spans="1:108">
      <c r="A75" s="77">
        <f t="shared" ref="A75:A96" si="471">A52</f>
        <v>2</v>
      </c>
      <c r="B75" s="77" t="str">
        <f t="shared" ref="B75:B96" si="472">D4&amp;" (og)"</f>
        <v>F. Javier Rodríguez (og)</v>
      </c>
      <c r="C75" s="77" t="str">
        <f t="shared" ref="C75:C96" si="473">D4&amp;" (og)"</f>
        <v>F. Javier Rodríguez (og)</v>
      </c>
      <c r="D75" s="77" t="str">
        <f t="shared" ref="D75:D96" si="474">C4&amp;" (og)"</f>
        <v>Š. Vrsaljko (og)</v>
      </c>
      <c r="E75" s="77" t="str">
        <f t="shared" ref="E75:E96" si="475">C4&amp;" (og)"</f>
        <v>Š. Vrsaljko (og)</v>
      </c>
      <c r="F75" s="77" t="str">
        <f t="shared" ref="F75:F96" si="476">H4&amp;" (og)"</f>
        <v>E. Mena (og)</v>
      </c>
      <c r="G75" s="77" t="str">
        <f t="shared" ref="G75:G96" si="477">H4&amp;" (og)"</f>
        <v>E. Mena (og)</v>
      </c>
      <c r="H75" s="77" t="str">
        <f t="shared" ref="H75:H96" si="478">G4&amp;" (og)"</f>
        <v>R. Vlaar (og)</v>
      </c>
      <c r="I75" s="77" t="str">
        <f t="shared" ref="I75:I96" si="479">G4&amp;" (og)"</f>
        <v>R. Vlaar (og)</v>
      </c>
      <c r="J75" s="77" t="str">
        <f t="shared" ref="J75:J96" si="480">L4&amp;" (og)"</f>
        <v>O. Viera (og)</v>
      </c>
      <c r="K75" s="77" t="str">
        <f t="shared" ref="K75:K96" si="481">L4&amp;" (og)"</f>
        <v>O. Viera (og)</v>
      </c>
      <c r="L75" s="77" t="str">
        <f t="shared" ref="L75:L96" si="482">K4&amp;" (og)"</f>
        <v>G. Maniatis (og)</v>
      </c>
      <c r="M75" s="77" t="str">
        <f t="shared" ref="M75:M96" si="483">K4&amp;" (og)"</f>
        <v>G. Maniatis (og)</v>
      </c>
      <c r="N75" s="77" t="str">
        <f t="shared" ref="N75:N96" si="484">P4&amp;" (og)"</f>
        <v>G. Johnson (og)</v>
      </c>
      <c r="O75" s="77" t="str">
        <f t="shared" ref="O75:O96" si="485">P4&amp;" (og)"</f>
        <v>G. Johnson (og)</v>
      </c>
      <c r="P75" s="77" t="str">
        <f t="shared" ref="P75:P96" si="486">O4&amp;" (og)"</f>
        <v>J. Acosta (og)</v>
      </c>
      <c r="Q75" s="77" t="str">
        <f t="shared" ref="Q75:Q96" si="487">O4&amp;" (og)"</f>
        <v>J. Acosta (og)</v>
      </c>
      <c r="R75" s="77" t="str">
        <f t="shared" ref="R75:R96" si="488">T4&amp;" (og)"</f>
        <v>M. Debuchy (og)</v>
      </c>
      <c r="S75" s="77" t="str">
        <f t="shared" ref="S75:S96" si="489">T4&amp;" (og)"</f>
        <v>M. Debuchy (og)</v>
      </c>
      <c r="T75" s="77" t="str">
        <f t="shared" ref="T75:T96" si="490">S4&amp;" (og)"</f>
        <v>J. Guagua (og)</v>
      </c>
      <c r="U75" s="77" t="str">
        <f t="shared" ref="U75:U96" si="491">S4&amp;" (og)"</f>
        <v>J. Guagua (og)</v>
      </c>
      <c r="V75" s="77" t="str">
        <f t="shared" ref="V75:V96" si="492">X4&amp;" (og)"</f>
        <v>K. Heydari (og)</v>
      </c>
      <c r="W75" s="77" t="str">
        <f t="shared" ref="W75:W96" si="493">X4&amp;" (og)"</f>
        <v>K. Heydari (og)</v>
      </c>
      <c r="X75" s="77" t="str">
        <f t="shared" ref="X75:X96" si="494">W4&amp;" (og)"</f>
        <v>A. Vršajević (og)</v>
      </c>
      <c r="Y75" s="77" t="str">
        <f t="shared" ref="Y75:Y96" si="495">W4&amp;" (og)"</f>
        <v>A. Vršajević (og)</v>
      </c>
      <c r="Z75" s="77" t="str">
        <f t="shared" ref="Z75:Z96" si="496">AB4&amp;" (og)"</f>
        <v>S. Inkoom (og)</v>
      </c>
      <c r="AA75" s="77" t="str">
        <f t="shared" ref="AA75:AA96" si="497">AB4&amp;" (og)"</f>
        <v>S. Inkoom (og)</v>
      </c>
      <c r="AB75" s="77" t="str">
        <f t="shared" ref="AB75:AB96" si="498">AA4&amp;" (og)"</f>
        <v>B. Alves (og)</v>
      </c>
      <c r="AC75" s="77" t="str">
        <f t="shared" ref="AC75:AC96" si="499">AA4&amp;" (og)"</f>
        <v>B. Alves (og)</v>
      </c>
      <c r="AD75" s="77" t="str">
        <f t="shared" ref="AD75:AD96" si="500">AF4&amp;" (og)"</f>
        <v>A. Kozlov (og)</v>
      </c>
      <c r="AE75" s="77" t="str">
        <f t="shared" ref="AE75:AE96" si="501">AF4&amp;" (og)"</f>
        <v>A. Kozlov (og)</v>
      </c>
      <c r="AF75" s="77" t="str">
        <f t="shared" ref="AF75:AF96" si="502">AE4&amp;" (og)"</f>
        <v>M. Bougherra  (og)</v>
      </c>
      <c r="AG75" s="77" t="str">
        <f t="shared" ref="AG75:AG96" si="503">AE4&amp;" (og)"</f>
        <v>M. Bougherra  (og)</v>
      </c>
      <c r="BT75" s="77" t="str">
        <f t="shared" ca="1" si="85"/>
        <v>Cameroon</v>
      </c>
      <c r="BU75" s="77">
        <f t="shared" si="461"/>
        <v>73</v>
      </c>
      <c r="BV75" s="77" t="str">
        <f t="shared" si="440"/>
        <v>A6</v>
      </c>
      <c r="BW75" s="77">
        <f t="shared" si="428"/>
        <v>4</v>
      </c>
      <c r="BX75" s="77" t="str">
        <f t="shared" ca="1" si="441"/>
        <v>C. Djeugoué</v>
      </c>
      <c r="BY75" s="77">
        <f ca="1">COUNTIF('Group Stages'!$L$14:$S$110,BX75)+COUNTIF('Knock Out Stages'!$N$41:$U$84,BX75)</f>
        <v>0</v>
      </c>
      <c r="BZ75" s="77" t="str">
        <f t="shared" si="429"/>
        <v>'Player Database'!A6</v>
      </c>
      <c r="CA75" s="77" t="str">
        <f t="shared" ca="1" si="430"/>
        <v>Cédric Djeugoué</v>
      </c>
      <c r="CB75" s="77">
        <v>72</v>
      </c>
      <c r="CC75" s="77" t="str">
        <f t="array" aca="1" ref="CC75" ca="1">IFERROR(INDEX($BX$3:$BX$738, SMALL(IF(COUNTIF(CC$3, $BY$3:$BY$738), ROW($BX$3:$BX$738)-MIN(ROW($BX$3:$BX$738))+1), $CB75), 0),"")</f>
        <v/>
      </c>
      <c r="CS75" s="77">
        <f t="shared" si="425"/>
        <v>72</v>
      </c>
      <c r="CT75" s="77">
        <f t="shared" si="426"/>
        <v>2</v>
      </c>
      <c r="CU75" s="77" t="s">
        <v>3992</v>
      </c>
      <c r="CV75" s="77" t="str">
        <f t="shared" ca="1" si="431"/>
        <v/>
      </c>
      <c r="CW75" s="77">
        <f t="shared" ca="1" si="462"/>
        <v>0</v>
      </c>
      <c r="CZ75" s="77">
        <v>72</v>
      </c>
      <c r="DA75" s="77" t="str">
        <f t="shared" ca="1" si="463"/>
        <v/>
      </c>
      <c r="DB75" s="77" t="str">
        <f t="shared" ca="1" si="464"/>
        <v/>
      </c>
      <c r="DC75" s="77" t="str">
        <f t="shared" ca="1" si="470"/>
        <v/>
      </c>
      <c r="DD75" s="77" t="str">
        <f t="shared" ca="1" si="465"/>
        <v/>
      </c>
    </row>
    <row r="76" spans="1:108">
      <c r="A76" s="77">
        <f t="shared" si="471"/>
        <v>3</v>
      </c>
      <c r="B76" s="77" t="str">
        <f t="shared" si="472"/>
        <v>C. Salcido (og)</v>
      </c>
      <c r="C76" s="77" t="str">
        <f t="shared" si="473"/>
        <v>C. Salcido (og)</v>
      </c>
      <c r="D76" s="77" t="str">
        <f t="shared" si="474"/>
        <v>D. Pranjić (og)</v>
      </c>
      <c r="E76" s="77" t="str">
        <f t="shared" si="475"/>
        <v>D. Pranjić (og)</v>
      </c>
      <c r="F76" s="77" t="str">
        <f t="shared" si="476"/>
        <v>M. Albornoz (og)</v>
      </c>
      <c r="G76" s="77" t="str">
        <f t="shared" si="477"/>
        <v>M. Albornoz (og)</v>
      </c>
      <c r="H76" s="77" t="str">
        <f t="shared" si="478"/>
        <v>S. de Vrij (og)</v>
      </c>
      <c r="I76" s="77" t="str">
        <f t="shared" si="479"/>
        <v>S. de Vrij (og)</v>
      </c>
      <c r="J76" s="77" t="str">
        <f t="shared" si="480"/>
        <v>A. Boka (og)</v>
      </c>
      <c r="K76" s="77" t="str">
        <f t="shared" si="481"/>
        <v>A. Boka (og)</v>
      </c>
      <c r="L76" s="77" t="str">
        <f t="shared" si="482"/>
        <v>G. Tzavellas (og)</v>
      </c>
      <c r="M76" s="77" t="str">
        <f t="shared" si="483"/>
        <v>G. Tzavellas (og)</v>
      </c>
      <c r="N76" s="77" t="str">
        <f t="shared" si="484"/>
        <v>L. Baines (og)</v>
      </c>
      <c r="O76" s="77" t="str">
        <f t="shared" si="485"/>
        <v>L. Baines (og)</v>
      </c>
      <c r="P76" s="77" t="str">
        <f t="shared" si="486"/>
        <v>G. González (og)</v>
      </c>
      <c r="Q76" s="77" t="str">
        <f t="shared" si="487"/>
        <v>G. González (og)</v>
      </c>
      <c r="R76" s="77" t="str">
        <f t="shared" si="488"/>
        <v>P. Evra (og)</v>
      </c>
      <c r="S76" s="77" t="str">
        <f t="shared" si="489"/>
        <v>P. Evra (og)</v>
      </c>
      <c r="T76" s="77" t="str">
        <f t="shared" si="490"/>
        <v>F. Erazo (og)</v>
      </c>
      <c r="U76" s="77" t="str">
        <f t="shared" si="491"/>
        <v>F. Erazo (og)</v>
      </c>
      <c r="V76" s="77" t="str">
        <f t="shared" si="492"/>
        <v>E. Hajsafi (og)</v>
      </c>
      <c r="W76" s="77" t="str">
        <f t="shared" si="493"/>
        <v>E. Hajsafi (og)</v>
      </c>
      <c r="X76" s="77" t="str">
        <f t="shared" si="494"/>
        <v>E. Bičakčić (og)</v>
      </c>
      <c r="Y76" s="77" t="str">
        <f t="shared" si="495"/>
        <v>E. Bičakčić (og)</v>
      </c>
      <c r="Z76" s="77" t="str">
        <f t="shared" si="496"/>
        <v>A. Gyan  (og)</v>
      </c>
      <c r="AA76" s="77" t="str">
        <f t="shared" si="497"/>
        <v>A. Gyan  (og)</v>
      </c>
      <c r="AB76" s="77" t="str">
        <f t="shared" si="498"/>
        <v>Pepe (og)</v>
      </c>
      <c r="AC76" s="77" t="str">
        <f t="shared" si="499"/>
        <v>Pepe (og)</v>
      </c>
      <c r="AD76" s="77" t="str">
        <f t="shared" si="500"/>
        <v>G. Shchennikov (og)</v>
      </c>
      <c r="AE76" s="77" t="str">
        <f t="shared" si="501"/>
        <v>G. Shchennikov (og)</v>
      </c>
      <c r="AF76" s="77" t="str">
        <f t="shared" si="502"/>
        <v>F. Ghoulam (og)</v>
      </c>
      <c r="AG76" s="77" t="str">
        <f t="shared" si="503"/>
        <v>F. Ghoulam (og)</v>
      </c>
      <c r="BT76" s="77" t="str">
        <f t="shared" ca="1" si="85"/>
        <v>Cameroon</v>
      </c>
      <c r="BU76" s="77">
        <f t="shared" si="461"/>
        <v>74</v>
      </c>
      <c r="BV76" s="77" t="str">
        <f t="shared" si="440"/>
        <v>A7</v>
      </c>
      <c r="BW76" s="77">
        <f t="shared" si="428"/>
        <v>4</v>
      </c>
      <c r="BX76" s="77" t="str">
        <f t="shared" ca="1" si="441"/>
        <v>D. Nounkeu</v>
      </c>
      <c r="BY76" s="77">
        <f ca="1">COUNTIF('Group Stages'!$L$14:$S$110,BX76)+COUNTIF('Knock Out Stages'!$N$41:$U$84,BX76)</f>
        <v>0</v>
      </c>
      <c r="BZ76" s="77" t="str">
        <f t="shared" si="429"/>
        <v>'Player Database'!A7</v>
      </c>
      <c r="CA76" s="77" t="str">
        <f t="shared" ca="1" si="430"/>
        <v>Dany Nounkeu</v>
      </c>
      <c r="CB76" s="77">
        <v>73</v>
      </c>
      <c r="CC76" s="77" t="str">
        <f t="array" aca="1" ref="CC76" ca="1">IFERROR(INDEX($BX$3:$BX$738, SMALL(IF(COUNTIF(CC$3, $BY$3:$BY$738), ROW($BX$3:$BX$738)-MIN(ROW($BX$3:$BX$738))+1), $CB76), 0),"")</f>
        <v/>
      </c>
      <c r="CS76" s="77">
        <f t="shared" si="425"/>
        <v>73</v>
      </c>
      <c r="CT76" s="77">
        <f t="shared" si="426"/>
        <v>2</v>
      </c>
      <c r="CU76" s="77" t="s">
        <v>3993</v>
      </c>
      <c r="CV76" s="77" t="str">
        <f t="shared" ca="1" si="431"/>
        <v/>
      </c>
      <c r="CW76" s="77">
        <f t="shared" ca="1" si="462"/>
        <v>0</v>
      </c>
      <c r="CZ76" s="77">
        <v>73</v>
      </c>
      <c r="DA76" s="77" t="str">
        <f t="shared" ca="1" si="463"/>
        <v/>
      </c>
      <c r="DB76" s="77" t="str">
        <f t="shared" ca="1" si="464"/>
        <v/>
      </c>
      <c r="DC76" s="77" t="str">
        <f t="shared" ca="1" si="470"/>
        <v/>
      </c>
      <c r="DD76" s="77" t="str">
        <f t="shared" ca="1" si="465"/>
        <v/>
      </c>
    </row>
    <row r="77" spans="1:108">
      <c r="A77" s="77">
        <f t="shared" si="471"/>
        <v>4</v>
      </c>
      <c r="B77" s="77" t="str">
        <f t="shared" si="472"/>
        <v>R. Márquez  (og)</v>
      </c>
      <c r="C77" s="77" t="str">
        <f t="shared" si="473"/>
        <v>R. Márquez  (og)</v>
      </c>
      <c r="D77" s="77" t="str">
        <f t="shared" si="474"/>
        <v>I. Perišić (og)</v>
      </c>
      <c r="E77" s="77" t="str">
        <f t="shared" si="475"/>
        <v>I. Perišić (og)</v>
      </c>
      <c r="F77" s="77" t="str">
        <f t="shared" si="476"/>
        <v>M. Isla (og)</v>
      </c>
      <c r="G77" s="77" t="str">
        <f t="shared" si="477"/>
        <v>M. Isla (og)</v>
      </c>
      <c r="H77" s="77" t="str">
        <f t="shared" si="478"/>
        <v>B. Martins Indi (og)</v>
      </c>
      <c r="I77" s="77" t="str">
        <f t="shared" si="479"/>
        <v>B. Martins Indi (og)</v>
      </c>
      <c r="J77" s="77" t="str">
        <f t="shared" si="480"/>
        <v>K. Touré (og)</v>
      </c>
      <c r="K77" s="77" t="str">
        <f t="shared" si="481"/>
        <v>K. Touré (og)</v>
      </c>
      <c r="L77" s="77" t="str">
        <f t="shared" si="482"/>
        <v>K. Manolas (og)</v>
      </c>
      <c r="M77" s="77" t="str">
        <f t="shared" si="483"/>
        <v>K. Manolas (og)</v>
      </c>
      <c r="N77" s="77" t="str">
        <f t="shared" si="484"/>
        <v>S. Gerrard  (og)</v>
      </c>
      <c r="O77" s="77" t="str">
        <f t="shared" si="485"/>
        <v>S. Gerrard  (og)</v>
      </c>
      <c r="P77" s="77" t="str">
        <f t="shared" si="486"/>
        <v>M. Umaña (og)</v>
      </c>
      <c r="Q77" s="77" t="str">
        <f t="shared" si="487"/>
        <v>M. Umaña (og)</v>
      </c>
      <c r="R77" s="77" t="str">
        <f t="shared" si="488"/>
        <v>R. Varane (og)</v>
      </c>
      <c r="S77" s="77" t="str">
        <f t="shared" si="489"/>
        <v>R. Varane (og)</v>
      </c>
      <c r="T77" s="77" t="str">
        <f t="shared" si="490"/>
        <v>J. Carlos Paredes (og)</v>
      </c>
      <c r="U77" s="77" t="str">
        <f t="shared" si="491"/>
        <v>J. Carlos Paredes (og)</v>
      </c>
      <c r="V77" s="77" t="str">
        <f t="shared" si="492"/>
        <v>J. Hosseini (og)</v>
      </c>
      <c r="W77" s="77" t="str">
        <f t="shared" si="493"/>
        <v>J. Hosseini (og)</v>
      </c>
      <c r="X77" s="77" t="str">
        <f t="shared" si="494"/>
        <v>E. Spahić  (og)</v>
      </c>
      <c r="Y77" s="77" t="str">
        <f t="shared" si="495"/>
        <v>E. Spahić  (og)</v>
      </c>
      <c r="Z77" s="77" t="str">
        <f t="shared" si="496"/>
        <v>D. Opare (og)</v>
      </c>
      <c r="AA77" s="77" t="str">
        <f t="shared" si="497"/>
        <v>D. Opare (og)</v>
      </c>
      <c r="AB77" s="77" t="str">
        <f t="shared" si="498"/>
        <v>M. Veloso (og)</v>
      </c>
      <c r="AC77" s="77" t="str">
        <f t="shared" si="499"/>
        <v>M. Veloso (og)</v>
      </c>
      <c r="AD77" s="77" t="str">
        <f t="shared" si="500"/>
        <v>S. Ignashevich (og)</v>
      </c>
      <c r="AE77" s="77" t="str">
        <f t="shared" si="501"/>
        <v>S. Ignashevich (og)</v>
      </c>
      <c r="AF77" s="77" t="str">
        <f t="shared" si="502"/>
        <v>E. Belkalem (og)</v>
      </c>
      <c r="AG77" s="77" t="str">
        <f t="shared" si="503"/>
        <v>E. Belkalem (og)</v>
      </c>
      <c r="BT77" s="77" t="str">
        <f t="shared" ca="1" si="85"/>
        <v>Cameroon</v>
      </c>
      <c r="BU77" s="77">
        <f t="shared" si="461"/>
        <v>75</v>
      </c>
      <c r="BV77" s="77" t="str">
        <f t="shared" si="440"/>
        <v>A8</v>
      </c>
      <c r="BW77" s="77">
        <f t="shared" si="428"/>
        <v>4</v>
      </c>
      <c r="BX77" s="77" t="str">
        <f t="shared" ca="1" si="441"/>
        <v>A. Song</v>
      </c>
      <c r="BY77" s="77">
        <f ca="1">COUNTIF('Group Stages'!$L$14:$S$110,BX77)+COUNTIF('Knock Out Stages'!$N$41:$U$84,BX77)</f>
        <v>0</v>
      </c>
      <c r="BZ77" s="77" t="str">
        <f t="shared" si="429"/>
        <v>'Player Database'!A8</v>
      </c>
      <c r="CA77" s="77" t="str">
        <f t="shared" ca="1" si="430"/>
        <v>Alex Song</v>
      </c>
      <c r="CB77" s="77">
        <v>74</v>
      </c>
      <c r="CC77" s="77" t="str">
        <f t="array" aca="1" ref="CC77" ca="1">IFERROR(INDEX($BX$3:$BX$738, SMALL(IF(COUNTIF(CC$3, $BY$3:$BY$738), ROW($BX$3:$BX$738)-MIN(ROW($BX$3:$BX$738))+1), $CB77), 0),"")</f>
        <v/>
      </c>
      <c r="CS77" s="77">
        <f t="shared" si="425"/>
        <v>74</v>
      </c>
      <c r="CT77" s="77">
        <f t="shared" si="426"/>
        <v>2</v>
      </c>
      <c r="CU77" s="77" t="s">
        <v>3994</v>
      </c>
      <c r="CV77" s="77" t="str">
        <f t="shared" ca="1" si="431"/>
        <v/>
      </c>
      <c r="CW77" s="77">
        <f t="shared" ca="1" si="462"/>
        <v>0</v>
      </c>
      <c r="CZ77" s="77">
        <v>74</v>
      </c>
      <c r="DA77" s="77" t="str">
        <f t="shared" ca="1" si="463"/>
        <v/>
      </c>
      <c r="DB77" s="77" t="str">
        <f t="shared" ca="1" si="464"/>
        <v/>
      </c>
      <c r="DC77" s="77" t="str">
        <f t="shared" ca="1" si="470"/>
        <v/>
      </c>
      <c r="DD77" s="77" t="str">
        <f t="shared" ca="1" si="465"/>
        <v/>
      </c>
    </row>
    <row r="78" spans="1:108">
      <c r="A78" s="77">
        <f t="shared" si="471"/>
        <v>5</v>
      </c>
      <c r="B78" s="77" t="str">
        <f t="shared" si="472"/>
        <v>D. Reyes (og)</v>
      </c>
      <c r="C78" s="77" t="str">
        <f t="shared" si="473"/>
        <v>D. Reyes (og)</v>
      </c>
      <c r="D78" s="77" t="str">
        <f t="shared" si="474"/>
        <v>V. Ćorluka (og)</v>
      </c>
      <c r="E78" s="77" t="str">
        <f t="shared" si="475"/>
        <v>V. Ćorluka (og)</v>
      </c>
      <c r="F78" s="77" t="str">
        <f t="shared" si="476"/>
        <v>F. Silva (og)</v>
      </c>
      <c r="G78" s="77" t="str">
        <f t="shared" si="477"/>
        <v>F. Silva (og)</v>
      </c>
      <c r="H78" s="77" t="str">
        <f t="shared" si="478"/>
        <v>D. Blind (og)</v>
      </c>
      <c r="I78" s="77" t="str">
        <f t="shared" si="479"/>
        <v>D. Blind (og)</v>
      </c>
      <c r="J78" s="77" t="str">
        <f t="shared" si="480"/>
        <v>D. Zokora (og)</v>
      </c>
      <c r="K78" s="77" t="str">
        <f t="shared" si="481"/>
        <v>D. Zokora (og)</v>
      </c>
      <c r="L78" s="77" t="str">
        <f t="shared" si="482"/>
        <v>V. Moras (og)</v>
      </c>
      <c r="M78" s="77" t="str">
        <f t="shared" si="483"/>
        <v>V. Moras (og)</v>
      </c>
      <c r="N78" s="77" t="str">
        <f t="shared" si="484"/>
        <v>G. Cahill (og)</v>
      </c>
      <c r="O78" s="77" t="str">
        <f t="shared" si="485"/>
        <v>G. Cahill (og)</v>
      </c>
      <c r="P78" s="77" t="str">
        <f t="shared" si="486"/>
        <v>C. Borges (og)</v>
      </c>
      <c r="Q78" s="77" t="str">
        <f t="shared" si="487"/>
        <v>C. Borges (og)</v>
      </c>
      <c r="R78" s="77" t="str">
        <f t="shared" si="488"/>
        <v>M. Sakho (og)</v>
      </c>
      <c r="S78" s="77" t="str">
        <f t="shared" si="489"/>
        <v>M. Sakho (og)</v>
      </c>
      <c r="T78" s="77" t="str">
        <f t="shared" si="490"/>
        <v>R. Ibarra (og)</v>
      </c>
      <c r="U78" s="77" t="str">
        <f t="shared" si="491"/>
        <v>R. Ibarra (og)</v>
      </c>
      <c r="V78" s="77" t="str">
        <f t="shared" si="492"/>
        <v>A. Hossein Sadeghi (og)</v>
      </c>
      <c r="W78" s="77" t="str">
        <f t="shared" si="493"/>
        <v>A. Hossein Sadeghi (og)</v>
      </c>
      <c r="X78" s="77" t="str">
        <f t="shared" si="494"/>
        <v>S. Kolašinac (og)</v>
      </c>
      <c r="Y78" s="77" t="str">
        <f t="shared" si="495"/>
        <v>S. Kolašinac (og)</v>
      </c>
      <c r="Z78" s="77" t="str">
        <f t="shared" si="496"/>
        <v>M. Essien (og)</v>
      </c>
      <c r="AA78" s="77" t="str">
        <f t="shared" si="497"/>
        <v>M. Essien (og)</v>
      </c>
      <c r="AB78" s="77" t="str">
        <f t="shared" si="498"/>
        <v>F. Coentrão (og)</v>
      </c>
      <c r="AC78" s="77" t="str">
        <f t="shared" si="499"/>
        <v>F. Coentrão (og)</v>
      </c>
      <c r="AD78" s="77" t="str">
        <f t="shared" si="500"/>
        <v>A. Semyonov (og)</v>
      </c>
      <c r="AE78" s="77" t="str">
        <f t="shared" si="501"/>
        <v>A. Semyonov (og)</v>
      </c>
      <c r="AF78" s="77" t="str">
        <f t="shared" si="502"/>
        <v>R. Halliche (og)</v>
      </c>
      <c r="AG78" s="77" t="str">
        <f t="shared" si="503"/>
        <v>R. Halliche (og)</v>
      </c>
      <c r="BT78" s="77" t="str">
        <f t="shared" ca="1" si="85"/>
        <v>Cameroon</v>
      </c>
      <c r="BU78" s="77">
        <f t="shared" si="461"/>
        <v>76</v>
      </c>
      <c r="BV78" s="77" t="str">
        <f t="shared" si="440"/>
        <v>A9</v>
      </c>
      <c r="BW78" s="77">
        <f t="shared" si="428"/>
        <v>4</v>
      </c>
      <c r="BX78" s="77" t="str">
        <f t="shared" ca="1" si="441"/>
        <v>L. N'Guémo</v>
      </c>
      <c r="BY78" s="77">
        <f ca="1">COUNTIF('Group Stages'!$L$14:$S$110,BX78)+COUNTIF('Knock Out Stages'!$N$41:$U$84,BX78)</f>
        <v>0</v>
      </c>
      <c r="BZ78" s="77" t="str">
        <f t="shared" si="429"/>
        <v>'Player Database'!A9</v>
      </c>
      <c r="CA78" s="77" t="str">
        <f t="shared" ca="1" si="430"/>
        <v>Landry N'Guémo</v>
      </c>
      <c r="CB78" s="77">
        <v>75</v>
      </c>
      <c r="CC78" s="77" t="str">
        <f t="array" aca="1" ref="CC78" ca="1">IFERROR(INDEX($BX$3:$BX$738, SMALL(IF(COUNTIF(CC$3, $BY$3:$BY$738), ROW($BX$3:$BX$738)-MIN(ROW($BX$3:$BX$738))+1), $CB78), 0),"")</f>
        <v/>
      </c>
      <c r="CS78" s="77">
        <f t="shared" si="425"/>
        <v>75</v>
      </c>
      <c r="CT78" s="77">
        <f t="shared" si="426"/>
        <v>2</v>
      </c>
      <c r="CU78" s="77" t="s">
        <v>3995</v>
      </c>
      <c r="CV78" s="77" t="str">
        <f t="shared" ca="1" si="431"/>
        <v/>
      </c>
      <c r="CW78" s="77">
        <f t="shared" ca="1" si="462"/>
        <v>0</v>
      </c>
      <c r="CZ78" s="77">
        <v>75</v>
      </c>
      <c r="DA78" s="77" t="str">
        <f t="shared" ca="1" si="463"/>
        <v/>
      </c>
      <c r="DB78" s="77" t="str">
        <f t="shared" ca="1" si="464"/>
        <v/>
      </c>
      <c r="DC78" s="77" t="str">
        <f t="shared" ca="1" si="470"/>
        <v/>
      </c>
      <c r="DD78" s="77" t="str">
        <f t="shared" ca="1" si="465"/>
        <v/>
      </c>
    </row>
    <row r="79" spans="1:108">
      <c r="A79" s="77">
        <f t="shared" si="471"/>
        <v>6</v>
      </c>
      <c r="B79" s="77" t="str">
        <f t="shared" si="472"/>
        <v>H. Herrera (og)</v>
      </c>
      <c r="C79" s="77" t="str">
        <f t="shared" si="473"/>
        <v>H. Herrera (og)</v>
      </c>
      <c r="D79" s="77" t="str">
        <f t="shared" si="474"/>
        <v>D. Lovren (og)</v>
      </c>
      <c r="E79" s="77" t="str">
        <f t="shared" si="475"/>
        <v>D. Lovren (og)</v>
      </c>
      <c r="F79" s="77" t="str">
        <f t="shared" si="476"/>
        <v>C. Carmona (og)</v>
      </c>
      <c r="G79" s="77" t="str">
        <f t="shared" si="477"/>
        <v>C. Carmona (og)</v>
      </c>
      <c r="H79" s="77" t="str">
        <f t="shared" si="478"/>
        <v>J. de Guzmán (og)</v>
      </c>
      <c r="I79" s="77" t="str">
        <f t="shared" si="479"/>
        <v>J. de Guzmán (og)</v>
      </c>
      <c r="J79" s="77" t="str">
        <f t="shared" si="480"/>
        <v>M. Bolly (og)</v>
      </c>
      <c r="K79" s="77" t="str">
        <f t="shared" si="481"/>
        <v>M. Bolly (og)</v>
      </c>
      <c r="L79" s="77" t="str">
        <f t="shared" si="482"/>
        <v>A. Tziolis (og)</v>
      </c>
      <c r="M79" s="77" t="str">
        <f t="shared" si="483"/>
        <v>A. Tziolis (og)</v>
      </c>
      <c r="N79" s="77" t="str">
        <f t="shared" si="484"/>
        <v>P. Jagielka (og)</v>
      </c>
      <c r="O79" s="77" t="str">
        <f t="shared" si="485"/>
        <v>P. Jagielka (og)</v>
      </c>
      <c r="P79" s="77" t="str">
        <f t="shared" si="486"/>
        <v>Ó. Duarte (og)</v>
      </c>
      <c r="Q79" s="77" t="str">
        <f t="shared" si="487"/>
        <v>Ó. Duarte (og)</v>
      </c>
      <c r="R79" s="77" t="str">
        <f t="shared" si="488"/>
        <v>Y. Cabaye (og)</v>
      </c>
      <c r="S79" s="77" t="str">
        <f t="shared" si="489"/>
        <v>Y. Cabaye (og)</v>
      </c>
      <c r="T79" s="77" t="str">
        <f t="shared" si="490"/>
        <v>C. Noboa (og)</v>
      </c>
      <c r="U79" s="77" t="str">
        <f t="shared" si="491"/>
        <v>C. Noboa (og)</v>
      </c>
      <c r="V79" s="77" t="str">
        <f t="shared" si="492"/>
        <v>J. Nekounam  (og)</v>
      </c>
      <c r="W79" s="77" t="str">
        <f t="shared" si="493"/>
        <v>J. Nekounam  (og)</v>
      </c>
      <c r="X79" s="77" t="str">
        <f t="shared" si="494"/>
        <v>O. Vranješ (og)</v>
      </c>
      <c r="Y79" s="77" t="str">
        <f t="shared" si="495"/>
        <v>O. Vranješ (og)</v>
      </c>
      <c r="Z79" s="77" t="str">
        <f t="shared" si="496"/>
        <v>A. Acquah (og)</v>
      </c>
      <c r="AA79" s="77" t="str">
        <f t="shared" si="497"/>
        <v>A. Acquah (og)</v>
      </c>
      <c r="AB79" s="77" t="str">
        <f t="shared" si="498"/>
        <v>W. Carvalho (og)</v>
      </c>
      <c r="AC79" s="77" t="str">
        <f t="shared" si="499"/>
        <v>W. Carvalho (og)</v>
      </c>
      <c r="AD79" s="77" t="str">
        <f t="shared" si="500"/>
        <v>M. Kanunnikov (og)</v>
      </c>
      <c r="AE79" s="77" t="str">
        <f t="shared" si="501"/>
        <v>M. Kanunnikov (og)</v>
      </c>
      <c r="AF79" s="77" t="str">
        <f t="shared" si="502"/>
        <v>D. Mesbah (og)</v>
      </c>
      <c r="AG79" s="77" t="str">
        <f t="shared" si="503"/>
        <v>D. Mesbah (og)</v>
      </c>
      <c r="BT79" s="77" t="str">
        <f t="shared" ca="1" si="85"/>
        <v>Cameroon</v>
      </c>
      <c r="BU79" s="77">
        <f t="shared" si="461"/>
        <v>77</v>
      </c>
      <c r="BV79" s="77" t="str">
        <f t="shared" si="440"/>
        <v>A10</v>
      </c>
      <c r="BW79" s="77">
        <f t="shared" si="428"/>
        <v>4</v>
      </c>
      <c r="BX79" s="77" t="str">
        <f t="shared" ca="1" si="441"/>
        <v>B. Moukandjo</v>
      </c>
      <c r="BY79" s="77">
        <f ca="1">COUNTIF('Group Stages'!$L$14:$S$110,BX79)+COUNTIF('Knock Out Stages'!$N$41:$U$84,BX79)</f>
        <v>0</v>
      </c>
      <c r="BZ79" s="77" t="str">
        <f t="shared" si="429"/>
        <v>'Player Database'!A10</v>
      </c>
      <c r="CA79" s="77" t="str">
        <f t="shared" ca="1" si="430"/>
        <v>Benjamin Moukandjo</v>
      </c>
      <c r="CB79" s="77">
        <v>76</v>
      </c>
      <c r="CC79" s="77" t="str">
        <f t="array" aca="1" ref="CC79" ca="1">IFERROR(INDEX($BX$3:$BX$738, SMALL(IF(COUNTIF(CC$3, $BY$3:$BY$738), ROW($BX$3:$BX$738)-MIN(ROW($BX$3:$BX$738))+1), $CB79), 0),"")</f>
        <v/>
      </c>
      <c r="CS79" s="77">
        <f t="shared" si="425"/>
        <v>76</v>
      </c>
      <c r="CT79" s="77">
        <f t="shared" si="426"/>
        <v>2</v>
      </c>
      <c r="CU79" s="77" t="s">
        <v>3996</v>
      </c>
      <c r="CV79" s="77" t="str">
        <f t="shared" ca="1" si="431"/>
        <v/>
      </c>
      <c r="CW79" s="77">
        <f t="shared" ca="1" si="462"/>
        <v>0</v>
      </c>
      <c r="CZ79" s="77">
        <v>76</v>
      </c>
      <c r="DA79" s="77" t="str">
        <f t="shared" ca="1" si="463"/>
        <v/>
      </c>
      <c r="DB79" s="77" t="str">
        <f t="shared" ca="1" si="464"/>
        <v/>
      </c>
      <c r="DC79" s="77" t="str">
        <f t="shared" ca="1" si="470"/>
        <v/>
      </c>
      <c r="DD79" s="77" t="str">
        <f t="shared" ca="1" si="465"/>
        <v/>
      </c>
    </row>
    <row r="80" spans="1:108">
      <c r="A80" s="77">
        <f t="shared" si="471"/>
        <v>7</v>
      </c>
      <c r="B80" s="77" t="str">
        <f t="shared" si="472"/>
        <v>M. Layún (og)</v>
      </c>
      <c r="C80" s="77" t="str">
        <f t="shared" si="473"/>
        <v>M. Layún (og)</v>
      </c>
      <c r="D80" s="77" t="str">
        <f t="shared" si="474"/>
        <v>I. Rakitić (og)</v>
      </c>
      <c r="E80" s="77" t="str">
        <f t="shared" si="475"/>
        <v>I. Rakitić (og)</v>
      </c>
      <c r="F80" s="77" t="str">
        <f t="shared" si="476"/>
        <v>A. Sánchez (og)</v>
      </c>
      <c r="G80" s="77" t="str">
        <f t="shared" si="477"/>
        <v>A. Sánchez (og)</v>
      </c>
      <c r="H80" s="77" t="str">
        <f t="shared" si="478"/>
        <v>D. Janmaat (og)</v>
      </c>
      <c r="I80" s="77" t="str">
        <f t="shared" si="479"/>
        <v>D. Janmaat (og)</v>
      </c>
      <c r="J80" s="77" t="str">
        <f t="shared" si="480"/>
        <v>J. Akpa-Akpro (og)</v>
      </c>
      <c r="K80" s="77" t="str">
        <f t="shared" si="481"/>
        <v>J. Akpa-Akpro (og)</v>
      </c>
      <c r="L80" s="77" t="str">
        <f t="shared" si="482"/>
        <v>G. Samaras (og)</v>
      </c>
      <c r="M80" s="77" t="str">
        <f t="shared" si="483"/>
        <v>G. Samaras (og)</v>
      </c>
      <c r="N80" s="77" t="str">
        <f t="shared" si="484"/>
        <v>J. Wilshere (og)</v>
      </c>
      <c r="O80" s="77" t="str">
        <f t="shared" si="485"/>
        <v>J. Wilshere (og)</v>
      </c>
      <c r="P80" s="77" t="str">
        <f t="shared" si="486"/>
        <v>C. Bolaños (og)</v>
      </c>
      <c r="Q80" s="77" t="str">
        <f t="shared" si="487"/>
        <v>C. Bolaños (og)</v>
      </c>
      <c r="R80" s="77" t="str">
        <f t="shared" si="488"/>
        <v>R. Cabella[38] (og)</v>
      </c>
      <c r="S80" s="77" t="str">
        <f t="shared" si="489"/>
        <v>R. Cabella[38] (og)</v>
      </c>
      <c r="T80" s="77" t="str">
        <f t="shared" si="490"/>
        <v>J. Montero (og)</v>
      </c>
      <c r="U80" s="77" t="str">
        <f t="shared" si="491"/>
        <v>J. Montero (og)</v>
      </c>
      <c r="V80" s="77" t="str">
        <f t="shared" si="492"/>
        <v>M. Shojaei (og)</v>
      </c>
      <c r="W80" s="77" t="str">
        <f t="shared" si="493"/>
        <v>M. Shojaei (og)</v>
      </c>
      <c r="X80" s="77" t="str">
        <f t="shared" si="494"/>
        <v>M. Bešić (og)</v>
      </c>
      <c r="Y80" s="77" t="str">
        <f t="shared" si="495"/>
        <v>M. Bešić (og)</v>
      </c>
      <c r="Z80" s="77" t="str">
        <f t="shared" si="496"/>
        <v>C. Atsu (og)</v>
      </c>
      <c r="AA80" s="77" t="str">
        <f t="shared" si="497"/>
        <v>C. Atsu (og)</v>
      </c>
      <c r="AB80" s="77" t="str">
        <f t="shared" si="498"/>
        <v>C. Ronaldo  (og)</v>
      </c>
      <c r="AC80" s="77" t="str">
        <f t="shared" si="499"/>
        <v>C. Ronaldo  (og)</v>
      </c>
      <c r="AD80" s="77" t="str">
        <f t="shared" si="500"/>
        <v>I. Denisov (og)</v>
      </c>
      <c r="AE80" s="77" t="str">
        <f t="shared" si="501"/>
        <v>I. Denisov (og)</v>
      </c>
      <c r="AF80" s="77" t="str">
        <f t="shared" si="502"/>
        <v>C. Medjani (og)</v>
      </c>
      <c r="AG80" s="77" t="str">
        <f t="shared" si="503"/>
        <v>C. Medjani (og)</v>
      </c>
      <c r="BT80" s="77" t="str">
        <f t="shared" ca="1" si="85"/>
        <v>Cameroon</v>
      </c>
      <c r="BU80" s="77">
        <f t="shared" si="461"/>
        <v>78</v>
      </c>
      <c r="BV80" s="77" t="str">
        <f t="shared" si="440"/>
        <v>A11</v>
      </c>
      <c r="BW80" s="77">
        <f t="shared" si="428"/>
        <v>4</v>
      </c>
      <c r="BX80" s="77" t="str">
        <f t="shared" ca="1" si="441"/>
        <v xml:space="preserve">S. Eto'o </v>
      </c>
      <c r="BY80" s="77">
        <f ca="1">COUNTIF('Group Stages'!$L$14:$S$110,BX80)+COUNTIF('Knock Out Stages'!$N$41:$U$84,BX80)</f>
        <v>0</v>
      </c>
      <c r="BZ80" s="77" t="str">
        <f t="shared" si="429"/>
        <v>'Player Database'!A11</v>
      </c>
      <c r="CA80" s="77" t="str">
        <f t="shared" ca="1" si="430"/>
        <v xml:space="preserve">Samuel Eto'o </v>
      </c>
      <c r="CB80" s="77">
        <v>77</v>
      </c>
      <c r="CC80" s="77" t="str">
        <f t="array" aca="1" ref="CC80" ca="1">IFERROR(INDEX($BX$3:$BX$738, SMALL(IF(COUNTIF(CC$3, $BY$3:$BY$738), ROW($BX$3:$BX$738)-MIN(ROW($BX$3:$BX$738))+1), $CB80), 0),"")</f>
        <v/>
      </c>
      <c r="CS80" s="77">
        <f t="shared" si="425"/>
        <v>77</v>
      </c>
      <c r="CT80" s="77">
        <f t="shared" si="426"/>
        <v>2</v>
      </c>
      <c r="CU80" s="77" t="s">
        <v>3997</v>
      </c>
      <c r="CV80" s="77" t="str">
        <f t="shared" ca="1" si="431"/>
        <v/>
      </c>
      <c r="CW80" s="77">
        <f t="shared" ca="1" si="462"/>
        <v>0</v>
      </c>
      <c r="CZ80" s="77">
        <v>77</v>
      </c>
      <c r="DA80" s="77" t="str">
        <f t="shared" ca="1" si="463"/>
        <v/>
      </c>
      <c r="DB80" s="77" t="str">
        <f t="shared" ca="1" si="464"/>
        <v/>
      </c>
      <c r="DC80" s="77" t="str">
        <f t="shared" ca="1" si="470"/>
        <v/>
      </c>
      <c r="DD80" s="77" t="str">
        <f t="shared" ca="1" si="465"/>
        <v/>
      </c>
    </row>
    <row r="81" spans="1:108">
      <c r="A81" s="77">
        <f t="shared" si="471"/>
        <v>8</v>
      </c>
      <c r="B81" s="77" t="str">
        <f t="shared" si="472"/>
        <v>M. Fabián (og)</v>
      </c>
      <c r="C81" s="77" t="str">
        <f t="shared" si="473"/>
        <v>M. Fabián (og)</v>
      </c>
      <c r="D81" s="77" t="str">
        <f t="shared" si="474"/>
        <v>O. Vukojević (og)</v>
      </c>
      <c r="E81" s="77" t="str">
        <f t="shared" si="475"/>
        <v>O. Vukojević (og)</v>
      </c>
      <c r="F81" s="77" t="str">
        <f t="shared" si="476"/>
        <v>A. Vidal (og)</v>
      </c>
      <c r="G81" s="77" t="str">
        <f t="shared" si="477"/>
        <v>A. Vidal (og)</v>
      </c>
      <c r="H81" s="77" t="str">
        <f t="shared" si="478"/>
        <v>N. de Jong (og)</v>
      </c>
      <c r="I81" s="77" t="str">
        <f t="shared" si="479"/>
        <v>N. de Jong (og)</v>
      </c>
      <c r="J81" s="77" t="str">
        <f t="shared" si="480"/>
        <v>S. Kalou (og)</v>
      </c>
      <c r="K81" s="77" t="str">
        <f t="shared" si="481"/>
        <v>S. Kalou (og)</v>
      </c>
      <c r="L81" s="77" t="str">
        <f t="shared" si="482"/>
        <v>P. Kone (og)</v>
      </c>
      <c r="M81" s="77" t="str">
        <f t="shared" si="483"/>
        <v>P. Kone (og)</v>
      </c>
      <c r="N81" s="77" t="str">
        <f t="shared" si="484"/>
        <v>F. Lampard (og)</v>
      </c>
      <c r="O81" s="77" t="str">
        <f t="shared" si="485"/>
        <v>F. Lampard (og)</v>
      </c>
      <c r="P81" s="77" t="str">
        <f t="shared" si="486"/>
        <v>H. Mora (og)</v>
      </c>
      <c r="Q81" s="77" t="str">
        <f t="shared" si="487"/>
        <v>H. Mora (og)</v>
      </c>
      <c r="R81" s="77" t="str">
        <f t="shared" si="488"/>
        <v>M. Valbuena (og)</v>
      </c>
      <c r="S81" s="77" t="str">
        <f t="shared" si="489"/>
        <v>M. Valbuena (og)</v>
      </c>
      <c r="T81" s="77" t="str">
        <f t="shared" si="490"/>
        <v>É. Méndez (og)</v>
      </c>
      <c r="U81" s="77" t="str">
        <f t="shared" si="491"/>
        <v>É. Méndez (og)</v>
      </c>
      <c r="V81" s="77" t="str">
        <f t="shared" si="492"/>
        <v>R. Haghighi (og)</v>
      </c>
      <c r="W81" s="77" t="str">
        <f t="shared" si="493"/>
        <v>R. Haghighi (og)</v>
      </c>
      <c r="X81" s="77" t="str">
        <f t="shared" si="494"/>
        <v>M. Pjanić (og)</v>
      </c>
      <c r="Y81" s="77" t="str">
        <f t="shared" si="495"/>
        <v>M. Pjanić (og)</v>
      </c>
      <c r="Z81" s="77" t="str">
        <f t="shared" si="496"/>
        <v>E. Agyemang-Badu (og)</v>
      </c>
      <c r="AA81" s="77" t="str">
        <f t="shared" si="497"/>
        <v>E. Agyemang-Badu (og)</v>
      </c>
      <c r="AB81" s="77" t="str">
        <f t="shared" si="498"/>
        <v>J. Moutinho (og)</v>
      </c>
      <c r="AC81" s="77" t="str">
        <f t="shared" si="499"/>
        <v>J. Moutinho (og)</v>
      </c>
      <c r="AD81" s="77" t="str">
        <f t="shared" si="500"/>
        <v>D. Glushakov (og)</v>
      </c>
      <c r="AE81" s="77" t="str">
        <f t="shared" si="501"/>
        <v>D. Glushakov (og)</v>
      </c>
      <c r="AF81" s="77" t="str">
        <f t="shared" si="502"/>
        <v>H. Yebda (og)</v>
      </c>
      <c r="AG81" s="77" t="str">
        <f t="shared" si="503"/>
        <v>H. Yebda (og)</v>
      </c>
      <c r="BT81" s="77" t="str">
        <f t="shared" ca="1" si="85"/>
        <v>Cameroon</v>
      </c>
      <c r="BU81" s="77">
        <f t="shared" si="461"/>
        <v>79</v>
      </c>
      <c r="BV81" s="77" t="str">
        <f t="shared" si="440"/>
        <v>A12</v>
      </c>
      <c r="BW81" s="77">
        <f t="shared" si="428"/>
        <v>4</v>
      </c>
      <c r="BX81" s="77" t="str">
        <f t="shared" ca="1" si="441"/>
        <v>V. Aboubakar</v>
      </c>
      <c r="BY81" s="77">
        <f ca="1">COUNTIF('Group Stages'!$L$14:$S$110,BX81)+COUNTIF('Knock Out Stages'!$N$41:$U$84,BX81)</f>
        <v>0</v>
      </c>
      <c r="BZ81" s="77" t="str">
        <f t="shared" si="429"/>
        <v>'Player Database'!A12</v>
      </c>
      <c r="CA81" s="77" t="str">
        <f t="shared" ca="1" si="430"/>
        <v>Vincent Aboubakar</v>
      </c>
      <c r="CB81" s="77">
        <v>78</v>
      </c>
      <c r="CC81" s="77" t="str">
        <f t="array" aca="1" ref="CC81" ca="1">IFERROR(INDEX($BX$3:$BX$738, SMALL(IF(COUNTIF(CC$3, $BY$3:$BY$738), ROW($BX$3:$BX$738)-MIN(ROW($BX$3:$BX$738))+1), $CB81), 0),"")</f>
        <v/>
      </c>
      <c r="CS81" s="77">
        <f t="shared" si="425"/>
        <v>78</v>
      </c>
      <c r="CT81" s="77">
        <f t="shared" si="426"/>
        <v>2</v>
      </c>
      <c r="CU81" s="77" t="s">
        <v>3998</v>
      </c>
      <c r="CV81" s="77" t="str">
        <f t="shared" ca="1" si="431"/>
        <v/>
      </c>
      <c r="CW81" s="77">
        <f t="shared" ca="1" si="462"/>
        <v>0</v>
      </c>
      <c r="CZ81" s="77">
        <v>78</v>
      </c>
      <c r="DA81" s="77" t="str">
        <f t="shared" ca="1" si="463"/>
        <v/>
      </c>
      <c r="DB81" s="77" t="str">
        <f t="shared" ca="1" si="464"/>
        <v/>
      </c>
      <c r="DC81" s="77" t="str">
        <f t="shared" ca="1" si="470"/>
        <v/>
      </c>
      <c r="DD81" s="77" t="str">
        <f t="shared" ca="1" si="465"/>
        <v/>
      </c>
    </row>
    <row r="82" spans="1:108">
      <c r="A82" s="77">
        <f t="shared" si="471"/>
        <v>9</v>
      </c>
      <c r="B82" s="77" t="str">
        <f t="shared" si="472"/>
        <v>R. Jiménez (og)</v>
      </c>
      <c r="C82" s="77" t="str">
        <f t="shared" si="473"/>
        <v>R. Jiménez (og)</v>
      </c>
      <c r="D82" s="77" t="str">
        <f t="shared" si="474"/>
        <v>N. Jelavić (og)</v>
      </c>
      <c r="E82" s="77" t="str">
        <f t="shared" si="475"/>
        <v>N. Jelavić (og)</v>
      </c>
      <c r="F82" s="77" t="str">
        <f t="shared" si="476"/>
        <v>M. Pinilla (og)</v>
      </c>
      <c r="G82" s="77" t="str">
        <f t="shared" si="477"/>
        <v>M. Pinilla (og)</v>
      </c>
      <c r="H82" s="77" t="str">
        <f t="shared" si="478"/>
        <v>R. van Persie  (og)</v>
      </c>
      <c r="I82" s="77" t="str">
        <f t="shared" si="479"/>
        <v>R. van Persie  (og)</v>
      </c>
      <c r="J82" s="77" t="str">
        <f t="shared" si="480"/>
        <v>C. Tioté (og)</v>
      </c>
      <c r="K82" s="77" t="str">
        <f t="shared" si="481"/>
        <v>C. Tioté (og)</v>
      </c>
      <c r="L82" s="77" t="str">
        <f t="shared" si="482"/>
        <v>K. Mitroglou (og)</v>
      </c>
      <c r="M82" s="77" t="str">
        <f t="shared" si="483"/>
        <v>K. Mitroglou (og)</v>
      </c>
      <c r="N82" s="77" t="str">
        <f t="shared" si="484"/>
        <v>D. Sturridge (og)</v>
      </c>
      <c r="O82" s="77" t="str">
        <f t="shared" si="485"/>
        <v>D. Sturridge (og)</v>
      </c>
      <c r="P82" s="77" t="str">
        <f t="shared" si="486"/>
        <v>J. Campbell (og)</v>
      </c>
      <c r="Q82" s="77" t="str">
        <f t="shared" si="487"/>
        <v>J. Campbell (og)</v>
      </c>
      <c r="R82" s="77" t="str">
        <f t="shared" si="488"/>
        <v>O. Giroud (og)</v>
      </c>
      <c r="S82" s="77" t="str">
        <f t="shared" si="489"/>
        <v>O. Giroud (og)</v>
      </c>
      <c r="T82" s="77" t="str">
        <f t="shared" si="490"/>
        <v>J. Rojas (og)</v>
      </c>
      <c r="U82" s="77" t="str">
        <f t="shared" si="491"/>
        <v>J. Rojas (og)</v>
      </c>
      <c r="V82" s="77" t="str">
        <f t="shared" si="492"/>
        <v>A. Jahanbakhsh (og)</v>
      </c>
      <c r="W82" s="77" t="str">
        <f t="shared" si="493"/>
        <v>A. Jahanbakhsh (og)</v>
      </c>
      <c r="X82" s="77" t="str">
        <f t="shared" si="494"/>
        <v>V. Ibišević (og)</v>
      </c>
      <c r="Y82" s="77" t="str">
        <f t="shared" si="495"/>
        <v>V. Ibišević (og)</v>
      </c>
      <c r="Z82" s="77" t="str">
        <f t="shared" si="496"/>
        <v>K. Boateng (og)</v>
      </c>
      <c r="AA82" s="77" t="str">
        <f t="shared" si="497"/>
        <v>K. Boateng (og)</v>
      </c>
      <c r="AB82" s="77" t="str">
        <f t="shared" si="498"/>
        <v>H. Almeida (og)</v>
      </c>
      <c r="AC82" s="77" t="str">
        <f t="shared" si="499"/>
        <v>H. Almeida (og)</v>
      </c>
      <c r="AD82" s="77" t="str">
        <f t="shared" si="500"/>
        <v>A. Kokorin (og)</v>
      </c>
      <c r="AE82" s="77" t="str">
        <f t="shared" si="501"/>
        <v>A. Kokorin (og)</v>
      </c>
      <c r="AF82" s="77" t="str">
        <f t="shared" si="502"/>
        <v>N. Ghilas (og)</v>
      </c>
      <c r="AG82" s="77" t="str">
        <f t="shared" si="503"/>
        <v>N. Ghilas (og)</v>
      </c>
      <c r="BT82" s="77" t="str">
        <f t="shared" ca="1" si="85"/>
        <v>Cameroon</v>
      </c>
      <c r="BU82" s="77">
        <f t="shared" si="461"/>
        <v>80</v>
      </c>
      <c r="BV82" s="77" t="str">
        <f t="shared" si="440"/>
        <v>A13</v>
      </c>
      <c r="BW82" s="77">
        <f t="shared" si="428"/>
        <v>4</v>
      </c>
      <c r="BX82" s="77" t="str">
        <f t="shared" ca="1" si="441"/>
        <v>J. Makoun</v>
      </c>
      <c r="BY82" s="77">
        <f ca="1">COUNTIF('Group Stages'!$L$14:$S$110,BX82)+COUNTIF('Knock Out Stages'!$N$41:$U$84,BX82)</f>
        <v>0</v>
      </c>
      <c r="BZ82" s="77" t="str">
        <f t="shared" si="429"/>
        <v>'Player Database'!A13</v>
      </c>
      <c r="CA82" s="77" t="str">
        <f t="shared" ca="1" si="430"/>
        <v>Jean Makoun</v>
      </c>
      <c r="CB82" s="77">
        <v>79</v>
      </c>
      <c r="CC82" s="77" t="str">
        <f t="array" aca="1" ref="CC82" ca="1">IFERROR(INDEX($BX$3:$BX$738, SMALL(IF(COUNTIF(CC$3, $BY$3:$BY$738), ROW($BX$3:$BX$738)-MIN(ROW($BX$3:$BX$738))+1), $CB82), 0),"")</f>
        <v/>
      </c>
      <c r="CS82" s="77">
        <f t="shared" si="425"/>
        <v>79</v>
      </c>
      <c r="CT82" s="77">
        <f t="shared" si="426"/>
        <v>2</v>
      </c>
      <c r="CU82" s="77" t="s">
        <v>3999</v>
      </c>
      <c r="CV82" s="77" t="str">
        <f t="shared" ca="1" si="431"/>
        <v/>
      </c>
      <c r="CW82" s="77">
        <f t="shared" ca="1" si="462"/>
        <v>0</v>
      </c>
      <c r="CZ82" s="77">
        <v>79</v>
      </c>
      <c r="DA82" s="77" t="str">
        <f t="shared" ca="1" si="463"/>
        <v/>
      </c>
      <c r="DB82" s="77" t="str">
        <f t="shared" ca="1" si="464"/>
        <v/>
      </c>
      <c r="DC82" s="77" t="str">
        <f t="shared" ca="1" si="470"/>
        <v/>
      </c>
      <c r="DD82" s="77" t="str">
        <f t="shared" ca="1" si="465"/>
        <v/>
      </c>
    </row>
    <row r="83" spans="1:108">
      <c r="A83" s="77">
        <f t="shared" si="471"/>
        <v>10</v>
      </c>
      <c r="B83" s="77" t="str">
        <f t="shared" si="472"/>
        <v>G. dos Santos (og)</v>
      </c>
      <c r="C83" s="77" t="str">
        <f t="shared" si="473"/>
        <v>G. dos Santos (og)</v>
      </c>
      <c r="D83" s="77" t="str">
        <f t="shared" si="474"/>
        <v>L. Modrić (og)</v>
      </c>
      <c r="E83" s="77" t="str">
        <f t="shared" si="475"/>
        <v>L. Modrić (og)</v>
      </c>
      <c r="F83" s="77" t="str">
        <f t="shared" si="476"/>
        <v>J. Valdívia (og)</v>
      </c>
      <c r="G83" s="77" t="str">
        <f t="shared" si="477"/>
        <v>J. Valdívia (og)</v>
      </c>
      <c r="H83" s="77" t="str">
        <f t="shared" si="478"/>
        <v>W. Sneijder (og)</v>
      </c>
      <c r="I83" s="77" t="str">
        <f t="shared" si="479"/>
        <v>W. Sneijder (og)</v>
      </c>
      <c r="J83" s="77" t="str">
        <f t="shared" si="480"/>
        <v>Gervinho (og)</v>
      </c>
      <c r="K83" s="77" t="str">
        <f t="shared" si="481"/>
        <v>Gervinho (og)</v>
      </c>
      <c r="L83" s="77" t="str">
        <f t="shared" si="482"/>
        <v>G. Karagounis  (og)</v>
      </c>
      <c r="M83" s="77" t="str">
        <f t="shared" si="483"/>
        <v>G. Karagounis  (og)</v>
      </c>
      <c r="N83" s="77" t="str">
        <f t="shared" si="484"/>
        <v>W. Rooney (og)</v>
      </c>
      <c r="O83" s="77" t="str">
        <f t="shared" si="485"/>
        <v>W. Rooney (og)</v>
      </c>
      <c r="P83" s="77" t="str">
        <f t="shared" si="486"/>
        <v>B. Ruiz  (og)</v>
      </c>
      <c r="Q83" s="77" t="str">
        <f t="shared" si="487"/>
        <v>B. Ruiz  (og)</v>
      </c>
      <c r="R83" s="77" t="str">
        <f t="shared" si="488"/>
        <v>K. Benzema (og)</v>
      </c>
      <c r="S83" s="77" t="str">
        <f t="shared" si="489"/>
        <v>K. Benzema (og)</v>
      </c>
      <c r="T83" s="77" t="str">
        <f t="shared" si="490"/>
        <v>W. Ayoví (og)</v>
      </c>
      <c r="U83" s="77" t="str">
        <f t="shared" si="491"/>
        <v>W. Ayoví (og)</v>
      </c>
      <c r="V83" s="77" t="str">
        <f t="shared" si="492"/>
        <v>K. Ansarifard (og)</v>
      </c>
      <c r="W83" s="77" t="str">
        <f t="shared" si="493"/>
        <v>K. Ansarifard (og)</v>
      </c>
      <c r="X83" s="77" t="str">
        <f t="shared" si="494"/>
        <v>Z. Misimović (og)</v>
      </c>
      <c r="Y83" s="77" t="str">
        <f t="shared" si="495"/>
        <v>Z. Misimović (og)</v>
      </c>
      <c r="Z83" s="77" t="str">
        <f t="shared" si="496"/>
        <v>A. Ayew (og)</v>
      </c>
      <c r="AA83" s="77" t="str">
        <f t="shared" si="497"/>
        <v>A. Ayew (og)</v>
      </c>
      <c r="AB83" s="77" t="str">
        <f t="shared" si="498"/>
        <v>Vieirinha (og)</v>
      </c>
      <c r="AC83" s="77" t="str">
        <f t="shared" si="499"/>
        <v>Vieirinha (og)</v>
      </c>
      <c r="AD83" s="77" t="str">
        <f t="shared" si="500"/>
        <v>A. Dzagoev (og)</v>
      </c>
      <c r="AE83" s="77" t="str">
        <f t="shared" si="501"/>
        <v>A. Dzagoev (og)</v>
      </c>
      <c r="AF83" s="77" t="str">
        <f t="shared" si="502"/>
        <v>S. Feghouli (og)</v>
      </c>
      <c r="AG83" s="77" t="str">
        <f t="shared" si="503"/>
        <v>S. Feghouli (og)</v>
      </c>
      <c r="BT83" s="77" t="str">
        <f t="shared" ca="1" si="85"/>
        <v>Cameroon</v>
      </c>
      <c r="BU83" s="77">
        <f t="shared" si="461"/>
        <v>81</v>
      </c>
      <c r="BV83" s="77" t="str">
        <f t="shared" si="440"/>
        <v>A14</v>
      </c>
      <c r="BW83" s="77">
        <f t="shared" si="428"/>
        <v>4</v>
      </c>
      <c r="BX83" s="77" t="str">
        <f t="shared" ca="1" si="441"/>
        <v>H. Bedimo</v>
      </c>
      <c r="BY83" s="77">
        <f ca="1">COUNTIF('Group Stages'!$L$14:$S$110,BX83)+COUNTIF('Knock Out Stages'!$N$41:$U$84,BX83)</f>
        <v>0</v>
      </c>
      <c r="BZ83" s="77" t="str">
        <f t="shared" si="429"/>
        <v>'Player Database'!A14</v>
      </c>
      <c r="CA83" s="77" t="str">
        <f t="shared" ca="1" si="430"/>
        <v>Henri Bedimo</v>
      </c>
      <c r="CB83" s="77">
        <v>80</v>
      </c>
      <c r="CC83" s="77" t="str">
        <f t="array" aca="1" ref="CC83" ca="1">IFERROR(INDEX($BX$3:$BX$738, SMALL(IF(COUNTIF(CC$3, $BY$3:$BY$738), ROW($BX$3:$BX$738)-MIN(ROW($BX$3:$BX$738))+1), $CB83), 0),"")</f>
        <v/>
      </c>
      <c r="CS83" s="77">
        <f t="shared" si="425"/>
        <v>80</v>
      </c>
      <c r="CT83" s="77">
        <f t="shared" si="426"/>
        <v>2</v>
      </c>
      <c r="CU83" s="77" t="s">
        <v>4000</v>
      </c>
      <c r="CV83" s="77" t="str">
        <f t="shared" ca="1" si="431"/>
        <v/>
      </c>
      <c r="CW83" s="77">
        <f t="shared" ca="1" si="462"/>
        <v>0</v>
      </c>
      <c r="CZ83" s="77">
        <v>80</v>
      </c>
      <c r="DA83" s="77" t="str">
        <f t="shared" ca="1" si="463"/>
        <v/>
      </c>
      <c r="DB83" s="77" t="str">
        <f t="shared" ca="1" si="464"/>
        <v/>
      </c>
      <c r="DC83" s="77" t="str">
        <f t="shared" ca="1" si="470"/>
        <v/>
      </c>
      <c r="DD83" s="77" t="str">
        <f t="shared" ca="1" si="465"/>
        <v/>
      </c>
    </row>
    <row r="84" spans="1:108">
      <c r="A84" s="77">
        <f t="shared" si="471"/>
        <v>11</v>
      </c>
      <c r="B84" s="77" t="str">
        <f t="shared" si="472"/>
        <v>A. Pulido (og)</v>
      </c>
      <c r="C84" s="77" t="str">
        <f t="shared" si="473"/>
        <v>A. Pulido (og)</v>
      </c>
      <c r="D84" s="77" t="str">
        <f t="shared" si="474"/>
        <v>D. Srna  (og)</v>
      </c>
      <c r="E84" s="77" t="str">
        <f t="shared" si="475"/>
        <v>D. Srna  (og)</v>
      </c>
      <c r="F84" s="77" t="str">
        <f t="shared" si="476"/>
        <v>E. Vargas (og)</v>
      </c>
      <c r="G84" s="77" t="str">
        <f t="shared" si="477"/>
        <v>E. Vargas (og)</v>
      </c>
      <c r="H84" s="77" t="str">
        <f t="shared" si="478"/>
        <v>A. Robben (og)</v>
      </c>
      <c r="I84" s="77" t="str">
        <f t="shared" si="479"/>
        <v>A. Robben (og)</v>
      </c>
      <c r="J84" s="77" t="str">
        <f t="shared" si="480"/>
        <v>D. Drogba  (og)</v>
      </c>
      <c r="K84" s="77" t="str">
        <f t="shared" si="481"/>
        <v>D. Drogba  (og)</v>
      </c>
      <c r="L84" s="77" t="str">
        <f t="shared" si="482"/>
        <v>L. Vyntra (og)</v>
      </c>
      <c r="M84" s="77" t="str">
        <f t="shared" si="483"/>
        <v>L. Vyntra (og)</v>
      </c>
      <c r="N84" s="77" t="str">
        <f t="shared" si="484"/>
        <v>D. Welbeck (og)</v>
      </c>
      <c r="O84" s="77" t="str">
        <f t="shared" si="485"/>
        <v>D. Welbeck (og)</v>
      </c>
      <c r="P84" s="77" t="str">
        <f t="shared" si="486"/>
        <v>M. Barrantes (og)</v>
      </c>
      <c r="Q84" s="77" t="str">
        <f t="shared" si="487"/>
        <v>M. Barrantes (og)</v>
      </c>
      <c r="R84" s="77" t="str">
        <f t="shared" si="488"/>
        <v>A. Griezmann (og)</v>
      </c>
      <c r="S84" s="77" t="str">
        <f t="shared" si="489"/>
        <v>A. Griezmann (og)</v>
      </c>
      <c r="T84" s="77" t="str">
        <f t="shared" si="490"/>
        <v>F. Caicedo (og)</v>
      </c>
      <c r="U84" s="77" t="str">
        <f t="shared" si="491"/>
        <v>F. Caicedo (og)</v>
      </c>
      <c r="V84" s="77" t="str">
        <f t="shared" si="492"/>
        <v>G. Haddadifar (og)</v>
      </c>
      <c r="W84" s="77" t="str">
        <f t="shared" si="493"/>
        <v>G. Haddadifar (og)</v>
      </c>
      <c r="X84" s="77" t="str">
        <f t="shared" si="494"/>
        <v>E. Džeko (og)</v>
      </c>
      <c r="Y84" s="77" t="str">
        <f t="shared" si="495"/>
        <v>E. Džeko (og)</v>
      </c>
      <c r="Z84" s="77" t="str">
        <f t="shared" si="496"/>
        <v>S. Muntari (og)</v>
      </c>
      <c r="AA84" s="77" t="str">
        <f t="shared" si="497"/>
        <v>S. Muntari (og)</v>
      </c>
      <c r="AB84" s="77" t="str">
        <f t="shared" si="498"/>
        <v>Éder (og)</v>
      </c>
      <c r="AC84" s="77" t="str">
        <f t="shared" si="499"/>
        <v>Éder (og)</v>
      </c>
      <c r="AD84" s="77" t="str">
        <f t="shared" si="500"/>
        <v>A. Kerzhakov (og)</v>
      </c>
      <c r="AE84" s="77" t="str">
        <f t="shared" si="501"/>
        <v>A. Kerzhakov (og)</v>
      </c>
      <c r="AF84" s="77" t="str">
        <f t="shared" si="502"/>
        <v>Y. Brahimi (og)</v>
      </c>
      <c r="AG84" s="77" t="str">
        <f t="shared" si="503"/>
        <v>Y. Brahimi (og)</v>
      </c>
      <c r="BT84" s="77" t="str">
        <f t="shared" ca="1" si="85"/>
        <v>Cameroon</v>
      </c>
      <c r="BU84" s="77">
        <f t="shared" si="461"/>
        <v>82</v>
      </c>
      <c r="BV84" s="77" t="str">
        <f t="shared" si="440"/>
        <v>A15</v>
      </c>
      <c r="BW84" s="77">
        <f t="shared" si="428"/>
        <v>4</v>
      </c>
      <c r="BX84" s="77" t="str">
        <f t="shared" ca="1" si="441"/>
        <v>M. Choupo-Moting</v>
      </c>
      <c r="BY84" s="77">
        <f ca="1">COUNTIF('Group Stages'!$L$14:$S$110,BX84)+COUNTIF('Knock Out Stages'!$N$41:$U$84,BX84)</f>
        <v>0</v>
      </c>
      <c r="BZ84" s="77" t="str">
        <f t="shared" si="429"/>
        <v>'Player Database'!A15</v>
      </c>
      <c r="CA84" s="77" t="str">
        <f t="shared" ca="1" si="430"/>
        <v>Maxim Choupo-Moting</v>
      </c>
      <c r="CB84" s="77">
        <v>81</v>
      </c>
      <c r="CC84" s="77" t="str">
        <f t="array" aca="1" ref="CC84" ca="1">IFERROR(INDEX($BX$3:$BX$738, SMALL(IF(COUNTIF(CC$3, $BY$3:$BY$738), ROW($BX$3:$BX$738)-MIN(ROW($BX$3:$BX$738))+1), $CB84), 0),"")</f>
        <v/>
      </c>
      <c r="CS84" s="77">
        <f t="shared" si="425"/>
        <v>81</v>
      </c>
      <c r="CT84" s="77">
        <f t="shared" si="426"/>
        <v>2</v>
      </c>
      <c r="CU84" s="77" t="s">
        <v>4001</v>
      </c>
      <c r="CV84" s="77" t="str">
        <f t="shared" ca="1" si="431"/>
        <v/>
      </c>
      <c r="CW84" s="77">
        <f t="shared" ca="1" si="462"/>
        <v>0</v>
      </c>
      <c r="CZ84" s="77">
        <v>81</v>
      </c>
      <c r="DA84" s="77" t="str">
        <f t="shared" ca="1" si="463"/>
        <v/>
      </c>
      <c r="DB84" s="77" t="str">
        <f t="shared" ca="1" si="464"/>
        <v/>
      </c>
      <c r="DC84" s="77" t="str">
        <f t="shared" ca="1" si="470"/>
        <v/>
      </c>
      <c r="DD84" s="77" t="str">
        <f t="shared" ca="1" si="465"/>
        <v/>
      </c>
    </row>
    <row r="85" spans="1:108">
      <c r="A85" s="77">
        <f t="shared" si="471"/>
        <v>12</v>
      </c>
      <c r="B85" s="77" t="str">
        <f t="shared" si="472"/>
        <v>A. Talavera (og)</v>
      </c>
      <c r="C85" s="77" t="str">
        <f t="shared" si="473"/>
        <v>A. Talavera (og)</v>
      </c>
      <c r="D85" s="77" t="str">
        <f t="shared" si="474"/>
        <v>O. Zelenika (og)</v>
      </c>
      <c r="E85" s="77" t="str">
        <f t="shared" si="475"/>
        <v>O. Zelenika (og)</v>
      </c>
      <c r="F85" s="77" t="str">
        <f t="shared" si="476"/>
        <v>C. Toselli (og)</v>
      </c>
      <c r="G85" s="77" t="str">
        <f t="shared" si="477"/>
        <v>C. Toselli (og)</v>
      </c>
      <c r="H85" s="77" t="str">
        <f t="shared" si="478"/>
        <v>P. Verhaegh (og)</v>
      </c>
      <c r="I85" s="77" t="str">
        <f t="shared" si="479"/>
        <v>P. Verhaegh (og)</v>
      </c>
      <c r="J85" s="77" t="str">
        <f t="shared" si="480"/>
        <v>W. Bony (og)</v>
      </c>
      <c r="K85" s="77" t="str">
        <f t="shared" si="481"/>
        <v>W. Bony (og)</v>
      </c>
      <c r="L85" s="77" t="str">
        <f t="shared" si="482"/>
        <v>P. Glykos (og)</v>
      </c>
      <c r="M85" s="77" t="str">
        <f t="shared" si="483"/>
        <v>P. Glykos (og)</v>
      </c>
      <c r="N85" s="77" t="str">
        <f t="shared" si="484"/>
        <v>C. Smalling (og)</v>
      </c>
      <c r="O85" s="77" t="str">
        <f t="shared" si="485"/>
        <v>C. Smalling (og)</v>
      </c>
      <c r="P85" s="77" t="str">
        <f t="shared" si="486"/>
        <v>W. Francis (og)</v>
      </c>
      <c r="Q85" s="77" t="str">
        <f t="shared" si="487"/>
        <v>W. Francis (og)</v>
      </c>
      <c r="R85" s="77" t="str">
        <f t="shared" si="488"/>
        <v>R. Mavuba (og)</v>
      </c>
      <c r="S85" s="77" t="str">
        <f t="shared" si="489"/>
        <v>R. Mavuba (og)</v>
      </c>
      <c r="T85" s="77" t="str">
        <f t="shared" si="490"/>
        <v>A. Bone (og)</v>
      </c>
      <c r="U85" s="77" t="str">
        <f t="shared" si="491"/>
        <v>A. Bone (og)</v>
      </c>
      <c r="V85" s="77" t="str">
        <f t="shared" si="492"/>
        <v>A. Haghighi (og)</v>
      </c>
      <c r="W85" s="77" t="str">
        <f t="shared" si="493"/>
        <v>A. Haghighi (og)</v>
      </c>
      <c r="X85" s="77" t="str">
        <f t="shared" si="494"/>
        <v>J. Fejzić (og)</v>
      </c>
      <c r="Y85" s="77" t="str">
        <f t="shared" si="495"/>
        <v>J. Fejzić (og)</v>
      </c>
      <c r="Z85" s="77" t="str">
        <f t="shared" si="496"/>
        <v>A. Kwarasey (og)</v>
      </c>
      <c r="AA85" s="77" t="str">
        <f t="shared" si="497"/>
        <v>A. Kwarasey (og)</v>
      </c>
      <c r="AB85" s="77" t="str">
        <f t="shared" si="498"/>
        <v>R. Patrício (og)</v>
      </c>
      <c r="AC85" s="77" t="str">
        <f t="shared" si="499"/>
        <v>R. Patrício (og)</v>
      </c>
      <c r="AD85" s="77" t="str">
        <f t="shared" si="500"/>
        <v>Y. Lodygin (og)</v>
      </c>
      <c r="AE85" s="77" t="str">
        <f t="shared" si="501"/>
        <v>Y. Lodygin (og)</v>
      </c>
      <c r="AF85" s="77" t="str">
        <f t="shared" si="502"/>
        <v>M. Lacen (og)</v>
      </c>
      <c r="AG85" s="77" t="str">
        <f t="shared" si="503"/>
        <v>M. Lacen (og)</v>
      </c>
      <c r="BT85" s="77" t="str">
        <f t="shared" ca="1" si="85"/>
        <v>Cameroon</v>
      </c>
      <c r="BU85" s="77">
        <f t="shared" si="461"/>
        <v>83</v>
      </c>
      <c r="BV85" s="77" t="str">
        <f t="shared" si="440"/>
        <v>A16</v>
      </c>
      <c r="BW85" s="77">
        <f t="shared" si="428"/>
        <v>4</v>
      </c>
      <c r="BX85" s="77" t="str">
        <f t="shared" ca="1" si="441"/>
        <v>A. Chedjou</v>
      </c>
      <c r="BY85" s="77">
        <f ca="1">COUNTIF('Group Stages'!$L$14:$S$110,BX85)+COUNTIF('Knock Out Stages'!$N$41:$U$84,BX85)</f>
        <v>0</v>
      </c>
      <c r="BZ85" s="77" t="str">
        <f t="shared" si="429"/>
        <v>'Player Database'!A16</v>
      </c>
      <c r="CA85" s="77" t="str">
        <f t="shared" ca="1" si="430"/>
        <v>Aurélien Chedjou</v>
      </c>
      <c r="CB85" s="77">
        <v>82</v>
      </c>
      <c r="CC85" s="77" t="str">
        <f t="array" aca="1" ref="CC85" ca="1">IFERROR(INDEX($BX$3:$BX$738, SMALL(IF(COUNTIF(CC$3, $BY$3:$BY$738), ROW($BX$3:$BX$738)-MIN(ROW($BX$3:$BX$738))+1), $CB85), 0),"")</f>
        <v/>
      </c>
      <c r="CS85" s="77">
        <f t="shared" si="425"/>
        <v>82</v>
      </c>
      <c r="CT85" s="77">
        <f t="shared" si="426"/>
        <v>2</v>
      </c>
      <c r="CU85" s="77" t="s">
        <v>4002</v>
      </c>
      <c r="CV85" s="77" t="str">
        <f t="shared" ca="1" si="431"/>
        <v/>
      </c>
      <c r="CW85" s="77">
        <f t="shared" ca="1" si="462"/>
        <v>0</v>
      </c>
      <c r="CZ85" s="77">
        <v>82</v>
      </c>
      <c r="DA85" s="77" t="str">
        <f t="shared" ca="1" si="463"/>
        <v/>
      </c>
      <c r="DB85" s="77" t="str">
        <f t="shared" ca="1" si="464"/>
        <v/>
      </c>
      <c r="DC85" s="77" t="str">
        <f t="shared" ca="1" si="470"/>
        <v/>
      </c>
      <c r="DD85" s="77" t="str">
        <f t="shared" ca="1" si="465"/>
        <v/>
      </c>
    </row>
    <row r="86" spans="1:108">
      <c r="A86" s="77">
        <f t="shared" si="471"/>
        <v>13</v>
      </c>
      <c r="B86" s="77" t="str">
        <f t="shared" si="472"/>
        <v>G. Ochoa (og)</v>
      </c>
      <c r="C86" s="77" t="str">
        <f t="shared" si="473"/>
        <v>G. Ochoa (og)</v>
      </c>
      <c r="D86" s="77" t="str">
        <f t="shared" si="474"/>
        <v>G. Schildenfeld (og)</v>
      </c>
      <c r="E86" s="77" t="str">
        <f t="shared" si="475"/>
        <v>G. Schildenfeld (og)</v>
      </c>
      <c r="F86" s="77" t="str">
        <f t="shared" si="476"/>
        <v>J. Rojas (og)</v>
      </c>
      <c r="G86" s="77" t="str">
        <f t="shared" si="477"/>
        <v>J. Rojas (og)</v>
      </c>
      <c r="H86" s="77" t="str">
        <f t="shared" si="478"/>
        <v>J. Veltman (og)</v>
      </c>
      <c r="I86" s="77" t="str">
        <f t="shared" si="479"/>
        <v>J. Veltman (og)</v>
      </c>
      <c r="J86" s="77" t="str">
        <f t="shared" si="480"/>
        <v>D. Ya Konan (og)</v>
      </c>
      <c r="K86" s="77" t="str">
        <f t="shared" si="481"/>
        <v>D. Ya Konan (og)</v>
      </c>
      <c r="L86" s="77" t="str">
        <f t="shared" si="482"/>
        <v>S. Kapino (og)</v>
      </c>
      <c r="M86" s="77" t="str">
        <f t="shared" si="483"/>
        <v>S. Kapino (og)</v>
      </c>
      <c r="N86" s="77" t="str">
        <f t="shared" si="484"/>
        <v>B. Foster (og)</v>
      </c>
      <c r="O86" s="77" t="str">
        <f t="shared" si="485"/>
        <v>B. Foster (og)</v>
      </c>
      <c r="P86" s="77" t="str">
        <f t="shared" si="486"/>
        <v>E. Granados (og)</v>
      </c>
      <c r="Q86" s="77" t="str">
        <f t="shared" si="487"/>
        <v>E. Granados (og)</v>
      </c>
      <c r="R86" s="77" t="str">
        <f t="shared" si="488"/>
        <v>E. Mangala (og)</v>
      </c>
      <c r="S86" s="77" t="str">
        <f t="shared" si="489"/>
        <v>E. Mangala (og)</v>
      </c>
      <c r="T86" s="77" t="str">
        <f t="shared" si="490"/>
        <v>E. Valencia (og)</v>
      </c>
      <c r="U86" s="77" t="str">
        <f t="shared" si="491"/>
        <v>E. Valencia (og)</v>
      </c>
      <c r="V86" s="77" t="str">
        <f t="shared" si="492"/>
        <v>H. Mahini (og)</v>
      </c>
      <c r="W86" s="77" t="str">
        <f t="shared" si="493"/>
        <v>H. Mahini (og)</v>
      </c>
      <c r="X86" s="77" t="str">
        <f t="shared" si="494"/>
        <v>M. Mujdža (og)</v>
      </c>
      <c r="Y86" s="77" t="str">
        <f t="shared" si="495"/>
        <v>M. Mujdža (og)</v>
      </c>
      <c r="Z86" s="77" t="str">
        <f t="shared" si="496"/>
        <v>J. Ayew (og)</v>
      </c>
      <c r="AA86" s="77" t="str">
        <f t="shared" si="497"/>
        <v>J. Ayew (og)</v>
      </c>
      <c r="AB86" s="77" t="str">
        <f t="shared" si="498"/>
        <v>R. Costa (og)</v>
      </c>
      <c r="AC86" s="77" t="str">
        <f t="shared" si="499"/>
        <v>R. Costa (og)</v>
      </c>
      <c r="AD86" s="77" t="str">
        <f t="shared" si="500"/>
        <v>V. Granat (og)</v>
      </c>
      <c r="AE86" s="77" t="str">
        <f t="shared" si="501"/>
        <v>V. Granat (og)</v>
      </c>
      <c r="AF86" s="77" t="str">
        <f t="shared" si="502"/>
        <v>I. Slimani (og)</v>
      </c>
      <c r="AG86" s="77" t="str">
        <f t="shared" si="503"/>
        <v>I. Slimani (og)</v>
      </c>
      <c r="BT86" s="77" t="str">
        <f t="shared" ca="1" si="85"/>
        <v>Cameroon</v>
      </c>
      <c r="BU86" s="77">
        <f t="shared" si="461"/>
        <v>84</v>
      </c>
      <c r="BV86" s="77" t="str">
        <f t="shared" si="440"/>
        <v>A17</v>
      </c>
      <c r="BW86" s="77">
        <f t="shared" si="428"/>
        <v>4</v>
      </c>
      <c r="BX86" s="77" t="str">
        <f t="shared" ca="1" si="441"/>
        <v>P. Webó</v>
      </c>
      <c r="BY86" s="77">
        <f ca="1">COUNTIF('Group Stages'!$L$14:$S$110,BX86)+COUNTIF('Knock Out Stages'!$N$41:$U$84,BX86)</f>
        <v>0</v>
      </c>
      <c r="BZ86" s="77" t="str">
        <f t="shared" si="429"/>
        <v>'Player Database'!A17</v>
      </c>
      <c r="CA86" s="77" t="str">
        <f t="shared" ca="1" si="430"/>
        <v>Pierre Webó</v>
      </c>
      <c r="CB86" s="77">
        <v>83</v>
      </c>
      <c r="CC86" s="77" t="str">
        <f t="array" aca="1" ref="CC86" ca="1">IFERROR(INDEX($BX$3:$BX$738, SMALL(IF(COUNTIF(CC$3, $BY$3:$BY$738), ROW($BX$3:$BX$738)-MIN(ROW($BX$3:$BX$738))+1), $CB86), 0),"")</f>
        <v/>
      </c>
      <c r="CS86" s="77">
        <f t="shared" si="425"/>
        <v>83</v>
      </c>
      <c r="CT86" s="77">
        <f t="shared" si="426"/>
        <v>2</v>
      </c>
      <c r="CU86" s="77" t="s">
        <v>4003</v>
      </c>
      <c r="CV86" s="77" t="str">
        <f t="shared" ca="1" si="431"/>
        <v/>
      </c>
      <c r="CW86" s="77">
        <f t="shared" ca="1" si="462"/>
        <v>0</v>
      </c>
      <c r="CZ86" s="77">
        <v>83</v>
      </c>
      <c r="DA86" s="77" t="str">
        <f t="shared" ca="1" si="463"/>
        <v/>
      </c>
      <c r="DB86" s="77" t="str">
        <f t="shared" ca="1" si="464"/>
        <v/>
      </c>
      <c r="DC86" s="77" t="str">
        <f t="shared" ca="1" si="470"/>
        <v/>
      </c>
      <c r="DD86" s="77" t="str">
        <f t="shared" ca="1" si="465"/>
        <v/>
      </c>
    </row>
    <row r="87" spans="1:108">
      <c r="A87" s="77">
        <f t="shared" si="471"/>
        <v>14</v>
      </c>
      <c r="B87" s="77" t="str">
        <f t="shared" si="472"/>
        <v>J. Hernández (og)</v>
      </c>
      <c r="C87" s="77" t="str">
        <f t="shared" si="473"/>
        <v>J. Hernández (og)</v>
      </c>
      <c r="D87" s="77" t="str">
        <f t="shared" si="474"/>
        <v>M. Brozović (og)</v>
      </c>
      <c r="E87" s="77" t="str">
        <f t="shared" si="475"/>
        <v>M. Brozović (og)</v>
      </c>
      <c r="F87" s="77" t="str">
        <f t="shared" si="476"/>
        <v>F. Orellana (og)</v>
      </c>
      <c r="G87" s="77" t="str">
        <f t="shared" si="477"/>
        <v>F. Orellana (og)</v>
      </c>
      <c r="H87" s="77" t="str">
        <f t="shared" si="478"/>
        <v>T. Kongolo (og)</v>
      </c>
      <c r="I87" s="77" t="str">
        <f t="shared" si="479"/>
        <v>T. Kongolo (og)</v>
      </c>
      <c r="J87" s="77" t="str">
        <f t="shared" si="480"/>
        <v>I. Diomandé (og)</v>
      </c>
      <c r="K87" s="77" t="str">
        <f t="shared" si="481"/>
        <v>I. Diomandé (og)</v>
      </c>
      <c r="L87" s="77" t="str">
        <f t="shared" si="482"/>
        <v>D. Salpingidis (og)</v>
      </c>
      <c r="M87" s="77" t="str">
        <f t="shared" si="483"/>
        <v>D. Salpingidis (og)</v>
      </c>
      <c r="N87" s="77" t="str">
        <f t="shared" si="484"/>
        <v>J. Henderson (og)</v>
      </c>
      <c r="O87" s="77" t="str">
        <f t="shared" si="485"/>
        <v>J. Henderson (og)</v>
      </c>
      <c r="P87" s="77" t="str">
        <f t="shared" si="486"/>
        <v>R. Brenes (og)</v>
      </c>
      <c r="Q87" s="77" t="str">
        <f t="shared" si="487"/>
        <v>R. Brenes (og)</v>
      </c>
      <c r="R87" s="77" t="str">
        <f t="shared" si="488"/>
        <v>B. Matuidi (og)</v>
      </c>
      <c r="S87" s="77" t="str">
        <f t="shared" si="489"/>
        <v>B. Matuidi (og)</v>
      </c>
      <c r="T87" s="77" t="str">
        <f t="shared" si="490"/>
        <v>O. Minda (og)</v>
      </c>
      <c r="U87" s="77" t="str">
        <f t="shared" si="491"/>
        <v>O. Minda (og)</v>
      </c>
      <c r="V87" s="77" t="str">
        <f t="shared" si="492"/>
        <v>A. Teymourian (og)</v>
      </c>
      <c r="W87" s="77" t="str">
        <f t="shared" si="493"/>
        <v>A. Teymourian (og)</v>
      </c>
      <c r="X87" s="77" t="str">
        <f t="shared" si="494"/>
        <v>I. Hajrović (og)</v>
      </c>
      <c r="Y87" s="77" t="str">
        <f t="shared" si="495"/>
        <v>I. Hajrović (og)</v>
      </c>
      <c r="Z87" s="77" t="str">
        <f t="shared" si="496"/>
        <v>A. Adomah (og)</v>
      </c>
      <c r="AA87" s="77" t="str">
        <f t="shared" si="497"/>
        <v>A. Adomah (og)</v>
      </c>
      <c r="AB87" s="77" t="str">
        <f t="shared" si="498"/>
        <v>L. Neto (og)</v>
      </c>
      <c r="AC87" s="77" t="str">
        <f t="shared" si="499"/>
        <v>L. Neto (og)</v>
      </c>
      <c r="AD87" s="77" t="str">
        <f t="shared" si="500"/>
        <v>V. Berezutski  (og)</v>
      </c>
      <c r="AE87" s="77" t="str">
        <f t="shared" si="501"/>
        <v>V. Berezutski  (og)</v>
      </c>
      <c r="AF87" s="77" t="str">
        <f t="shared" si="502"/>
        <v>N. Bentaleb (og)</v>
      </c>
      <c r="AG87" s="77" t="str">
        <f t="shared" si="503"/>
        <v>N. Bentaleb (og)</v>
      </c>
      <c r="BT87" s="77" t="str">
        <f t="shared" ca="1" si="85"/>
        <v>Cameroon</v>
      </c>
      <c r="BU87" s="77">
        <f t="shared" si="461"/>
        <v>85</v>
      </c>
      <c r="BV87" s="77" t="str">
        <f t="shared" si="440"/>
        <v>A18</v>
      </c>
      <c r="BW87" s="77">
        <f t="shared" si="428"/>
        <v>4</v>
      </c>
      <c r="BX87" s="77" t="str">
        <f t="shared" ca="1" si="441"/>
        <v>C. Itandje</v>
      </c>
      <c r="BY87" s="77">
        <f ca="1">COUNTIF('Group Stages'!$L$14:$S$110,BX87)+COUNTIF('Knock Out Stages'!$N$41:$U$84,BX87)</f>
        <v>0</v>
      </c>
      <c r="BZ87" s="77" t="str">
        <f t="shared" si="429"/>
        <v>'Player Database'!A18</v>
      </c>
      <c r="CA87" s="77" t="str">
        <f t="shared" ca="1" si="430"/>
        <v>Charles Itandje</v>
      </c>
      <c r="CB87" s="77">
        <v>84</v>
      </c>
      <c r="CC87" s="77" t="str">
        <f t="array" aca="1" ref="CC87" ca="1">IFERROR(INDEX($BX$3:$BX$738, SMALL(IF(COUNTIF(CC$3, $BY$3:$BY$738), ROW($BX$3:$BX$738)-MIN(ROW($BX$3:$BX$738))+1), $CB87), 0),"")</f>
        <v/>
      </c>
      <c r="CS87" s="77">
        <f t="shared" si="425"/>
        <v>84</v>
      </c>
      <c r="CT87" s="77">
        <f t="shared" si="426"/>
        <v>2</v>
      </c>
      <c r="CU87" s="77" t="s">
        <v>4004</v>
      </c>
      <c r="CV87" s="77" t="str">
        <f t="shared" ca="1" si="431"/>
        <v/>
      </c>
      <c r="CW87" s="77">
        <f t="shared" ca="1" si="462"/>
        <v>0</v>
      </c>
      <c r="CZ87" s="77">
        <v>84</v>
      </c>
      <c r="DA87" s="77" t="str">
        <f t="shared" ca="1" si="463"/>
        <v/>
      </c>
      <c r="DB87" s="77" t="str">
        <f t="shared" ca="1" si="464"/>
        <v/>
      </c>
      <c r="DC87" s="77" t="str">
        <f t="shared" ca="1" si="470"/>
        <v/>
      </c>
      <c r="DD87" s="77" t="str">
        <f t="shared" ca="1" si="465"/>
        <v/>
      </c>
    </row>
    <row r="88" spans="1:108">
      <c r="A88" s="77">
        <f t="shared" si="471"/>
        <v>15</v>
      </c>
      <c r="B88" s="77" t="str">
        <f t="shared" si="472"/>
        <v>H. Moreno (og)</v>
      </c>
      <c r="C88" s="77" t="str">
        <f t="shared" si="473"/>
        <v>H. Moreno (og)</v>
      </c>
      <c r="D88" s="77" t="str">
        <f t="shared" si="474"/>
        <v>M. Badelj (og)</v>
      </c>
      <c r="E88" s="77" t="str">
        <f t="shared" si="475"/>
        <v>M. Badelj (og)</v>
      </c>
      <c r="F88" s="77" t="str">
        <f t="shared" si="476"/>
        <v>J. Beausejour (og)</v>
      </c>
      <c r="G88" s="77" t="str">
        <f t="shared" si="477"/>
        <v>J. Beausejour (og)</v>
      </c>
      <c r="H88" s="77" t="str">
        <f t="shared" si="478"/>
        <v>D. Kuyt (og)</v>
      </c>
      <c r="I88" s="77" t="str">
        <f t="shared" si="479"/>
        <v>D. Kuyt (og)</v>
      </c>
      <c r="J88" s="77" t="str">
        <f t="shared" si="480"/>
        <v>M. Gradel (og)</v>
      </c>
      <c r="K88" s="77" t="str">
        <f t="shared" si="481"/>
        <v>M. Gradel (og)</v>
      </c>
      <c r="L88" s="77" t="str">
        <f t="shared" si="482"/>
        <v>V. Torosidis (og)</v>
      </c>
      <c r="M88" s="77" t="str">
        <f t="shared" si="483"/>
        <v>V. Torosidis (og)</v>
      </c>
      <c r="N88" s="77" t="str">
        <f t="shared" si="484"/>
        <v>A. Oxlade-Chamberlain (og)</v>
      </c>
      <c r="O88" s="77" t="str">
        <f t="shared" si="485"/>
        <v>A. Oxlade-Chamberlain (og)</v>
      </c>
      <c r="P88" s="77" t="str">
        <f t="shared" si="486"/>
        <v>J. Díaz (og)</v>
      </c>
      <c r="Q88" s="77" t="str">
        <f t="shared" si="487"/>
        <v>J. Díaz (og)</v>
      </c>
      <c r="R88" s="77" t="str">
        <f t="shared" si="488"/>
        <v>B. Sagna (og)</v>
      </c>
      <c r="S88" s="77" t="str">
        <f t="shared" si="489"/>
        <v>B. Sagna (og)</v>
      </c>
      <c r="T88" s="77" t="str">
        <f t="shared" si="490"/>
        <v>M. Arroyo (og)</v>
      </c>
      <c r="U88" s="77" t="str">
        <f t="shared" si="491"/>
        <v>M. Arroyo (og)</v>
      </c>
      <c r="V88" s="77" t="str">
        <f t="shared" si="492"/>
        <v>P. Montazeri (og)</v>
      </c>
      <c r="W88" s="77" t="str">
        <f t="shared" si="493"/>
        <v>P. Montazeri (og)</v>
      </c>
      <c r="X88" s="77" t="str">
        <f t="shared" si="494"/>
        <v>T. Šunjić (og)</v>
      </c>
      <c r="Y88" s="77" t="str">
        <f t="shared" si="495"/>
        <v>T. Šunjić (og)</v>
      </c>
      <c r="Z88" s="77" t="str">
        <f t="shared" si="496"/>
        <v>R. Sumaila (og)</v>
      </c>
      <c r="AA88" s="77" t="str">
        <f t="shared" si="497"/>
        <v>R. Sumaila (og)</v>
      </c>
      <c r="AB88" s="77" t="str">
        <f t="shared" si="498"/>
        <v>R. Silva (og)</v>
      </c>
      <c r="AC88" s="77" t="str">
        <f t="shared" si="499"/>
        <v>R. Silva (og)</v>
      </c>
      <c r="AD88" s="77" t="str">
        <f t="shared" si="500"/>
        <v>P. Mogilevets (og)</v>
      </c>
      <c r="AE88" s="77" t="str">
        <f t="shared" si="501"/>
        <v>P. Mogilevets (og)</v>
      </c>
      <c r="AF88" s="77" t="str">
        <f t="shared" si="502"/>
        <v>E. Arbi Hillel Soudani (og)</v>
      </c>
      <c r="AG88" s="77" t="str">
        <f t="shared" si="503"/>
        <v>E. Arbi Hillel Soudani (og)</v>
      </c>
      <c r="BT88" s="77" t="str">
        <f t="shared" ca="1" si="85"/>
        <v>Cameroon</v>
      </c>
      <c r="BU88" s="77">
        <f t="shared" si="461"/>
        <v>86</v>
      </c>
      <c r="BV88" s="77" t="str">
        <f t="shared" si="440"/>
        <v>A19</v>
      </c>
      <c r="BW88" s="77">
        <f t="shared" si="428"/>
        <v>4</v>
      </c>
      <c r="BX88" s="77" t="str">
        <f t="shared" ca="1" si="441"/>
        <v>S. Mbia</v>
      </c>
      <c r="BY88" s="77">
        <f ca="1">COUNTIF('Group Stages'!$L$14:$S$110,BX88)+COUNTIF('Knock Out Stages'!$N$41:$U$84,BX88)</f>
        <v>0</v>
      </c>
      <c r="BZ88" s="77" t="str">
        <f t="shared" si="429"/>
        <v>'Player Database'!A19</v>
      </c>
      <c r="CA88" s="77" t="str">
        <f t="shared" ca="1" si="430"/>
        <v>Stéphane Mbia</v>
      </c>
      <c r="CB88" s="77">
        <v>85</v>
      </c>
      <c r="CC88" s="77" t="str">
        <f t="array" aca="1" ref="CC88" ca="1">IFERROR(INDEX($BX$3:$BX$738, SMALL(IF(COUNTIF(CC$3, $BY$3:$BY$738), ROW($BX$3:$BX$738)-MIN(ROW($BX$3:$BX$738))+1), $CB88), 0),"")</f>
        <v/>
      </c>
      <c r="CS88" s="77">
        <f t="shared" si="425"/>
        <v>85</v>
      </c>
      <c r="CT88" s="77">
        <f t="shared" si="426"/>
        <v>3</v>
      </c>
      <c r="CU88" s="77" t="str">
        <f>CU46</f>
        <v>CR4</v>
      </c>
      <c r="CV88" s="77" t="str">
        <f t="shared" ca="1" si="431"/>
        <v/>
      </c>
      <c r="CW88" s="77">
        <f t="shared" ca="1" si="462"/>
        <v>0</v>
      </c>
      <c r="CZ88" s="77">
        <v>85</v>
      </c>
      <c r="DA88" s="77" t="str">
        <f t="shared" ca="1" si="463"/>
        <v/>
      </c>
      <c r="DB88" s="77" t="str">
        <f t="shared" ca="1" si="464"/>
        <v/>
      </c>
      <c r="DC88" s="77" t="str">
        <f t="shared" ca="1" si="470"/>
        <v/>
      </c>
      <c r="DD88" s="77" t="str">
        <f t="shared" ca="1" si="465"/>
        <v/>
      </c>
    </row>
    <row r="89" spans="1:108">
      <c r="A89" s="77">
        <f t="shared" si="471"/>
        <v>16</v>
      </c>
      <c r="B89" s="77" t="str">
        <f t="shared" si="472"/>
        <v>M. Ángel Ponce (og)</v>
      </c>
      <c r="C89" s="77" t="str">
        <f t="shared" si="473"/>
        <v>M. Ángel Ponce (og)</v>
      </c>
      <c r="D89" s="77" t="str">
        <f t="shared" si="474"/>
        <v>A. Rebić (og)</v>
      </c>
      <c r="E89" s="77" t="str">
        <f t="shared" si="475"/>
        <v>A. Rebić (og)</v>
      </c>
      <c r="F89" s="77" t="str">
        <f t="shared" si="476"/>
        <v>F. Gutiérrez (og)</v>
      </c>
      <c r="G89" s="77" t="str">
        <f t="shared" si="477"/>
        <v>F. Gutiérrez (og)</v>
      </c>
      <c r="H89" s="77" t="str">
        <f t="shared" si="478"/>
        <v>J. Clasie (og)</v>
      </c>
      <c r="I89" s="77" t="str">
        <f t="shared" si="479"/>
        <v>J. Clasie (og)</v>
      </c>
      <c r="J89" s="77" t="str">
        <f t="shared" si="480"/>
        <v>S. Gbohouo (og)</v>
      </c>
      <c r="K89" s="77" t="str">
        <f t="shared" si="481"/>
        <v>S. Gbohouo (og)</v>
      </c>
      <c r="L89" s="77" t="str">
        <f t="shared" si="482"/>
        <v>L. Christodoulopoulos (og)</v>
      </c>
      <c r="M89" s="77" t="str">
        <f t="shared" si="483"/>
        <v>L. Christodoulopoulos (og)</v>
      </c>
      <c r="N89" s="77" t="str">
        <f t="shared" si="484"/>
        <v>P. Jones (og)</v>
      </c>
      <c r="O89" s="77" t="str">
        <f t="shared" si="485"/>
        <v>P. Jones (og)</v>
      </c>
      <c r="P89" s="77" t="str">
        <f t="shared" si="486"/>
        <v>C. Gamboa (og)</v>
      </c>
      <c r="Q89" s="77" t="str">
        <f t="shared" si="487"/>
        <v>C. Gamboa (og)</v>
      </c>
      <c r="R89" s="77" t="str">
        <f t="shared" si="488"/>
        <v>S. Ruffier[39] (og)</v>
      </c>
      <c r="S89" s="77" t="str">
        <f t="shared" si="489"/>
        <v>S. Ruffier[39] (og)</v>
      </c>
      <c r="T89" s="77" t="str">
        <f t="shared" si="490"/>
        <v>A. Valencia  (og)</v>
      </c>
      <c r="U89" s="77" t="str">
        <f t="shared" si="491"/>
        <v>A. Valencia  (og)</v>
      </c>
      <c r="V89" s="77" t="str">
        <f t="shared" si="492"/>
        <v>R. Ghoochannejhad (og)</v>
      </c>
      <c r="W89" s="77" t="str">
        <f t="shared" si="493"/>
        <v>R. Ghoochannejhad (og)</v>
      </c>
      <c r="X89" s="77" t="str">
        <f t="shared" si="494"/>
        <v>S. Lulić (og)</v>
      </c>
      <c r="Y89" s="77" t="str">
        <f t="shared" si="495"/>
        <v>S. Lulić (og)</v>
      </c>
      <c r="Z89" s="77" t="str">
        <f t="shared" si="496"/>
        <v>F. Dauda (og)</v>
      </c>
      <c r="AA89" s="77" t="str">
        <f t="shared" si="497"/>
        <v>F. Dauda (og)</v>
      </c>
      <c r="AB89" s="77" t="str">
        <f t="shared" si="498"/>
        <v>R. Meireles (og)</v>
      </c>
      <c r="AC89" s="77" t="str">
        <f t="shared" si="499"/>
        <v>R. Meireles (og)</v>
      </c>
      <c r="AD89" s="77" t="str">
        <f t="shared" si="500"/>
        <v>S. Ryzhikov (og)</v>
      </c>
      <c r="AE89" s="77" t="str">
        <f t="shared" si="501"/>
        <v>S. Ryzhikov (og)</v>
      </c>
      <c r="AF89" s="77" t="str">
        <f t="shared" si="502"/>
        <v>M. Zemmamouche (og)</v>
      </c>
      <c r="AG89" s="77" t="str">
        <f t="shared" si="503"/>
        <v>M. Zemmamouche (og)</v>
      </c>
      <c r="BT89" s="77" t="str">
        <f t="shared" ca="1" si="85"/>
        <v>Cameroon</v>
      </c>
      <c r="BU89" s="77">
        <f t="shared" si="461"/>
        <v>87</v>
      </c>
      <c r="BV89" s="77" t="str">
        <f t="shared" si="440"/>
        <v>A20</v>
      </c>
      <c r="BW89" s="77">
        <f t="shared" si="428"/>
        <v>4</v>
      </c>
      <c r="BX89" s="77" t="str">
        <f t="shared" ca="1" si="441"/>
        <v>E. Enoh</v>
      </c>
      <c r="BY89" s="77">
        <f ca="1">COUNTIF('Group Stages'!$L$14:$S$110,BX89)+COUNTIF('Knock Out Stages'!$N$41:$U$84,BX89)</f>
        <v>0</v>
      </c>
      <c r="BZ89" s="77" t="str">
        <f t="shared" si="429"/>
        <v>'Player Database'!A20</v>
      </c>
      <c r="CA89" s="77" t="str">
        <f t="shared" ca="1" si="430"/>
        <v>Eyong Enoh</v>
      </c>
      <c r="CB89" s="77">
        <v>86</v>
      </c>
      <c r="CC89" s="77" t="str">
        <f t="array" aca="1" ref="CC89" ca="1">IFERROR(INDEX($BX$3:$BX$738, SMALL(IF(COUNTIF(CC$3, $BY$3:$BY$738), ROW($BX$3:$BX$738)-MIN(ROW($BX$3:$BX$738))+1), $CB89), 0),"")</f>
        <v/>
      </c>
      <c r="CS89" s="77">
        <f t="shared" ref="CS89:CS152" si="504">CS88+1</f>
        <v>86</v>
      </c>
      <c r="CT89" s="77">
        <f t="shared" si="426"/>
        <v>3</v>
      </c>
      <c r="CU89" s="77" t="str">
        <f t="shared" ref="CU89:CU152" si="505">CU47</f>
        <v>CR5</v>
      </c>
      <c r="CV89" s="77" t="str">
        <f t="shared" ref="CV89:CV152" ca="1" si="506">OFFSET(INDIRECT(CU89),0,-CT89)</f>
        <v/>
      </c>
      <c r="CW89" s="77">
        <f t="shared" ca="1" si="462"/>
        <v>0</v>
      </c>
      <c r="CZ89" s="77">
        <v>86</v>
      </c>
      <c r="DA89" s="77" t="str">
        <f t="shared" ca="1" si="463"/>
        <v/>
      </c>
      <c r="DB89" s="77" t="str">
        <f t="shared" ca="1" si="464"/>
        <v/>
      </c>
      <c r="DC89" s="77" t="str">
        <f t="shared" ca="1" si="470"/>
        <v/>
      </c>
      <c r="DD89" s="77" t="str">
        <f t="shared" ca="1" si="465"/>
        <v/>
      </c>
    </row>
    <row r="90" spans="1:108">
      <c r="A90" s="77">
        <f t="shared" si="471"/>
        <v>17</v>
      </c>
      <c r="B90" s="77" t="str">
        <f t="shared" si="472"/>
        <v>I. Brizuela (og)</v>
      </c>
      <c r="C90" s="77" t="str">
        <f t="shared" si="473"/>
        <v>I. Brizuela (og)</v>
      </c>
      <c r="D90" s="77" t="str">
        <f t="shared" si="474"/>
        <v>M. Mandžukić (og)</v>
      </c>
      <c r="E90" s="77" t="str">
        <f t="shared" si="475"/>
        <v>M. Mandžukić (og)</v>
      </c>
      <c r="F90" s="77" t="str">
        <f t="shared" si="476"/>
        <v>G. Medel (og)</v>
      </c>
      <c r="G90" s="77" t="str">
        <f t="shared" si="477"/>
        <v>G. Medel (og)</v>
      </c>
      <c r="H90" s="77" t="str">
        <f t="shared" si="478"/>
        <v>J. Lens (og)</v>
      </c>
      <c r="I90" s="77" t="str">
        <f t="shared" si="479"/>
        <v>J. Lens (og)</v>
      </c>
      <c r="J90" s="77" t="str">
        <f t="shared" si="480"/>
        <v>S. Aurier (og)</v>
      </c>
      <c r="K90" s="77" t="str">
        <f t="shared" si="481"/>
        <v>S. Aurier (og)</v>
      </c>
      <c r="L90" s="77" t="str">
        <f t="shared" si="482"/>
        <v>T. Gekas (og)</v>
      </c>
      <c r="M90" s="77" t="str">
        <f t="shared" si="483"/>
        <v>T. Gekas (og)</v>
      </c>
      <c r="N90" s="77" t="str">
        <f t="shared" si="484"/>
        <v>J. Milner (og)</v>
      </c>
      <c r="O90" s="77" t="str">
        <f t="shared" si="485"/>
        <v>J. Milner (og)</v>
      </c>
      <c r="P90" s="77" t="str">
        <f t="shared" si="486"/>
        <v>Y. Tejeda (og)</v>
      </c>
      <c r="Q90" s="77" t="str">
        <f t="shared" si="487"/>
        <v>Y. Tejeda (og)</v>
      </c>
      <c r="R90" s="77" t="str">
        <f t="shared" si="488"/>
        <v>L. Digne (og)</v>
      </c>
      <c r="S90" s="77" t="str">
        <f t="shared" si="489"/>
        <v>L. Digne (og)</v>
      </c>
      <c r="T90" s="77" t="str">
        <f t="shared" si="490"/>
        <v>J. Ayoví (og)</v>
      </c>
      <c r="U90" s="77" t="str">
        <f t="shared" si="491"/>
        <v>J. Ayoví (og)</v>
      </c>
      <c r="V90" s="77" t="str">
        <f t="shared" si="492"/>
        <v>A. Alenemeh (og)</v>
      </c>
      <c r="W90" s="77" t="str">
        <f t="shared" si="493"/>
        <v>A. Alenemeh (og)</v>
      </c>
      <c r="X90" s="77" t="str">
        <f t="shared" si="494"/>
        <v>S. Ibričić (og)</v>
      </c>
      <c r="Y90" s="77" t="str">
        <f t="shared" si="495"/>
        <v>S. Ibričić (og)</v>
      </c>
      <c r="Z90" s="77" t="str">
        <f t="shared" si="496"/>
        <v>M. Rabiu (og)</v>
      </c>
      <c r="AA90" s="77" t="str">
        <f t="shared" si="497"/>
        <v>M. Rabiu (og)</v>
      </c>
      <c r="AB90" s="77" t="str">
        <f t="shared" si="498"/>
        <v>Nani (og)</v>
      </c>
      <c r="AC90" s="77" t="str">
        <f t="shared" si="499"/>
        <v>Nani (og)</v>
      </c>
      <c r="AD90" s="77" t="str">
        <f t="shared" si="500"/>
        <v>O. Shatov (og)</v>
      </c>
      <c r="AE90" s="77" t="str">
        <f t="shared" si="501"/>
        <v>O. Shatov (og)</v>
      </c>
      <c r="AF90" s="77" t="str">
        <f t="shared" si="502"/>
        <v>L. Cadamuro-Bentaïba (og)</v>
      </c>
      <c r="AG90" s="77" t="str">
        <f t="shared" si="503"/>
        <v>L. Cadamuro-Bentaïba (og)</v>
      </c>
      <c r="BT90" s="77" t="str">
        <f t="shared" ca="1" si="85"/>
        <v>Cameroon</v>
      </c>
      <c r="BU90" s="77">
        <f t="shared" si="461"/>
        <v>88</v>
      </c>
      <c r="BV90" s="77" t="str">
        <f t="shared" si="440"/>
        <v>A21</v>
      </c>
      <c r="BW90" s="77">
        <f t="shared" si="428"/>
        <v>4</v>
      </c>
      <c r="BX90" s="77" t="str">
        <f t="shared" ca="1" si="441"/>
        <v>F. Olinga</v>
      </c>
      <c r="BY90" s="77">
        <f ca="1">COUNTIF('Group Stages'!$L$14:$S$110,BX90)+COUNTIF('Knock Out Stages'!$N$41:$U$84,BX90)</f>
        <v>0</v>
      </c>
      <c r="BZ90" s="77" t="str">
        <f t="shared" si="429"/>
        <v>'Player Database'!A21</v>
      </c>
      <c r="CA90" s="77" t="str">
        <f t="shared" ca="1" si="430"/>
        <v>Fabrice Olinga</v>
      </c>
      <c r="CB90" s="77">
        <v>87</v>
      </c>
      <c r="CC90" s="77" t="str">
        <f t="array" aca="1" ref="CC90" ca="1">IFERROR(INDEX($BX$3:$BX$738, SMALL(IF(COUNTIF(CC$3, $BY$3:$BY$738), ROW($BX$3:$BX$738)-MIN(ROW($BX$3:$BX$738))+1), $CB90), 0),"")</f>
        <v/>
      </c>
      <c r="CS90" s="77">
        <f t="shared" si="504"/>
        <v>87</v>
      </c>
      <c r="CT90" s="77">
        <f t="shared" si="426"/>
        <v>3</v>
      </c>
      <c r="CU90" s="77" t="str">
        <f t="shared" si="505"/>
        <v>CR6</v>
      </c>
      <c r="CV90" s="77" t="str">
        <f t="shared" ca="1" si="506"/>
        <v/>
      </c>
      <c r="CW90" s="77">
        <f t="shared" ca="1" si="462"/>
        <v>0</v>
      </c>
      <c r="CZ90" s="77">
        <v>87</v>
      </c>
      <c r="DA90" s="77" t="str">
        <f t="shared" ca="1" si="463"/>
        <v/>
      </c>
      <c r="DB90" s="77" t="str">
        <f t="shared" ca="1" si="464"/>
        <v/>
      </c>
      <c r="DC90" s="77" t="str">
        <f t="shared" ca="1" si="470"/>
        <v/>
      </c>
      <c r="DD90" s="77" t="str">
        <f t="shared" ca="1" si="465"/>
        <v/>
      </c>
    </row>
    <row r="91" spans="1:108">
      <c r="A91" s="77">
        <f t="shared" si="471"/>
        <v>18</v>
      </c>
      <c r="B91" s="77" t="str">
        <f t="shared" si="472"/>
        <v>A. Guardado (og)</v>
      </c>
      <c r="C91" s="77" t="str">
        <f t="shared" si="473"/>
        <v>A. Guardado (og)</v>
      </c>
      <c r="D91" s="77" t="str">
        <f t="shared" si="474"/>
        <v>I. Olić (og)</v>
      </c>
      <c r="E91" s="77" t="str">
        <f t="shared" si="475"/>
        <v>I. Olić (og)</v>
      </c>
      <c r="F91" s="77" t="str">
        <f t="shared" si="476"/>
        <v>G. Jara (og)</v>
      </c>
      <c r="G91" s="77" t="str">
        <f t="shared" si="477"/>
        <v>G. Jara (og)</v>
      </c>
      <c r="H91" s="77" t="str">
        <f t="shared" si="478"/>
        <v>L. Fer (og)</v>
      </c>
      <c r="I91" s="77" t="str">
        <f t="shared" si="479"/>
        <v>L. Fer (og)</v>
      </c>
      <c r="J91" s="77" t="str">
        <f t="shared" si="480"/>
        <v>C. Djakpa (og)</v>
      </c>
      <c r="K91" s="77" t="str">
        <f t="shared" si="481"/>
        <v>C. Djakpa (og)</v>
      </c>
      <c r="L91" s="77" t="str">
        <f t="shared" si="482"/>
        <v>G. Fetfatzidis (og)</v>
      </c>
      <c r="M91" s="77" t="str">
        <f t="shared" si="483"/>
        <v>G. Fetfatzidis (og)</v>
      </c>
      <c r="N91" s="77" t="str">
        <f t="shared" si="484"/>
        <v>R. Lambert (og)</v>
      </c>
      <c r="O91" s="77" t="str">
        <f t="shared" si="485"/>
        <v>R. Lambert (og)</v>
      </c>
      <c r="P91" s="77" t="str">
        <f t="shared" si="486"/>
        <v>P. Pemberton (og)</v>
      </c>
      <c r="Q91" s="77" t="str">
        <f t="shared" si="487"/>
        <v>P. Pemberton (og)</v>
      </c>
      <c r="R91" s="77" t="str">
        <f t="shared" si="488"/>
        <v>M. Sissoko (og)</v>
      </c>
      <c r="S91" s="77" t="str">
        <f t="shared" si="489"/>
        <v>M. Sissoko (og)</v>
      </c>
      <c r="T91" s="77" t="str">
        <f t="shared" si="490"/>
        <v>Ó. Bagüí (og)</v>
      </c>
      <c r="U91" s="77" t="str">
        <f t="shared" si="491"/>
        <v>Ó. Bagüí (og)</v>
      </c>
      <c r="V91" s="77" t="str">
        <f t="shared" si="492"/>
        <v>B. Rahmani (og)</v>
      </c>
      <c r="W91" s="77" t="str">
        <f t="shared" si="493"/>
        <v>B. Rahmani (og)</v>
      </c>
      <c r="X91" s="77" t="str">
        <f t="shared" si="494"/>
        <v>H. Medunjanin (og)</v>
      </c>
      <c r="Y91" s="77" t="str">
        <f t="shared" si="495"/>
        <v>H. Medunjanin (og)</v>
      </c>
      <c r="Z91" s="77" t="str">
        <f t="shared" si="496"/>
        <v>M. Waris (og)</v>
      </c>
      <c r="AA91" s="77" t="str">
        <f t="shared" si="497"/>
        <v>M. Waris (og)</v>
      </c>
      <c r="AB91" s="77" t="str">
        <f t="shared" si="498"/>
        <v>S. Varela (og)</v>
      </c>
      <c r="AC91" s="77" t="str">
        <f t="shared" si="499"/>
        <v>S. Varela (og)</v>
      </c>
      <c r="AD91" s="77" t="str">
        <f t="shared" si="500"/>
        <v>Y. Zhirkov (og)</v>
      </c>
      <c r="AE91" s="77" t="str">
        <f t="shared" si="501"/>
        <v>Y. Zhirkov (og)</v>
      </c>
      <c r="AF91" s="77" t="str">
        <f t="shared" si="502"/>
        <v>A. Djabou (og)</v>
      </c>
      <c r="AG91" s="77" t="str">
        <f t="shared" si="503"/>
        <v>A. Djabou (og)</v>
      </c>
      <c r="BT91" s="77" t="str">
        <f t="shared" ref="BT91:BT154" ca="1" si="507">OFFSET($A$2,0,BW91)</f>
        <v>Cameroon</v>
      </c>
      <c r="BU91" s="77">
        <f t="shared" si="461"/>
        <v>89</v>
      </c>
      <c r="BV91" s="77" t="str">
        <f t="shared" si="440"/>
        <v>A22</v>
      </c>
      <c r="BW91" s="77">
        <f t="shared" si="428"/>
        <v>4</v>
      </c>
      <c r="BX91" s="77" t="str">
        <f t="shared" ca="1" si="441"/>
        <v>E. Salli</v>
      </c>
      <c r="BY91" s="77">
        <f ca="1">COUNTIF('Group Stages'!$L$14:$S$110,BX91)+COUNTIF('Knock Out Stages'!$N$41:$U$84,BX91)</f>
        <v>0</v>
      </c>
      <c r="BZ91" s="77" t="str">
        <f t="shared" si="429"/>
        <v>'Player Database'!A22</v>
      </c>
      <c r="CA91" s="77" t="str">
        <f t="shared" ca="1" si="430"/>
        <v>Edgar Salli</v>
      </c>
      <c r="CB91" s="77">
        <v>88</v>
      </c>
      <c r="CC91" s="77" t="str">
        <f t="array" aca="1" ref="CC91" ca="1">IFERROR(INDEX($BX$3:$BX$738, SMALL(IF(COUNTIF(CC$3, $BY$3:$BY$738), ROW($BX$3:$BX$738)-MIN(ROW($BX$3:$BX$738))+1), $CB91), 0),"")</f>
        <v/>
      </c>
      <c r="CS91" s="77">
        <f t="shared" si="504"/>
        <v>88</v>
      </c>
      <c r="CT91" s="77">
        <f t="shared" si="426"/>
        <v>3</v>
      </c>
      <c r="CU91" s="77" t="str">
        <f t="shared" si="505"/>
        <v>CR7</v>
      </c>
      <c r="CV91" s="77" t="str">
        <f t="shared" ca="1" si="506"/>
        <v/>
      </c>
      <c r="CW91" s="77">
        <f t="shared" ca="1" si="462"/>
        <v>0</v>
      </c>
      <c r="CZ91" s="77">
        <v>88</v>
      </c>
      <c r="DA91" s="77" t="str">
        <f t="shared" ca="1" si="463"/>
        <v/>
      </c>
      <c r="DB91" s="77" t="str">
        <f t="shared" ca="1" si="464"/>
        <v/>
      </c>
      <c r="DC91" s="77" t="str">
        <f t="shared" ca="1" si="470"/>
        <v/>
      </c>
      <c r="DD91" s="77" t="str">
        <f t="shared" ca="1" si="465"/>
        <v/>
      </c>
    </row>
    <row r="92" spans="1:108">
      <c r="A92" s="77">
        <f t="shared" si="471"/>
        <v>19</v>
      </c>
      <c r="B92" s="77" t="str">
        <f t="shared" si="472"/>
        <v>O. Peralta (og)</v>
      </c>
      <c r="C92" s="77" t="str">
        <f t="shared" si="473"/>
        <v>O. Peralta (og)</v>
      </c>
      <c r="D92" s="77" t="str">
        <f t="shared" si="474"/>
        <v>Sammir (og)</v>
      </c>
      <c r="E92" s="77" t="str">
        <f t="shared" si="475"/>
        <v>Sammir (og)</v>
      </c>
      <c r="F92" s="77" t="str">
        <f t="shared" si="476"/>
        <v>J. Pedro Fuenzalida (og)</v>
      </c>
      <c r="G92" s="77" t="str">
        <f t="shared" si="477"/>
        <v>J. Pedro Fuenzalida (og)</v>
      </c>
      <c r="H92" s="77" t="str">
        <f t="shared" si="478"/>
        <v>K. Huntelaar (og)</v>
      </c>
      <c r="I92" s="77" t="str">
        <f t="shared" si="479"/>
        <v>K. Huntelaar (og)</v>
      </c>
      <c r="J92" s="77" t="str">
        <f t="shared" si="480"/>
        <v>Y. Touré (og)</v>
      </c>
      <c r="K92" s="77" t="str">
        <f t="shared" si="481"/>
        <v>Y. Touré (og)</v>
      </c>
      <c r="L92" s="77" t="str">
        <f t="shared" si="482"/>
        <v>S. Papastathopoulos (og)</v>
      </c>
      <c r="M92" s="77" t="str">
        <f t="shared" si="483"/>
        <v>S. Papastathopoulos (og)</v>
      </c>
      <c r="N92" s="77" t="str">
        <f t="shared" si="484"/>
        <v>R. Sterling (og)</v>
      </c>
      <c r="O92" s="77" t="str">
        <f t="shared" si="485"/>
        <v>R. Sterling (og)</v>
      </c>
      <c r="P92" s="77" t="str">
        <f t="shared" si="486"/>
        <v>R. Miller (og)</v>
      </c>
      <c r="Q92" s="77" t="str">
        <f t="shared" si="487"/>
        <v>R. Miller (og)</v>
      </c>
      <c r="R92" s="77" t="str">
        <f t="shared" si="488"/>
        <v>P. Pogba (og)</v>
      </c>
      <c r="S92" s="77" t="str">
        <f t="shared" si="489"/>
        <v>P. Pogba (og)</v>
      </c>
      <c r="T92" s="77" t="str">
        <f t="shared" si="490"/>
        <v>L. Saritama (og)</v>
      </c>
      <c r="U92" s="77" t="str">
        <f t="shared" si="491"/>
        <v>L. Saritama (og)</v>
      </c>
      <c r="V92" s="77" t="str">
        <f t="shared" si="492"/>
        <v>H. Beikzadeh (og)</v>
      </c>
      <c r="W92" s="77" t="str">
        <f t="shared" si="493"/>
        <v>H. Beikzadeh (og)</v>
      </c>
      <c r="X92" s="77" t="str">
        <f t="shared" si="494"/>
        <v>E. Višća (og)</v>
      </c>
      <c r="Y92" s="77" t="str">
        <f t="shared" si="495"/>
        <v>E. Višća (og)</v>
      </c>
      <c r="Z92" s="77" t="str">
        <f t="shared" si="496"/>
        <v>J. Mensah (og)</v>
      </c>
      <c r="AA92" s="77" t="str">
        <f t="shared" si="497"/>
        <v>J. Mensah (og)</v>
      </c>
      <c r="AB92" s="77" t="str">
        <f t="shared" si="498"/>
        <v>A. Almeida (og)</v>
      </c>
      <c r="AC92" s="77" t="str">
        <f t="shared" si="499"/>
        <v>A. Almeida (og)</v>
      </c>
      <c r="AD92" s="77" t="str">
        <f t="shared" si="500"/>
        <v>A. Samedov (og)</v>
      </c>
      <c r="AE92" s="77" t="str">
        <f t="shared" si="501"/>
        <v>A. Samedov (og)</v>
      </c>
      <c r="AF92" s="77" t="str">
        <f t="shared" si="502"/>
        <v>S. Taïder (og)</v>
      </c>
      <c r="AG92" s="77" t="str">
        <f t="shared" si="503"/>
        <v>S. Taïder (og)</v>
      </c>
      <c r="BT92" s="77" t="str">
        <f t="shared" ca="1" si="507"/>
        <v>Cameroon</v>
      </c>
      <c r="BU92" s="77">
        <f t="shared" si="461"/>
        <v>90</v>
      </c>
      <c r="BV92" s="77" t="str">
        <f t="shared" si="440"/>
        <v>A23</v>
      </c>
      <c r="BW92" s="77">
        <f t="shared" si="428"/>
        <v>4</v>
      </c>
      <c r="BX92" s="77" t="str">
        <f t="shared" ca="1" si="441"/>
        <v>J. Matip</v>
      </c>
      <c r="BY92" s="77">
        <f ca="1">COUNTIF('Group Stages'!$L$14:$S$110,BX92)+COUNTIF('Knock Out Stages'!$N$41:$U$84,BX92)</f>
        <v>0</v>
      </c>
      <c r="BZ92" s="77" t="str">
        <f t="shared" si="429"/>
        <v>'Player Database'!A23</v>
      </c>
      <c r="CA92" s="77" t="str">
        <f t="shared" ca="1" si="430"/>
        <v>Joël Matip</v>
      </c>
      <c r="CB92" s="77">
        <v>89</v>
      </c>
      <c r="CC92" s="77" t="str">
        <f t="array" aca="1" ref="CC92" ca="1">IFERROR(INDEX($BX$3:$BX$738, SMALL(IF(COUNTIF(CC$3, $BY$3:$BY$738), ROW($BX$3:$BX$738)-MIN(ROW($BX$3:$BX$738))+1), $CB92), 0),"")</f>
        <v/>
      </c>
      <c r="CS92" s="77">
        <f t="shared" si="504"/>
        <v>89</v>
      </c>
      <c r="CT92" s="77">
        <f t="shared" si="426"/>
        <v>3</v>
      </c>
      <c r="CU92" s="77" t="str">
        <f t="shared" si="505"/>
        <v>CR8</v>
      </c>
      <c r="CV92" s="77" t="str">
        <f t="shared" ca="1" si="506"/>
        <v/>
      </c>
      <c r="CW92" s="77">
        <f t="shared" ca="1" si="462"/>
        <v>0</v>
      </c>
      <c r="CZ92" s="77">
        <v>89</v>
      </c>
      <c r="DA92" s="77" t="str">
        <f t="shared" ca="1" si="463"/>
        <v/>
      </c>
      <c r="DB92" s="77" t="str">
        <f t="shared" ca="1" si="464"/>
        <v/>
      </c>
      <c r="DC92" s="77" t="str">
        <f t="shared" ca="1" si="470"/>
        <v/>
      </c>
      <c r="DD92" s="77" t="str">
        <f t="shared" ca="1" si="465"/>
        <v/>
      </c>
    </row>
    <row r="93" spans="1:108">
      <c r="A93" s="77">
        <f t="shared" si="471"/>
        <v>20</v>
      </c>
      <c r="B93" s="77" t="str">
        <f t="shared" si="472"/>
        <v>J. Aquino (og)</v>
      </c>
      <c r="C93" s="77" t="str">
        <f t="shared" si="473"/>
        <v>J. Aquino (og)</v>
      </c>
      <c r="D93" s="77" t="str">
        <f t="shared" si="474"/>
        <v>M. Kovačić (og)</v>
      </c>
      <c r="E93" s="77" t="str">
        <f t="shared" si="475"/>
        <v>M. Kovačić (og)</v>
      </c>
      <c r="F93" s="77" t="str">
        <f t="shared" si="476"/>
        <v>C. Aránguiz (og)</v>
      </c>
      <c r="G93" s="77" t="str">
        <f t="shared" si="477"/>
        <v>C. Aránguiz (og)</v>
      </c>
      <c r="H93" s="77" t="str">
        <f t="shared" si="478"/>
        <v>G. Wijnaldum (og)</v>
      </c>
      <c r="I93" s="77" t="str">
        <f t="shared" si="479"/>
        <v>G. Wijnaldum (og)</v>
      </c>
      <c r="J93" s="77" t="str">
        <f t="shared" si="480"/>
        <v>S. Die (og)</v>
      </c>
      <c r="K93" s="77" t="str">
        <f t="shared" si="481"/>
        <v>S. Die (og)</v>
      </c>
      <c r="L93" s="77" t="str">
        <f t="shared" si="482"/>
        <v>J. Holebas (og)</v>
      </c>
      <c r="M93" s="77" t="str">
        <f t="shared" si="483"/>
        <v>J. Holebas (og)</v>
      </c>
      <c r="N93" s="77" t="str">
        <f t="shared" si="484"/>
        <v>A. Lallana (og)</v>
      </c>
      <c r="O93" s="77" t="str">
        <f t="shared" si="485"/>
        <v>A. Lallana (og)</v>
      </c>
      <c r="P93" s="77" t="str">
        <f t="shared" si="486"/>
        <v>D. Calvo (og)</v>
      </c>
      <c r="Q93" s="77" t="str">
        <f t="shared" si="487"/>
        <v>D. Calvo (og)</v>
      </c>
      <c r="R93" s="77" t="str">
        <f t="shared" si="488"/>
        <v>L. Rémy (og)</v>
      </c>
      <c r="S93" s="77" t="str">
        <f t="shared" si="489"/>
        <v>L. Rémy (og)</v>
      </c>
      <c r="T93" s="77" t="str">
        <f t="shared" si="490"/>
        <v>F. Martínez (og)</v>
      </c>
      <c r="U93" s="77" t="str">
        <f t="shared" si="491"/>
        <v>F. Martínez (og)</v>
      </c>
      <c r="V93" s="77" t="str">
        <f t="shared" si="492"/>
        <v>S. Beitashour (og)</v>
      </c>
      <c r="W93" s="77" t="str">
        <f t="shared" si="493"/>
        <v>S. Beitashour (og)</v>
      </c>
      <c r="X93" s="77" t="str">
        <f t="shared" si="494"/>
        <v>A. Hadžić (og)</v>
      </c>
      <c r="Y93" s="77" t="str">
        <f t="shared" si="495"/>
        <v>A. Hadžić (og)</v>
      </c>
      <c r="Z93" s="77" t="str">
        <f t="shared" si="496"/>
        <v>K. Asamoah (og)</v>
      </c>
      <c r="AA93" s="77" t="str">
        <f t="shared" si="497"/>
        <v>K. Asamoah (og)</v>
      </c>
      <c r="AB93" s="77" t="str">
        <f t="shared" si="498"/>
        <v>R. Amorim (og)</v>
      </c>
      <c r="AC93" s="77" t="str">
        <f t="shared" si="499"/>
        <v>R. Amorim (og)</v>
      </c>
      <c r="AD93" s="77" t="str">
        <f t="shared" si="500"/>
        <v>V. Fayzulin (og)</v>
      </c>
      <c r="AE93" s="77" t="str">
        <f t="shared" si="501"/>
        <v>V. Fayzulin (og)</v>
      </c>
      <c r="AF93" s="77" t="str">
        <f t="shared" si="502"/>
        <v>A. Mandi (og)</v>
      </c>
      <c r="AG93" s="77" t="str">
        <f t="shared" si="503"/>
        <v>A. Mandi (og)</v>
      </c>
      <c r="BT93" s="77" t="str">
        <f t="shared" ca="1" si="507"/>
        <v>Cameroon</v>
      </c>
      <c r="BU93" s="77">
        <f t="shared" si="461"/>
        <v>91</v>
      </c>
      <c r="BV93" s="77" t="str">
        <f t="shared" si="440"/>
        <v>A24</v>
      </c>
      <c r="BW93" s="77">
        <f t="shared" si="428"/>
        <v>4</v>
      </c>
      <c r="BX93" s="77" t="str">
        <f t="shared" ca="1" si="441"/>
        <v>A. Nyom</v>
      </c>
      <c r="BY93" s="77">
        <f ca="1">COUNTIF('Group Stages'!$L$14:$S$110,BX93)+COUNTIF('Knock Out Stages'!$N$41:$U$84,BX93)</f>
        <v>0</v>
      </c>
      <c r="BZ93" s="77" t="str">
        <f t="shared" si="429"/>
        <v>'Player Database'!A24</v>
      </c>
      <c r="CA93" s="77" t="str">
        <f t="shared" ca="1" si="430"/>
        <v>Allan Nyom</v>
      </c>
      <c r="CB93" s="77">
        <v>90</v>
      </c>
      <c r="CC93" s="77" t="str">
        <f t="array" aca="1" ref="CC93" ca="1">IFERROR(INDEX($BX$3:$BX$738, SMALL(IF(COUNTIF(CC$3, $BY$3:$BY$738), ROW($BX$3:$BX$738)-MIN(ROW($BX$3:$BX$738))+1), $CB93), 0),"")</f>
        <v/>
      </c>
      <c r="CS93" s="77">
        <f t="shared" si="504"/>
        <v>90</v>
      </c>
      <c r="CT93" s="77">
        <f t="shared" si="426"/>
        <v>3</v>
      </c>
      <c r="CU93" s="77" t="str">
        <f t="shared" si="505"/>
        <v>CR9</v>
      </c>
      <c r="CV93" s="77" t="str">
        <f t="shared" ca="1" si="506"/>
        <v/>
      </c>
      <c r="CW93" s="77">
        <f t="shared" ca="1" si="462"/>
        <v>0</v>
      </c>
      <c r="CZ93" s="77">
        <v>90</v>
      </c>
      <c r="DA93" s="77" t="str">
        <f t="shared" ca="1" si="463"/>
        <v/>
      </c>
      <c r="DB93" s="77" t="str">
        <f t="shared" ca="1" si="464"/>
        <v/>
      </c>
      <c r="DC93" s="77" t="str">
        <f t="shared" ca="1" si="470"/>
        <v/>
      </c>
      <c r="DD93" s="77" t="str">
        <f t="shared" ca="1" si="465"/>
        <v/>
      </c>
    </row>
    <row r="94" spans="1:108">
      <c r="A94" s="77">
        <f t="shared" si="471"/>
        <v>21</v>
      </c>
      <c r="B94" s="77" t="str">
        <f t="shared" si="472"/>
        <v>C. Peña (og)</v>
      </c>
      <c r="C94" s="77" t="str">
        <f t="shared" si="473"/>
        <v>C. Peña (og)</v>
      </c>
      <c r="D94" s="77" t="str">
        <f t="shared" si="474"/>
        <v>D. Vida (og)</v>
      </c>
      <c r="E94" s="77" t="str">
        <f t="shared" si="475"/>
        <v>D. Vida (og)</v>
      </c>
      <c r="F94" s="77" t="str">
        <f t="shared" si="476"/>
        <v>M. Díaz (og)</v>
      </c>
      <c r="G94" s="77" t="str">
        <f t="shared" si="477"/>
        <v>M. Díaz (og)</v>
      </c>
      <c r="H94" s="77" t="str">
        <f t="shared" si="478"/>
        <v>M. Depay (og)</v>
      </c>
      <c r="I94" s="77" t="str">
        <f t="shared" si="479"/>
        <v>M. Depay (og)</v>
      </c>
      <c r="J94" s="77" t="str">
        <f t="shared" si="480"/>
        <v>G. Sio (og)</v>
      </c>
      <c r="K94" s="77" t="str">
        <f t="shared" si="481"/>
        <v>G. Sio (og)</v>
      </c>
      <c r="L94" s="77" t="str">
        <f t="shared" si="482"/>
        <v>K. Katsouranis (og)</v>
      </c>
      <c r="M94" s="77" t="str">
        <f t="shared" si="483"/>
        <v>K. Katsouranis (og)</v>
      </c>
      <c r="N94" s="77" t="str">
        <f t="shared" si="484"/>
        <v>R. Barkley (og)</v>
      </c>
      <c r="O94" s="77" t="str">
        <f t="shared" si="485"/>
        <v>R. Barkley (og)</v>
      </c>
      <c r="P94" s="77" t="str">
        <f t="shared" si="486"/>
        <v>M. Ureña (og)</v>
      </c>
      <c r="Q94" s="77" t="str">
        <f t="shared" si="487"/>
        <v>M. Ureña (og)</v>
      </c>
      <c r="R94" s="77" t="str">
        <f t="shared" si="488"/>
        <v>L. Koscielny (og)</v>
      </c>
      <c r="S94" s="77" t="str">
        <f t="shared" si="489"/>
        <v>L. Koscielny (og)</v>
      </c>
      <c r="T94" s="77" t="str">
        <f t="shared" si="490"/>
        <v>G. Achilier (og)</v>
      </c>
      <c r="U94" s="77" t="str">
        <f t="shared" si="491"/>
        <v>G. Achilier (og)</v>
      </c>
      <c r="V94" s="77" t="str">
        <f t="shared" si="492"/>
        <v>A. Dejagah (og)</v>
      </c>
      <c r="W94" s="77" t="str">
        <f t="shared" si="493"/>
        <v>A. Dejagah (og)</v>
      </c>
      <c r="X94" s="77" t="str">
        <f t="shared" si="494"/>
        <v>T. Sušić (og)</v>
      </c>
      <c r="Y94" s="77" t="str">
        <f t="shared" si="495"/>
        <v>T. Sušić (og)</v>
      </c>
      <c r="Z94" s="77" t="str">
        <f t="shared" si="496"/>
        <v>J. Boye (og)</v>
      </c>
      <c r="AA94" s="77" t="str">
        <f t="shared" si="497"/>
        <v>J. Boye (og)</v>
      </c>
      <c r="AB94" s="77" t="str">
        <f t="shared" si="498"/>
        <v>J. Pereira (og)</v>
      </c>
      <c r="AC94" s="77" t="str">
        <f t="shared" si="499"/>
        <v>J. Pereira (og)</v>
      </c>
      <c r="AD94" s="77" t="str">
        <f t="shared" si="500"/>
        <v>A. Ionov (og)</v>
      </c>
      <c r="AE94" s="77" t="str">
        <f t="shared" si="501"/>
        <v>A. Ionov (og)</v>
      </c>
      <c r="AF94" s="77" t="str">
        <f t="shared" si="502"/>
        <v>R. Mahrez (og)</v>
      </c>
      <c r="AG94" s="77" t="str">
        <f t="shared" si="503"/>
        <v>R. Mahrez (og)</v>
      </c>
      <c r="BT94" s="77" t="str">
        <f t="shared" ca="1" si="507"/>
        <v>Cameroon</v>
      </c>
      <c r="BU94" s="77">
        <f t="shared" si="461"/>
        <v>92</v>
      </c>
      <c r="BV94" s="77" t="str">
        <f t="shared" si="440"/>
        <v>A25</v>
      </c>
      <c r="BW94" s="77">
        <f t="shared" si="428"/>
        <v>4</v>
      </c>
      <c r="BX94" s="77" t="str">
        <f t="shared" ca="1" si="441"/>
        <v>S. N'Djock</v>
      </c>
      <c r="BY94" s="77">
        <f ca="1">COUNTIF('Group Stages'!$L$14:$S$110,BX94)+COUNTIF('Knock Out Stages'!$N$41:$U$84,BX94)</f>
        <v>0</v>
      </c>
      <c r="BZ94" s="77" t="str">
        <f t="shared" si="429"/>
        <v>'Player Database'!A25</v>
      </c>
      <c r="CA94" s="77" t="str">
        <f t="shared" ca="1" si="430"/>
        <v>Sammy N'Djock</v>
      </c>
      <c r="CB94" s="77">
        <v>91</v>
      </c>
      <c r="CC94" s="77" t="str">
        <f t="array" aca="1" ref="CC94" ca="1">IFERROR(INDEX($BX$3:$BX$738, SMALL(IF(COUNTIF(CC$3, $BY$3:$BY$738), ROW($BX$3:$BX$738)-MIN(ROW($BX$3:$BX$738))+1), $CB94), 0),"")</f>
        <v/>
      </c>
      <c r="CS94" s="77">
        <f t="shared" si="504"/>
        <v>91</v>
      </c>
      <c r="CT94" s="77">
        <f t="shared" si="426"/>
        <v>3</v>
      </c>
      <c r="CU94" s="77" t="str">
        <f t="shared" si="505"/>
        <v>CR10</v>
      </c>
      <c r="CV94" s="77" t="str">
        <f t="shared" ca="1" si="506"/>
        <v/>
      </c>
      <c r="CW94" s="77">
        <f t="shared" ca="1" si="462"/>
        <v>0</v>
      </c>
      <c r="CZ94" s="77">
        <v>91</v>
      </c>
      <c r="DA94" s="77" t="str">
        <f t="shared" ca="1" si="463"/>
        <v/>
      </c>
      <c r="DB94" s="77" t="str">
        <f t="shared" ca="1" si="464"/>
        <v/>
      </c>
      <c r="DC94" s="77" t="str">
        <f t="shared" ca="1" si="470"/>
        <v/>
      </c>
      <c r="DD94" s="77" t="str">
        <f t="shared" ca="1" si="465"/>
        <v/>
      </c>
    </row>
    <row r="95" spans="1:108">
      <c r="A95" s="77">
        <f t="shared" si="471"/>
        <v>22</v>
      </c>
      <c r="B95" s="77" t="str">
        <f t="shared" si="472"/>
        <v>P. Aguilar (og)</v>
      </c>
      <c r="C95" s="77" t="str">
        <f t="shared" si="473"/>
        <v>P. Aguilar (og)</v>
      </c>
      <c r="D95" s="77" t="str">
        <f t="shared" si="474"/>
        <v>Eduardo (og)</v>
      </c>
      <c r="E95" s="77" t="str">
        <f t="shared" si="475"/>
        <v>Eduardo (og)</v>
      </c>
      <c r="F95" s="77" t="str">
        <f t="shared" si="476"/>
        <v>E. Paredes (og)</v>
      </c>
      <c r="G95" s="77" t="str">
        <f t="shared" si="477"/>
        <v>E. Paredes (og)</v>
      </c>
      <c r="H95" s="77" t="str">
        <f t="shared" si="478"/>
        <v>M. Vorm (og)</v>
      </c>
      <c r="I95" s="77" t="str">
        <f t="shared" si="479"/>
        <v>M. Vorm (og)</v>
      </c>
      <c r="J95" s="77" t="str">
        <f t="shared" si="480"/>
        <v>S. Bamba (og)</v>
      </c>
      <c r="K95" s="77" t="str">
        <f t="shared" si="481"/>
        <v>S. Bamba (og)</v>
      </c>
      <c r="L95" s="77" t="str">
        <f t="shared" si="482"/>
        <v>A. Samaris (og)</v>
      </c>
      <c r="M95" s="77" t="str">
        <f t="shared" si="483"/>
        <v>A. Samaris (og)</v>
      </c>
      <c r="N95" s="77" t="str">
        <f t="shared" si="484"/>
        <v>F. Forster (og)</v>
      </c>
      <c r="O95" s="77" t="str">
        <f t="shared" si="485"/>
        <v>F. Forster (og)</v>
      </c>
      <c r="P95" s="77" t="str">
        <f t="shared" si="486"/>
        <v>J. Miguel Cubero (og)</v>
      </c>
      <c r="Q95" s="77" t="str">
        <f t="shared" si="487"/>
        <v>J. Miguel Cubero (og)</v>
      </c>
      <c r="R95" s="77" t="str">
        <f t="shared" si="488"/>
        <v>M. Schneiderlin[40] (og)</v>
      </c>
      <c r="S95" s="77" t="str">
        <f t="shared" si="489"/>
        <v>M. Schneiderlin[40] (og)</v>
      </c>
      <c r="T95" s="77" t="str">
        <f t="shared" si="490"/>
        <v>A. Domínguez (og)</v>
      </c>
      <c r="U95" s="77" t="str">
        <f t="shared" si="491"/>
        <v>A. Domínguez (og)</v>
      </c>
      <c r="V95" s="77" t="str">
        <f t="shared" si="492"/>
        <v>D. Davari (og)</v>
      </c>
      <c r="W95" s="77" t="str">
        <f t="shared" si="493"/>
        <v>D. Davari (og)</v>
      </c>
      <c r="X95" s="77" t="str">
        <f t="shared" si="494"/>
        <v>A. Avdukić (og)</v>
      </c>
      <c r="Y95" s="77" t="str">
        <f t="shared" si="495"/>
        <v>A. Avdukić (og)</v>
      </c>
      <c r="Z95" s="77" t="str">
        <f t="shared" si="496"/>
        <v>W. Mubarak (og)</v>
      </c>
      <c r="AA95" s="77" t="str">
        <f t="shared" si="497"/>
        <v>W. Mubarak (og)</v>
      </c>
      <c r="AB95" s="77" t="str">
        <f t="shared" si="498"/>
        <v>Beto (og)</v>
      </c>
      <c r="AC95" s="77" t="str">
        <f t="shared" si="499"/>
        <v>Beto (og)</v>
      </c>
      <c r="AD95" s="77" t="str">
        <f t="shared" si="500"/>
        <v>A. Yeshchenko (og)</v>
      </c>
      <c r="AE95" s="77" t="str">
        <f t="shared" si="501"/>
        <v>A. Yeshchenko (og)</v>
      </c>
      <c r="AF95" s="77" t="str">
        <f t="shared" si="502"/>
        <v>M. Mostefa (og)</v>
      </c>
      <c r="AG95" s="77" t="str">
        <f t="shared" si="503"/>
        <v>M. Mostefa (og)</v>
      </c>
      <c r="BT95" s="77" t="str">
        <f t="shared" ca="1" si="507"/>
        <v>Spain</v>
      </c>
      <c r="BU95" s="77">
        <f t="shared" si="461"/>
        <v>93</v>
      </c>
      <c r="BV95" s="77" t="str">
        <f t="shared" si="440"/>
        <v>A3</v>
      </c>
      <c r="BW95" s="77">
        <f t="shared" si="428"/>
        <v>5</v>
      </c>
      <c r="BX95" s="77" t="str">
        <f t="shared" ca="1" si="441"/>
        <v xml:space="preserve">I. Casillas </v>
      </c>
      <c r="BY95" s="77">
        <f ca="1">COUNTIF('Group Stages'!$L$14:$S$110,BX95)+COUNTIF('Knock Out Stages'!$N$41:$U$84,BX95)</f>
        <v>0</v>
      </c>
      <c r="BZ95" s="77" t="str">
        <f t="shared" si="429"/>
        <v>'Player Database'!A3</v>
      </c>
      <c r="CA95" s="77" t="str">
        <f t="shared" ca="1" si="430"/>
        <v xml:space="preserve">Iker Casillas </v>
      </c>
      <c r="CB95" s="77">
        <v>92</v>
      </c>
      <c r="CC95" s="77" t="str">
        <f t="array" aca="1" ref="CC95" ca="1">IFERROR(INDEX($BX$3:$BX$738, SMALL(IF(COUNTIF(CC$3, $BY$3:$BY$738), ROW($BX$3:$BX$738)-MIN(ROW($BX$3:$BX$738))+1), $CB95), 0),"")</f>
        <v/>
      </c>
      <c r="CS95" s="77">
        <f t="shared" si="504"/>
        <v>92</v>
      </c>
      <c r="CT95" s="77">
        <f t="shared" si="426"/>
        <v>3</v>
      </c>
      <c r="CU95" s="77" t="str">
        <f t="shared" si="505"/>
        <v>CR11</v>
      </c>
      <c r="CV95" s="77" t="str">
        <f t="shared" ca="1" si="506"/>
        <v/>
      </c>
      <c r="CW95" s="77">
        <f t="shared" ca="1" si="462"/>
        <v>0</v>
      </c>
      <c r="CZ95" s="77">
        <v>92</v>
      </c>
      <c r="DA95" s="77" t="str">
        <f t="shared" ca="1" si="463"/>
        <v/>
      </c>
      <c r="DB95" s="77" t="str">
        <f t="shared" ca="1" si="464"/>
        <v/>
      </c>
      <c r="DC95" s="77" t="str">
        <f t="shared" ca="1" si="470"/>
        <v/>
      </c>
      <c r="DD95" s="77" t="str">
        <f t="shared" ca="1" si="465"/>
        <v/>
      </c>
    </row>
    <row r="96" spans="1:108">
      <c r="A96" s="77">
        <f t="shared" si="471"/>
        <v>23</v>
      </c>
      <c r="B96" s="77" t="str">
        <f t="shared" si="472"/>
        <v>J. Juan Vázquez (og)</v>
      </c>
      <c r="C96" s="77" t="str">
        <f t="shared" si="473"/>
        <v>J. Juan Vázquez (og)</v>
      </c>
      <c r="D96" s="77" t="str">
        <f t="shared" si="474"/>
        <v>D. Subašić (og)</v>
      </c>
      <c r="E96" s="77" t="str">
        <f t="shared" si="475"/>
        <v>D. Subašić (og)</v>
      </c>
      <c r="F96" s="77" t="str">
        <f t="shared" si="476"/>
        <v>J. Herrera (og)</v>
      </c>
      <c r="G96" s="77" t="str">
        <f t="shared" si="477"/>
        <v>J. Herrera (og)</v>
      </c>
      <c r="H96" s="77" t="str">
        <f t="shared" si="478"/>
        <v>T. Krul (og)</v>
      </c>
      <c r="I96" s="77" t="str">
        <f t="shared" si="479"/>
        <v>T. Krul (og)</v>
      </c>
      <c r="J96" s="77" t="str">
        <f t="shared" si="480"/>
        <v>S. Mandé (og)</v>
      </c>
      <c r="K96" s="77" t="str">
        <f t="shared" si="481"/>
        <v>S. Mandé (og)</v>
      </c>
      <c r="L96" s="77" t="str">
        <f t="shared" si="482"/>
        <v>P. Tachtsidis (og)</v>
      </c>
      <c r="M96" s="77" t="str">
        <f t="shared" si="483"/>
        <v>P. Tachtsidis (og)</v>
      </c>
      <c r="N96" s="77" t="str">
        <f t="shared" si="484"/>
        <v>L. Shaw (og)</v>
      </c>
      <c r="O96" s="77" t="str">
        <f t="shared" si="485"/>
        <v>L. Shaw (og)</v>
      </c>
      <c r="P96" s="77" t="str">
        <f t="shared" si="486"/>
        <v>D. Cambronero (og)</v>
      </c>
      <c r="Q96" s="77" t="str">
        <f t="shared" si="487"/>
        <v>D. Cambronero (og)</v>
      </c>
      <c r="R96" s="77" t="str">
        <f t="shared" si="488"/>
        <v>M. Landreau (og)</v>
      </c>
      <c r="S96" s="77" t="str">
        <f t="shared" si="489"/>
        <v>M. Landreau (og)</v>
      </c>
      <c r="T96" s="77" t="str">
        <f t="shared" si="490"/>
        <v>C. Gruezo (og)</v>
      </c>
      <c r="U96" s="77" t="str">
        <f t="shared" si="491"/>
        <v>C. Gruezo (og)</v>
      </c>
      <c r="V96" s="77" t="str">
        <f t="shared" si="492"/>
        <v>M. Pouladi (og)</v>
      </c>
      <c r="W96" s="77" t="str">
        <f t="shared" si="493"/>
        <v>M. Pouladi (og)</v>
      </c>
      <c r="X96" s="77" t="str">
        <f t="shared" si="494"/>
        <v>S. Salihović (og)</v>
      </c>
      <c r="Y96" s="77" t="str">
        <f t="shared" si="495"/>
        <v>S. Salihović (og)</v>
      </c>
      <c r="Z96" s="77" t="str">
        <f t="shared" si="496"/>
        <v>H. Afful (og)</v>
      </c>
      <c r="AA96" s="77" t="str">
        <f t="shared" si="497"/>
        <v>H. Afful (og)</v>
      </c>
      <c r="AB96" s="77" t="str">
        <f t="shared" si="498"/>
        <v>H. Postiga (og)</v>
      </c>
      <c r="AC96" s="77" t="str">
        <f t="shared" si="499"/>
        <v>H. Postiga (og)</v>
      </c>
      <c r="AD96" s="77" t="str">
        <f t="shared" si="500"/>
        <v>D. Kombarov (og)</v>
      </c>
      <c r="AE96" s="77" t="str">
        <f t="shared" si="501"/>
        <v>D. Kombarov (og)</v>
      </c>
      <c r="AF96" s="77" t="str">
        <f t="shared" si="502"/>
        <v>R. M'Bolhi (og)</v>
      </c>
      <c r="AG96" s="77" t="str">
        <f t="shared" si="503"/>
        <v>R. M'Bolhi (og)</v>
      </c>
      <c r="BT96" s="77" t="str">
        <f t="shared" ca="1" si="507"/>
        <v>Spain</v>
      </c>
      <c r="BU96" s="77">
        <f t="shared" si="461"/>
        <v>94</v>
      </c>
      <c r="BV96" s="77" t="str">
        <f t="shared" si="440"/>
        <v>A4</v>
      </c>
      <c r="BW96" s="77">
        <f t="shared" si="428"/>
        <v>5</v>
      </c>
      <c r="BX96" s="77" t="str">
        <f t="shared" ca="1" si="441"/>
        <v>R. Albiol</v>
      </c>
      <c r="BY96" s="77">
        <f ca="1">COUNTIF('Group Stages'!$L$14:$S$110,BX96)+COUNTIF('Knock Out Stages'!$N$41:$U$84,BX96)</f>
        <v>0</v>
      </c>
      <c r="BZ96" s="77" t="str">
        <f t="shared" si="429"/>
        <v>'Player Database'!A4</v>
      </c>
      <c r="CA96" s="77" t="str">
        <f t="shared" ca="1" si="430"/>
        <v>Raúl Albiol</v>
      </c>
      <c r="CB96" s="77">
        <v>93</v>
      </c>
      <c r="CC96" s="77" t="str">
        <f t="array" aca="1" ref="CC96" ca="1">IFERROR(INDEX($BX$3:$BX$738, SMALL(IF(COUNTIF(CC$3, $BY$3:$BY$738), ROW($BX$3:$BX$738)-MIN(ROW($BX$3:$BX$738))+1), $CB96), 0),"")</f>
        <v/>
      </c>
      <c r="CS96" s="77">
        <f t="shared" si="504"/>
        <v>93</v>
      </c>
      <c r="CT96" s="77">
        <f t="shared" si="426"/>
        <v>3</v>
      </c>
      <c r="CU96" s="77" t="str">
        <f t="shared" si="505"/>
        <v>CR12</v>
      </c>
      <c r="CV96" s="77" t="str">
        <f t="shared" ca="1" si="506"/>
        <v/>
      </c>
      <c r="CW96" s="77">
        <f t="shared" ca="1" si="462"/>
        <v>0</v>
      </c>
      <c r="CZ96" s="77">
        <v>93</v>
      </c>
      <c r="DA96" s="77" t="str">
        <f t="shared" ca="1" si="463"/>
        <v/>
      </c>
      <c r="DB96" s="77" t="str">
        <f t="shared" ca="1" si="464"/>
        <v/>
      </c>
      <c r="DC96" s="77" t="str">
        <f t="shared" ca="1" si="470"/>
        <v/>
      </c>
      <c r="DD96" s="77" t="str">
        <f t="shared" ca="1" si="465"/>
        <v/>
      </c>
    </row>
    <row r="97" spans="1:108">
      <c r="BT97" s="77" t="str">
        <f t="shared" ca="1" si="507"/>
        <v>Spain</v>
      </c>
      <c r="BU97" s="77">
        <f t="shared" si="461"/>
        <v>95</v>
      </c>
      <c r="BV97" s="77" t="str">
        <f t="shared" si="440"/>
        <v>A5</v>
      </c>
      <c r="BW97" s="77">
        <f t="shared" si="428"/>
        <v>5</v>
      </c>
      <c r="BX97" s="77" t="str">
        <f t="shared" ca="1" si="441"/>
        <v>G. Piqué</v>
      </c>
      <c r="BY97" s="77">
        <f ca="1">COUNTIF('Group Stages'!$L$14:$S$110,BX97)+COUNTIF('Knock Out Stages'!$N$41:$U$84,BX97)</f>
        <v>0</v>
      </c>
      <c r="BZ97" s="77" t="str">
        <f t="shared" si="429"/>
        <v>'Player Database'!A5</v>
      </c>
      <c r="CA97" s="77" t="str">
        <f t="shared" ca="1" si="430"/>
        <v>Gerard Piqué</v>
      </c>
      <c r="CB97" s="77">
        <v>94</v>
      </c>
      <c r="CC97" s="77" t="str">
        <f t="array" aca="1" ref="CC97" ca="1">IFERROR(INDEX($BX$3:$BX$738, SMALL(IF(COUNTIF(CC$3, $BY$3:$BY$738), ROW($BX$3:$BX$738)-MIN(ROW($BX$3:$BX$738))+1), $CB97), 0),"")</f>
        <v/>
      </c>
      <c r="CS97" s="77">
        <f t="shared" si="504"/>
        <v>94</v>
      </c>
      <c r="CT97" s="77">
        <f t="shared" si="426"/>
        <v>3</v>
      </c>
      <c r="CU97" s="77" t="str">
        <f t="shared" si="505"/>
        <v>CR13</v>
      </c>
      <c r="CV97" s="77" t="str">
        <f t="shared" ca="1" si="506"/>
        <v/>
      </c>
      <c r="CW97" s="77">
        <f t="shared" ca="1" si="462"/>
        <v>0</v>
      </c>
      <c r="CZ97" s="77">
        <v>94</v>
      </c>
      <c r="DA97" s="77" t="str">
        <f t="shared" ca="1" si="463"/>
        <v/>
      </c>
      <c r="DB97" s="77" t="str">
        <f t="shared" ca="1" si="464"/>
        <v/>
      </c>
      <c r="DC97" s="77" t="str">
        <f t="shared" ca="1" si="470"/>
        <v/>
      </c>
      <c r="DD97" s="77" t="str">
        <f t="shared" ca="1" si="465"/>
        <v/>
      </c>
    </row>
    <row r="98" spans="1:108">
      <c r="A98" s="77">
        <v>3</v>
      </c>
      <c r="BT98" s="77" t="str">
        <f t="shared" ca="1" si="507"/>
        <v>Spain</v>
      </c>
      <c r="BU98" s="77">
        <f t="shared" si="461"/>
        <v>96</v>
      </c>
      <c r="BV98" s="77" t="str">
        <f t="shared" si="440"/>
        <v>A6</v>
      </c>
      <c r="BW98" s="77">
        <f t="shared" si="428"/>
        <v>5</v>
      </c>
      <c r="BX98" s="77" t="str">
        <f t="shared" ca="1" si="441"/>
        <v>J. Martínez</v>
      </c>
      <c r="BY98" s="77">
        <f ca="1">COUNTIF('Group Stages'!$L$14:$S$110,BX98)+COUNTIF('Knock Out Stages'!$N$41:$U$84,BX98)</f>
        <v>0</v>
      </c>
      <c r="BZ98" s="77" t="str">
        <f t="shared" si="429"/>
        <v>'Player Database'!A6</v>
      </c>
      <c r="CA98" s="77" t="str">
        <f t="shared" ca="1" si="430"/>
        <v>Javi Martínez</v>
      </c>
      <c r="CB98" s="77">
        <v>95</v>
      </c>
      <c r="CC98" s="77" t="str">
        <f t="array" aca="1" ref="CC98" ca="1">IFERROR(INDEX($BX$3:$BX$738, SMALL(IF(COUNTIF(CC$3, $BY$3:$BY$738), ROW($BX$3:$BX$738)-MIN(ROW($BX$3:$BX$738))+1), $CB98), 0),"")</f>
        <v/>
      </c>
      <c r="CS98" s="77">
        <f t="shared" si="504"/>
        <v>95</v>
      </c>
      <c r="CT98" s="77">
        <f t="shared" si="426"/>
        <v>3</v>
      </c>
      <c r="CU98" s="77" t="str">
        <f t="shared" si="505"/>
        <v>CR14</v>
      </c>
      <c r="CV98" s="77" t="str">
        <f t="shared" ca="1" si="506"/>
        <v/>
      </c>
      <c r="CW98" s="77">
        <f t="shared" ca="1" si="462"/>
        <v>0</v>
      </c>
      <c r="CZ98" s="77">
        <v>95</v>
      </c>
      <c r="DA98" s="77" t="str">
        <f t="shared" ca="1" si="463"/>
        <v/>
      </c>
      <c r="DB98" s="77" t="str">
        <f t="shared" ca="1" si="464"/>
        <v/>
      </c>
      <c r="DC98" s="77" t="str">
        <f t="shared" ca="1" si="470"/>
        <v/>
      </c>
      <c r="DD98" s="77" t="str">
        <f t="shared" ca="1" si="465"/>
        <v/>
      </c>
    </row>
    <row r="99" spans="1:108">
      <c r="A99" s="77">
        <v>1</v>
      </c>
      <c r="B99" s="77" t="str">
        <f>B51</f>
        <v>Jefferson</v>
      </c>
      <c r="C99" s="77" t="str">
        <f>C3</f>
        <v>S. Pletikosa</v>
      </c>
      <c r="D99" s="77" t="str">
        <f t="shared" ref="D99:E99" si="508">D3</f>
        <v>J. de Jesús Corona</v>
      </c>
      <c r="E99" s="77" t="str">
        <f t="shared" si="508"/>
        <v>L. Feudjou</v>
      </c>
      <c r="F99" s="77" t="str">
        <f>F51</f>
        <v xml:space="preserve">I. Casillas </v>
      </c>
      <c r="G99" s="77" t="str">
        <f>G3</f>
        <v>J. Cillessen</v>
      </c>
      <c r="H99" s="77" t="str">
        <f t="shared" ref="H99:I99" si="509">H3</f>
        <v xml:space="preserve">C. Bravo </v>
      </c>
      <c r="I99" s="77" t="str">
        <f t="shared" si="509"/>
        <v>M. Ryan</v>
      </c>
      <c r="J99" s="77" t="str">
        <f>J51</f>
        <v>D. Ospina</v>
      </c>
      <c r="K99" s="77" t="str">
        <f>K3</f>
        <v>O. Karnezis</v>
      </c>
      <c r="L99" s="77" t="str">
        <f t="shared" ref="L99:M99" si="510">L3</f>
        <v>B. Barry</v>
      </c>
      <c r="M99" s="77" t="str">
        <f t="shared" si="510"/>
        <v>E. Kawashima</v>
      </c>
      <c r="N99" s="77" t="str">
        <f>N51</f>
        <v>F. Muslera</v>
      </c>
      <c r="O99" s="77" t="str">
        <f>O3</f>
        <v>K. Navas</v>
      </c>
      <c r="P99" s="77" t="str">
        <f t="shared" ref="P99:Q99" si="511">P3</f>
        <v>J. Hart</v>
      </c>
      <c r="Q99" s="77" t="str">
        <f t="shared" si="511"/>
        <v xml:space="preserve">G. Buffon </v>
      </c>
      <c r="R99" s="77" t="str">
        <f>R51</f>
        <v>D. Benaglio</v>
      </c>
      <c r="S99" s="77" t="str">
        <f>S3</f>
        <v>M. Banguera</v>
      </c>
      <c r="T99" s="77" t="str">
        <f t="shared" ref="T99:U99" si="512">T3</f>
        <v xml:space="preserve">H. Lloris </v>
      </c>
      <c r="U99" s="77" t="str">
        <f t="shared" si="512"/>
        <v>L. López</v>
      </c>
      <c r="V99" s="77" t="str">
        <f>V51</f>
        <v>S. Romero</v>
      </c>
      <c r="W99" s="77" t="str">
        <f>W3</f>
        <v>A. Begović</v>
      </c>
      <c r="X99" s="77" t="str">
        <f t="shared" ref="X99:Y99" si="513">X3</f>
        <v>R. Ahmadi</v>
      </c>
      <c r="Y99" s="77" t="str">
        <f t="shared" si="513"/>
        <v xml:space="preserve">V. Enyeama </v>
      </c>
      <c r="Z99" s="77" t="str">
        <f>Z51</f>
        <v>M. Neuer</v>
      </c>
      <c r="AA99" s="77" t="str">
        <f>AA3</f>
        <v>Eduardo</v>
      </c>
      <c r="AB99" s="77" t="str">
        <f t="shared" ref="AB99:AC99" si="514">AB3</f>
        <v>S. Adams</v>
      </c>
      <c r="AC99" s="77" t="str">
        <f t="shared" si="514"/>
        <v>T. Howard</v>
      </c>
      <c r="AD99" s="77" t="str">
        <f>AD51</f>
        <v>T. Courtois</v>
      </c>
      <c r="AE99" s="77" t="str">
        <f>AE3</f>
        <v>C. Si Mohamed</v>
      </c>
      <c r="AF99" s="77" t="str">
        <f t="shared" ref="AF99:AG99" si="515">AF3</f>
        <v>I. Akinfeev</v>
      </c>
      <c r="AG99" s="77" t="str">
        <f t="shared" si="515"/>
        <v>J. Sung-ryong</v>
      </c>
      <c r="BT99" s="77" t="str">
        <f t="shared" ca="1" si="507"/>
        <v>Spain</v>
      </c>
      <c r="BU99" s="77">
        <f t="shared" si="461"/>
        <v>97</v>
      </c>
      <c r="BV99" s="77" t="str">
        <f t="shared" si="440"/>
        <v>A7</v>
      </c>
      <c r="BW99" s="77">
        <f t="shared" si="428"/>
        <v>5</v>
      </c>
      <c r="BX99" s="77" t="str">
        <f t="shared" ca="1" si="441"/>
        <v>Juanfran</v>
      </c>
      <c r="BY99" s="77">
        <f ca="1">COUNTIF('Group Stages'!$L$14:$S$110,BX99)+COUNTIF('Knock Out Stages'!$N$41:$U$84,BX99)</f>
        <v>0</v>
      </c>
      <c r="BZ99" s="77" t="str">
        <f t="shared" si="429"/>
        <v>'Player Database'!A7</v>
      </c>
      <c r="CA99" s="77" t="str">
        <f t="shared" ca="1" si="430"/>
        <v>Juanfran</v>
      </c>
      <c r="CB99" s="77">
        <v>96</v>
      </c>
      <c r="CC99" s="77" t="str">
        <f t="array" aca="1" ref="CC99" ca="1">IFERROR(INDEX($BX$3:$BX$738, SMALL(IF(COUNTIF(CC$3, $BY$3:$BY$738), ROW($BX$3:$BX$738)-MIN(ROW($BX$3:$BX$738))+1), $CB99), 0),"")</f>
        <v/>
      </c>
      <c r="CS99" s="77">
        <f t="shared" si="504"/>
        <v>96</v>
      </c>
      <c r="CT99" s="77">
        <f t="shared" si="426"/>
        <v>3</v>
      </c>
      <c r="CU99" s="77" t="str">
        <f t="shared" si="505"/>
        <v>CR15</v>
      </c>
      <c r="CV99" s="77" t="str">
        <f t="shared" ca="1" si="506"/>
        <v/>
      </c>
      <c r="CW99" s="77">
        <f t="shared" ca="1" si="462"/>
        <v>0</v>
      </c>
      <c r="CZ99" s="77">
        <v>96</v>
      </c>
      <c r="DA99" s="77" t="str">
        <f t="shared" ca="1" si="463"/>
        <v/>
      </c>
      <c r="DB99" s="77" t="str">
        <f t="shared" ca="1" si="464"/>
        <v/>
      </c>
      <c r="DC99" s="77" t="str">
        <f t="shared" ca="1" si="470"/>
        <v/>
      </c>
      <c r="DD99" s="77" t="str">
        <f t="shared" ca="1" si="465"/>
        <v/>
      </c>
    </row>
    <row r="100" spans="1:108">
      <c r="A100" s="77">
        <v>2</v>
      </c>
      <c r="B100" s="77" t="str">
        <f t="shared" ref="B100:B121" si="516">B52</f>
        <v>D. Alves</v>
      </c>
      <c r="C100" s="77" t="str">
        <f t="shared" ref="C100:E121" si="517">C4</f>
        <v>Š. Vrsaljko</v>
      </c>
      <c r="D100" s="77" t="str">
        <f t="shared" si="517"/>
        <v>F. Javier Rodríguez</v>
      </c>
      <c r="E100" s="77" t="str">
        <f t="shared" si="517"/>
        <v>B. Assou-Ekotto</v>
      </c>
      <c r="F100" s="77" t="str">
        <f t="shared" ref="F100:F121" si="518">F52</f>
        <v>R. Albiol</v>
      </c>
      <c r="G100" s="77" t="str">
        <f t="shared" ref="G100:I100" si="519">G4</f>
        <v>R. Vlaar</v>
      </c>
      <c r="H100" s="77" t="str">
        <f t="shared" si="519"/>
        <v>E. Mena</v>
      </c>
      <c r="I100" s="77" t="str">
        <f t="shared" si="519"/>
        <v>I. Franjić</v>
      </c>
      <c r="J100" s="77" t="str">
        <f t="shared" ref="J100:J121" si="520">J52</f>
        <v>C. Zapata</v>
      </c>
      <c r="K100" s="77" t="str">
        <f t="shared" ref="K100:M100" si="521">K4</f>
        <v>G. Maniatis</v>
      </c>
      <c r="L100" s="77" t="str">
        <f t="shared" si="521"/>
        <v>O. Viera</v>
      </c>
      <c r="M100" s="77" t="str">
        <f t="shared" si="521"/>
        <v>A. Uchida</v>
      </c>
      <c r="N100" s="77" t="str">
        <f t="shared" ref="N100:N121" si="522">N52</f>
        <v xml:space="preserve">D. Lugano </v>
      </c>
      <c r="O100" s="77" t="str">
        <f t="shared" ref="O100:Q100" si="523">O4</f>
        <v>J. Acosta</v>
      </c>
      <c r="P100" s="77" t="str">
        <f t="shared" si="523"/>
        <v>G. Johnson</v>
      </c>
      <c r="Q100" s="77" t="str">
        <f t="shared" si="523"/>
        <v>M. De Sciglio</v>
      </c>
      <c r="R100" s="77" t="str">
        <f t="shared" ref="R100:R121" si="524">R52</f>
        <v>S. Lichtsteiner</v>
      </c>
      <c r="S100" s="77" t="str">
        <f t="shared" ref="S100:U100" si="525">S4</f>
        <v>J. Guagua</v>
      </c>
      <c r="T100" s="77" t="str">
        <f t="shared" si="525"/>
        <v>M. Debuchy</v>
      </c>
      <c r="U100" s="77" t="str">
        <f t="shared" si="525"/>
        <v>O. Chávez</v>
      </c>
      <c r="V100" s="77" t="str">
        <f t="shared" ref="V100:V121" si="526">V52</f>
        <v>E. Garay</v>
      </c>
      <c r="W100" s="77" t="str">
        <f t="shared" ref="W100:Y100" si="527">W4</f>
        <v>A. Vršajević</v>
      </c>
      <c r="X100" s="77" t="str">
        <f t="shared" si="527"/>
        <v>K. Heydari</v>
      </c>
      <c r="Y100" s="77" t="str">
        <f t="shared" si="527"/>
        <v>J. Yobo</v>
      </c>
      <c r="Z100" s="77" t="str">
        <f t="shared" ref="Z100:Z121" si="528">Z52</f>
        <v>K. Großkreutz</v>
      </c>
      <c r="AA100" s="77" t="str">
        <f t="shared" ref="AA100:AC100" si="529">AA4</f>
        <v>B. Alves</v>
      </c>
      <c r="AB100" s="77" t="str">
        <f t="shared" si="529"/>
        <v>S. Inkoom</v>
      </c>
      <c r="AC100" s="77" t="str">
        <f t="shared" si="529"/>
        <v>D. Yedlin</v>
      </c>
      <c r="AD100" s="77" t="str">
        <f t="shared" ref="AD100:AD121" si="530">AD52</f>
        <v>T. Alderweireld</v>
      </c>
      <c r="AE100" s="77" t="str">
        <f t="shared" ref="AE100:AG100" si="531">AE4</f>
        <v xml:space="preserve">M. Bougherra </v>
      </c>
      <c r="AF100" s="77" t="str">
        <f t="shared" si="531"/>
        <v>A. Kozlov</v>
      </c>
      <c r="AG100" s="77" t="str">
        <f t="shared" si="531"/>
        <v>K. Chang-soo</v>
      </c>
      <c r="BT100" s="77" t="str">
        <f t="shared" ca="1" si="507"/>
        <v>Spain</v>
      </c>
      <c r="BU100" s="77">
        <f t="shared" si="461"/>
        <v>98</v>
      </c>
      <c r="BV100" s="77" t="str">
        <f t="shared" si="440"/>
        <v>A8</v>
      </c>
      <c r="BW100" s="77">
        <f t="shared" si="428"/>
        <v>5</v>
      </c>
      <c r="BX100" s="77" t="str">
        <f t="shared" ca="1" si="441"/>
        <v>A. Iniesta</v>
      </c>
      <c r="BY100" s="77">
        <f ca="1">COUNTIF('Group Stages'!$L$14:$S$110,BX100)+COUNTIF('Knock Out Stages'!$N$41:$U$84,BX100)</f>
        <v>0</v>
      </c>
      <c r="BZ100" s="77" t="str">
        <f t="shared" si="429"/>
        <v>'Player Database'!A8</v>
      </c>
      <c r="CA100" s="77" t="str">
        <f t="shared" ca="1" si="430"/>
        <v>Andrés Iniesta</v>
      </c>
      <c r="CB100" s="77">
        <v>97</v>
      </c>
      <c r="CC100" s="77" t="str">
        <f t="array" aca="1" ref="CC100" ca="1">IFERROR(INDEX($BX$3:$BX$738, SMALL(IF(COUNTIF(CC$3, $BY$3:$BY$738), ROW($BX$3:$BX$738)-MIN(ROW($BX$3:$BX$738))+1), $CB100), 0),"")</f>
        <v/>
      </c>
      <c r="CS100" s="77">
        <f t="shared" si="504"/>
        <v>97</v>
      </c>
      <c r="CT100" s="77">
        <f t="shared" si="426"/>
        <v>3</v>
      </c>
      <c r="CU100" s="77" t="str">
        <f t="shared" si="505"/>
        <v>CR16</v>
      </c>
      <c r="CV100" s="77" t="str">
        <f t="shared" ca="1" si="506"/>
        <v/>
      </c>
      <c r="CW100" s="77">
        <f t="shared" ca="1" si="462"/>
        <v>0</v>
      </c>
      <c r="CZ100" s="77">
        <v>97</v>
      </c>
      <c r="DA100" s="77" t="str">
        <f t="shared" ca="1" si="463"/>
        <v/>
      </c>
      <c r="DB100" s="77" t="str">
        <f t="shared" ca="1" si="464"/>
        <v/>
      </c>
      <c r="DC100" s="77" t="str">
        <f t="shared" ca="1" si="470"/>
        <v/>
      </c>
      <c r="DD100" s="77" t="str">
        <f t="shared" ca="1" si="465"/>
        <v/>
      </c>
    </row>
    <row r="101" spans="1:108">
      <c r="A101" s="77">
        <v>3</v>
      </c>
      <c r="B101" s="77" t="str">
        <f t="shared" si="516"/>
        <v>T. Silva</v>
      </c>
      <c r="C101" s="77" t="str">
        <f t="shared" si="517"/>
        <v>D. Pranjić</v>
      </c>
      <c r="D101" s="77" t="str">
        <f t="shared" si="517"/>
        <v>C. Salcido</v>
      </c>
      <c r="E101" s="77" t="str">
        <f t="shared" si="517"/>
        <v>N. N'Koulou</v>
      </c>
      <c r="F101" s="77" t="str">
        <f t="shared" si="518"/>
        <v>G. Piqué</v>
      </c>
      <c r="G101" s="77" t="str">
        <f t="shared" ref="G101:I101" si="532">G5</f>
        <v>S. de Vrij</v>
      </c>
      <c r="H101" s="77" t="str">
        <f t="shared" si="532"/>
        <v>M. Albornoz</v>
      </c>
      <c r="I101" s="77" t="str">
        <f t="shared" si="532"/>
        <v>J. Davidson</v>
      </c>
      <c r="J101" s="77" t="str">
        <f t="shared" si="520"/>
        <v xml:space="preserve">M. Yepes </v>
      </c>
      <c r="K101" s="77" t="str">
        <f t="shared" ref="K101:M101" si="533">K5</f>
        <v>G. Tzavellas</v>
      </c>
      <c r="L101" s="77" t="str">
        <f t="shared" si="533"/>
        <v>A. Boka</v>
      </c>
      <c r="M101" s="77" t="str">
        <f t="shared" si="533"/>
        <v>G. Sakai</v>
      </c>
      <c r="N101" s="77" t="str">
        <f t="shared" si="522"/>
        <v>D. Godín</v>
      </c>
      <c r="O101" s="77" t="str">
        <f t="shared" ref="O101:Q101" si="534">O5</f>
        <v>G. González</v>
      </c>
      <c r="P101" s="77" t="str">
        <f t="shared" si="534"/>
        <v>L. Baines</v>
      </c>
      <c r="Q101" s="77" t="str">
        <f t="shared" si="534"/>
        <v>G. Chiellini</v>
      </c>
      <c r="R101" s="77" t="str">
        <f t="shared" si="524"/>
        <v>R. Ziegler</v>
      </c>
      <c r="S101" s="77" t="str">
        <f t="shared" ref="S101:U101" si="535">S5</f>
        <v>F. Erazo</v>
      </c>
      <c r="T101" s="77" t="str">
        <f t="shared" si="535"/>
        <v>P. Evra</v>
      </c>
      <c r="U101" s="77" t="str">
        <f t="shared" si="535"/>
        <v>M. Figueroa</v>
      </c>
      <c r="V101" s="77" t="str">
        <f t="shared" si="526"/>
        <v>H. Campagnaro</v>
      </c>
      <c r="W101" s="77" t="str">
        <f t="shared" ref="W101:Y101" si="536">W5</f>
        <v>E. Bičakčić</v>
      </c>
      <c r="X101" s="77" t="str">
        <f t="shared" si="536"/>
        <v>E. Hajsafi</v>
      </c>
      <c r="Y101" s="77" t="str">
        <f t="shared" si="536"/>
        <v>E. Uzoenyi</v>
      </c>
      <c r="Z101" s="77" t="str">
        <f t="shared" si="528"/>
        <v>M. Ginter</v>
      </c>
      <c r="AA101" s="77" t="str">
        <f t="shared" ref="AA101:AC101" si="537">AA5</f>
        <v>Pepe</v>
      </c>
      <c r="AB101" s="77" t="str">
        <f t="shared" si="537"/>
        <v xml:space="preserve">A. Gyan </v>
      </c>
      <c r="AC101" s="77" t="str">
        <f t="shared" si="537"/>
        <v>O. Gonzalez</v>
      </c>
      <c r="AD101" s="77" t="str">
        <f t="shared" si="530"/>
        <v>T. Vermaelen</v>
      </c>
      <c r="AE101" s="77" t="str">
        <f t="shared" ref="AE101:AG101" si="538">AE5</f>
        <v>F. Ghoulam</v>
      </c>
      <c r="AF101" s="77" t="str">
        <f t="shared" si="538"/>
        <v>G. Shchennikov</v>
      </c>
      <c r="AG101" s="77" t="str">
        <f t="shared" si="538"/>
        <v>Y. Suk-young</v>
      </c>
      <c r="BT101" s="77" t="str">
        <f t="shared" ca="1" si="507"/>
        <v>Spain</v>
      </c>
      <c r="BU101" s="77">
        <f t="shared" si="461"/>
        <v>99</v>
      </c>
      <c r="BV101" s="77" t="str">
        <f t="shared" si="440"/>
        <v>A9</v>
      </c>
      <c r="BW101" s="77">
        <f t="shared" si="428"/>
        <v>5</v>
      </c>
      <c r="BX101" s="77" t="str">
        <f t="shared" ca="1" si="441"/>
        <v>D. Villa</v>
      </c>
      <c r="BY101" s="77">
        <f ca="1">COUNTIF('Group Stages'!$L$14:$S$110,BX101)+COUNTIF('Knock Out Stages'!$N$41:$U$84,BX101)</f>
        <v>0</v>
      </c>
      <c r="BZ101" s="77" t="str">
        <f t="shared" si="429"/>
        <v>'Player Database'!A9</v>
      </c>
      <c r="CA101" s="77" t="str">
        <f t="shared" ca="1" si="430"/>
        <v>David Villa</v>
      </c>
      <c r="CB101" s="77">
        <v>98</v>
      </c>
      <c r="CC101" s="77" t="str">
        <f t="array" aca="1" ref="CC101" ca="1">IFERROR(INDEX($BX$3:$BX$738, SMALL(IF(COUNTIF(CC$3, $BY$3:$BY$738), ROW($BX$3:$BX$738)-MIN(ROW($BX$3:$BX$738))+1), $CB101), 0),"")</f>
        <v/>
      </c>
      <c r="CS101" s="77">
        <f t="shared" si="504"/>
        <v>98</v>
      </c>
      <c r="CT101" s="77">
        <f t="shared" si="426"/>
        <v>3</v>
      </c>
      <c r="CU101" s="77" t="str">
        <f t="shared" si="505"/>
        <v>CR17</v>
      </c>
      <c r="CV101" s="77" t="str">
        <f t="shared" ca="1" si="506"/>
        <v/>
      </c>
      <c r="CW101" s="77">
        <f t="shared" ca="1" si="462"/>
        <v>0</v>
      </c>
      <c r="CZ101" s="77">
        <v>98</v>
      </c>
      <c r="DA101" s="77" t="str">
        <f t="shared" ca="1" si="463"/>
        <v/>
      </c>
      <c r="DB101" s="77" t="str">
        <f t="shared" ca="1" si="464"/>
        <v/>
      </c>
      <c r="DC101" s="77" t="str">
        <f t="shared" ca="1" si="470"/>
        <v/>
      </c>
      <c r="DD101" s="77" t="str">
        <f t="shared" ca="1" si="465"/>
        <v/>
      </c>
    </row>
    <row r="102" spans="1:108">
      <c r="A102" s="77">
        <v>4</v>
      </c>
      <c r="B102" s="77" t="str">
        <f t="shared" si="516"/>
        <v>D. Luiz</v>
      </c>
      <c r="C102" s="77" t="str">
        <f t="shared" si="517"/>
        <v>I. Perišić</v>
      </c>
      <c r="D102" s="77" t="str">
        <f t="shared" si="517"/>
        <v xml:space="preserve">R. Márquez </v>
      </c>
      <c r="E102" s="77" t="str">
        <f t="shared" si="517"/>
        <v>C. Djeugoué</v>
      </c>
      <c r="F102" s="77" t="str">
        <f t="shared" si="518"/>
        <v>J. Martínez</v>
      </c>
      <c r="G102" s="77" t="str">
        <f t="shared" ref="G102:I102" si="539">G6</f>
        <v>B. Martins Indi</v>
      </c>
      <c r="H102" s="77" t="str">
        <f t="shared" si="539"/>
        <v>M. Isla</v>
      </c>
      <c r="I102" s="77" t="str">
        <f t="shared" si="539"/>
        <v>T. Cahill</v>
      </c>
      <c r="J102" s="77" t="str">
        <f t="shared" si="520"/>
        <v>S. Arias</v>
      </c>
      <c r="K102" s="77" t="str">
        <f t="shared" ref="K102:M102" si="540">K6</f>
        <v>K. Manolas</v>
      </c>
      <c r="L102" s="77" t="str">
        <f t="shared" si="540"/>
        <v>K. Touré</v>
      </c>
      <c r="M102" s="77" t="str">
        <f t="shared" si="540"/>
        <v>K. Honda</v>
      </c>
      <c r="N102" s="77" t="str">
        <f t="shared" si="522"/>
        <v>S. Coates</v>
      </c>
      <c r="O102" s="77" t="str">
        <f t="shared" ref="O102:Q102" si="541">O6</f>
        <v>M. Umaña</v>
      </c>
      <c r="P102" s="77" t="str">
        <f t="shared" si="541"/>
        <v xml:space="preserve">S. Gerrard </v>
      </c>
      <c r="Q102" s="77" t="str">
        <f t="shared" si="541"/>
        <v>M. Darmian</v>
      </c>
      <c r="R102" s="77" t="str">
        <f t="shared" si="524"/>
        <v>P. Senderos</v>
      </c>
      <c r="S102" s="77" t="str">
        <f t="shared" ref="S102:U102" si="542">S6</f>
        <v>J. Carlos Paredes</v>
      </c>
      <c r="T102" s="77" t="str">
        <f t="shared" si="542"/>
        <v>R. Varane</v>
      </c>
      <c r="U102" s="77" t="str">
        <f t="shared" si="542"/>
        <v>J. Pablo Montes</v>
      </c>
      <c r="V102" s="77" t="str">
        <f t="shared" si="526"/>
        <v>P. Zabaleta</v>
      </c>
      <c r="W102" s="77" t="str">
        <f t="shared" ref="W102:Y102" si="543">W6</f>
        <v xml:space="preserve">E. Spahić </v>
      </c>
      <c r="X102" s="77" t="str">
        <f t="shared" si="543"/>
        <v>J. Hosseini</v>
      </c>
      <c r="Y102" s="77" t="str">
        <f t="shared" si="543"/>
        <v>R. Gabriel</v>
      </c>
      <c r="Z102" s="77" t="str">
        <f t="shared" si="528"/>
        <v>B. Höwedes</v>
      </c>
      <c r="AA102" s="77" t="str">
        <f t="shared" ref="AA102:AC102" si="544">AA6</f>
        <v>M. Veloso</v>
      </c>
      <c r="AB102" s="77" t="str">
        <f t="shared" si="544"/>
        <v>D. Opare</v>
      </c>
      <c r="AC102" s="77" t="str">
        <f t="shared" si="544"/>
        <v>M. Bradley</v>
      </c>
      <c r="AD102" s="77" t="str">
        <f t="shared" si="530"/>
        <v xml:space="preserve">V. Kompany </v>
      </c>
      <c r="AE102" s="77" t="str">
        <f t="shared" ref="AE102:AG102" si="545">AE6</f>
        <v>E. Belkalem</v>
      </c>
      <c r="AF102" s="77" t="str">
        <f t="shared" si="545"/>
        <v>S. Ignashevich</v>
      </c>
      <c r="AG102" s="77" t="str">
        <f t="shared" si="545"/>
        <v>K. Tae-hwi</v>
      </c>
      <c r="BT102" s="77" t="str">
        <f t="shared" ca="1" si="507"/>
        <v>Spain</v>
      </c>
      <c r="BU102" s="77">
        <f t="shared" si="461"/>
        <v>100</v>
      </c>
      <c r="BV102" s="77" t="str">
        <f t="shared" si="440"/>
        <v>A10</v>
      </c>
      <c r="BW102" s="77">
        <f t="shared" si="428"/>
        <v>5</v>
      </c>
      <c r="BX102" s="77" t="str">
        <f t="shared" ca="1" si="441"/>
        <v>Xavi</v>
      </c>
      <c r="BY102" s="77">
        <f ca="1">COUNTIF('Group Stages'!$L$14:$S$110,BX102)+COUNTIF('Knock Out Stages'!$N$41:$U$84,BX102)</f>
        <v>0</v>
      </c>
      <c r="BZ102" s="77" t="str">
        <f t="shared" si="429"/>
        <v>'Player Database'!A10</v>
      </c>
      <c r="CA102" s="77" t="str">
        <f t="shared" ca="1" si="430"/>
        <v>Xavi</v>
      </c>
      <c r="CB102" s="77">
        <v>99</v>
      </c>
      <c r="CC102" s="77" t="str">
        <f t="array" aca="1" ref="CC102" ca="1">IFERROR(INDEX($BX$3:$BX$738, SMALL(IF(COUNTIF(CC$3, $BY$3:$BY$738), ROW($BX$3:$BX$738)-MIN(ROW($BX$3:$BX$738))+1), $CB102), 0),"")</f>
        <v/>
      </c>
      <c r="CS102" s="77">
        <f t="shared" si="504"/>
        <v>99</v>
      </c>
      <c r="CT102" s="77">
        <f t="shared" si="426"/>
        <v>3</v>
      </c>
      <c r="CU102" s="77" t="str">
        <f t="shared" si="505"/>
        <v>CR18</v>
      </c>
      <c r="CV102" s="77" t="str">
        <f t="shared" ca="1" si="506"/>
        <v/>
      </c>
      <c r="CW102" s="77">
        <f t="shared" ca="1" si="462"/>
        <v>0</v>
      </c>
      <c r="CZ102" s="77">
        <v>99</v>
      </c>
      <c r="DA102" s="77" t="str">
        <f t="shared" ca="1" si="463"/>
        <v/>
      </c>
      <c r="DB102" s="77" t="str">
        <f t="shared" ca="1" si="464"/>
        <v/>
      </c>
      <c r="DC102" s="77" t="str">
        <f t="shared" ca="1" si="470"/>
        <v/>
      </c>
      <c r="DD102" s="77" t="str">
        <f t="shared" ca="1" si="465"/>
        <v/>
      </c>
    </row>
    <row r="103" spans="1:108">
      <c r="A103" s="77">
        <v>5</v>
      </c>
      <c r="B103" s="77" t="str">
        <f t="shared" si="516"/>
        <v>Fernandinho</v>
      </c>
      <c r="C103" s="77" t="str">
        <f t="shared" si="517"/>
        <v>V. Ćorluka</v>
      </c>
      <c r="D103" s="77" t="str">
        <f t="shared" si="517"/>
        <v>D. Reyes</v>
      </c>
      <c r="E103" s="77" t="str">
        <f t="shared" si="517"/>
        <v>D. Nounkeu</v>
      </c>
      <c r="F103" s="77" t="str">
        <f t="shared" si="518"/>
        <v>Juanfran</v>
      </c>
      <c r="G103" s="77" t="str">
        <f t="shared" ref="G103:I103" si="546">G7</f>
        <v>D. Blind</v>
      </c>
      <c r="H103" s="77" t="str">
        <f t="shared" si="546"/>
        <v>F. Silva</v>
      </c>
      <c r="I103" s="77" t="str">
        <f t="shared" si="546"/>
        <v>M. Milligan</v>
      </c>
      <c r="J103" s="77" t="str">
        <f t="shared" si="520"/>
        <v>C. Carbonero</v>
      </c>
      <c r="K103" s="77" t="str">
        <f t="shared" ref="K103:M103" si="547">K7</f>
        <v>V. Moras</v>
      </c>
      <c r="L103" s="77" t="str">
        <f t="shared" si="547"/>
        <v>D. Zokora</v>
      </c>
      <c r="M103" s="77" t="str">
        <f t="shared" si="547"/>
        <v>Y. Nagatomo</v>
      </c>
      <c r="N103" s="77" t="str">
        <f t="shared" si="522"/>
        <v>W. Gargano</v>
      </c>
      <c r="O103" s="77" t="str">
        <f t="shared" ref="O103:Q103" si="548">O7</f>
        <v>C. Borges</v>
      </c>
      <c r="P103" s="77" t="str">
        <f t="shared" si="548"/>
        <v>G. Cahill</v>
      </c>
      <c r="Q103" s="77" t="str">
        <f t="shared" si="548"/>
        <v>T. Motta</v>
      </c>
      <c r="R103" s="77" t="str">
        <f t="shared" si="524"/>
        <v>S. von Bergen</v>
      </c>
      <c r="S103" s="77" t="str">
        <f t="shared" ref="S103:U103" si="549">S7</f>
        <v>R. Ibarra</v>
      </c>
      <c r="T103" s="77" t="str">
        <f t="shared" si="549"/>
        <v>M. Sakho</v>
      </c>
      <c r="U103" s="77" t="str">
        <f t="shared" si="549"/>
        <v>V. Bernárdez</v>
      </c>
      <c r="V103" s="77" t="str">
        <f t="shared" si="526"/>
        <v>F. Gago</v>
      </c>
      <c r="W103" s="77" t="str">
        <f t="shared" ref="W103:Y103" si="550">W7</f>
        <v>S. Kolašinac</v>
      </c>
      <c r="X103" s="77" t="str">
        <f t="shared" si="550"/>
        <v>A. Hossein Sadeghi</v>
      </c>
      <c r="Y103" s="77" t="str">
        <f t="shared" si="550"/>
        <v>E. Ambrose</v>
      </c>
      <c r="Z103" s="77" t="str">
        <f t="shared" si="528"/>
        <v>M. Hummels</v>
      </c>
      <c r="AA103" s="77" t="str">
        <f t="shared" ref="AA103:AC103" si="551">AA7</f>
        <v>F. Coentrão</v>
      </c>
      <c r="AB103" s="77" t="str">
        <f t="shared" si="551"/>
        <v>M. Essien</v>
      </c>
      <c r="AC103" s="77" t="str">
        <f t="shared" si="551"/>
        <v>M. Besler</v>
      </c>
      <c r="AD103" s="77" t="str">
        <f t="shared" si="530"/>
        <v>J. Vertonghen</v>
      </c>
      <c r="AE103" s="77" t="str">
        <f t="shared" ref="AE103:AG103" si="552">AE7</f>
        <v>R. Halliche</v>
      </c>
      <c r="AF103" s="77" t="str">
        <f t="shared" si="552"/>
        <v>A. Semyonov</v>
      </c>
      <c r="AG103" s="77" t="str">
        <f t="shared" si="552"/>
        <v>K. Young-gwon</v>
      </c>
      <c r="BT103" s="77" t="str">
        <f t="shared" ca="1" si="507"/>
        <v>Spain</v>
      </c>
      <c r="BU103" s="77">
        <f t="shared" si="461"/>
        <v>101</v>
      </c>
      <c r="BV103" s="77" t="str">
        <f t="shared" si="440"/>
        <v>A11</v>
      </c>
      <c r="BW103" s="77">
        <f t="shared" si="428"/>
        <v>5</v>
      </c>
      <c r="BX103" s="77" t="str">
        <f t="shared" ca="1" si="441"/>
        <v>F. Torres</v>
      </c>
      <c r="BY103" s="77">
        <f ca="1">COUNTIF('Group Stages'!$L$14:$S$110,BX103)+COUNTIF('Knock Out Stages'!$N$41:$U$84,BX103)</f>
        <v>0</v>
      </c>
      <c r="BZ103" s="77" t="str">
        <f t="shared" si="429"/>
        <v>'Player Database'!A11</v>
      </c>
      <c r="CA103" s="77" t="str">
        <f t="shared" ca="1" si="430"/>
        <v>Fernando Torres</v>
      </c>
      <c r="CB103" s="77">
        <v>100</v>
      </c>
      <c r="CC103" s="77" t="str">
        <f t="array" aca="1" ref="CC103" ca="1">IFERROR(INDEX($BX$3:$BX$738, SMALL(IF(COUNTIF(CC$3, $BY$3:$BY$738), ROW($BX$3:$BX$738)-MIN(ROW($BX$3:$BX$738))+1), $CB103), 0),"")</f>
        <v/>
      </c>
      <c r="CS103" s="77">
        <f t="shared" si="504"/>
        <v>100</v>
      </c>
      <c r="CT103" s="77">
        <f t="shared" si="426"/>
        <v>3</v>
      </c>
      <c r="CU103" s="77" t="str">
        <f t="shared" si="505"/>
        <v>CR19</v>
      </c>
      <c r="CV103" s="77" t="str">
        <f t="shared" ca="1" si="506"/>
        <v/>
      </c>
      <c r="CW103" s="77">
        <f t="shared" ca="1" si="462"/>
        <v>0</v>
      </c>
      <c r="CZ103" s="77">
        <v>100</v>
      </c>
      <c r="DA103" s="77" t="str">
        <f t="shared" ca="1" si="463"/>
        <v/>
      </c>
      <c r="DB103" s="77" t="str">
        <f t="shared" ca="1" si="464"/>
        <v/>
      </c>
      <c r="DC103" s="77" t="str">
        <f t="shared" ca="1" si="470"/>
        <v/>
      </c>
      <c r="DD103" s="77" t="str">
        <f t="shared" ca="1" si="465"/>
        <v/>
      </c>
    </row>
    <row r="104" spans="1:108">
      <c r="A104" s="77">
        <v>6</v>
      </c>
      <c r="B104" s="77" t="str">
        <f t="shared" si="516"/>
        <v>Marcelo</v>
      </c>
      <c r="C104" s="77" t="str">
        <f t="shared" si="517"/>
        <v>D. Lovren</v>
      </c>
      <c r="D104" s="77" t="str">
        <f t="shared" si="517"/>
        <v>H. Herrera</v>
      </c>
      <c r="E104" s="77" t="str">
        <f t="shared" si="517"/>
        <v>A. Song</v>
      </c>
      <c r="F104" s="77" t="str">
        <f t="shared" si="518"/>
        <v>A. Iniesta</v>
      </c>
      <c r="G104" s="77" t="str">
        <f t="shared" ref="G104:I104" si="553">G8</f>
        <v>J. de Guzmán</v>
      </c>
      <c r="H104" s="77" t="str">
        <f t="shared" si="553"/>
        <v>C. Carmona</v>
      </c>
      <c r="I104" s="77" t="str">
        <f t="shared" si="553"/>
        <v>M. Špiranović</v>
      </c>
      <c r="J104" s="77" t="str">
        <f t="shared" si="520"/>
        <v>C. Sánchez</v>
      </c>
      <c r="K104" s="77" t="str">
        <f t="shared" ref="K104:M104" si="554">K8</f>
        <v>A. Tziolis</v>
      </c>
      <c r="L104" s="77" t="str">
        <f t="shared" si="554"/>
        <v>M. Bolly</v>
      </c>
      <c r="M104" s="77" t="str">
        <f t="shared" si="554"/>
        <v>M. Morishige</v>
      </c>
      <c r="N104" s="77" t="str">
        <f t="shared" si="522"/>
        <v>Á. Pereira</v>
      </c>
      <c r="O104" s="77" t="str">
        <f t="shared" ref="O104:Q104" si="555">O8</f>
        <v>Ó. Duarte</v>
      </c>
      <c r="P104" s="77" t="str">
        <f t="shared" si="555"/>
        <v>P. Jagielka</v>
      </c>
      <c r="Q104" s="77" t="str">
        <f t="shared" si="555"/>
        <v>A. Candreva</v>
      </c>
      <c r="R104" s="77" t="str">
        <f t="shared" si="524"/>
        <v>M. Lang</v>
      </c>
      <c r="S104" s="77" t="str">
        <f t="shared" ref="S104:U104" si="556">S8</f>
        <v>C. Noboa</v>
      </c>
      <c r="T104" s="77" t="str">
        <f t="shared" si="556"/>
        <v>Y. Cabaye</v>
      </c>
      <c r="U104" s="77" t="str">
        <f t="shared" si="556"/>
        <v>J. Carlos García</v>
      </c>
      <c r="V104" s="77" t="str">
        <f t="shared" si="526"/>
        <v>L. Biglia</v>
      </c>
      <c r="W104" s="77" t="str">
        <f t="shared" ref="W104:Y104" si="557">W8</f>
        <v>O. Vranješ</v>
      </c>
      <c r="X104" s="77" t="str">
        <f t="shared" si="557"/>
        <v xml:space="preserve">J. Nekounam </v>
      </c>
      <c r="Y104" s="77" t="str">
        <f t="shared" si="557"/>
        <v>A. Egwuekwe</v>
      </c>
      <c r="Z104" s="77" t="str">
        <f t="shared" si="528"/>
        <v>S. Khedira</v>
      </c>
      <c r="AA104" s="77" t="str">
        <f t="shared" ref="AA104:AC104" si="558">AA8</f>
        <v>W. Carvalho</v>
      </c>
      <c r="AB104" s="77" t="str">
        <f t="shared" si="558"/>
        <v>A. Acquah</v>
      </c>
      <c r="AC104" s="77" t="str">
        <f t="shared" si="558"/>
        <v>J. Brooks</v>
      </c>
      <c r="AD104" s="77" t="str">
        <f t="shared" si="530"/>
        <v>A. Witsel</v>
      </c>
      <c r="AE104" s="77" t="str">
        <f t="shared" ref="AE104:AG104" si="559">AE8</f>
        <v>D. Mesbah</v>
      </c>
      <c r="AF104" s="77" t="str">
        <f t="shared" si="559"/>
        <v>M. Kanunnikov</v>
      </c>
      <c r="AG104" s="77" t="str">
        <f t="shared" si="559"/>
        <v>H. Seok-ho</v>
      </c>
      <c r="BT104" s="77" t="str">
        <f t="shared" ca="1" si="507"/>
        <v>Spain</v>
      </c>
      <c r="BU104" s="77">
        <f t="shared" si="461"/>
        <v>102</v>
      </c>
      <c r="BV104" s="77" t="str">
        <f t="shared" si="440"/>
        <v>A12</v>
      </c>
      <c r="BW104" s="77">
        <f t="shared" si="428"/>
        <v>5</v>
      </c>
      <c r="BX104" s="77" t="str">
        <f t="shared" ca="1" si="441"/>
        <v>C. Fàbregas</v>
      </c>
      <c r="BY104" s="77">
        <f ca="1">COUNTIF('Group Stages'!$L$14:$S$110,BX104)+COUNTIF('Knock Out Stages'!$N$41:$U$84,BX104)</f>
        <v>0</v>
      </c>
      <c r="BZ104" s="77" t="str">
        <f t="shared" si="429"/>
        <v>'Player Database'!A12</v>
      </c>
      <c r="CA104" s="77" t="str">
        <f t="shared" ca="1" si="430"/>
        <v>Cesc Fàbregas</v>
      </c>
      <c r="CB104" s="77">
        <v>101</v>
      </c>
      <c r="CC104" s="77" t="str">
        <f t="array" aca="1" ref="CC104" ca="1">IFERROR(INDEX($BX$3:$BX$738, SMALL(IF(COUNTIF(CC$3, $BY$3:$BY$738), ROW($BX$3:$BX$738)-MIN(ROW($BX$3:$BX$738))+1), $CB104), 0),"")</f>
        <v/>
      </c>
      <c r="CS104" s="77">
        <f t="shared" si="504"/>
        <v>101</v>
      </c>
      <c r="CT104" s="77">
        <f t="shared" si="426"/>
        <v>3</v>
      </c>
      <c r="CU104" s="77" t="str">
        <f t="shared" si="505"/>
        <v>CR20</v>
      </c>
      <c r="CV104" s="77" t="str">
        <f t="shared" ca="1" si="506"/>
        <v/>
      </c>
      <c r="CW104" s="77">
        <f t="shared" ca="1" si="462"/>
        <v>0</v>
      </c>
      <c r="CZ104" s="77">
        <v>101</v>
      </c>
      <c r="DA104" s="77" t="str">
        <f t="shared" ca="1" si="463"/>
        <v/>
      </c>
      <c r="DB104" s="77" t="str">
        <f t="shared" ca="1" si="464"/>
        <v/>
      </c>
      <c r="DC104" s="77" t="str">
        <f t="shared" ca="1" si="470"/>
        <v/>
      </c>
      <c r="DD104" s="77" t="str">
        <f t="shared" ca="1" si="465"/>
        <v/>
      </c>
    </row>
    <row r="105" spans="1:108">
      <c r="A105" s="77">
        <v>7</v>
      </c>
      <c r="B105" s="77" t="str">
        <f t="shared" si="516"/>
        <v>Hulk</v>
      </c>
      <c r="C105" s="77" t="str">
        <f t="shared" si="517"/>
        <v>I. Rakitić</v>
      </c>
      <c r="D105" s="77" t="str">
        <f t="shared" si="517"/>
        <v>M. Layún</v>
      </c>
      <c r="E105" s="77" t="str">
        <f t="shared" si="517"/>
        <v>L. N'Guémo</v>
      </c>
      <c r="F105" s="77" t="str">
        <f t="shared" si="518"/>
        <v>D. Villa</v>
      </c>
      <c r="G105" s="77" t="str">
        <f t="shared" ref="G105:I105" si="560">G9</f>
        <v>D. Janmaat</v>
      </c>
      <c r="H105" s="77" t="str">
        <f t="shared" si="560"/>
        <v>A. Sánchez</v>
      </c>
      <c r="I105" s="77" t="str">
        <f t="shared" si="560"/>
        <v>M. Leckie</v>
      </c>
      <c r="J105" s="77" t="str">
        <f t="shared" si="520"/>
        <v>P. Armero</v>
      </c>
      <c r="K105" s="77" t="str">
        <f t="shared" ref="K105:M105" si="561">K9</f>
        <v>G. Samaras</v>
      </c>
      <c r="L105" s="77" t="str">
        <f t="shared" si="561"/>
        <v>J. Akpa-Akpro</v>
      </c>
      <c r="M105" s="77" t="str">
        <f t="shared" si="561"/>
        <v>Y. Endō</v>
      </c>
      <c r="N105" s="77" t="str">
        <f t="shared" si="522"/>
        <v>C. Rodríguez</v>
      </c>
      <c r="O105" s="77" t="str">
        <f t="shared" ref="O105:Q105" si="562">O9</f>
        <v>C. Bolaños</v>
      </c>
      <c r="P105" s="77" t="str">
        <f t="shared" si="562"/>
        <v>J. Wilshere</v>
      </c>
      <c r="Q105" s="77" t="str">
        <f t="shared" si="562"/>
        <v>I. Abate</v>
      </c>
      <c r="R105" s="77" t="str">
        <f t="shared" si="524"/>
        <v>T. Barnetta</v>
      </c>
      <c r="S105" s="77" t="str">
        <f t="shared" ref="S105:U105" si="563">S9</f>
        <v>J. Montero</v>
      </c>
      <c r="T105" s="77" t="str">
        <f t="shared" si="563"/>
        <v>R. Cabella[38]</v>
      </c>
      <c r="U105" s="77" t="str">
        <f t="shared" si="563"/>
        <v>E. Izaguirre</v>
      </c>
      <c r="V105" s="77" t="str">
        <f t="shared" si="526"/>
        <v>Á. di María</v>
      </c>
      <c r="W105" s="77" t="str">
        <f t="shared" ref="W105:Y105" si="564">W9</f>
        <v>M. Bešić</v>
      </c>
      <c r="X105" s="77" t="str">
        <f t="shared" si="564"/>
        <v>M. Shojaei</v>
      </c>
      <c r="Y105" s="77" t="str">
        <f t="shared" si="564"/>
        <v>A. Musa</v>
      </c>
      <c r="Z105" s="77" t="str">
        <f t="shared" si="528"/>
        <v>B. Schweinsteiger</v>
      </c>
      <c r="AA105" s="77" t="str">
        <f t="shared" ref="AA105:AC105" si="565">AA9</f>
        <v xml:space="preserve">C. Ronaldo </v>
      </c>
      <c r="AB105" s="77" t="str">
        <f t="shared" si="565"/>
        <v>C. Atsu</v>
      </c>
      <c r="AC105" s="77" t="str">
        <f t="shared" si="565"/>
        <v>D. Beasley</v>
      </c>
      <c r="AD105" s="77" t="str">
        <f t="shared" si="530"/>
        <v>K. De Bruyne</v>
      </c>
      <c r="AE105" s="77" t="str">
        <f t="shared" ref="AE105:AG105" si="566">AE9</f>
        <v>C. Medjani</v>
      </c>
      <c r="AF105" s="77" t="str">
        <f t="shared" si="566"/>
        <v>I. Denisov</v>
      </c>
      <c r="AG105" s="77" t="str">
        <f t="shared" si="566"/>
        <v>K. Bo-kyung</v>
      </c>
      <c r="BT105" s="77" t="str">
        <f t="shared" ca="1" si="507"/>
        <v>Spain</v>
      </c>
      <c r="BU105" s="77">
        <f t="shared" si="461"/>
        <v>103</v>
      </c>
      <c r="BV105" s="77" t="str">
        <f t="shared" si="440"/>
        <v>A13</v>
      </c>
      <c r="BW105" s="77">
        <f t="shared" si="428"/>
        <v>5</v>
      </c>
      <c r="BX105" s="77" t="str">
        <f t="shared" ca="1" si="441"/>
        <v>Pedro</v>
      </c>
      <c r="BY105" s="77">
        <f ca="1">COUNTIF('Group Stages'!$L$14:$S$110,BX105)+COUNTIF('Knock Out Stages'!$N$41:$U$84,BX105)</f>
        <v>0</v>
      </c>
      <c r="BZ105" s="77" t="str">
        <f t="shared" si="429"/>
        <v>'Player Database'!A13</v>
      </c>
      <c r="CA105" s="77" t="str">
        <f t="shared" ca="1" si="430"/>
        <v>Pedro</v>
      </c>
      <c r="CB105" s="77">
        <v>102</v>
      </c>
      <c r="CC105" s="77" t="str">
        <f t="array" aca="1" ref="CC105" ca="1">IFERROR(INDEX($BX$3:$BX$738, SMALL(IF(COUNTIF(CC$3, $BY$3:$BY$738), ROW($BX$3:$BX$738)-MIN(ROW($BX$3:$BX$738))+1), $CB105), 0),"")</f>
        <v/>
      </c>
      <c r="CS105" s="77">
        <f t="shared" si="504"/>
        <v>102</v>
      </c>
      <c r="CT105" s="77">
        <f t="shared" si="426"/>
        <v>3</v>
      </c>
      <c r="CU105" s="77" t="str">
        <f t="shared" si="505"/>
        <v>CR21</v>
      </c>
      <c r="CV105" s="77" t="str">
        <f t="shared" ca="1" si="506"/>
        <v/>
      </c>
      <c r="CW105" s="77">
        <f t="shared" ca="1" si="462"/>
        <v>0</v>
      </c>
      <c r="CZ105" s="77">
        <v>102</v>
      </c>
      <c r="DA105" s="77" t="str">
        <f t="shared" ca="1" si="463"/>
        <v/>
      </c>
      <c r="DB105" s="77" t="str">
        <f t="shared" ca="1" si="464"/>
        <v/>
      </c>
      <c r="DC105" s="77" t="str">
        <f t="shared" ca="1" si="470"/>
        <v/>
      </c>
      <c r="DD105" s="77" t="str">
        <f t="shared" ca="1" si="465"/>
        <v/>
      </c>
    </row>
    <row r="106" spans="1:108">
      <c r="A106" s="77">
        <v>8</v>
      </c>
      <c r="B106" s="77" t="str">
        <f t="shared" si="516"/>
        <v>Paulinho</v>
      </c>
      <c r="C106" s="77" t="str">
        <f t="shared" si="517"/>
        <v>O. Vukojević</v>
      </c>
      <c r="D106" s="77" t="str">
        <f t="shared" si="517"/>
        <v>M. Fabián</v>
      </c>
      <c r="E106" s="77" t="str">
        <f t="shared" si="517"/>
        <v>B. Moukandjo</v>
      </c>
      <c r="F106" s="77" t="str">
        <f t="shared" si="518"/>
        <v>Xavi</v>
      </c>
      <c r="G106" s="77" t="str">
        <f t="shared" ref="G106:I106" si="567">G10</f>
        <v>N. de Jong</v>
      </c>
      <c r="H106" s="77" t="str">
        <f t="shared" si="567"/>
        <v>A. Vidal</v>
      </c>
      <c r="I106" s="77" t="str">
        <f t="shared" si="567"/>
        <v>B. Wright</v>
      </c>
      <c r="J106" s="77" t="str">
        <f t="shared" si="520"/>
        <v>A. Aguilar</v>
      </c>
      <c r="K106" s="77" t="str">
        <f t="shared" ref="K106:M106" si="568">K10</f>
        <v>P. Kone</v>
      </c>
      <c r="L106" s="77" t="str">
        <f t="shared" si="568"/>
        <v>S. Kalou</v>
      </c>
      <c r="M106" s="77" t="str">
        <f t="shared" si="568"/>
        <v>H. Kiyotake</v>
      </c>
      <c r="N106" s="77" t="str">
        <f t="shared" si="522"/>
        <v>A. Hernández</v>
      </c>
      <c r="O106" s="77" t="str">
        <f t="shared" ref="O106:Q106" si="569">O10</f>
        <v>H. Mora</v>
      </c>
      <c r="P106" s="77" t="str">
        <f t="shared" si="569"/>
        <v>F. Lampard</v>
      </c>
      <c r="Q106" s="77" t="str">
        <f t="shared" si="569"/>
        <v>C. Marchisio</v>
      </c>
      <c r="R106" s="77" t="str">
        <f t="shared" si="524"/>
        <v xml:space="preserve">G. Inler </v>
      </c>
      <c r="S106" s="77" t="str">
        <f t="shared" ref="S106:U106" si="570">S10</f>
        <v>É. Méndez</v>
      </c>
      <c r="T106" s="77" t="str">
        <f t="shared" si="570"/>
        <v>M. Valbuena</v>
      </c>
      <c r="U106" s="77" t="str">
        <f t="shared" si="570"/>
        <v>W. Palacios</v>
      </c>
      <c r="V106" s="77" t="str">
        <f t="shared" si="526"/>
        <v>E. Pérez</v>
      </c>
      <c r="W106" s="77" t="str">
        <f t="shared" ref="W106:Y106" si="571">W10</f>
        <v>M. Pjanić</v>
      </c>
      <c r="X106" s="77" t="str">
        <f t="shared" si="571"/>
        <v>R. Haghighi</v>
      </c>
      <c r="Y106" s="77" t="str">
        <f t="shared" si="571"/>
        <v>P. Odemwingie</v>
      </c>
      <c r="Z106" s="77" t="str">
        <f t="shared" si="528"/>
        <v>M. Özil</v>
      </c>
      <c r="AA106" s="77" t="str">
        <f t="shared" ref="AA106:AC106" si="572">AA10</f>
        <v>J. Moutinho</v>
      </c>
      <c r="AB106" s="77" t="str">
        <f t="shared" si="572"/>
        <v>E. Agyemang-Badu</v>
      </c>
      <c r="AC106" s="77" t="str">
        <f t="shared" si="572"/>
        <v xml:space="preserve">C. Dempsey </v>
      </c>
      <c r="AD106" s="77" t="str">
        <f t="shared" si="530"/>
        <v>M. Fellaini</v>
      </c>
      <c r="AE106" s="77" t="str">
        <f t="shared" ref="AE106:AG106" si="573">AE10</f>
        <v>H. Yebda</v>
      </c>
      <c r="AF106" s="77" t="str">
        <f t="shared" si="573"/>
        <v>D. Glushakov</v>
      </c>
      <c r="AG106" s="77" t="str">
        <f t="shared" si="573"/>
        <v>H. Dae-sung</v>
      </c>
      <c r="BT106" s="77" t="str">
        <f t="shared" ca="1" si="507"/>
        <v>Spain</v>
      </c>
      <c r="BU106" s="77">
        <f t="shared" si="461"/>
        <v>104</v>
      </c>
      <c r="BV106" s="77" t="str">
        <f t="shared" si="440"/>
        <v>A14</v>
      </c>
      <c r="BW106" s="77">
        <f t="shared" si="428"/>
        <v>5</v>
      </c>
      <c r="BX106" s="77" t="str">
        <f t="shared" ca="1" si="441"/>
        <v>D. de Gea</v>
      </c>
      <c r="BY106" s="77">
        <f ca="1">COUNTIF('Group Stages'!$L$14:$S$110,BX106)+COUNTIF('Knock Out Stages'!$N$41:$U$84,BX106)</f>
        <v>0</v>
      </c>
      <c r="BZ106" s="77" t="str">
        <f t="shared" si="429"/>
        <v>'Player Database'!A14</v>
      </c>
      <c r="CA106" s="77" t="str">
        <f t="shared" ca="1" si="430"/>
        <v>David de Gea</v>
      </c>
      <c r="CB106" s="77">
        <v>103</v>
      </c>
      <c r="CC106" s="77" t="str">
        <f t="array" aca="1" ref="CC106" ca="1">IFERROR(INDEX($BX$3:$BX$738, SMALL(IF(COUNTIF(CC$3, $BY$3:$BY$738), ROW($BX$3:$BX$738)-MIN(ROW($BX$3:$BX$738))+1), $CB106), 0),"")</f>
        <v/>
      </c>
      <c r="CS106" s="77">
        <f t="shared" si="504"/>
        <v>103</v>
      </c>
      <c r="CT106" s="77">
        <f t="shared" si="426"/>
        <v>3</v>
      </c>
      <c r="CU106" s="77" t="str">
        <f t="shared" si="505"/>
        <v>CR22</v>
      </c>
      <c r="CV106" s="77" t="str">
        <f t="shared" ca="1" si="506"/>
        <v/>
      </c>
      <c r="CW106" s="77">
        <f t="shared" ca="1" si="462"/>
        <v>0</v>
      </c>
      <c r="CZ106" s="77">
        <v>103</v>
      </c>
      <c r="DA106" s="77" t="str">
        <f t="shared" ca="1" si="463"/>
        <v/>
      </c>
      <c r="DB106" s="77" t="str">
        <f t="shared" ca="1" si="464"/>
        <v/>
      </c>
      <c r="DC106" s="77" t="str">
        <f t="shared" ca="1" si="470"/>
        <v/>
      </c>
      <c r="DD106" s="77" t="str">
        <f t="shared" ca="1" si="465"/>
        <v/>
      </c>
    </row>
    <row r="107" spans="1:108">
      <c r="A107" s="77">
        <v>9</v>
      </c>
      <c r="B107" s="77" t="str">
        <f t="shared" si="516"/>
        <v>Fred</v>
      </c>
      <c r="C107" s="77" t="str">
        <f t="shared" si="517"/>
        <v>N. Jelavić</v>
      </c>
      <c r="D107" s="77" t="str">
        <f t="shared" si="517"/>
        <v>R. Jiménez</v>
      </c>
      <c r="E107" s="77" t="str">
        <f t="shared" si="517"/>
        <v xml:space="preserve">S. Eto'o </v>
      </c>
      <c r="F107" s="77" t="str">
        <f t="shared" si="518"/>
        <v>F. Torres</v>
      </c>
      <c r="G107" s="77" t="str">
        <f t="shared" ref="G107:I107" si="574">G11</f>
        <v xml:space="preserve">R. van Persie </v>
      </c>
      <c r="H107" s="77" t="str">
        <f t="shared" si="574"/>
        <v>M. Pinilla</v>
      </c>
      <c r="I107" s="77" t="str">
        <f t="shared" si="574"/>
        <v>A. Taggart</v>
      </c>
      <c r="J107" s="77" t="str">
        <f t="shared" si="520"/>
        <v>T. Gutiérrez</v>
      </c>
      <c r="K107" s="77" t="str">
        <f t="shared" ref="K107:M107" si="575">K11</f>
        <v>K. Mitroglou</v>
      </c>
      <c r="L107" s="77" t="str">
        <f t="shared" si="575"/>
        <v>C. Tioté</v>
      </c>
      <c r="M107" s="77" t="str">
        <f t="shared" si="575"/>
        <v>S. Okazaki</v>
      </c>
      <c r="N107" s="77" t="str">
        <f t="shared" si="522"/>
        <v>L. Suárez</v>
      </c>
      <c r="O107" s="77" t="str">
        <f t="shared" ref="O107:Q107" si="576">O11</f>
        <v>J. Campbell</v>
      </c>
      <c r="P107" s="77" t="str">
        <f t="shared" si="576"/>
        <v>D. Sturridge</v>
      </c>
      <c r="Q107" s="77" t="str">
        <f t="shared" si="576"/>
        <v>M. Balotelli</v>
      </c>
      <c r="R107" s="77" t="str">
        <f t="shared" si="524"/>
        <v>H. Seferović</v>
      </c>
      <c r="S107" s="77" t="str">
        <f t="shared" ref="S107:U107" si="577">S11</f>
        <v>J. Rojas</v>
      </c>
      <c r="T107" s="77" t="str">
        <f t="shared" si="577"/>
        <v>O. Giroud</v>
      </c>
      <c r="U107" s="77" t="str">
        <f t="shared" si="577"/>
        <v>J. Palacios</v>
      </c>
      <c r="V107" s="77" t="str">
        <f t="shared" si="526"/>
        <v>G. Higuaín</v>
      </c>
      <c r="W107" s="77" t="str">
        <f t="shared" ref="W107:Y107" si="578">W11</f>
        <v>V. Ibišević</v>
      </c>
      <c r="X107" s="77" t="str">
        <f t="shared" si="578"/>
        <v>A. Jahanbakhsh</v>
      </c>
      <c r="Y107" s="77" t="str">
        <f t="shared" si="578"/>
        <v>E. Emenike</v>
      </c>
      <c r="Z107" s="77" t="str">
        <f t="shared" si="528"/>
        <v>A. Schürrle</v>
      </c>
      <c r="AA107" s="77" t="str">
        <f t="shared" ref="AA107:AC107" si="579">AA11</f>
        <v>H. Almeida</v>
      </c>
      <c r="AB107" s="77" t="str">
        <f t="shared" si="579"/>
        <v>K. Boateng</v>
      </c>
      <c r="AC107" s="77" t="str">
        <f t="shared" si="579"/>
        <v>A. Jóhannsson</v>
      </c>
      <c r="AD107" s="77" t="str">
        <f t="shared" si="530"/>
        <v>R. Lukaku</v>
      </c>
      <c r="AE107" s="77" t="str">
        <f t="shared" ref="AE107:AG107" si="580">AE11</f>
        <v>N. Ghilas</v>
      </c>
      <c r="AF107" s="77" t="str">
        <f t="shared" si="580"/>
        <v>A. Kokorin</v>
      </c>
      <c r="AG107" s="77" t="str">
        <f t="shared" si="580"/>
        <v>S. Heung-min</v>
      </c>
      <c r="BT107" s="77" t="str">
        <f t="shared" ca="1" si="507"/>
        <v>Spain</v>
      </c>
      <c r="BU107" s="77">
        <f t="shared" si="461"/>
        <v>105</v>
      </c>
      <c r="BV107" s="77" t="str">
        <f t="shared" si="440"/>
        <v>A15</v>
      </c>
      <c r="BW107" s="77">
        <f t="shared" si="428"/>
        <v>5</v>
      </c>
      <c r="BX107" s="77" t="str">
        <f t="shared" ca="1" si="441"/>
        <v>J. Mata</v>
      </c>
      <c r="BY107" s="77">
        <f ca="1">COUNTIF('Group Stages'!$L$14:$S$110,BX107)+COUNTIF('Knock Out Stages'!$N$41:$U$84,BX107)</f>
        <v>0</v>
      </c>
      <c r="BZ107" s="77" t="str">
        <f t="shared" si="429"/>
        <v>'Player Database'!A15</v>
      </c>
      <c r="CA107" s="77" t="str">
        <f t="shared" ca="1" si="430"/>
        <v>Juan Mata</v>
      </c>
      <c r="CB107" s="77">
        <v>104</v>
      </c>
      <c r="CC107" s="77" t="str">
        <f t="array" aca="1" ref="CC107" ca="1">IFERROR(INDEX($BX$3:$BX$738, SMALL(IF(COUNTIF(CC$3, $BY$3:$BY$738), ROW($BX$3:$BX$738)-MIN(ROW($BX$3:$BX$738))+1), $CB107), 0),"")</f>
        <v/>
      </c>
      <c r="CS107" s="77">
        <f t="shared" si="504"/>
        <v>104</v>
      </c>
      <c r="CT107" s="77">
        <f t="shared" si="426"/>
        <v>3</v>
      </c>
      <c r="CU107" s="77" t="str">
        <f t="shared" si="505"/>
        <v>CR23</v>
      </c>
      <c r="CV107" s="77" t="str">
        <f t="shared" ca="1" si="506"/>
        <v/>
      </c>
      <c r="CW107" s="77">
        <f t="shared" ca="1" si="462"/>
        <v>0</v>
      </c>
      <c r="CZ107" s="77">
        <v>104</v>
      </c>
      <c r="DA107" s="77" t="str">
        <f t="shared" ca="1" si="463"/>
        <v/>
      </c>
      <c r="DB107" s="77" t="str">
        <f t="shared" ca="1" si="464"/>
        <v/>
      </c>
      <c r="DC107" s="77" t="str">
        <f t="shared" ca="1" si="470"/>
        <v/>
      </c>
      <c r="DD107" s="77" t="str">
        <f t="shared" ca="1" si="465"/>
        <v/>
      </c>
    </row>
    <row r="108" spans="1:108">
      <c r="A108" s="77">
        <v>10</v>
      </c>
      <c r="B108" s="77" t="str">
        <f t="shared" si="516"/>
        <v>Neymar</v>
      </c>
      <c r="C108" s="77" t="str">
        <f t="shared" si="517"/>
        <v>L. Modrić</v>
      </c>
      <c r="D108" s="77" t="str">
        <f t="shared" si="517"/>
        <v>G. dos Santos</v>
      </c>
      <c r="E108" s="77" t="str">
        <f t="shared" si="517"/>
        <v>V. Aboubakar</v>
      </c>
      <c r="F108" s="77" t="str">
        <f t="shared" si="518"/>
        <v>C. Fàbregas</v>
      </c>
      <c r="G108" s="77" t="str">
        <f t="shared" ref="G108:I108" si="581">G12</f>
        <v>W. Sneijder</v>
      </c>
      <c r="H108" s="77" t="str">
        <f t="shared" si="581"/>
        <v>J. Valdívia</v>
      </c>
      <c r="I108" s="77" t="str">
        <f t="shared" si="581"/>
        <v>B. Halloran</v>
      </c>
      <c r="J108" s="77" t="str">
        <f t="shared" si="520"/>
        <v>J. Rodríguez</v>
      </c>
      <c r="K108" s="77" t="str">
        <f t="shared" ref="K108:M108" si="582">K12</f>
        <v xml:space="preserve">G. Karagounis </v>
      </c>
      <c r="L108" s="77" t="str">
        <f t="shared" si="582"/>
        <v>Gervinho</v>
      </c>
      <c r="M108" s="77" t="str">
        <f t="shared" si="582"/>
        <v>S. Kagawa</v>
      </c>
      <c r="N108" s="77" t="str">
        <f t="shared" si="522"/>
        <v>D. Forlán</v>
      </c>
      <c r="O108" s="77" t="str">
        <f t="shared" ref="O108:Q108" si="583">O12</f>
        <v xml:space="preserve">B. Ruiz </v>
      </c>
      <c r="P108" s="77" t="str">
        <f t="shared" si="583"/>
        <v>W. Rooney</v>
      </c>
      <c r="Q108" s="77" t="str">
        <f t="shared" si="583"/>
        <v>A. Cassano</v>
      </c>
      <c r="R108" s="77" t="str">
        <f t="shared" si="524"/>
        <v>G. Xhaka</v>
      </c>
      <c r="S108" s="77" t="str">
        <f t="shared" ref="S108:U108" si="584">S12</f>
        <v>W. Ayoví</v>
      </c>
      <c r="T108" s="77" t="str">
        <f t="shared" si="584"/>
        <v>K. Benzema</v>
      </c>
      <c r="U108" s="77" t="str">
        <f t="shared" si="584"/>
        <v>M. Martínez</v>
      </c>
      <c r="V108" s="77" t="str">
        <f t="shared" si="526"/>
        <v xml:space="preserve">L. Messi </v>
      </c>
      <c r="W108" s="77" t="str">
        <f t="shared" ref="W108:Y108" si="585">W12</f>
        <v>Z. Misimović</v>
      </c>
      <c r="X108" s="77" t="str">
        <f t="shared" si="585"/>
        <v>K. Ansarifard</v>
      </c>
      <c r="Y108" s="77" t="str">
        <f t="shared" si="585"/>
        <v>J. Obi Mikel</v>
      </c>
      <c r="Z108" s="77" t="str">
        <f t="shared" si="528"/>
        <v>L. Podolski</v>
      </c>
      <c r="AA108" s="77" t="str">
        <f t="shared" ref="AA108:AC108" si="586">AA12</f>
        <v>Vieirinha</v>
      </c>
      <c r="AB108" s="77" t="str">
        <f t="shared" si="586"/>
        <v>A. Ayew</v>
      </c>
      <c r="AC108" s="77" t="str">
        <f t="shared" si="586"/>
        <v>M. Diskerud</v>
      </c>
      <c r="AD108" s="77" t="str">
        <f t="shared" si="530"/>
        <v>E. Hazard</v>
      </c>
      <c r="AE108" s="77" t="str">
        <f t="shared" ref="AE108:AG108" si="587">AE12</f>
        <v>S. Feghouli</v>
      </c>
      <c r="AF108" s="77" t="str">
        <f t="shared" si="587"/>
        <v>A. Dzagoev</v>
      </c>
      <c r="AG108" s="77" t="str">
        <f t="shared" si="587"/>
        <v>P. Chu-young</v>
      </c>
      <c r="BT108" s="77" t="str">
        <f t="shared" ca="1" si="507"/>
        <v>Spain</v>
      </c>
      <c r="BU108" s="77">
        <f t="shared" si="461"/>
        <v>106</v>
      </c>
      <c r="BV108" s="77" t="str">
        <f t="shared" si="440"/>
        <v>A16</v>
      </c>
      <c r="BW108" s="77">
        <f t="shared" si="428"/>
        <v>5</v>
      </c>
      <c r="BX108" s="77" t="str">
        <f t="shared" ca="1" si="441"/>
        <v>X. Alonso</v>
      </c>
      <c r="BY108" s="77">
        <f ca="1">COUNTIF('Group Stages'!$L$14:$S$110,BX108)+COUNTIF('Knock Out Stages'!$N$41:$U$84,BX108)</f>
        <v>0</v>
      </c>
      <c r="BZ108" s="77" t="str">
        <f t="shared" si="429"/>
        <v>'Player Database'!A16</v>
      </c>
      <c r="CA108" s="77" t="str">
        <f t="shared" ca="1" si="430"/>
        <v>Xabi Alonso</v>
      </c>
      <c r="CB108" s="77">
        <v>105</v>
      </c>
      <c r="CC108" s="77" t="str">
        <f t="array" aca="1" ref="CC108" ca="1">IFERROR(INDEX($BX$3:$BX$738, SMALL(IF(COUNTIF(CC$3, $BY$3:$BY$738), ROW($BX$3:$BX$738)-MIN(ROW($BX$3:$BX$738))+1), $CB108), 0),"")</f>
        <v/>
      </c>
      <c r="CS108" s="77">
        <f t="shared" si="504"/>
        <v>105</v>
      </c>
      <c r="CT108" s="77">
        <f t="shared" si="426"/>
        <v>3</v>
      </c>
      <c r="CU108" s="77" t="str">
        <f t="shared" si="505"/>
        <v>CR24</v>
      </c>
      <c r="CV108" s="77" t="str">
        <f t="shared" ca="1" si="506"/>
        <v/>
      </c>
      <c r="CW108" s="77">
        <f t="shared" ca="1" si="462"/>
        <v>0</v>
      </c>
      <c r="CZ108" s="77">
        <v>105</v>
      </c>
      <c r="DA108" s="77" t="str">
        <f t="shared" ca="1" si="463"/>
        <v/>
      </c>
      <c r="DB108" s="77" t="str">
        <f t="shared" ca="1" si="464"/>
        <v/>
      </c>
      <c r="DC108" s="77" t="str">
        <f t="shared" ca="1" si="470"/>
        <v/>
      </c>
      <c r="DD108" s="77" t="str">
        <f t="shared" ca="1" si="465"/>
        <v/>
      </c>
    </row>
    <row r="109" spans="1:108">
      <c r="A109" s="77">
        <v>11</v>
      </c>
      <c r="B109" s="77" t="str">
        <f t="shared" si="516"/>
        <v>Oscar</v>
      </c>
      <c r="C109" s="77" t="str">
        <f t="shared" si="517"/>
        <v xml:space="preserve">D. Srna </v>
      </c>
      <c r="D109" s="77" t="str">
        <f t="shared" si="517"/>
        <v>A. Pulido</v>
      </c>
      <c r="E109" s="77" t="str">
        <f t="shared" si="517"/>
        <v>J. Makoun</v>
      </c>
      <c r="F109" s="77" t="str">
        <f t="shared" si="518"/>
        <v>Pedro</v>
      </c>
      <c r="G109" s="77" t="str">
        <f t="shared" ref="G109:I109" si="588">G13</f>
        <v>A. Robben</v>
      </c>
      <c r="H109" s="77" t="str">
        <f t="shared" si="588"/>
        <v>E. Vargas</v>
      </c>
      <c r="I109" s="77" t="str">
        <f t="shared" si="588"/>
        <v>T. Oar</v>
      </c>
      <c r="J109" s="77" t="str">
        <f t="shared" si="520"/>
        <v>J. Guillermo Cuadrado</v>
      </c>
      <c r="K109" s="77" t="str">
        <f t="shared" ref="K109:M109" si="589">K13</f>
        <v>L. Vyntra</v>
      </c>
      <c r="L109" s="77" t="str">
        <f t="shared" si="589"/>
        <v xml:space="preserve">D. Drogba </v>
      </c>
      <c r="M109" s="77" t="str">
        <f t="shared" si="589"/>
        <v>Y. Kakitani</v>
      </c>
      <c r="N109" s="77" t="str">
        <f t="shared" si="522"/>
        <v>C. Stuani</v>
      </c>
      <c r="O109" s="77" t="str">
        <f t="shared" ref="O109:Q109" si="590">O13</f>
        <v>M. Barrantes</v>
      </c>
      <c r="P109" s="77" t="str">
        <f t="shared" si="590"/>
        <v>D. Welbeck</v>
      </c>
      <c r="Q109" s="77" t="str">
        <f t="shared" si="590"/>
        <v>A. Cerci</v>
      </c>
      <c r="R109" s="77" t="str">
        <f t="shared" si="524"/>
        <v>V. Behrami</v>
      </c>
      <c r="S109" s="77" t="str">
        <f t="shared" ref="S109:U109" si="591">S13</f>
        <v>F. Caicedo</v>
      </c>
      <c r="T109" s="77" t="str">
        <f t="shared" si="591"/>
        <v>A. Griezmann</v>
      </c>
      <c r="U109" s="77" t="str">
        <f t="shared" si="591"/>
        <v>J. Bengtson</v>
      </c>
      <c r="V109" s="77" t="str">
        <f t="shared" si="526"/>
        <v>M. Rodríguez</v>
      </c>
      <c r="W109" s="77" t="str">
        <f t="shared" ref="W109:Y109" si="592">W13</f>
        <v>E. Džeko</v>
      </c>
      <c r="X109" s="77" t="str">
        <f t="shared" si="592"/>
        <v>G. Haddadifar</v>
      </c>
      <c r="Y109" s="77" t="str">
        <f t="shared" si="592"/>
        <v>V. Moses</v>
      </c>
      <c r="Z109" s="77" t="str">
        <f t="shared" si="528"/>
        <v>M. Klose</v>
      </c>
      <c r="AA109" s="77" t="str">
        <f t="shared" ref="AA109:AC109" si="593">AA13</f>
        <v>Éder</v>
      </c>
      <c r="AB109" s="77" t="str">
        <f t="shared" si="593"/>
        <v>S. Muntari</v>
      </c>
      <c r="AC109" s="77" t="str">
        <f t="shared" si="593"/>
        <v>A. Bedoya</v>
      </c>
      <c r="AD109" s="77" t="str">
        <f t="shared" si="530"/>
        <v>K. Mirallas</v>
      </c>
      <c r="AE109" s="77" t="str">
        <f t="shared" ref="AE109:AG109" si="594">AE13</f>
        <v>Y. Brahimi</v>
      </c>
      <c r="AF109" s="77" t="str">
        <f t="shared" si="594"/>
        <v>A. Kerzhakov</v>
      </c>
      <c r="AG109" s="77" t="str">
        <f t="shared" si="594"/>
        <v>L. Keun-ho</v>
      </c>
      <c r="BT109" s="77" t="str">
        <f t="shared" ca="1" si="507"/>
        <v>Spain</v>
      </c>
      <c r="BU109" s="77">
        <f t="shared" si="461"/>
        <v>107</v>
      </c>
      <c r="BV109" s="77" t="str">
        <f t="shared" si="440"/>
        <v>A17</v>
      </c>
      <c r="BW109" s="77">
        <f t="shared" si="428"/>
        <v>5</v>
      </c>
      <c r="BX109" s="77" t="str">
        <f t="shared" ca="1" si="441"/>
        <v>S. Ramos</v>
      </c>
      <c r="BY109" s="77">
        <f ca="1">COUNTIF('Group Stages'!$L$14:$S$110,BX109)+COUNTIF('Knock Out Stages'!$N$41:$U$84,BX109)</f>
        <v>0</v>
      </c>
      <c r="BZ109" s="77" t="str">
        <f t="shared" si="429"/>
        <v>'Player Database'!A17</v>
      </c>
      <c r="CA109" s="77" t="str">
        <f t="shared" ca="1" si="430"/>
        <v>Sergio Ramos</v>
      </c>
      <c r="CB109" s="77">
        <v>106</v>
      </c>
      <c r="CC109" s="77" t="str">
        <f t="array" aca="1" ref="CC109" ca="1">IFERROR(INDEX($BX$3:$BX$738, SMALL(IF(COUNTIF(CC$3, $BY$3:$BY$738), ROW($BX$3:$BX$738)-MIN(ROW($BX$3:$BX$738))+1), $CB109), 0),"")</f>
        <v/>
      </c>
      <c r="CS109" s="77">
        <f t="shared" si="504"/>
        <v>106</v>
      </c>
      <c r="CT109" s="77">
        <f t="shared" si="426"/>
        <v>3</v>
      </c>
      <c r="CU109" s="77" t="str">
        <f t="shared" si="505"/>
        <v>CR25</v>
      </c>
      <c r="CV109" s="77" t="str">
        <f t="shared" ca="1" si="506"/>
        <v/>
      </c>
      <c r="CW109" s="77">
        <f t="shared" ca="1" si="462"/>
        <v>0</v>
      </c>
      <c r="CZ109" s="77">
        <v>106</v>
      </c>
      <c r="DA109" s="77" t="str">
        <f t="shared" ca="1" si="463"/>
        <v/>
      </c>
      <c r="DB109" s="77" t="str">
        <f t="shared" ca="1" si="464"/>
        <v/>
      </c>
      <c r="DC109" s="77" t="str">
        <f t="shared" ca="1" si="470"/>
        <v/>
      </c>
      <c r="DD109" s="77" t="str">
        <f t="shared" ca="1" si="465"/>
        <v/>
      </c>
    </row>
    <row r="110" spans="1:108">
      <c r="A110" s="77">
        <v>12</v>
      </c>
      <c r="B110" s="77" t="str">
        <f t="shared" si="516"/>
        <v>J. César</v>
      </c>
      <c r="C110" s="77" t="str">
        <f t="shared" si="517"/>
        <v>O. Zelenika</v>
      </c>
      <c r="D110" s="77" t="str">
        <f t="shared" si="517"/>
        <v>A. Talavera</v>
      </c>
      <c r="E110" s="77" t="str">
        <f t="shared" si="517"/>
        <v>H. Bedimo</v>
      </c>
      <c r="F110" s="77" t="str">
        <f t="shared" si="518"/>
        <v>D. de Gea</v>
      </c>
      <c r="G110" s="77" t="str">
        <f t="shared" ref="G110:I110" si="595">G14</f>
        <v>P. Verhaegh</v>
      </c>
      <c r="H110" s="77" t="str">
        <f t="shared" si="595"/>
        <v>C. Toselli</v>
      </c>
      <c r="I110" s="77" t="str">
        <f t="shared" si="595"/>
        <v>M. Langerak</v>
      </c>
      <c r="J110" s="77" t="str">
        <f t="shared" si="520"/>
        <v>C. Vargas</v>
      </c>
      <c r="K110" s="77" t="str">
        <f t="shared" ref="K110:M110" si="596">K14</f>
        <v>P. Glykos</v>
      </c>
      <c r="L110" s="77" t="str">
        <f t="shared" si="596"/>
        <v>W. Bony</v>
      </c>
      <c r="M110" s="77" t="str">
        <f t="shared" si="596"/>
        <v>S. Nishikawa</v>
      </c>
      <c r="N110" s="77" t="str">
        <f t="shared" si="522"/>
        <v>R. Muñoz</v>
      </c>
      <c r="O110" s="77" t="str">
        <f t="shared" ref="O110:Q110" si="597">O14</f>
        <v>W. Francis</v>
      </c>
      <c r="P110" s="77" t="str">
        <f t="shared" si="597"/>
        <v>C. Smalling</v>
      </c>
      <c r="Q110" s="77" t="str">
        <f t="shared" si="597"/>
        <v>S. Sirigu</v>
      </c>
      <c r="R110" s="77" t="str">
        <f t="shared" si="524"/>
        <v>Y. Sommer</v>
      </c>
      <c r="S110" s="77" t="str">
        <f t="shared" ref="S110:U110" si="598">S14</f>
        <v>A. Bone</v>
      </c>
      <c r="T110" s="77" t="str">
        <f t="shared" si="598"/>
        <v>R. Mavuba</v>
      </c>
      <c r="U110" s="77" t="str">
        <f t="shared" si="598"/>
        <v>E. Delgado[42]</v>
      </c>
      <c r="V110" s="77" t="str">
        <f t="shared" si="526"/>
        <v>A. Orión</v>
      </c>
      <c r="W110" s="77" t="str">
        <f t="shared" ref="W110:Y110" si="599">W14</f>
        <v>J. Fejzić</v>
      </c>
      <c r="X110" s="77" t="str">
        <f t="shared" si="599"/>
        <v>A. Haghighi</v>
      </c>
      <c r="Y110" s="77" t="str">
        <f t="shared" si="599"/>
        <v>K. Odunlami</v>
      </c>
      <c r="Z110" s="77" t="str">
        <f t="shared" si="528"/>
        <v>R. Zieler</v>
      </c>
      <c r="AA110" s="77" t="str">
        <f t="shared" ref="AA110:AC110" si="600">AA14</f>
        <v>R. Patrício</v>
      </c>
      <c r="AB110" s="77" t="str">
        <f t="shared" si="600"/>
        <v>A. Kwarasey</v>
      </c>
      <c r="AC110" s="77" t="str">
        <f t="shared" si="600"/>
        <v>B. Guzan</v>
      </c>
      <c r="AD110" s="77" t="str">
        <f t="shared" si="530"/>
        <v>S. Mignolet</v>
      </c>
      <c r="AE110" s="77" t="str">
        <f t="shared" ref="AE110:AG110" si="601">AE14</f>
        <v>M. Lacen</v>
      </c>
      <c r="AF110" s="77" t="str">
        <f t="shared" si="601"/>
        <v>Y. Lodygin</v>
      </c>
      <c r="AG110" s="77" t="str">
        <f t="shared" si="601"/>
        <v>L. Yong</v>
      </c>
      <c r="BT110" s="77" t="str">
        <f t="shared" ca="1" si="507"/>
        <v>Spain</v>
      </c>
      <c r="BU110" s="77">
        <f t="shared" si="461"/>
        <v>108</v>
      </c>
      <c r="BV110" s="77" t="str">
        <f t="shared" si="440"/>
        <v>A18</v>
      </c>
      <c r="BW110" s="77">
        <f t="shared" si="428"/>
        <v>5</v>
      </c>
      <c r="BX110" s="77" t="str">
        <f t="shared" ca="1" si="441"/>
        <v>S. Busquets</v>
      </c>
      <c r="BY110" s="77">
        <f ca="1">COUNTIF('Group Stages'!$L$14:$S$110,BX110)+COUNTIF('Knock Out Stages'!$N$41:$U$84,BX110)</f>
        <v>0</v>
      </c>
      <c r="BZ110" s="77" t="str">
        <f t="shared" si="429"/>
        <v>'Player Database'!A18</v>
      </c>
      <c r="CA110" s="77" t="str">
        <f t="shared" ca="1" si="430"/>
        <v>Sergio Busquets</v>
      </c>
      <c r="CB110" s="77">
        <v>107</v>
      </c>
      <c r="CC110" s="77" t="str">
        <f t="array" aca="1" ref="CC110" ca="1">IFERROR(INDEX($BX$3:$BX$738, SMALL(IF(COUNTIF(CC$3, $BY$3:$BY$738), ROW($BX$3:$BX$738)-MIN(ROW($BX$3:$BX$738))+1), $CB110), 0),"")</f>
        <v/>
      </c>
      <c r="CS110" s="77">
        <f t="shared" si="504"/>
        <v>107</v>
      </c>
      <c r="CT110" s="77">
        <f t="shared" si="426"/>
        <v>3</v>
      </c>
      <c r="CU110" s="77" t="str">
        <f t="shared" si="505"/>
        <v>CR26</v>
      </c>
      <c r="CV110" s="77" t="str">
        <f t="shared" ca="1" si="506"/>
        <v/>
      </c>
      <c r="CW110" s="77">
        <f t="shared" ca="1" si="462"/>
        <v>0</v>
      </c>
      <c r="CZ110" s="77">
        <v>107</v>
      </c>
      <c r="DA110" s="77" t="str">
        <f t="shared" ca="1" si="463"/>
        <v/>
      </c>
      <c r="DB110" s="77" t="str">
        <f t="shared" ca="1" si="464"/>
        <v/>
      </c>
      <c r="DC110" s="77" t="str">
        <f t="shared" ca="1" si="470"/>
        <v/>
      </c>
      <c r="DD110" s="77" t="str">
        <f t="shared" ca="1" si="465"/>
        <v/>
      </c>
    </row>
    <row r="111" spans="1:108">
      <c r="A111" s="77">
        <v>13</v>
      </c>
      <c r="B111" s="77" t="str">
        <f t="shared" si="516"/>
        <v>Dante</v>
      </c>
      <c r="C111" s="77" t="str">
        <f t="shared" si="517"/>
        <v>G. Schildenfeld</v>
      </c>
      <c r="D111" s="77" t="str">
        <f t="shared" si="517"/>
        <v>G. Ochoa</v>
      </c>
      <c r="E111" s="77" t="str">
        <f t="shared" si="517"/>
        <v>M. Choupo-Moting</v>
      </c>
      <c r="F111" s="77" t="str">
        <f t="shared" si="518"/>
        <v>J. Mata</v>
      </c>
      <c r="G111" s="77" t="str">
        <f t="shared" ref="G111:I111" si="602">G15</f>
        <v>J. Veltman</v>
      </c>
      <c r="H111" s="77" t="str">
        <f t="shared" si="602"/>
        <v>J. Rojas</v>
      </c>
      <c r="I111" s="77" t="str">
        <f t="shared" si="602"/>
        <v>O. Bozanić</v>
      </c>
      <c r="J111" s="77" t="str">
        <f t="shared" si="520"/>
        <v>F. Guarín</v>
      </c>
      <c r="K111" s="77" t="str">
        <f t="shared" ref="K111:M111" si="603">K15</f>
        <v>S. Kapino</v>
      </c>
      <c r="L111" s="77" t="str">
        <f t="shared" si="603"/>
        <v>D. Ya Konan</v>
      </c>
      <c r="M111" s="77" t="str">
        <f t="shared" si="603"/>
        <v>Y. Ōkubo</v>
      </c>
      <c r="N111" s="77" t="str">
        <f t="shared" si="522"/>
        <v>J. Fucile</v>
      </c>
      <c r="O111" s="77" t="str">
        <f t="shared" ref="O111:Q111" si="604">O15</f>
        <v>E. Granados</v>
      </c>
      <c r="P111" s="77" t="str">
        <f t="shared" si="604"/>
        <v>B. Foster</v>
      </c>
      <c r="Q111" s="77" t="str">
        <f t="shared" si="604"/>
        <v>M. Perin</v>
      </c>
      <c r="R111" s="77" t="str">
        <f t="shared" si="524"/>
        <v>R. Rodríguez</v>
      </c>
      <c r="S111" s="77" t="str">
        <f t="shared" ref="S111:U111" si="605">S15</f>
        <v>E. Valencia</v>
      </c>
      <c r="T111" s="77" t="str">
        <f t="shared" si="605"/>
        <v>E. Mangala</v>
      </c>
      <c r="U111" s="77" t="str">
        <f t="shared" si="605"/>
        <v>C. Costly</v>
      </c>
      <c r="V111" s="77" t="str">
        <f t="shared" si="526"/>
        <v>A. Fernández</v>
      </c>
      <c r="W111" s="77" t="str">
        <f t="shared" ref="W111:Y111" si="606">W15</f>
        <v>M. Mujdža</v>
      </c>
      <c r="X111" s="77" t="str">
        <f t="shared" si="606"/>
        <v>H. Mahini</v>
      </c>
      <c r="Y111" s="77" t="str">
        <f t="shared" si="606"/>
        <v>J. Oshaniwa</v>
      </c>
      <c r="Z111" s="77" t="str">
        <f t="shared" si="528"/>
        <v>T. Müller</v>
      </c>
      <c r="AA111" s="77" t="str">
        <f t="shared" ref="AA111:AC111" si="607">AA15</f>
        <v>R. Costa</v>
      </c>
      <c r="AB111" s="77" t="str">
        <f t="shared" si="607"/>
        <v>J. Ayew</v>
      </c>
      <c r="AC111" s="77" t="str">
        <f t="shared" si="607"/>
        <v>J. Jones</v>
      </c>
      <c r="AD111" s="77" t="str">
        <f t="shared" si="530"/>
        <v>S. Bossut</v>
      </c>
      <c r="AE111" s="77" t="str">
        <f t="shared" ref="AE111:AG111" si="608">AE15</f>
        <v>I. Slimani</v>
      </c>
      <c r="AF111" s="77" t="str">
        <f t="shared" si="608"/>
        <v>V. Granat</v>
      </c>
      <c r="AG111" s="77" t="str">
        <f t="shared" si="608"/>
        <v xml:space="preserve">K. Ja-cheol </v>
      </c>
      <c r="BT111" s="77" t="str">
        <f t="shared" ca="1" si="507"/>
        <v>Spain</v>
      </c>
      <c r="BU111" s="77">
        <f t="shared" si="461"/>
        <v>109</v>
      </c>
      <c r="BV111" s="77" t="str">
        <f t="shared" si="440"/>
        <v>A19</v>
      </c>
      <c r="BW111" s="77">
        <f t="shared" si="428"/>
        <v>5</v>
      </c>
      <c r="BX111" s="77" t="str">
        <f t="shared" ca="1" si="441"/>
        <v>Koke</v>
      </c>
      <c r="BY111" s="77">
        <f ca="1">COUNTIF('Group Stages'!$L$14:$S$110,BX111)+COUNTIF('Knock Out Stages'!$N$41:$U$84,BX111)</f>
        <v>0</v>
      </c>
      <c r="BZ111" s="77" t="str">
        <f t="shared" si="429"/>
        <v>'Player Database'!A19</v>
      </c>
      <c r="CA111" s="77" t="str">
        <f t="shared" ca="1" si="430"/>
        <v>Koke</v>
      </c>
      <c r="CB111" s="77">
        <v>108</v>
      </c>
      <c r="CC111" s="77" t="str">
        <f t="array" aca="1" ref="CC111" ca="1">IFERROR(INDEX($BX$3:$BX$738, SMALL(IF(COUNTIF(CC$3, $BY$3:$BY$738), ROW($BX$3:$BX$738)-MIN(ROW($BX$3:$BX$738))+1), $CB111), 0),"")</f>
        <v/>
      </c>
      <c r="CS111" s="77">
        <f t="shared" si="504"/>
        <v>108</v>
      </c>
      <c r="CT111" s="77">
        <f t="shared" si="426"/>
        <v>3</v>
      </c>
      <c r="CU111" s="77" t="str">
        <f t="shared" si="505"/>
        <v>CR27</v>
      </c>
      <c r="CV111" s="77" t="str">
        <f t="shared" ca="1" si="506"/>
        <v/>
      </c>
      <c r="CW111" s="77">
        <f t="shared" ca="1" si="462"/>
        <v>0</v>
      </c>
      <c r="CZ111" s="77">
        <v>108</v>
      </c>
      <c r="DA111" s="77" t="str">
        <f t="shared" ca="1" si="463"/>
        <v/>
      </c>
      <c r="DB111" s="77" t="str">
        <f t="shared" ca="1" si="464"/>
        <v/>
      </c>
      <c r="DC111" s="77" t="str">
        <f t="shared" ca="1" si="470"/>
        <v/>
      </c>
      <c r="DD111" s="77" t="str">
        <f t="shared" ca="1" si="465"/>
        <v/>
      </c>
    </row>
    <row r="112" spans="1:108">
      <c r="A112" s="77">
        <v>14</v>
      </c>
      <c r="B112" s="77" t="str">
        <f t="shared" si="516"/>
        <v>Maxwell</v>
      </c>
      <c r="C112" s="77" t="str">
        <f t="shared" si="517"/>
        <v>M. Brozović</v>
      </c>
      <c r="D112" s="77" t="str">
        <f t="shared" si="517"/>
        <v>J. Hernández</v>
      </c>
      <c r="E112" s="77" t="str">
        <f t="shared" si="517"/>
        <v>A. Chedjou</v>
      </c>
      <c r="F112" s="77" t="str">
        <f t="shared" si="518"/>
        <v>X. Alonso</v>
      </c>
      <c r="G112" s="77" t="str">
        <f t="shared" ref="G112:I112" si="609">G16</f>
        <v>T. Kongolo</v>
      </c>
      <c r="H112" s="77" t="str">
        <f t="shared" si="609"/>
        <v>F. Orellana</v>
      </c>
      <c r="I112" s="77" t="str">
        <f t="shared" si="609"/>
        <v>J. Troisi</v>
      </c>
      <c r="J112" s="77" t="str">
        <f t="shared" si="520"/>
        <v>V. Ibarbo</v>
      </c>
      <c r="K112" s="77" t="str">
        <f t="shared" ref="K112:M112" si="610">K16</f>
        <v>D. Salpingidis</v>
      </c>
      <c r="L112" s="77" t="str">
        <f t="shared" si="610"/>
        <v>I. Diomandé</v>
      </c>
      <c r="M112" s="77" t="str">
        <f t="shared" si="610"/>
        <v>T. Aoyama</v>
      </c>
      <c r="N112" s="77" t="str">
        <f t="shared" si="522"/>
        <v>N. Lodeiro</v>
      </c>
      <c r="O112" s="77" t="str">
        <f t="shared" ref="O112:Q112" si="611">O16</f>
        <v>R. Brenes</v>
      </c>
      <c r="P112" s="77" t="str">
        <f t="shared" si="611"/>
        <v>J. Henderson</v>
      </c>
      <c r="Q112" s="77" t="str">
        <f t="shared" si="611"/>
        <v>A. Aquilani</v>
      </c>
      <c r="R112" s="77" t="str">
        <f t="shared" si="524"/>
        <v>V. Stocker</v>
      </c>
      <c r="S112" s="77" t="str">
        <f t="shared" ref="S112:U112" si="612">S16</f>
        <v>O. Minda</v>
      </c>
      <c r="T112" s="77" t="str">
        <f t="shared" si="612"/>
        <v>B. Matuidi</v>
      </c>
      <c r="U112" s="77" t="str">
        <f t="shared" si="612"/>
        <v>Ó. García</v>
      </c>
      <c r="V112" s="77" t="str">
        <f t="shared" si="526"/>
        <v>J. Mascherano</v>
      </c>
      <c r="W112" s="77" t="str">
        <f t="shared" ref="W112:Y112" si="613">W16</f>
        <v>I. Hajrović</v>
      </c>
      <c r="X112" s="77" t="str">
        <f t="shared" si="613"/>
        <v>A. Teymourian</v>
      </c>
      <c r="Y112" s="77" t="str">
        <f t="shared" si="613"/>
        <v>G. Oboabona</v>
      </c>
      <c r="Z112" s="77" t="str">
        <f t="shared" si="528"/>
        <v>J. Draxler</v>
      </c>
      <c r="AA112" s="77" t="str">
        <f t="shared" ref="AA112:AC112" si="614">AA16</f>
        <v>L. Neto</v>
      </c>
      <c r="AB112" s="77" t="str">
        <f t="shared" si="614"/>
        <v>A. Adomah</v>
      </c>
      <c r="AC112" s="77" t="str">
        <f t="shared" si="614"/>
        <v>B. Davis</v>
      </c>
      <c r="AD112" s="77" t="str">
        <f t="shared" si="530"/>
        <v>D. Mertens</v>
      </c>
      <c r="AE112" s="77" t="str">
        <f t="shared" ref="AE112:AG112" si="615">AE16</f>
        <v>N. Bentaleb</v>
      </c>
      <c r="AF112" s="77" t="str">
        <f t="shared" si="615"/>
        <v xml:space="preserve">V. Berezutski </v>
      </c>
      <c r="AG112" s="77" t="str">
        <f t="shared" si="615"/>
        <v>H. Kook-young</v>
      </c>
      <c r="BT112" s="77" t="str">
        <f t="shared" ca="1" si="507"/>
        <v>Spain</v>
      </c>
      <c r="BU112" s="77">
        <f t="shared" si="461"/>
        <v>110</v>
      </c>
      <c r="BV112" s="77" t="str">
        <f t="shared" si="440"/>
        <v>A20</v>
      </c>
      <c r="BW112" s="77">
        <f t="shared" si="428"/>
        <v>5</v>
      </c>
      <c r="BX112" s="77" t="str">
        <f t="shared" ca="1" si="441"/>
        <v>J. Alba</v>
      </c>
      <c r="BY112" s="77">
        <f ca="1">COUNTIF('Group Stages'!$L$14:$S$110,BX112)+COUNTIF('Knock Out Stages'!$N$41:$U$84,BX112)</f>
        <v>0</v>
      </c>
      <c r="BZ112" s="77" t="str">
        <f t="shared" si="429"/>
        <v>'Player Database'!A20</v>
      </c>
      <c r="CA112" s="77" t="str">
        <f t="shared" ca="1" si="430"/>
        <v>Jordi Alba</v>
      </c>
      <c r="CB112" s="77">
        <v>109</v>
      </c>
      <c r="CC112" s="77" t="str">
        <f t="array" aca="1" ref="CC112" ca="1">IFERROR(INDEX($BX$3:$BX$738, SMALL(IF(COUNTIF(CC$3, $BY$3:$BY$738), ROW($BX$3:$BX$738)-MIN(ROW($BX$3:$BX$738))+1), $CB112), 0),"")</f>
        <v/>
      </c>
      <c r="CS112" s="77">
        <f t="shared" si="504"/>
        <v>109</v>
      </c>
      <c r="CT112" s="77">
        <f t="shared" ref="CT112:CT175" si="616">CT70+1</f>
        <v>3</v>
      </c>
      <c r="CU112" s="77" t="str">
        <f t="shared" si="505"/>
        <v>CR28</v>
      </c>
      <c r="CV112" s="77" t="str">
        <f t="shared" ca="1" si="506"/>
        <v/>
      </c>
      <c r="CW112" s="77">
        <f t="shared" ca="1" si="462"/>
        <v>0</v>
      </c>
      <c r="CZ112" s="77">
        <v>109</v>
      </c>
      <c r="DA112" s="77" t="str">
        <f t="shared" ca="1" si="463"/>
        <v/>
      </c>
      <c r="DB112" s="77" t="str">
        <f t="shared" ca="1" si="464"/>
        <v/>
      </c>
      <c r="DC112" s="77" t="str">
        <f t="shared" ca="1" si="470"/>
        <v/>
      </c>
      <c r="DD112" s="77" t="str">
        <f t="shared" ca="1" si="465"/>
        <v/>
      </c>
    </row>
    <row r="113" spans="1:108">
      <c r="A113" s="77">
        <v>15</v>
      </c>
      <c r="B113" s="77" t="str">
        <f t="shared" si="516"/>
        <v>Henrique</v>
      </c>
      <c r="C113" s="77" t="str">
        <f t="shared" si="517"/>
        <v>M. Badelj</v>
      </c>
      <c r="D113" s="77" t="str">
        <f t="shared" si="517"/>
        <v>H. Moreno</v>
      </c>
      <c r="E113" s="77" t="str">
        <f t="shared" si="517"/>
        <v>P. Webó</v>
      </c>
      <c r="F113" s="77" t="str">
        <f t="shared" si="518"/>
        <v>S. Ramos</v>
      </c>
      <c r="G113" s="77" t="str">
        <f t="shared" ref="G113:I113" si="617">G17</f>
        <v>D. Kuyt</v>
      </c>
      <c r="H113" s="77" t="str">
        <f t="shared" si="617"/>
        <v>J. Beausejour</v>
      </c>
      <c r="I113" s="77" t="str">
        <f t="shared" si="617"/>
        <v xml:space="preserve">M. Jedinak </v>
      </c>
      <c r="J113" s="77" t="str">
        <f t="shared" si="520"/>
        <v>A. Mejía</v>
      </c>
      <c r="K113" s="77" t="str">
        <f t="shared" ref="K113:M113" si="618">K17</f>
        <v>V. Torosidis</v>
      </c>
      <c r="L113" s="77" t="str">
        <f t="shared" si="618"/>
        <v>M. Gradel</v>
      </c>
      <c r="M113" s="77" t="str">
        <f t="shared" si="618"/>
        <v>Y. Konno</v>
      </c>
      <c r="N113" s="77" t="str">
        <f t="shared" si="522"/>
        <v>D. Pérez</v>
      </c>
      <c r="O113" s="77" t="str">
        <f t="shared" ref="O113:Q113" si="619">O17</f>
        <v>J. Díaz</v>
      </c>
      <c r="P113" s="77" t="str">
        <f t="shared" si="619"/>
        <v>A. Oxlade-Chamberlain</v>
      </c>
      <c r="Q113" s="77" t="str">
        <f t="shared" si="619"/>
        <v>A. Barzagli</v>
      </c>
      <c r="R113" s="77" t="str">
        <f t="shared" si="524"/>
        <v>B. Džemaili</v>
      </c>
      <c r="S113" s="77" t="str">
        <f t="shared" ref="S113:U113" si="620">S17</f>
        <v>M. Arroyo</v>
      </c>
      <c r="T113" s="77" t="str">
        <f t="shared" si="620"/>
        <v>B. Sagna</v>
      </c>
      <c r="U113" s="77" t="str">
        <f t="shared" si="620"/>
        <v>R. Espinoza</v>
      </c>
      <c r="V113" s="77" t="str">
        <f t="shared" si="526"/>
        <v>M. Demichelis</v>
      </c>
      <c r="W113" s="77" t="str">
        <f t="shared" ref="W113:Y113" si="621">W17</f>
        <v>T. Šunjić</v>
      </c>
      <c r="X113" s="77" t="str">
        <f t="shared" si="621"/>
        <v>P. Montazeri</v>
      </c>
      <c r="Y113" s="77" t="str">
        <f t="shared" si="621"/>
        <v>R. Azeez</v>
      </c>
      <c r="Z113" s="77" t="str">
        <f t="shared" si="528"/>
        <v>E. Durm</v>
      </c>
      <c r="AA113" s="77" t="str">
        <f t="shared" ref="AA113:AC113" si="622">AA17</f>
        <v>R. Silva</v>
      </c>
      <c r="AB113" s="77" t="str">
        <f t="shared" si="622"/>
        <v>R. Sumaila</v>
      </c>
      <c r="AC113" s="77" t="str">
        <f t="shared" si="622"/>
        <v>K. Beckerman</v>
      </c>
      <c r="AD113" s="77" t="str">
        <f t="shared" si="530"/>
        <v>D. Van Buyten</v>
      </c>
      <c r="AE113" s="77" t="str">
        <f t="shared" ref="AE113:AG113" si="623">AE17</f>
        <v>E. Arbi Hillel Soudani</v>
      </c>
      <c r="AF113" s="77" t="str">
        <f t="shared" si="623"/>
        <v>P. Mogilevets</v>
      </c>
      <c r="AG113" s="77" t="str">
        <f t="shared" si="623"/>
        <v>P. Jong-woo</v>
      </c>
      <c r="BT113" s="77" t="str">
        <f t="shared" ca="1" si="507"/>
        <v>Spain</v>
      </c>
      <c r="BU113" s="77">
        <f t="shared" si="461"/>
        <v>111</v>
      </c>
      <c r="BV113" s="77" t="str">
        <f t="shared" si="440"/>
        <v>A21</v>
      </c>
      <c r="BW113" s="77">
        <f t="shared" si="428"/>
        <v>5</v>
      </c>
      <c r="BX113" s="77" t="str">
        <f t="shared" ca="1" si="441"/>
        <v>D. Costa</v>
      </c>
      <c r="BY113" s="77">
        <f ca="1">COUNTIF('Group Stages'!$L$14:$S$110,BX113)+COUNTIF('Knock Out Stages'!$N$41:$U$84,BX113)</f>
        <v>0</v>
      </c>
      <c r="BZ113" s="77" t="str">
        <f t="shared" si="429"/>
        <v>'Player Database'!A21</v>
      </c>
      <c r="CA113" s="77" t="str">
        <f t="shared" ca="1" si="430"/>
        <v>Diego Costa</v>
      </c>
      <c r="CB113" s="77">
        <v>110</v>
      </c>
      <c r="CC113" s="77" t="str">
        <f t="array" aca="1" ref="CC113" ca="1">IFERROR(INDEX($BX$3:$BX$738, SMALL(IF(COUNTIF(CC$3, $BY$3:$BY$738), ROW($BX$3:$BX$738)-MIN(ROW($BX$3:$BX$738))+1), $CB113), 0),"")</f>
        <v/>
      </c>
      <c r="CS113" s="77">
        <f t="shared" si="504"/>
        <v>110</v>
      </c>
      <c r="CT113" s="77">
        <f t="shared" si="616"/>
        <v>3</v>
      </c>
      <c r="CU113" s="77" t="str">
        <f t="shared" si="505"/>
        <v>CR29</v>
      </c>
      <c r="CV113" s="77" t="str">
        <f t="shared" ca="1" si="506"/>
        <v/>
      </c>
      <c r="CW113" s="77">
        <f t="shared" ca="1" si="462"/>
        <v>0</v>
      </c>
      <c r="CZ113" s="77">
        <v>110</v>
      </c>
      <c r="DA113" s="77" t="str">
        <f t="shared" ca="1" si="463"/>
        <v/>
      </c>
      <c r="DB113" s="77" t="str">
        <f t="shared" ca="1" si="464"/>
        <v/>
      </c>
      <c r="DC113" s="77" t="str">
        <f t="shared" ca="1" si="470"/>
        <v/>
      </c>
      <c r="DD113" s="77" t="str">
        <f t="shared" ca="1" si="465"/>
        <v/>
      </c>
    </row>
    <row r="114" spans="1:108">
      <c r="A114" s="77">
        <v>16</v>
      </c>
      <c r="B114" s="77" t="str">
        <f t="shared" si="516"/>
        <v>Ramires</v>
      </c>
      <c r="C114" s="77" t="str">
        <f t="shared" si="517"/>
        <v>A. Rebić</v>
      </c>
      <c r="D114" s="77" t="str">
        <f t="shared" si="517"/>
        <v>M. Ángel Ponce</v>
      </c>
      <c r="E114" s="77" t="str">
        <f t="shared" si="517"/>
        <v>C. Itandje</v>
      </c>
      <c r="F114" s="77" t="str">
        <f t="shared" si="518"/>
        <v>S. Busquets</v>
      </c>
      <c r="G114" s="77" t="str">
        <f t="shared" ref="G114:I114" si="624">G18</f>
        <v>J. Clasie</v>
      </c>
      <c r="H114" s="77" t="str">
        <f t="shared" si="624"/>
        <v>F. Gutiérrez</v>
      </c>
      <c r="I114" s="77" t="str">
        <f t="shared" si="624"/>
        <v>J. Holland</v>
      </c>
      <c r="J114" s="77" t="str">
        <f t="shared" si="520"/>
        <v>É. Álvarez Balanta</v>
      </c>
      <c r="K114" s="77" t="str">
        <f t="shared" ref="K114:M114" si="625">K18</f>
        <v>L. Christodoulopoulos</v>
      </c>
      <c r="L114" s="77" t="str">
        <f t="shared" si="625"/>
        <v>S. Gbohouo</v>
      </c>
      <c r="M114" s="77" t="str">
        <f t="shared" si="625"/>
        <v>H. Yamaguchi</v>
      </c>
      <c r="N114" s="77" t="str">
        <f t="shared" si="522"/>
        <v>M. Pereira</v>
      </c>
      <c r="O114" s="77" t="str">
        <f t="shared" ref="O114:Q114" si="626">O18</f>
        <v>C. Gamboa</v>
      </c>
      <c r="P114" s="77" t="str">
        <f t="shared" si="626"/>
        <v>P. Jones</v>
      </c>
      <c r="Q114" s="77" t="str">
        <f t="shared" si="626"/>
        <v>D. De Rossi</v>
      </c>
      <c r="R114" s="77" t="str">
        <f t="shared" si="524"/>
        <v>G. Fernandes</v>
      </c>
      <c r="S114" s="77" t="str">
        <f t="shared" ref="S114:U114" si="627">S18</f>
        <v xml:space="preserve">A. Valencia </v>
      </c>
      <c r="T114" s="77" t="str">
        <f t="shared" si="627"/>
        <v>S. Ruffier[39]</v>
      </c>
      <c r="U114" s="77" t="str">
        <f t="shared" si="627"/>
        <v>R. Martínez</v>
      </c>
      <c r="V114" s="77" t="str">
        <f t="shared" si="526"/>
        <v>M. Rojo</v>
      </c>
      <c r="W114" s="77" t="str">
        <f t="shared" ref="W114:Y114" si="628">W18</f>
        <v>S. Lulić</v>
      </c>
      <c r="X114" s="77" t="str">
        <f t="shared" si="628"/>
        <v>R. Ghoochannejhad</v>
      </c>
      <c r="Y114" s="77" t="str">
        <f t="shared" si="628"/>
        <v>A. Ejide</v>
      </c>
      <c r="Z114" s="77" t="str">
        <f t="shared" si="528"/>
        <v xml:space="preserve">P. Lahm </v>
      </c>
      <c r="AA114" s="77" t="str">
        <f t="shared" ref="AA114:AC114" si="629">AA18</f>
        <v>R. Meireles</v>
      </c>
      <c r="AB114" s="77" t="str">
        <f t="shared" si="629"/>
        <v>F. Dauda</v>
      </c>
      <c r="AC114" s="77" t="str">
        <f t="shared" si="629"/>
        <v>J. Green</v>
      </c>
      <c r="AD114" s="77" t="str">
        <f t="shared" si="530"/>
        <v>S. Defour</v>
      </c>
      <c r="AE114" s="77" t="str">
        <f t="shared" ref="AE114:AG114" si="630">AE18</f>
        <v>M. Zemmamouche</v>
      </c>
      <c r="AF114" s="77" t="str">
        <f t="shared" si="630"/>
        <v>S. Ryzhikov</v>
      </c>
      <c r="AG114" s="77" t="str">
        <f t="shared" si="630"/>
        <v>K. Sung-yueng</v>
      </c>
      <c r="BT114" s="77" t="str">
        <f t="shared" ca="1" si="507"/>
        <v>Spain</v>
      </c>
      <c r="BU114" s="77">
        <f t="shared" si="461"/>
        <v>112</v>
      </c>
      <c r="BV114" s="77" t="str">
        <f t="shared" si="440"/>
        <v>A22</v>
      </c>
      <c r="BW114" s="77">
        <f t="shared" ref="BW114:BW177" si="631">BW91+1</f>
        <v>5</v>
      </c>
      <c r="BX114" s="77" t="str">
        <f t="shared" ca="1" si="441"/>
        <v>S. Cazorla</v>
      </c>
      <c r="BY114" s="77">
        <f ca="1">COUNTIF('Group Stages'!$L$14:$S$110,BX114)+COUNTIF('Knock Out Stages'!$N$41:$U$84,BX114)</f>
        <v>0</v>
      </c>
      <c r="BZ114" s="77" t="str">
        <f t="shared" ref="BZ114:BZ177" si="632">BZ91</f>
        <v>'Player Database'!A22</v>
      </c>
      <c r="CA114" s="77" t="str">
        <f t="shared" ref="CA114:CA177" ca="1" si="633">OFFSET(INDIRECT(BZ114),0,BW114)</f>
        <v>Santi Cazorla</v>
      </c>
      <c r="CB114" s="77">
        <v>111</v>
      </c>
      <c r="CC114" s="77" t="str">
        <f t="array" aca="1" ref="CC114" ca="1">IFERROR(INDEX($BX$3:$BX$738, SMALL(IF(COUNTIF(CC$3, $BY$3:$BY$738), ROW($BX$3:$BX$738)-MIN(ROW($BX$3:$BX$738))+1), $CB114), 0),"")</f>
        <v/>
      </c>
      <c r="CS114" s="77">
        <f t="shared" si="504"/>
        <v>111</v>
      </c>
      <c r="CT114" s="77">
        <f t="shared" si="616"/>
        <v>3</v>
      </c>
      <c r="CU114" s="77" t="str">
        <f t="shared" si="505"/>
        <v>CR30</v>
      </c>
      <c r="CV114" s="77" t="str">
        <f t="shared" ca="1" si="506"/>
        <v/>
      </c>
      <c r="CW114" s="77">
        <f t="shared" ca="1" si="462"/>
        <v>0</v>
      </c>
      <c r="CZ114" s="77">
        <v>111</v>
      </c>
      <c r="DA114" s="77" t="str">
        <f t="shared" ca="1" si="463"/>
        <v/>
      </c>
      <c r="DB114" s="77" t="str">
        <f t="shared" ca="1" si="464"/>
        <v/>
      </c>
      <c r="DC114" s="77" t="str">
        <f t="shared" ca="1" si="470"/>
        <v/>
      </c>
      <c r="DD114" s="77" t="str">
        <f t="shared" ca="1" si="465"/>
        <v/>
      </c>
    </row>
    <row r="115" spans="1:108">
      <c r="A115" s="77">
        <v>17</v>
      </c>
      <c r="B115" s="77" t="str">
        <f t="shared" si="516"/>
        <v>L. Gustavo</v>
      </c>
      <c r="C115" s="77" t="str">
        <f t="shared" si="517"/>
        <v>M. Mandžukić</v>
      </c>
      <c r="D115" s="77" t="str">
        <f t="shared" si="517"/>
        <v>I. Brizuela</v>
      </c>
      <c r="E115" s="77" t="str">
        <f t="shared" si="517"/>
        <v>S. Mbia</v>
      </c>
      <c r="F115" s="77" t="str">
        <f t="shared" si="518"/>
        <v>Koke</v>
      </c>
      <c r="G115" s="77" t="str">
        <f t="shared" ref="G115:I115" si="634">G19</f>
        <v>J. Lens</v>
      </c>
      <c r="H115" s="77" t="str">
        <f t="shared" si="634"/>
        <v>G. Medel</v>
      </c>
      <c r="I115" s="77" t="str">
        <f t="shared" si="634"/>
        <v>M. McKay</v>
      </c>
      <c r="J115" s="77" t="str">
        <f t="shared" si="520"/>
        <v>C. Bacca</v>
      </c>
      <c r="K115" s="77" t="str">
        <f t="shared" ref="K115:M115" si="635">K19</f>
        <v>T. Gekas</v>
      </c>
      <c r="L115" s="77" t="str">
        <f t="shared" si="635"/>
        <v>S. Aurier</v>
      </c>
      <c r="M115" s="77" t="str">
        <f t="shared" si="635"/>
        <v xml:space="preserve">M. Hasebe </v>
      </c>
      <c r="N115" s="77" t="str">
        <f t="shared" si="522"/>
        <v>E. Arévalo Ríos</v>
      </c>
      <c r="O115" s="77" t="str">
        <f t="shared" ref="O115:Q115" si="636">O19</f>
        <v>Y. Tejeda</v>
      </c>
      <c r="P115" s="77" t="str">
        <f t="shared" si="636"/>
        <v>J. Milner</v>
      </c>
      <c r="Q115" s="77" t="str">
        <f t="shared" si="636"/>
        <v>C. Immobile</v>
      </c>
      <c r="R115" s="77" t="str">
        <f t="shared" si="524"/>
        <v>M. Gavranović</v>
      </c>
      <c r="S115" s="77" t="str">
        <f t="shared" ref="S115:U115" si="637">S19</f>
        <v>J. Ayoví</v>
      </c>
      <c r="T115" s="77" t="str">
        <f t="shared" si="637"/>
        <v>L. Digne</v>
      </c>
      <c r="U115" s="77" t="str">
        <f t="shared" si="637"/>
        <v>M. Chávez</v>
      </c>
      <c r="V115" s="77" t="str">
        <f t="shared" si="526"/>
        <v>F. Fernández</v>
      </c>
      <c r="W115" s="77" t="str">
        <f t="shared" ref="W115:Y115" si="638">W19</f>
        <v>S. Ibričić</v>
      </c>
      <c r="X115" s="77" t="str">
        <f t="shared" si="638"/>
        <v>A. Alenemeh</v>
      </c>
      <c r="Y115" s="77" t="str">
        <f t="shared" si="638"/>
        <v>O. Onazi</v>
      </c>
      <c r="Z115" s="77" t="str">
        <f t="shared" si="528"/>
        <v>P. Mertesacker</v>
      </c>
      <c r="AA115" s="77" t="str">
        <f t="shared" ref="AA115:AC115" si="639">AA19</f>
        <v>Nani</v>
      </c>
      <c r="AB115" s="77" t="str">
        <f t="shared" si="639"/>
        <v>M. Rabiu</v>
      </c>
      <c r="AC115" s="77" t="str">
        <f t="shared" si="639"/>
        <v>J. Altidore</v>
      </c>
      <c r="AD115" s="77" t="str">
        <f t="shared" si="530"/>
        <v>D. Origi</v>
      </c>
      <c r="AE115" s="77" t="str">
        <f t="shared" ref="AE115:AG115" si="640">AE19</f>
        <v>L. Cadamuro-Bentaïba</v>
      </c>
      <c r="AF115" s="77" t="str">
        <f t="shared" si="640"/>
        <v>O. Shatov</v>
      </c>
      <c r="AG115" s="77" t="str">
        <f t="shared" si="640"/>
        <v>L. Chung-yong</v>
      </c>
      <c r="BT115" s="77" t="str">
        <f t="shared" ca="1" si="507"/>
        <v>Spain</v>
      </c>
      <c r="BU115" s="77">
        <f t="shared" si="461"/>
        <v>113</v>
      </c>
      <c r="BV115" s="77" t="str">
        <f t="shared" ref="BV115:BV178" si="641">BV92</f>
        <v>A23</v>
      </c>
      <c r="BW115" s="77">
        <f t="shared" si="631"/>
        <v>5</v>
      </c>
      <c r="BX115" s="77" t="str">
        <f t="shared" ref="BX115:BX178" ca="1" si="642">OFFSET(INDIRECT(BV115),0,BW115)</f>
        <v>D. Silva</v>
      </c>
      <c r="BY115" s="77">
        <f ca="1">COUNTIF('Group Stages'!$L$14:$S$110,BX115)+COUNTIF('Knock Out Stages'!$N$41:$U$84,BX115)</f>
        <v>0</v>
      </c>
      <c r="BZ115" s="77" t="str">
        <f t="shared" si="632"/>
        <v>'Player Database'!A23</v>
      </c>
      <c r="CA115" s="77" t="str">
        <f t="shared" ca="1" si="633"/>
        <v>David Silva</v>
      </c>
      <c r="CB115" s="77">
        <v>112</v>
      </c>
      <c r="CC115" s="77" t="str">
        <f t="array" aca="1" ref="CC115" ca="1">IFERROR(INDEX($BX$3:$BX$738, SMALL(IF(COUNTIF(CC$3, $BY$3:$BY$738), ROW($BX$3:$BX$738)-MIN(ROW($BX$3:$BX$738))+1), $CB115), 0),"")</f>
        <v/>
      </c>
      <c r="CS115" s="77">
        <f t="shared" si="504"/>
        <v>112</v>
      </c>
      <c r="CT115" s="77">
        <f t="shared" si="616"/>
        <v>3</v>
      </c>
      <c r="CU115" s="77" t="str">
        <f t="shared" si="505"/>
        <v>CR31</v>
      </c>
      <c r="CV115" s="77" t="str">
        <f t="shared" ca="1" si="506"/>
        <v/>
      </c>
      <c r="CW115" s="77">
        <f t="shared" ca="1" si="462"/>
        <v>0</v>
      </c>
      <c r="CZ115" s="77">
        <v>112</v>
      </c>
      <c r="DA115" s="77" t="str">
        <f t="shared" ca="1" si="463"/>
        <v/>
      </c>
      <c r="DB115" s="77" t="str">
        <f t="shared" ca="1" si="464"/>
        <v/>
      </c>
      <c r="DC115" s="77" t="str">
        <f t="shared" ca="1" si="470"/>
        <v/>
      </c>
      <c r="DD115" s="77" t="str">
        <f t="shared" ca="1" si="465"/>
        <v/>
      </c>
    </row>
    <row r="116" spans="1:108">
      <c r="A116" s="77">
        <v>18</v>
      </c>
      <c r="B116" s="77" t="str">
        <f t="shared" si="516"/>
        <v>Hernanes</v>
      </c>
      <c r="C116" s="77" t="str">
        <f t="shared" si="517"/>
        <v>I. Olić</v>
      </c>
      <c r="D116" s="77" t="str">
        <f t="shared" si="517"/>
        <v>A. Guardado</v>
      </c>
      <c r="E116" s="77" t="str">
        <f t="shared" si="517"/>
        <v>E. Enoh</v>
      </c>
      <c r="F116" s="77" t="str">
        <f t="shared" si="518"/>
        <v>J. Alba</v>
      </c>
      <c r="G116" s="77" t="str">
        <f t="shared" ref="G116:I116" si="643">G20</f>
        <v>L. Fer</v>
      </c>
      <c r="H116" s="77" t="str">
        <f t="shared" si="643"/>
        <v>G. Jara</v>
      </c>
      <c r="I116" s="77" t="str">
        <f t="shared" si="643"/>
        <v>E. Galeković</v>
      </c>
      <c r="J116" s="77" t="str">
        <f t="shared" si="520"/>
        <v>J. Camilo Zúñiga</v>
      </c>
      <c r="K116" s="77" t="str">
        <f t="shared" ref="K116:M116" si="644">K20</f>
        <v>G. Fetfatzidis</v>
      </c>
      <c r="L116" s="77" t="str">
        <f t="shared" si="644"/>
        <v>C. Djakpa</v>
      </c>
      <c r="M116" s="77" t="str">
        <f t="shared" si="644"/>
        <v>Y. Osako</v>
      </c>
      <c r="N116" s="77" t="str">
        <f t="shared" si="522"/>
        <v>G. Ramírez</v>
      </c>
      <c r="O116" s="77" t="str">
        <f t="shared" ref="O116:Q116" si="645">O20</f>
        <v>P. Pemberton</v>
      </c>
      <c r="P116" s="77" t="str">
        <f t="shared" si="645"/>
        <v>R. Lambert</v>
      </c>
      <c r="Q116" s="77" t="str">
        <f t="shared" si="645"/>
        <v>M. Parolo</v>
      </c>
      <c r="R116" s="77" t="str">
        <f t="shared" si="524"/>
        <v>A. Mehmedi</v>
      </c>
      <c r="S116" s="77" t="str">
        <f t="shared" ref="S116:U116" si="646">S20</f>
        <v>Ó. Bagüí</v>
      </c>
      <c r="T116" s="77" t="str">
        <f t="shared" si="646"/>
        <v>M. Sissoko</v>
      </c>
      <c r="U116" s="77" t="str">
        <f t="shared" si="646"/>
        <v xml:space="preserve">N. Valladares </v>
      </c>
      <c r="V116" s="77" t="str">
        <f t="shared" si="526"/>
        <v>R. Palacio</v>
      </c>
      <c r="W116" s="77" t="str">
        <f t="shared" ref="W116:Y116" si="647">W20</f>
        <v>H. Medunjanin</v>
      </c>
      <c r="X116" s="77" t="str">
        <f t="shared" si="647"/>
        <v>B. Rahmani</v>
      </c>
      <c r="Y116" s="77" t="str">
        <f t="shared" si="647"/>
        <v>M. Babatunde</v>
      </c>
      <c r="Z116" s="77" t="str">
        <f t="shared" si="528"/>
        <v>T. Kroos</v>
      </c>
      <c r="AA116" s="77" t="str">
        <f t="shared" ref="AA116:AC116" si="648">AA20</f>
        <v>S. Varela</v>
      </c>
      <c r="AB116" s="77" t="str">
        <f t="shared" si="648"/>
        <v>M. Waris</v>
      </c>
      <c r="AC116" s="77" t="str">
        <f t="shared" si="648"/>
        <v>C. Wondolowski</v>
      </c>
      <c r="AD116" s="77" t="str">
        <f t="shared" si="530"/>
        <v>N. Lombaerts</v>
      </c>
      <c r="AE116" s="77" t="str">
        <f t="shared" ref="AE116:AG116" si="649">AE20</f>
        <v>A. Djabou</v>
      </c>
      <c r="AF116" s="77" t="str">
        <f t="shared" si="649"/>
        <v>Y. Zhirkov</v>
      </c>
      <c r="AG116" s="77" t="str">
        <f t="shared" si="649"/>
        <v>K. Shin-wook</v>
      </c>
      <c r="BT116" s="77" t="str">
        <f t="shared" ca="1" si="507"/>
        <v>Spain</v>
      </c>
      <c r="BU116" s="77">
        <f t="shared" si="461"/>
        <v>114</v>
      </c>
      <c r="BV116" s="77" t="str">
        <f t="shared" si="641"/>
        <v>A24</v>
      </c>
      <c r="BW116" s="77">
        <f t="shared" si="631"/>
        <v>5</v>
      </c>
      <c r="BX116" s="77" t="str">
        <f t="shared" ca="1" si="642"/>
        <v>C. Azpilicueta</v>
      </c>
      <c r="BY116" s="77">
        <f ca="1">COUNTIF('Group Stages'!$L$14:$S$110,BX116)+COUNTIF('Knock Out Stages'!$N$41:$U$84,BX116)</f>
        <v>0</v>
      </c>
      <c r="BZ116" s="77" t="str">
        <f t="shared" si="632"/>
        <v>'Player Database'!A24</v>
      </c>
      <c r="CA116" s="77" t="str">
        <f t="shared" ca="1" si="633"/>
        <v>César Azpilicueta</v>
      </c>
      <c r="CB116" s="77">
        <v>113</v>
      </c>
      <c r="CC116" s="77" t="str">
        <f t="array" aca="1" ref="CC116" ca="1">IFERROR(INDEX($BX$3:$BX$738, SMALL(IF(COUNTIF(CC$3, $BY$3:$BY$738), ROW($BX$3:$BX$738)-MIN(ROW($BX$3:$BX$738))+1), $CB116), 0),"")</f>
        <v/>
      </c>
      <c r="CS116" s="77">
        <f t="shared" si="504"/>
        <v>113</v>
      </c>
      <c r="CT116" s="77">
        <f t="shared" si="616"/>
        <v>3</v>
      </c>
      <c r="CU116" s="77" t="str">
        <f t="shared" si="505"/>
        <v>CR32</v>
      </c>
      <c r="CV116" s="77" t="str">
        <f t="shared" ca="1" si="506"/>
        <v/>
      </c>
      <c r="CW116" s="77">
        <f t="shared" ca="1" si="462"/>
        <v>0</v>
      </c>
      <c r="CZ116" s="77">
        <v>113</v>
      </c>
      <c r="DA116" s="77" t="str">
        <f t="shared" ca="1" si="463"/>
        <v/>
      </c>
      <c r="DB116" s="77" t="str">
        <f t="shared" ca="1" si="464"/>
        <v/>
      </c>
      <c r="DC116" s="77" t="str">
        <f t="shared" ca="1" si="470"/>
        <v/>
      </c>
      <c r="DD116" s="77" t="str">
        <f t="shared" ca="1" si="465"/>
        <v/>
      </c>
    </row>
    <row r="117" spans="1:108">
      <c r="A117" s="77">
        <v>19</v>
      </c>
      <c r="B117" s="77" t="str">
        <f t="shared" si="516"/>
        <v>Willian</v>
      </c>
      <c r="C117" s="77" t="str">
        <f t="shared" si="517"/>
        <v>Sammir</v>
      </c>
      <c r="D117" s="77" t="str">
        <f t="shared" si="517"/>
        <v>O. Peralta</v>
      </c>
      <c r="E117" s="77" t="str">
        <f t="shared" si="517"/>
        <v>F. Olinga</v>
      </c>
      <c r="F117" s="77" t="str">
        <f t="shared" si="518"/>
        <v>D. Costa</v>
      </c>
      <c r="G117" s="77" t="str">
        <f t="shared" ref="G117:I117" si="650">G21</f>
        <v>K. Huntelaar</v>
      </c>
      <c r="H117" s="77" t="str">
        <f t="shared" si="650"/>
        <v>J. Pedro Fuenzalida</v>
      </c>
      <c r="I117" s="77" t="str">
        <f t="shared" si="650"/>
        <v>R. McGowan</v>
      </c>
      <c r="J117" s="77" t="str">
        <f t="shared" si="520"/>
        <v>A. Ramos</v>
      </c>
      <c r="K117" s="77" t="str">
        <f t="shared" ref="K117:M117" si="651">K21</f>
        <v>S. Papastathopoulos</v>
      </c>
      <c r="L117" s="77" t="str">
        <f t="shared" si="651"/>
        <v>Y. Touré</v>
      </c>
      <c r="M117" s="77" t="str">
        <f t="shared" si="651"/>
        <v>M. Inoha</v>
      </c>
      <c r="N117" s="77" t="str">
        <f t="shared" si="522"/>
        <v>J. María Giménez</v>
      </c>
      <c r="O117" s="77" t="str">
        <f t="shared" ref="O117:Q117" si="652">O21</f>
        <v>R. Miller</v>
      </c>
      <c r="P117" s="77" t="str">
        <f t="shared" si="652"/>
        <v>R. Sterling</v>
      </c>
      <c r="Q117" s="77" t="str">
        <f t="shared" si="652"/>
        <v>L. Bonucci</v>
      </c>
      <c r="R117" s="77" t="str">
        <f t="shared" si="524"/>
        <v>J. Drmić</v>
      </c>
      <c r="S117" s="77" t="str">
        <f t="shared" ref="S117:U117" si="653">S21</f>
        <v>L. Saritama</v>
      </c>
      <c r="T117" s="77" t="str">
        <f t="shared" si="653"/>
        <v>P. Pogba</v>
      </c>
      <c r="U117" s="77" t="str">
        <f t="shared" si="653"/>
        <v>L. Garrido</v>
      </c>
      <c r="V117" s="77" t="str">
        <f t="shared" si="526"/>
        <v>R. Álvarez</v>
      </c>
      <c r="W117" s="77" t="str">
        <f t="shared" ref="W117:Y117" si="654">W21</f>
        <v>E. Višća</v>
      </c>
      <c r="X117" s="77" t="str">
        <f t="shared" si="654"/>
        <v>H. Beikzadeh</v>
      </c>
      <c r="Y117" s="77" t="str">
        <f t="shared" si="654"/>
        <v>U. Nwofor</v>
      </c>
      <c r="Z117" s="77" t="str">
        <f t="shared" si="528"/>
        <v>M. Götze</v>
      </c>
      <c r="AA117" s="77" t="str">
        <f t="shared" ref="AA117:AC117" si="655">AA21</f>
        <v>A. Almeida</v>
      </c>
      <c r="AB117" s="77" t="str">
        <f t="shared" si="655"/>
        <v>J. Mensah</v>
      </c>
      <c r="AC117" s="77" t="str">
        <f t="shared" si="655"/>
        <v>G. Zusi</v>
      </c>
      <c r="AD117" s="77" t="str">
        <f t="shared" si="530"/>
        <v>M. Dembélé</v>
      </c>
      <c r="AE117" s="77" t="str">
        <f t="shared" ref="AE117:AG117" si="656">AE21</f>
        <v>S. Taïder</v>
      </c>
      <c r="AF117" s="77" t="str">
        <f t="shared" si="656"/>
        <v>A. Samedov</v>
      </c>
      <c r="AG117" s="77" t="str">
        <f t="shared" si="656"/>
        <v>J. Dong-won</v>
      </c>
      <c r="BT117" s="77" t="str">
        <f t="shared" ca="1" si="507"/>
        <v>Spain</v>
      </c>
      <c r="BU117" s="77">
        <f t="shared" si="461"/>
        <v>115</v>
      </c>
      <c r="BV117" s="77" t="str">
        <f t="shared" si="641"/>
        <v>A25</v>
      </c>
      <c r="BW117" s="77">
        <f t="shared" si="631"/>
        <v>5</v>
      </c>
      <c r="BX117" s="77" t="str">
        <f t="shared" ca="1" si="642"/>
        <v>P. Reina</v>
      </c>
      <c r="BY117" s="77">
        <f ca="1">COUNTIF('Group Stages'!$L$14:$S$110,BX117)+COUNTIF('Knock Out Stages'!$N$41:$U$84,BX117)</f>
        <v>0</v>
      </c>
      <c r="BZ117" s="77" t="str">
        <f t="shared" si="632"/>
        <v>'Player Database'!A25</v>
      </c>
      <c r="CA117" s="77" t="str">
        <f t="shared" ca="1" si="633"/>
        <v>Pepe Reina</v>
      </c>
      <c r="CB117" s="77">
        <v>114</v>
      </c>
      <c r="CC117" s="77" t="str">
        <f t="array" aca="1" ref="CC117" ca="1">IFERROR(INDEX($BX$3:$BX$738, SMALL(IF(COUNTIF(CC$3, $BY$3:$BY$738), ROW($BX$3:$BX$738)-MIN(ROW($BX$3:$BX$738))+1), $CB117), 0),"")</f>
        <v/>
      </c>
      <c r="CS117" s="77">
        <f t="shared" si="504"/>
        <v>114</v>
      </c>
      <c r="CT117" s="77">
        <f t="shared" si="616"/>
        <v>3</v>
      </c>
      <c r="CU117" s="77" t="str">
        <f t="shared" si="505"/>
        <v>CR33</v>
      </c>
      <c r="CV117" s="77" t="str">
        <f t="shared" ca="1" si="506"/>
        <v/>
      </c>
      <c r="CW117" s="77">
        <f t="shared" ca="1" si="462"/>
        <v>0</v>
      </c>
      <c r="CZ117" s="77">
        <v>114</v>
      </c>
      <c r="DA117" s="77" t="str">
        <f t="shared" ca="1" si="463"/>
        <v/>
      </c>
      <c r="DB117" s="77" t="str">
        <f t="shared" ca="1" si="464"/>
        <v/>
      </c>
      <c r="DC117" s="77" t="str">
        <f t="shared" ca="1" si="470"/>
        <v/>
      </c>
      <c r="DD117" s="77" t="str">
        <f t="shared" ca="1" si="465"/>
        <v/>
      </c>
    </row>
    <row r="118" spans="1:108">
      <c r="A118" s="77">
        <v>20</v>
      </c>
      <c r="B118" s="77" t="str">
        <f t="shared" si="516"/>
        <v>Bernard</v>
      </c>
      <c r="C118" s="77" t="str">
        <f t="shared" si="517"/>
        <v>M. Kovačić</v>
      </c>
      <c r="D118" s="77" t="str">
        <f t="shared" si="517"/>
        <v>J. Aquino</v>
      </c>
      <c r="E118" s="77" t="str">
        <f t="shared" si="517"/>
        <v>E. Salli</v>
      </c>
      <c r="F118" s="77" t="str">
        <f t="shared" si="518"/>
        <v>S. Cazorla</v>
      </c>
      <c r="G118" s="77" t="str">
        <f t="shared" ref="G118:I118" si="657">G22</f>
        <v>G. Wijnaldum</v>
      </c>
      <c r="H118" s="77" t="str">
        <f t="shared" si="657"/>
        <v>C. Aránguiz</v>
      </c>
      <c r="I118" s="77" t="str">
        <f t="shared" si="657"/>
        <v>D. Vidošić</v>
      </c>
      <c r="J118" s="77" t="str">
        <f t="shared" si="520"/>
        <v>J. Fernando Quintero</v>
      </c>
      <c r="K118" s="77" t="str">
        <f t="shared" ref="K118:M118" si="658">K22</f>
        <v>J. Holebas</v>
      </c>
      <c r="L118" s="77" t="str">
        <f t="shared" si="658"/>
        <v>S. Die</v>
      </c>
      <c r="M118" s="77" t="str">
        <f t="shared" si="658"/>
        <v>M. Saitō</v>
      </c>
      <c r="N118" s="77" t="str">
        <f t="shared" si="522"/>
        <v>Á. González</v>
      </c>
      <c r="O118" s="77" t="str">
        <f t="shared" ref="O118:Q118" si="659">O22</f>
        <v>D. Calvo</v>
      </c>
      <c r="P118" s="77" t="str">
        <f t="shared" si="659"/>
        <v>A. Lallana</v>
      </c>
      <c r="Q118" s="77" t="str">
        <f t="shared" si="659"/>
        <v>G. Paletta</v>
      </c>
      <c r="R118" s="77" t="str">
        <f t="shared" si="524"/>
        <v>J. Djourou</v>
      </c>
      <c r="S118" s="77" t="str">
        <f t="shared" ref="S118:U118" si="660">S22</f>
        <v>F. Martínez</v>
      </c>
      <c r="T118" s="77" t="str">
        <f t="shared" si="660"/>
        <v>L. Rémy</v>
      </c>
      <c r="U118" s="77" t="str">
        <f t="shared" si="660"/>
        <v>J. Claros</v>
      </c>
      <c r="V118" s="77" t="str">
        <f t="shared" si="526"/>
        <v>S. Agüero</v>
      </c>
      <c r="W118" s="77" t="str">
        <f t="shared" ref="W118:Y118" si="661">W22</f>
        <v>A. Hadžić</v>
      </c>
      <c r="X118" s="77" t="str">
        <f t="shared" si="661"/>
        <v>S. Beitashour</v>
      </c>
      <c r="Y118" s="77" t="str">
        <f t="shared" si="661"/>
        <v>M. Uchebo</v>
      </c>
      <c r="Z118" s="77" t="str">
        <f t="shared" si="528"/>
        <v>J. Boateng</v>
      </c>
      <c r="AA118" s="77" t="str">
        <f t="shared" ref="AA118:AC118" si="662">AA22</f>
        <v>R. Amorim</v>
      </c>
      <c r="AB118" s="77" t="str">
        <f t="shared" si="662"/>
        <v>K. Asamoah</v>
      </c>
      <c r="AC118" s="77" t="str">
        <f t="shared" si="662"/>
        <v>G. Cameron</v>
      </c>
      <c r="AD118" s="77" t="str">
        <f t="shared" si="530"/>
        <v>A. Januzaj</v>
      </c>
      <c r="AE118" s="77" t="str">
        <f t="shared" ref="AE118:AG118" si="663">AE22</f>
        <v>A. Mandi</v>
      </c>
      <c r="AF118" s="77" t="str">
        <f t="shared" si="663"/>
        <v>V. Fayzulin</v>
      </c>
      <c r="AG118" s="77" t="str">
        <f t="shared" si="663"/>
        <v>H. Jeong-ho</v>
      </c>
      <c r="BT118" s="77" t="str">
        <f t="shared" ca="1" si="507"/>
        <v>Netherlands</v>
      </c>
      <c r="BU118" s="77">
        <f t="shared" si="461"/>
        <v>116</v>
      </c>
      <c r="BV118" s="77" t="str">
        <f t="shared" si="641"/>
        <v>A3</v>
      </c>
      <c r="BW118" s="77">
        <f t="shared" si="631"/>
        <v>6</v>
      </c>
      <c r="BX118" s="77" t="str">
        <f t="shared" ca="1" si="642"/>
        <v>J. Cillessen</v>
      </c>
      <c r="BY118" s="77">
        <f ca="1">COUNTIF('Group Stages'!$L$14:$S$110,BX118)+COUNTIF('Knock Out Stages'!$N$41:$U$84,BX118)</f>
        <v>0</v>
      </c>
      <c r="BZ118" s="77" t="str">
        <f t="shared" si="632"/>
        <v>'Player Database'!A3</v>
      </c>
      <c r="CA118" s="77" t="str">
        <f t="shared" ca="1" si="633"/>
        <v>Jasper Cillessen</v>
      </c>
      <c r="CB118" s="77">
        <v>115</v>
      </c>
      <c r="CC118" s="77" t="str">
        <f t="array" aca="1" ref="CC118" ca="1">IFERROR(INDEX($BX$3:$BX$738, SMALL(IF(COUNTIF(CC$3, $BY$3:$BY$738), ROW($BX$3:$BX$738)-MIN(ROW($BX$3:$BX$738))+1), $CB118), 0),"")</f>
        <v/>
      </c>
      <c r="CS118" s="77">
        <f t="shared" si="504"/>
        <v>115</v>
      </c>
      <c r="CT118" s="77">
        <f t="shared" si="616"/>
        <v>3</v>
      </c>
      <c r="CU118" s="77" t="str">
        <f t="shared" si="505"/>
        <v>CR34</v>
      </c>
      <c r="CV118" s="77" t="str">
        <f t="shared" ca="1" si="506"/>
        <v/>
      </c>
      <c r="CW118" s="77">
        <f t="shared" ca="1" si="462"/>
        <v>0</v>
      </c>
      <c r="CZ118" s="77">
        <v>115</v>
      </c>
      <c r="DA118" s="77" t="str">
        <f t="shared" ca="1" si="463"/>
        <v/>
      </c>
      <c r="DB118" s="77" t="str">
        <f t="shared" ca="1" si="464"/>
        <v/>
      </c>
      <c r="DC118" s="77" t="str">
        <f t="shared" ca="1" si="470"/>
        <v/>
      </c>
      <c r="DD118" s="77" t="str">
        <f t="shared" ca="1" si="465"/>
        <v/>
      </c>
    </row>
    <row r="119" spans="1:108">
      <c r="A119" s="77">
        <v>21</v>
      </c>
      <c r="B119" s="77" t="str">
        <f t="shared" si="516"/>
        <v>Jô</v>
      </c>
      <c r="C119" s="77" t="str">
        <f t="shared" si="517"/>
        <v>D. Vida</v>
      </c>
      <c r="D119" s="77" t="str">
        <f t="shared" si="517"/>
        <v>C. Peña</v>
      </c>
      <c r="E119" s="77" t="str">
        <f t="shared" si="517"/>
        <v>J. Matip</v>
      </c>
      <c r="F119" s="77" t="str">
        <f t="shared" si="518"/>
        <v>D. Silva</v>
      </c>
      <c r="G119" s="77" t="str">
        <f t="shared" ref="G119:I119" si="664">G23</f>
        <v>M. Depay</v>
      </c>
      <c r="H119" s="77" t="str">
        <f t="shared" si="664"/>
        <v>M. Díaz</v>
      </c>
      <c r="I119" s="77" t="str">
        <f t="shared" si="664"/>
        <v>M. Luongo</v>
      </c>
      <c r="J119" s="77" t="str">
        <f t="shared" si="520"/>
        <v>J. Martínez</v>
      </c>
      <c r="K119" s="77" t="str">
        <f t="shared" ref="K119:M119" si="665">K23</f>
        <v>K. Katsouranis</v>
      </c>
      <c r="L119" s="77" t="str">
        <f t="shared" si="665"/>
        <v>G. Sio</v>
      </c>
      <c r="M119" s="77" t="str">
        <f t="shared" si="665"/>
        <v>H. Sakai</v>
      </c>
      <c r="N119" s="77" t="str">
        <f t="shared" si="522"/>
        <v>E. Cavani</v>
      </c>
      <c r="O119" s="77" t="str">
        <f t="shared" ref="O119:Q119" si="666">O23</f>
        <v>M. Ureña</v>
      </c>
      <c r="P119" s="77" t="str">
        <f t="shared" si="666"/>
        <v>R. Barkley</v>
      </c>
      <c r="Q119" s="77" t="str">
        <f t="shared" si="666"/>
        <v>A. Pirlo</v>
      </c>
      <c r="R119" s="77" t="str">
        <f t="shared" si="524"/>
        <v>R. Bürki</v>
      </c>
      <c r="S119" s="77" t="str">
        <f t="shared" ref="S119:U119" si="667">S23</f>
        <v>G. Achilier</v>
      </c>
      <c r="T119" s="77" t="str">
        <f t="shared" si="667"/>
        <v>L. Koscielny</v>
      </c>
      <c r="U119" s="77" t="str">
        <f t="shared" si="667"/>
        <v>A. Najar</v>
      </c>
      <c r="V119" s="77" t="str">
        <f t="shared" si="526"/>
        <v>M. Andújar</v>
      </c>
      <c r="W119" s="77" t="str">
        <f t="shared" ref="W119:Y119" si="668">W23</f>
        <v>T. Sušić</v>
      </c>
      <c r="X119" s="77" t="str">
        <f t="shared" si="668"/>
        <v>A. Dejagah</v>
      </c>
      <c r="Y119" s="77" t="str">
        <f t="shared" si="668"/>
        <v>C. Agbim</v>
      </c>
      <c r="Z119" s="77" t="str">
        <f t="shared" si="528"/>
        <v>S. Mustafi</v>
      </c>
      <c r="AA119" s="77" t="str">
        <f t="shared" ref="AA119:AC119" si="669">AA23</f>
        <v>J. Pereira</v>
      </c>
      <c r="AB119" s="77" t="str">
        <f t="shared" si="669"/>
        <v>J. Boye</v>
      </c>
      <c r="AC119" s="77" t="str">
        <f t="shared" si="669"/>
        <v>T. Chandler</v>
      </c>
      <c r="AD119" s="77" t="str">
        <f t="shared" si="530"/>
        <v>A. Vanden Borre</v>
      </c>
      <c r="AE119" s="77" t="str">
        <f t="shared" ref="AE119:AG119" si="670">AE23</f>
        <v>R. Mahrez</v>
      </c>
      <c r="AF119" s="77" t="str">
        <f t="shared" si="670"/>
        <v>A. Ionov</v>
      </c>
      <c r="AG119" s="77" t="str">
        <f t="shared" si="670"/>
        <v>K. Seung-gyu</v>
      </c>
      <c r="BT119" s="77" t="str">
        <f t="shared" ca="1" si="507"/>
        <v>Netherlands</v>
      </c>
      <c r="BU119" s="77">
        <f t="shared" si="461"/>
        <v>117</v>
      </c>
      <c r="BV119" s="77" t="str">
        <f t="shared" si="641"/>
        <v>A4</v>
      </c>
      <c r="BW119" s="77">
        <f t="shared" si="631"/>
        <v>6</v>
      </c>
      <c r="BX119" s="77" t="str">
        <f t="shared" ca="1" si="642"/>
        <v>R. Vlaar</v>
      </c>
      <c r="BY119" s="77">
        <f ca="1">COUNTIF('Group Stages'!$L$14:$S$110,BX119)+COUNTIF('Knock Out Stages'!$N$41:$U$84,BX119)</f>
        <v>0</v>
      </c>
      <c r="BZ119" s="77" t="str">
        <f t="shared" si="632"/>
        <v>'Player Database'!A4</v>
      </c>
      <c r="CA119" s="77" t="str">
        <f t="shared" ca="1" si="633"/>
        <v>Ron Vlaar</v>
      </c>
      <c r="CB119" s="77">
        <v>116</v>
      </c>
      <c r="CC119" s="77" t="str">
        <f t="array" aca="1" ref="CC119" ca="1">IFERROR(INDEX($BX$3:$BX$738, SMALL(IF(COUNTIF(CC$3, $BY$3:$BY$738), ROW($BX$3:$BX$738)-MIN(ROW($BX$3:$BX$738))+1), $CB119), 0),"")</f>
        <v/>
      </c>
      <c r="CS119" s="77">
        <f t="shared" si="504"/>
        <v>116</v>
      </c>
      <c r="CT119" s="77">
        <f t="shared" si="616"/>
        <v>3</v>
      </c>
      <c r="CU119" s="77" t="str">
        <f t="shared" si="505"/>
        <v>CR35</v>
      </c>
      <c r="CV119" s="77" t="str">
        <f t="shared" ca="1" si="506"/>
        <v/>
      </c>
      <c r="CW119" s="77">
        <f t="shared" ca="1" si="462"/>
        <v>0</v>
      </c>
      <c r="CZ119" s="77">
        <v>116</v>
      </c>
      <c r="DA119" s="77" t="str">
        <f t="shared" ca="1" si="463"/>
        <v/>
      </c>
      <c r="DB119" s="77" t="str">
        <f t="shared" ca="1" si="464"/>
        <v/>
      </c>
      <c r="DC119" s="77" t="str">
        <f t="shared" ca="1" si="470"/>
        <v/>
      </c>
      <c r="DD119" s="77" t="str">
        <f t="shared" ca="1" si="465"/>
        <v/>
      </c>
    </row>
    <row r="120" spans="1:108">
      <c r="A120" s="77">
        <v>22</v>
      </c>
      <c r="B120" s="77" t="str">
        <f t="shared" si="516"/>
        <v>Victor</v>
      </c>
      <c r="C120" s="77" t="str">
        <f t="shared" si="517"/>
        <v>Eduardo</v>
      </c>
      <c r="D120" s="77" t="str">
        <f t="shared" si="517"/>
        <v>P. Aguilar</v>
      </c>
      <c r="E120" s="77" t="str">
        <f t="shared" si="517"/>
        <v>A. Nyom</v>
      </c>
      <c r="F120" s="77" t="str">
        <f t="shared" si="518"/>
        <v>C. Azpilicueta</v>
      </c>
      <c r="G120" s="77" t="str">
        <f t="shared" ref="G120:I120" si="671">G24</f>
        <v>M. Vorm</v>
      </c>
      <c r="H120" s="77" t="str">
        <f t="shared" si="671"/>
        <v>E. Paredes</v>
      </c>
      <c r="I120" s="77" t="str">
        <f t="shared" si="671"/>
        <v>A. Wilkinson</v>
      </c>
      <c r="J120" s="77" t="str">
        <f t="shared" si="520"/>
        <v>F. Mondragón</v>
      </c>
      <c r="K120" s="77" t="str">
        <f t="shared" ref="K120:M120" si="672">K24</f>
        <v>A. Samaris</v>
      </c>
      <c r="L120" s="77" t="str">
        <f t="shared" si="672"/>
        <v>S. Bamba</v>
      </c>
      <c r="M120" s="77" t="str">
        <f t="shared" si="672"/>
        <v>M. Yoshida</v>
      </c>
      <c r="N120" s="77" t="str">
        <f t="shared" si="522"/>
        <v>M. Cáceres</v>
      </c>
      <c r="O120" s="77" t="str">
        <f t="shared" ref="O120:Q120" si="673">O24</f>
        <v>J. Miguel Cubero</v>
      </c>
      <c r="P120" s="77" t="str">
        <f t="shared" si="673"/>
        <v>F. Forster</v>
      </c>
      <c r="Q120" s="77" t="str">
        <f t="shared" si="673"/>
        <v>L. Insigne</v>
      </c>
      <c r="R120" s="77" t="str">
        <f t="shared" si="524"/>
        <v>F. Schär</v>
      </c>
      <c r="S120" s="77" t="str">
        <f t="shared" ref="S120:U120" si="674">S24</f>
        <v>A. Domínguez</v>
      </c>
      <c r="T120" s="77" t="str">
        <f t="shared" si="674"/>
        <v>M. Schneiderlin[40]</v>
      </c>
      <c r="U120" s="77" t="str">
        <f t="shared" si="674"/>
        <v>D. Escober</v>
      </c>
      <c r="V120" s="77" t="str">
        <f t="shared" si="526"/>
        <v>E. Lavezzi</v>
      </c>
      <c r="W120" s="77" t="str">
        <f t="shared" ref="W120:Y120" si="675">W24</f>
        <v>A. Avdukić</v>
      </c>
      <c r="X120" s="77" t="str">
        <f t="shared" si="675"/>
        <v>D. Davari</v>
      </c>
      <c r="Y120" s="77" t="str">
        <f t="shared" si="675"/>
        <v>K. Omeruo</v>
      </c>
      <c r="Z120" s="77" t="str">
        <f t="shared" si="528"/>
        <v>R. Weidenfeller</v>
      </c>
      <c r="AA120" s="77" t="str">
        <f t="shared" ref="AA120:AC120" si="676">AA24</f>
        <v>Beto</v>
      </c>
      <c r="AB120" s="77" t="str">
        <f t="shared" si="676"/>
        <v>W. Mubarak</v>
      </c>
      <c r="AC120" s="77" t="str">
        <f t="shared" si="676"/>
        <v>N. Rimando</v>
      </c>
      <c r="AD120" s="77" t="str">
        <f t="shared" si="530"/>
        <v>N. Chadli</v>
      </c>
      <c r="AE120" s="77" t="str">
        <f t="shared" ref="AE120:AG120" si="677">AE24</f>
        <v>M. Mostefa</v>
      </c>
      <c r="AF120" s="77" t="str">
        <f t="shared" si="677"/>
        <v>A. Yeshchenko</v>
      </c>
      <c r="AG120" s="77" t="str">
        <f t="shared" si="677"/>
        <v>P. Joo-ho[66]</v>
      </c>
      <c r="BT120" s="77" t="str">
        <f t="shared" ca="1" si="507"/>
        <v>Netherlands</v>
      </c>
      <c r="BU120" s="77">
        <f t="shared" si="461"/>
        <v>118</v>
      </c>
      <c r="BV120" s="77" t="str">
        <f t="shared" si="641"/>
        <v>A5</v>
      </c>
      <c r="BW120" s="77">
        <f t="shared" si="631"/>
        <v>6</v>
      </c>
      <c r="BX120" s="77" t="str">
        <f t="shared" ca="1" si="642"/>
        <v>S. de Vrij</v>
      </c>
      <c r="BY120" s="77">
        <f ca="1">COUNTIF('Group Stages'!$L$14:$S$110,BX120)+COUNTIF('Knock Out Stages'!$N$41:$U$84,BX120)</f>
        <v>0</v>
      </c>
      <c r="BZ120" s="77" t="str">
        <f t="shared" si="632"/>
        <v>'Player Database'!A5</v>
      </c>
      <c r="CA120" s="77" t="str">
        <f t="shared" ca="1" si="633"/>
        <v>Stefan de Vrij</v>
      </c>
      <c r="CB120" s="77">
        <v>117</v>
      </c>
      <c r="CC120" s="77" t="str">
        <f t="array" aca="1" ref="CC120" ca="1">IFERROR(INDEX($BX$3:$BX$738, SMALL(IF(COUNTIF(CC$3, $BY$3:$BY$738), ROW($BX$3:$BX$738)-MIN(ROW($BX$3:$BX$738))+1), $CB120), 0),"")</f>
        <v/>
      </c>
      <c r="CS120" s="77">
        <f t="shared" si="504"/>
        <v>117</v>
      </c>
      <c r="CT120" s="77">
        <f t="shared" si="616"/>
        <v>3</v>
      </c>
      <c r="CU120" s="77" t="str">
        <f t="shared" si="505"/>
        <v>CR36</v>
      </c>
      <c r="CV120" s="77" t="str">
        <f t="shared" ca="1" si="506"/>
        <v/>
      </c>
      <c r="CW120" s="77">
        <f t="shared" ca="1" si="462"/>
        <v>0</v>
      </c>
      <c r="CZ120" s="77">
        <v>117</v>
      </c>
      <c r="DA120" s="77" t="str">
        <f t="shared" ca="1" si="463"/>
        <v/>
      </c>
      <c r="DB120" s="77" t="str">
        <f t="shared" ca="1" si="464"/>
        <v/>
      </c>
      <c r="DC120" s="77" t="str">
        <f t="shared" ca="1" si="470"/>
        <v/>
      </c>
      <c r="DD120" s="77" t="str">
        <f t="shared" ca="1" si="465"/>
        <v/>
      </c>
    </row>
    <row r="121" spans="1:108">
      <c r="A121" s="77">
        <v>23</v>
      </c>
      <c r="B121" s="77" t="str">
        <f t="shared" si="516"/>
        <v>Maicon</v>
      </c>
      <c r="C121" s="77" t="str">
        <f t="shared" si="517"/>
        <v>D. Subašić</v>
      </c>
      <c r="D121" s="77" t="str">
        <f t="shared" si="517"/>
        <v>J. Juan Vázquez</v>
      </c>
      <c r="E121" s="77" t="str">
        <f t="shared" si="517"/>
        <v>S. N'Djock</v>
      </c>
      <c r="F121" s="77" t="str">
        <f t="shared" si="518"/>
        <v>P. Reina</v>
      </c>
      <c r="G121" s="77" t="str">
        <f t="shared" ref="G121:I121" si="678">G25</f>
        <v>T. Krul</v>
      </c>
      <c r="H121" s="77" t="str">
        <f t="shared" si="678"/>
        <v>J. Herrera</v>
      </c>
      <c r="I121" s="77" t="str">
        <f t="shared" si="678"/>
        <v>M. Bresciano</v>
      </c>
      <c r="J121" s="77" t="str">
        <f t="shared" si="520"/>
        <v>C. Valdés</v>
      </c>
      <c r="K121" s="77" t="str">
        <f t="shared" ref="K121:M121" si="679">K25</f>
        <v>P. Tachtsidis</v>
      </c>
      <c r="L121" s="77" t="str">
        <f t="shared" si="679"/>
        <v>S. Mandé</v>
      </c>
      <c r="M121" s="77" t="str">
        <f t="shared" si="679"/>
        <v>S. Gonda</v>
      </c>
      <c r="N121" s="77" t="str">
        <f t="shared" si="522"/>
        <v>M. Silva</v>
      </c>
      <c r="O121" s="77" t="str">
        <f t="shared" ref="O121:Q121" si="680">O25</f>
        <v>D. Cambronero</v>
      </c>
      <c r="P121" s="77" t="str">
        <f t="shared" si="680"/>
        <v>L. Shaw</v>
      </c>
      <c r="Q121" s="77" t="str">
        <f t="shared" si="680"/>
        <v>M. Verratti</v>
      </c>
      <c r="R121" s="77" t="str">
        <f t="shared" si="524"/>
        <v>X. Shaqiri</v>
      </c>
      <c r="S121" s="77" t="str">
        <f t="shared" ref="S121:U121" si="681">S25</f>
        <v>C. Gruezo</v>
      </c>
      <c r="T121" s="77" t="str">
        <f t="shared" si="681"/>
        <v>M. Landreau</v>
      </c>
      <c r="U121" s="77" t="str">
        <f t="shared" si="681"/>
        <v>B. Beckeles</v>
      </c>
      <c r="V121" s="77" t="str">
        <f t="shared" si="526"/>
        <v>J. María Basanta</v>
      </c>
      <c r="W121" s="77" t="str">
        <f t="shared" ref="W121:Y121" si="682">W25</f>
        <v>S. Salihović</v>
      </c>
      <c r="X121" s="77" t="str">
        <f t="shared" si="682"/>
        <v>M. Pouladi</v>
      </c>
      <c r="Y121" s="77" t="str">
        <f t="shared" si="682"/>
        <v>S. Ameobi</v>
      </c>
      <c r="Z121" s="77" t="str">
        <f t="shared" si="528"/>
        <v>C. Kramer</v>
      </c>
      <c r="AA121" s="77" t="str">
        <f t="shared" ref="AA121:AC121" si="683">AA25</f>
        <v>H. Postiga</v>
      </c>
      <c r="AB121" s="77" t="str">
        <f t="shared" si="683"/>
        <v>H. Afful</v>
      </c>
      <c r="AC121" s="77" t="str">
        <f t="shared" si="683"/>
        <v>F. Johnson</v>
      </c>
      <c r="AD121" s="77" t="str">
        <f t="shared" si="530"/>
        <v>L. Ciman</v>
      </c>
      <c r="AE121" s="77" t="str">
        <f t="shared" ref="AE121:AG121" si="684">AE25</f>
        <v>R. M'Bolhi</v>
      </c>
      <c r="AF121" s="77" t="str">
        <f t="shared" si="684"/>
        <v>D. Kombarov</v>
      </c>
      <c r="AG121" s="77" t="str">
        <f t="shared" si="684"/>
        <v>L. Bum-young</v>
      </c>
      <c r="BT121" s="77" t="str">
        <f t="shared" ca="1" si="507"/>
        <v>Netherlands</v>
      </c>
      <c r="BU121" s="77">
        <f t="shared" si="461"/>
        <v>119</v>
      </c>
      <c r="BV121" s="77" t="str">
        <f t="shared" si="641"/>
        <v>A6</v>
      </c>
      <c r="BW121" s="77">
        <f t="shared" si="631"/>
        <v>6</v>
      </c>
      <c r="BX121" s="77" t="str">
        <f t="shared" ca="1" si="642"/>
        <v>B. Martins Indi</v>
      </c>
      <c r="BY121" s="77">
        <f ca="1">COUNTIF('Group Stages'!$L$14:$S$110,BX121)+COUNTIF('Knock Out Stages'!$N$41:$U$84,BX121)</f>
        <v>0</v>
      </c>
      <c r="BZ121" s="77" t="str">
        <f t="shared" si="632"/>
        <v>'Player Database'!A6</v>
      </c>
      <c r="CA121" s="77" t="str">
        <f t="shared" ca="1" si="633"/>
        <v>Bruno Martins Indi</v>
      </c>
      <c r="CB121" s="77">
        <v>118</v>
      </c>
      <c r="CC121" s="77" t="str">
        <f t="array" aca="1" ref="CC121" ca="1">IFERROR(INDEX($BX$3:$BX$738, SMALL(IF(COUNTIF(CC$3, $BY$3:$BY$738), ROW($BX$3:$BX$738)-MIN(ROW($BX$3:$BX$738))+1), $CB121), 0),"")</f>
        <v/>
      </c>
      <c r="CS121" s="77">
        <f t="shared" si="504"/>
        <v>118</v>
      </c>
      <c r="CT121" s="77">
        <f t="shared" si="616"/>
        <v>3</v>
      </c>
      <c r="CU121" s="77" t="str">
        <f t="shared" si="505"/>
        <v>CR37</v>
      </c>
      <c r="CV121" s="77" t="str">
        <f t="shared" ca="1" si="506"/>
        <v/>
      </c>
      <c r="CW121" s="77">
        <f t="shared" ca="1" si="462"/>
        <v>0</v>
      </c>
      <c r="CZ121" s="77">
        <v>118</v>
      </c>
      <c r="DA121" s="77" t="str">
        <f t="shared" ca="1" si="463"/>
        <v/>
      </c>
      <c r="DB121" s="77" t="str">
        <f t="shared" ca="1" si="464"/>
        <v/>
      </c>
      <c r="DC121" s="77" t="str">
        <f t="shared" ca="1" si="470"/>
        <v/>
      </c>
      <c r="DD121" s="77" t="str">
        <f t="shared" ca="1" si="465"/>
        <v/>
      </c>
    </row>
    <row r="122" spans="1:108">
      <c r="A122" s="77">
        <f>A99</f>
        <v>1</v>
      </c>
      <c r="B122" s="77" t="str">
        <f>E3&amp;" (og)"</f>
        <v>L. Feudjou (og)</v>
      </c>
      <c r="C122" s="77" t="str">
        <f>E3&amp;" (og)"</f>
        <v>L. Feudjou (og)</v>
      </c>
      <c r="D122" s="77" t="str">
        <f>E3&amp;" (og)"</f>
        <v>L. Feudjou (og)</v>
      </c>
      <c r="E122" s="77" t="str">
        <f>D3&amp;" (og)"</f>
        <v>J. de Jesús Corona (og)</v>
      </c>
      <c r="F122" s="77" t="str">
        <f>I3&amp;" (og)"</f>
        <v>M. Ryan (og)</v>
      </c>
      <c r="G122" s="77" t="str">
        <f>I3&amp;" (og)"</f>
        <v>M. Ryan (og)</v>
      </c>
      <c r="H122" s="77" t="str">
        <f>I3&amp;" (og)"</f>
        <v>M. Ryan (og)</v>
      </c>
      <c r="I122" s="77" t="str">
        <f>H3&amp;" (og)"</f>
        <v>C. Bravo  (og)</v>
      </c>
      <c r="J122" s="77" t="str">
        <f>M3&amp;" (og)"</f>
        <v>E. Kawashima (og)</v>
      </c>
      <c r="K122" s="77" t="str">
        <f>M3&amp;" (og)"</f>
        <v>E. Kawashima (og)</v>
      </c>
      <c r="L122" s="77" t="str">
        <f>M3&amp;" (og)"</f>
        <v>E. Kawashima (og)</v>
      </c>
      <c r="M122" s="77" t="str">
        <f>L3&amp;" (og)"</f>
        <v>B. Barry (og)</v>
      </c>
      <c r="N122" s="77" t="str">
        <f>Q3&amp;" (og)"</f>
        <v>G. Buffon  (og)</v>
      </c>
      <c r="O122" s="77" t="str">
        <f>Q3&amp;" (og)"</f>
        <v>G. Buffon  (og)</v>
      </c>
      <c r="P122" s="77" t="str">
        <f>Q3&amp;" (og)"</f>
        <v>G. Buffon  (og)</v>
      </c>
      <c r="Q122" s="77" t="str">
        <f>P3&amp;" (og)"</f>
        <v>J. Hart (og)</v>
      </c>
      <c r="R122" s="77" t="str">
        <f>U3&amp;" (og)"</f>
        <v>L. López (og)</v>
      </c>
      <c r="S122" s="77" t="str">
        <f>U3&amp;" (og)"</f>
        <v>L. López (og)</v>
      </c>
      <c r="T122" s="77" t="str">
        <f>U3&amp;" (og)"</f>
        <v>L. López (og)</v>
      </c>
      <c r="U122" s="77" t="str">
        <f>T3&amp;" (og)"</f>
        <v>H. Lloris  (og)</v>
      </c>
      <c r="V122" s="77" t="str">
        <f>Y3&amp;" (og)"</f>
        <v>V. Enyeama  (og)</v>
      </c>
      <c r="W122" s="77" t="str">
        <f>Y3&amp;" (og)"</f>
        <v>V. Enyeama  (og)</v>
      </c>
      <c r="X122" s="77" t="str">
        <f>Y3&amp;" (og)"</f>
        <v>V. Enyeama  (og)</v>
      </c>
      <c r="Y122" s="77" t="str">
        <f>X3&amp;" (og)"</f>
        <v>R. Ahmadi (og)</v>
      </c>
      <c r="Z122" s="77" t="str">
        <f>AC3&amp;" (og)"</f>
        <v>T. Howard (og)</v>
      </c>
      <c r="AA122" s="77" t="str">
        <f>AC3&amp;" (og)"</f>
        <v>T. Howard (og)</v>
      </c>
      <c r="AB122" s="77" t="str">
        <f>AC3&amp;" (og)"</f>
        <v>T. Howard (og)</v>
      </c>
      <c r="AC122" s="77" t="str">
        <f>AB3&amp;" (og)"</f>
        <v>S. Adams (og)</v>
      </c>
      <c r="AD122" s="77" t="str">
        <f>AG3&amp;" (og)"</f>
        <v>J. Sung-ryong (og)</v>
      </c>
      <c r="AE122" s="77" t="str">
        <f>AG3&amp;" (og)"</f>
        <v>J. Sung-ryong (og)</v>
      </c>
      <c r="AF122" s="77" t="str">
        <f>AG3&amp;" (og)"</f>
        <v>J. Sung-ryong (og)</v>
      </c>
      <c r="AG122" s="77" t="str">
        <f>AF3&amp;" (og)"</f>
        <v>I. Akinfeev (og)</v>
      </c>
      <c r="BT122" s="77" t="str">
        <f t="shared" ca="1" si="507"/>
        <v>Netherlands</v>
      </c>
      <c r="BU122" s="77">
        <f t="shared" si="461"/>
        <v>120</v>
      </c>
      <c r="BV122" s="77" t="str">
        <f t="shared" si="641"/>
        <v>A7</v>
      </c>
      <c r="BW122" s="77">
        <f t="shared" si="631"/>
        <v>6</v>
      </c>
      <c r="BX122" s="77" t="str">
        <f t="shared" ca="1" si="642"/>
        <v>D. Blind</v>
      </c>
      <c r="BY122" s="77">
        <f ca="1">COUNTIF('Group Stages'!$L$14:$S$110,BX122)+COUNTIF('Knock Out Stages'!$N$41:$U$84,BX122)</f>
        <v>0</v>
      </c>
      <c r="BZ122" s="77" t="str">
        <f t="shared" si="632"/>
        <v>'Player Database'!A7</v>
      </c>
      <c r="CA122" s="77" t="str">
        <f t="shared" ca="1" si="633"/>
        <v>Daley Blind</v>
      </c>
      <c r="CB122" s="77">
        <v>119</v>
      </c>
      <c r="CC122" s="77" t="str">
        <f t="array" aca="1" ref="CC122" ca="1">IFERROR(INDEX($BX$3:$BX$738, SMALL(IF(COUNTIF(CC$3, $BY$3:$BY$738), ROW($BX$3:$BX$738)-MIN(ROW($BX$3:$BX$738))+1), $CB122), 0),"")</f>
        <v/>
      </c>
      <c r="CS122" s="77">
        <f t="shared" si="504"/>
        <v>119</v>
      </c>
      <c r="CT122" s="77">
        <f t="shared" si="616"/>
        <v>3</v>
      </c>
      <c r="CU122" s="77" t="str">
        <f t="shared" si="505"/>
        <v>CR38</v>
      </c>
      <c r="CV122" s="77" t="str">
        <f t="shared" ca="1" si="506"/>
        <v/>
      </c>
      <c r="CW122" s="77">
        <f t="shared" ca="1" si="462"/>
        <v>0</v>
      </c>
      <c r="CZ122" s="77">
        <v>119</v>
      </c>
      <c r="DA122" s="77" t="str">
        <f t="shared" ca="1" si="463"/>
        <v/>
      </c>
      <c r="DB122" s="77" t="str">
        <f t="shared" ca="1" si="464"/>
        <v/>
      </c>
      <c r="DC122" s="77" t="str">
        <f t="shared" ca="1" si="470"/>
        <v/>
      </c>
      <c r="DD122" s="77" t="str">
        <f t="shared" ca="1" si="465"/>
        <v/>
      </c>
    </row>
    <row r="123" spans="1:108">
      <c r="A123" s="77">
        <f t="shared" ref="A123:A144" si="685">A100</f>
        <v>2</v>
      </c>
      <c r="B123" s="77" t="str">
        <f t="shared" ref="B123:B144" si="686">E4&amp;" (og)"</f>
        <v>B. Assou-Ekotto (og)</v>
      </c>
      <c r="C123" s="77" t="str">
        <f t="shared" ref="C123:C144" si="687">E4&amp;" (og)"</f>
        <v>B. Assou-Ekotto (og)</v>
      </c>
      <c r="D123" s="77" t="str">
        <f t="shared" ref="D123:D144" si="688">E4&amp;" (og)"</f>
        <v>B. Assou-Ekotto (og)</v>
      </c>
      <c r="E123" s="77" t="str">
        <f t="shared" ref="E123:E144" si="689">D4&amp;" (og)"</f>
        <v>F. Javier Rodríguez (og)</v>
      </c>
      <c r="F123" s="77" t="str">
        <f t="shared" ref="F123:F144" si="690">I4&amp;" (og)"</f>
        <v>I. Franjić (og)</v>
      </c>
      <c r="G123" s="77" t="str">
        <f t="shared" ref="G123:G144" si="691">I4&amp;" (og)"</f>
        <v>I. Franjić (og)</v>
      </c>
      <c r="H123" s="77" t="str">
        <f t="shared" ref="H123:H144" si="692">I4&amp;" (og)"</f>
        <v>I. Franjić (og)</v>
      </c>
      <c r="I123" s="77" t="str">
        <f t="shared" ref="I123:I144" si="693">H4&amp;" (og)"</f>
        <v>E. Mena (og)</v>
      </c>
      <c r="J123" s="77" t="str">
        <f t="shared" ref="J123:J144" si="694">M4&amp;" (og)"</f>
        <v>A. Uchida (og)</v>
      </c>
      <c r="K123" s="77" t="str">
        <f t="shared" ref="K123:K144" si="695">M4&amp;" (og)"</f>
        <v>A. Uchida (og)</v>
      </c>
      <c r="L123" s="77" t="str">
        <f t="shared" ref="L123:L144" si="696">M4&amp;" (og)"</f>
        <v>A. Uchida (og)</v>
      </c>
      <c r="M123" s="77" t="str">
        <f t="shared" ref="M123:M144" si="697">L4&amp;" (og)"</f>
        <v>O. Viera (og)</v>
      </c>
      <c r="N123" s="77" t="str">
        <f t="shared" ref="N123:N144" si="698">Q4&amp;" (og)"</f>
        <v>M. De Sciglio (og)</v>
      </c>
      <c r="O123" s="77" t="str">
        <f t="shared" ref="O123:O144" si="699">Q4&amp;" (og)"</f>
        <v>M. De Sciglio (og)</v>
      </c>
      <c r="P123" s="77" t="str">
        <f t="shared" ref="P123:P144" si="700">Q4&amp;" (og)"</f>
        <v>M. De Sciglio (og)</v>
      </c>
      <c r="Q123" s="77" t="str">
        <f t="shared" ref="Q123:Q144" si="701">P4&amp;" (og)"</f>
        <v>G. Johnson (og)</v>
      </c>
      <c r="R123" s="77" t="str">
        <f t="shared" ref="R123:R144" si="702">U4&amp;" (og)"</f>
        <v>O. Chávez (og)</v>
      </c>
      <c r="S123" s="77" t="str">
        <f t="shared" ref="S123:S144" si="703">U4&amp;" (og)"</f>
        <v>O. Chávez (og)</v>
      </c>
      <c r="T123" s="77" t="str">
        <f t="shared" ref="T123:T144" si="704">U4&amp;" (og)"</f>
        <v>O. Chávez (og)</v>
      </c>
      <c r="U123" s="77" t="str">
        <f t="shared" ref="U123:U144" si="705">T4&amp;" (og)"</f>
        <v>M. Debuchy (og)</v>
      </c>
      <c r="V123" s="77" t="str">
        <f t="shared" ref="V123:V144" si="706">Y4&amp;" (og)"</f>
        <v>J. Yobo (og)</v>
      </c>
      <c r="W123" s="77" t="str">
        <f t="shared" ref="W123:W144" si="707">Y4&amp;" (og)"</f>
        <v>J. Yobo (og)</v>
      </c>
      <c r="X123" s="77" t="str">
        <f t="shared" ref="X123:X144" si="708">Y4&amp;" (og)"</f>
        <v>J. Yobo (og)</v>
      </c>
      <c r="Y123" s="77" t="str">
        <f t="shared" ref="Y123:Y144" si="709">X4&amp;" (og)"</f>
        <v>K. Heydari (og)</v>
      </c>
      <c r="Z123" s="77" t="str">
        <f t="shared" ref="Z123:Z144" si="710">AC4&amp;" (og)"</f>
        <v>D. Yedlin (og)</v>
      </c>
      <c r="AA123" s="77" t="str">
        <f t="shared" ref="AA123:AA144" si="711">AC4&amp;" (og)"</f>
        <v>D. Yedlin (og)</v>
      </c>
      <c r="AB123" s="77" t="str">
        <f t="shared" ref="AB123:AB144" si="712">AC4&amp;" (og)"</f>
        <v>D. Yedlin (og)</v>
      </c>
      <c r="AC123" s="77" t="str">
        <f t="shared" ref="AC123:AC144" si="713">AB4&amp;" (og)"</f>
        <v>S. Inkoom (og)</v>
      </c>
      <c r="AD123" s="77" t="str">
        <f t="shared" ref="AD123:AD144" si="714">AG4&amp;" (og)"</f>
        <v>K. Chang-soo (og)</v>
      </c>
      <c r="AE123" s="77" t="str">
        <f t="shared" ref="AE123:AE144" si="715">AG4&amp;" (og)"</f>
        <v>K. Chang-soo (og)</v>
      </c>
      <c r="AF123" s="77" t="str">
        <f t="shared" ref="AF123:AF144" si="716">AG4&amp;" (og)"</f>
        <v>K. Chang-soo (og)</v>
      </c>
      <c r="AG123" s="77" t="str">
        <f t="shared" ref="AG123:AG144" si="717">AF4&amp;" (og)"</f>
        <v>A. Kozlov (og)</v>
      </c>
      <c r="BT123" s="77" t="str">
        <f t="shared" ca="1" si="507"/>
        <v>Netherlands</v>
      </c>
      <c r="BU123" s="77">
        <f t="shared" si="461"/>
        <v>121</v>
      </c>
      <c r="BV123" s="77" t="str">
        <f t="shared" si="641"/>
        <v>A8</v>
      </c>
      <c r="BW123" s="77">
        <f t="shared" si="631"/>
        <v>6</v>
      </c>
      <c r="BX123" s="77" t="str">
        <f t="shared" ca="1" si="642"/>
        <v>J. de Guzmán</v>
      </c>
      <c r="BY123" s="77">
        <f ca="1">COUNTIF('Group Stages'!$L$14:$S$110,BX123)+COUNTIF('Knock Out Stages'!$N$41:$U$84,BX123)</f>
        <v>0</v>
      </c>
      <c r="BZ123" s="77" t="str">
        <f t="shared" si="632"/>
        <v>'Player Database'!A8</v>
      </c>
      <c r="CA123" s="77" t="str">
        <f t="shared" ca="1" si="633"/>
        <v>Jonathan de Guzmán</v>
      </c>
      <c r="CB123" s="77">
        <v>120</v>
      </c>
      <c r="CC123" s="77" t="str">
        <f t="array" aca="1" ref="CC123" ca="1">IFERROR(INDEX($BX$3:$BX$738, SMALL(IF(COUNTIF(CC$3, $BY$3:$BY$738), ROW($BX$3:$BX$738)-MIN(ROW($BX$3:$BX$738))+1), $CB123), 0),"")</f>
        <v/>
      </c>
      <c r="CS123" s="77">
        <f t="shared" si="504"/>
        <v>120</v>
      </c>
      <c r="CT123" s="77">
        <f t="shared" si="616"/>
        <v>3</v>
      </c>
      <c r="CU123" s="77" t="str">
        <f t="shared" si="505"/>
        <v>CR39</v>
      </c>
      <c r="CV123" s="77" t="str">
        <f t="shared" ca="1" si="506"/>
        <v/>
      </c>
      <c r="CW123" s="77">
        <f t="shared" ca="1" si="462"/>
        <v>0</v>
      </c>
      <c r="CZ123" s="77">
        <v>120</v>
      </c>
      <c r="DA123" s="77" t="str">
        <f t="shared" ca="1" si="463"/>
        <v/>
      </c>
      <c r="DB123" s="77" t="str">
        <f t="shared" ca="1" si="464"/>
        <v/>
      </c>
      <c r="DC123" s="77" t="str">
        <f t="shared" ca="1" si="470"/>
        <v/>
      </c>
      <c r="DD123" s="77" t="str">
        <f t="shared" ca="1" si="465"/>
        <v/>
      </c>
    </row>
    <row r="124" spans="1:108">
      <c r="A124" s="77">
        <f t="shared" si="685"/>
        <v>3</v>
      </c>
      <c r="B124" s="77" t="str">
        <f t="shared" si="686"/>
        <v>N. N'Koulou (og)</v>
      </c>
      <c r="C124" s="77" t="str">
        <f t="shared" si="687"/>
        <v>N. N'Koulou (og)</v>
      </c>
      <c r="D124" s="77" t="str">
        <f t="shared" si="688"/>
        <v>N. N'Koulou (og)</v>
      </c>
      <c r="E124" s="77" t="str">
        <f t="shared" si="689"/>
        <v>C. Salcido (og)</v>
      </c>
      <c r="F124" s="77" t="str">
        <f t="shared" si="690"/>
        <v>J. Davidson (og)</v>
      </c>
      <c r="G124" s="77" t="str">
        <f t="shared" si="691"/>
        <v>J. Davidson (og)</v>
      </c>
      <c r="H124" s="77" t="str">
        <f t="shared" si="692"/>
        <v>J. Davidson (og)</v>
      </c>
      <c r="I124" s="77" t="str">
        <f t="shared" si="693"/>
        <v>M. Albornoz (og)</v>
      </c>
      <c r="J124" s="77" t="str">
        <f t="shared" si="694"/>
        <v>G. Sakai (og)</v>
      </c>
      <c r="K124" s="77" t="str">
        <f t="shared" si="695"/>
        <v>G. Sakai (og)</v>
      </c>
      <c r="L124" s="77" t="str">
        <f t="shared" si="696"/>
        <v>G. Sakai (og)</v>
      </c>
      <c r="M124" s="77" t="str">
        <f t="shared" si="697"/>
        <v>A. Boka (og)</v>
      </c>
      <c r="N124" s="77" t="str">
        <f t="shared" si="698"/>
        <v>G. Chiellini (og)</v>
      </c>
      <c r="O124" s="77" t="str">
        <f t="shared" si="699"/>
        <v>G. Chiellini (og)</v>
      </c>
      <c r="P124" s="77" t="str">
        <f t="shared" si="700"/>
        <v>G. Chiellini (og)</v>
      </c>
      <c r="Q124" s="77" t="str">
        <f t="shared" si="701"/>
        <v>L. Baines (og)</v>
      </c>
      <c r="R124" s="77" t="str">
        <f t="shared" si="702"/>
        <v>M. Figueroa (og)</v>
      </c>
      <c r="S124" s="77" t="str">
        <f t="shared" si="703"/>
        <v>M. Figueroa (og)</v>
      </c>
      <c r="T124" s="77" t="str">
        <f t="shared" si="704"/>
        <v>M. Figueroa (og)</v>
      </c>
      <c r="U124" s="77" t="str">
        <f t="shared" si="705"/>
        <v>P. Evra (og)</v>
      </c>
      <c r="V124" s="77" t="str">
        <f t="shared" si="706"/>
        <v>E. Uzoenyi (og)</v>
      </c>
      <c r="W124" s="77" t="str">
        <f t="shared" si="707"/>
        <v>E. Uzoenyi (og)</v>
      </c>
      <c r="X124" s="77" t="str">
        <f t="shared" si="708"/>
        <v>E. Uzoenyi (og)</v>
      </c>
      <c r="Y124" s="77" t="str">
        <f t="shared" si="709"/>
        <v>E. Hajsafi (og)</v>
      </c>
      <c r="Z124" s="77" t="str">
        <f t="shared" si="710"/>
        <v>O. Gonzalez (og)</v>
      </c>
      <c r="AA124" s="77" t="str">
        <f t="shared" si="711"/>
        <v>O. Gonzalez (og)</v>
      </c>
      <c r="AB124" s="77" t="str">
        <f t="shared" si="712"/>
        <v>O. Gonzalez (og)</v>
      </c>
      <c r="AC124" s="77" t="str">
        <f t="shared" si="713"/>
        <v>A. Gyan  (og)</v>
      </c>
      <c r="AD124" s="77" t="str">
        <f t="shared" si="714"/>
        <v>Y. Suk-young (og)</v>
      </c>
      <c r="AE124" s="77" t="str">
        <f t="shared" si="715"/>
        <v>Y. Suk-young (og)</v>
      </c>
      <c r="AF124" s="77" t="str">
        <f t="shared" si="716"/>
        <v>Y. Suk-young (og)</v>
      </c>
      <c r="AG124" s="77" t="str">
        <f t="shared" si="717"/>
        <v>G. Shchennikov (og)</v>
      </c>
      <c r="BT124" s="77" t="str">
        <f t="shared" ca="1" si="507"/>
        <v>Netherlands</v>
      </c>
      <c r="BU124" s="77">
        <f t="shared" si="461"/>
        <v>122</v>
      </c>
      <c r="BV124" s="77" t="str">
        <f t="shared" si="641"/>
        <v>A9</v>
      </c>
      <c r="BW124" s="77">
        <f t="shared" si="631"/>
        <v>6</v>
      </c>
      <c r="BX124" s="77" t="str">
        <f t="shared" ca="1" si="642"/>
        <v>D. Janmaat</v>
      </c>
      <c r="BY124" s="77">
        <f ca="1">COUNTIF('Group Stages'!$L$14:$S$110,BX124)+COUNTIF('Knock Out Stages'!$N$41:$U$84,BX124)</f>
        <v>0</v>
      </c>
      <c r="BZ124" s="77" t="str">
        <f t="shared" si="632"/>
        <v>'Player Database'!A9</v>
      </c>
      <c r="CA124" s="77" t="str">
        <f t="shared" ca="1" si="633"/>
        <v>Daryl Janmaat</v>
      </c>
      <c r="CB124" s="77">
        <v>121</v>
      </c>
      <c r="CC124" s="77" t="str">
        <f t="array" aca="1" ref="CC124" ca="1">IFERROR(INDEX($BX$3:$BX$738, SMALL(IF(COUNTIF(CC$3, $BY$3:$BY$738), ROW($BX$3:$BX$738)-MIN(ROW($BX$3:$BX$738))+1), $CB124), 0),"")</f>
        <v/>
      </c>
      <c r="CS124" s="77">
        <f t="shared" si="504"/>
        <v>121</v>
      </c>
      <c r="CT124" s="77">
        <f t="shared" si="616"/>
        <v>3</v>
      </c>
      <c r="CU124" s="77" t="str">
        <f t="shared" si="505"/>
        <v>CR40</v>
      </c>
      <c r="CV124" s="77" t="str">
        <f t="shared" ca="1" si="506"/>
        <v/>
      </c>
      <c r="CW124" s="77">
        <f t="shared" ca="1" si="462"/>
        <v>0</v>
      </c>
      <c r="CZ124" s="77">
        <v>121</v>
      </c>
      <c r="DA124" s="77" t="str">
        <f t="shared" ca="1" si="463"/>
        <v/>
      </c>
      <c r="DB124" s="77" t="str">
        <f t="shared" ca="1" si="464"/>
        <v/>
      </c>
      <c r="DC124" s="77" t="str">
        <f t="shared" ca="1" si="470"/>
        <v/>
      </c>
      <c r="DD124" s="77" t="str">
        <f t="shared" ca="1" si="465"/>
        <v/>
      </c>
    </row>
    <row r="125" spans="1:108">
      <c r="A125" s="77">
        <f t="shared" si="685"/>
        <v>4</v>
      </c>
      <c r="B125" s="77" t="str">
        <f t="shared" si="686"/>
        <v>C. Djeugoué (og)</v>
      </c>
      <c r="C125" s="77" t="str">
        <f t="shared" si="687"/>
        <v>C. Djeugoué (og)</v>
      </c>
      <c r="D125" s="77" t="str">
        <f t="shared" si="688"/>
        <v>C. Djeugoué (og)</v>
      </c>
      <c r="E125" s="77" t="str">
        <f t="shared" si="689"/>
        <v>R. Márquez  (og)</v>
      </c>
      <c r="F125" s="77" t="str">
        <f t="shared" si="690"/>
        <v>T. Cahill (og)</v>
      </c>
      <c r="G125" s="77" t="str">
        <f t="shared" si="691"/>
        <v>T. Cahill (og)</v>
      </c>
      <c r="H125" s="77" t="str">
        <f t="shared" si="692"/>
        <v>T. Cahill (og)</v>
      </c>
      <c r="I125" s="77" t="str">
        <f t="shared" si="693"/>
        <v>M. Isla (og)</v>
      </c>
      <c r="J125" s="77" t="str">
        <f t="shared" si="694"/>
        <v>K. Honda (og)</v>
      </c>
      <c r="K125" s="77" t="str">
        <f t="shared" si="695"/>
        <v>K. Honda (og)</v>
      </c>
      <c r="L125" s="77" t="str">
        <f t="shared" si="696"/>
        <v>K. Honda (og)</v>
      </c>
      <c r="M125" s="77" t="str">
        <f t="shared" si="697"/>
        <v>K. Touré (og)</v>
      </c>
      <c r="N125" s="77" t="str">
        <f t="shared" si="698"/>
        <v>M. Darmian (og)</v>
      </c>
      <c r="O125" s="77" t="str">
        <f t="shared" si="699"/>
        <v>M. Darmian (og)</v>
      </c>
      <c r="P125" s="77" t="str">
        <f t="shared" si="700"/>
        <v>M. Darmian (og)</v>
      </c>
      <c r="Q125" s="77" t="str">
        <f t="shared" si="701"/>
        <v>S. Gerrard  (og)</v>
      </c>
      <c r="R125" s="77" t="str">
        <f t="shared" si="702"/>
        <v>J. Pablo Montes (og)</v>
      </c>
      <c r="S125" s="77" t="str">
        <f t="shared" si="703"/>
        <v>J. Pablo Montes (og)</v>
      </c>
      <c r="T125" s="77" t="str">
        <f t="shared" si="704"/>
        <v>J. Pablo Montes (og)</v>
      </c>
      <c r="U125" s="77" t="str">
        <f t="shared" si="705"/>
        <v>R. Varane (og)</v>
      </c>
      <c r="V125" s="77" t="str">
        <f t="shared" si="706"/>
        <v>R. Gabriel (og)</v>
      </c>
      <c r="W125" s="77" t="str">
        <f t="shared" si="707"/>
        <v>R. Gabriel (og)</v>
      </c>
      <c r="X125" s="77" t="str">
        <f t="shared" si="708"/>
        <v>R. Gabriel (og)</v>
      </c>
      <c r="Y125" s="77" t="str">
        <f t="shared" si="709"/>
        <v>J. Hosseini (og)</v>
      </c>
      <c r="Z125" s="77" t="str">
        <f t="shared" si="710"/>
        <v>M. Bradley (og)</v>
      </c>
      <c r="AA125" s="77" t="str">
        <f t="shared" si="711"/>
        <v>M. Bradley (og)</v>
      </c>
      <c r="AB125" s="77" t="str">
        <f t="shared" si="712"/>
        <v>M. Bradley (og)</v>
      </c>
      <c r="AC125" s="77" t="str">
        <f t="shared" si="713"/>
        <v>D. Opare (og)</v>
      </c>
      <c r="AD125" s="77" t="str">
        <f t="shared" si="714"/>
        <v>K. Tae-hwi (og)</v>
      </c>
      <c r="AE125" s="77" t="str">
        <f t="shared" si="715"/>
        <v>K. Tae-hwi (og)</v>
      </c>
      <c r="AF125" s="77" t="str">
        <f t="shared" si="716"/>
        <v>K. Tae-hwi (og)</v>
      </c>
      <c r="AG125" s="77" t="str">
        <f t="shared" si="717"/>
        <v>S. Ignashevich (og)</v>
      </c>
      <c r="BT125" s="77" t="str">
        <f t="shared" ca="1" si="507"/>
        <v>Netherlands</v>
      </c>
      <c r="BU125" s="77">
        <f t="shared" si="461"/>
        <v>123</v>
      </c>
      <c r="BV125" s="77" t="str">
        <f t="shared" si="641"/>
        <v>A10</v>
      </c>
      <c r="BW125" s="77">
        <f t="shared" si="631"/>
        <v>6</v>
      </c>
      <c r="BX125" s="77" t="str">
        <f t="shared" ca="1" si="642"/>
        <v>N. de Jong</v>
      </c>
      <c r="BY125" s="77">
        <f ca="1">COUNTIF('Group Stages'!$L$14:$S$110,BX125)+COUNTIF('Knock Out Stages'!$N$41:$U$84,BX125)</f>
        <v>0</v>
      </c>
      <c r="BZ125" s="77" t="str">
        <f t="shared" si="632"/>
        <v>'Player Database'!A10</v>
      </c>
      <c r="CA125" s="77" t="str">
        <f t="shared" ca="1" si="633"/>
        <v>Nigel de Jong</v>
      </c>
      <c r="CB125" s="77">
        <v>122</v>
      </c>
      <c r="CC125" s="77" t="str">
        <f t="array" aca="1" ref="CC125" ca="1">IFERROR(INDEX($BX$3:$BX$738, SMALL(IF(COUNTIF(CC$3, $BY$3:$BY$738), ROW($BX$3:$BX$738)-MIN(ROW($BX$3:$BX$738))+1), $CB125), 0),"")</f>
        <v/>
      </c>
      <c r="CS125" s="77">
        <f t="shared" si="504"/>
        <v>122</v>
      </c>
      <c r="CT125" s="77">
        <f t="shared" si="616"/>
        <v>3</v>
      </c>
      <c r="CU125" s="77" t="str">
        <f t="shared" si="505"/>
        <v>CR41</v>
      </c>
      <c r="CV125" s="77" t="str">
        <f t="shared" ca="1" si="506"/>
        <v/>
      </c>
      <c r="CW125" s="77">
        <f t="shared" ca="1" si="462"/>
        <v>0</v>
      </c>
      <c r="CZ125" s="77">
        <v>122</v>
      </c>
      <c r="DA125" s="77" t="str">
        <f t="shared" ca="1" si="463"/>
        <v/>
      </c>
      <c r="DB125" s="77" t="str">
        <f t="shared" ca="1" si="464"/>
        <v/>
      </c>
      <c r="DC125" s="77" t="str">
        <f t="shared" ca="1" si="470"/>
        <v/>
      </c>
      <c r="DD125" s="77" t="str">
        <f t="shared" ca="1" si="465"/>
        <v/>
      </c>
    </row>
    <row r="126" spans="1:108">
      <c r="A126" s="77">
        <f t="shared" si="685"/>
        <v>5</v>
      </c>
      <c r="B126" s="77" t="str">
        <f t="shared" si="686"/>
        <v>D. Nounkeu (og)</v>
      </c>
      <c r="C126" s="77" t="str">
        <f t="shared" si="687"/>
        <v>D. Nounkeu (og)</v>
      </c>
      <c r="D126" s="77" t="str">
        <f t="shared" si="688"/>
        <v>D. Nounkeu (og)</v>
      </c>
      <c r="E126" s="77" t="str">
        <f t="shared" si="689"/>
        <v>D. Reyes (og)</v>
      </c>
      <c r="F126" s="77" t="str">
        <f t="shared" si="690"/>
        <v>M. Milligan (og)</v>
      </c>
      <c r="G126" s="77" t="str">
        <f t="shared" si="691"/>
        <v>M. Milligan (og)</v>
      </c>
      <c r="H126" s="77" t="str">
        <f t="shared" si="692"/>
        <v>M. Milligan (og)</v>
      </c>
      <c r="I126" s="77" t="str">
        <f t="shared" si="693"/>
        <v>F. Silva (og)</v>
      </c>
      <c r="J126" s="77" t="str">
        <f t="shared" si="694"/>
        <v>Y. Nagatomo (og)</v>
      </c>
      <c r="K126" s="77" t="str">
        <f t="shared" si="695"/>
        <v>Y. Nagatomo (og)</v>
      </c>
      <c r="L126" s="77" t="str">
        <f t="shared" si="696"/>
        <v>Y. Nagatomo (og)</v>
      </c>
      <c r="M126" s="77" t="str">
        <f t="shared" si="697"/>
        <v>D. Zokora (og)</v>
      </c>
      <c r="N126" s="77" t="str">
        <f t="shared" si="698"/>
        <v>T. Motta (og)</v>
      </c>
      <c r="O126" s="77" t="str">
        <f t="shared" si="699"/>
        <v>T. Motta (og)</v>
      </c>
      <c r="P126" s="77" t="str">
        <f t="shared" si="700"/>
        <v>T. Motta (og)</v>
      </c>
      <c r="Q126" s="77" t="str">
        <f t="shared" si="701"/>
        <v>G. Cahill (og)</v>
      </c>
      <c r="R126" s="77" t="str">
        <f t="shared" si="702"/>
        <v>V. Bernárdez (og)</v>
      </c>
      <c r="S126" s="77" t="str">
        <f t="shared" si="703"/>
        <v>V. Bernárdez (og)</v>
      </c>
      <c r="T126" s="77" t="str">
        <f t="shared" si="704"/>
        <v>V. Bernárdez (og)</v>
      </c>
      <c r="U126" s="77" t="str">
        <f t="shared" si="705"/>
        <v>M. Sakho (og)</v>
      </c>
      <c r="V126" s="77" t="str">
        <f t="shared" si="706"/>
        <v>E. Ambrose (og)</v>
      </c>
      <c r="W126" s="77" t="str">
        <f t="shared" si="707"/>
        <v>E. Ambrose (og)</v>
      </c>
      <c r="X126" s="77" t="str">
        <f t="shared" si="708"/>
        <v>E. Ambrose (og)</v>
      </c>
      <c r="Y126" s="77" t="str">
        <f t="shared" si="709"/>
        <v>A. Hossein Sadeghi (og)</v>
      </c>
      <c r="Z126" s="77" t="str">
        <f t="shared" si="710"/>
        <v>M. Besler (og)</v>
      </c>
      <c r="AA126" s="77" t="str">
        <f t="shared" si="711"/>
        <v>M. Besler (og)</v>
      </c>
      <c r="AB126" s="77" t="str">
        <f t="shared" si="712"/>
        <v>M. Besler (og)</v>
      </c>
      <c r="AC126" s="77" t="str">
        <f t="shared" si="713"/>
        <v>M. Essien (og)</v>
      </c>
      <c r="AD126" s="77" t="str">
        <f t="shared" si="714"/>
        <v>K. Young-gwon (og)</v>
      </c>
      <c r="AE126" s="77" t="str">
        <f t="shared" si="715"/>
        <v>K. Young-gwon (og)</v>
      </c>
      <c r="AF126" s="77" t="str">
        <f t="shared" si="716"/>
        <v>K. Young-gwon (og)</v>
      </c>
      <c r="AG126" s="77" t="str">
        <f t="shared" si="717"/>
        <v>A. Semyonov (og)</v>
      </c>
      <c r="BT126" s="77" t="str">
        <f t="shared" ca="1" si="507"/>
        <v>Netherlands</v>
      </c>
      <c r="BU126" s="77">
        <f t="shared" si="461"/>
        <v>124</v>
      </c>
      <c r="BV126" s="77" t="str">
        <f t="shared" si="641"/>
        <v>A11</v>
      </c>
      <c r="BW126" s="77">
        <f t="shared" si="631"/>
        <v>6</v>
      </c>
      <c r="BX126" s="77" t="str">
        <f t="shared" ca="1" si="642"/>
        <v xml:space="preserve">R. van Persie </v>
      </c>
      <c r="BY126" s="77">
        <f ca="1">COUNTIF('Group Stages'!$L$14:$S$110,BX126)+COUNTIF('Knock Out Stages'!$N$41:$U$84,BX126)</f>
        <v>0</v>
      </c>
      <c r="BZ126" s="77" t="str">
        <f t="shared" si="632"/>
        <v>'Player Database'!A11</v>
      </c>
      <c r="CA126" s="77" t="str">
        <f t="shared" ca="1" si="633"/>
        <v xml:space="preserve">Robin van Persie </v>
      </c>
      <c r="CB126" s="77">
        <v>123</v>
      </c>
      <c r="CC126" s="77" t="str">
        <f t="array" aca="1" ref="CC126" ca="1">IFERROR(INDEX($BX$3:$BX$738, SMALL(IF(COUNTIF(CC$3, $BY$3:$BY$738), ROW($BX$3:$BX$738)-MIN(ROW($BX$3:$BX$738))+1), $CB126), 0),"")</f>
        <v/>
      </c>
      <c r="CS126" s="77">
        <f t="shared" si="504"/>
        <v>123</v>
      </c>
      <c r="CT126" s="77">
        <f t="shared" si="616"/>
        <v>3</v>
      </c>
      <c r="CU126" s="77" t="str">
        <f t="shared" si="505"/>
        <v>CR42</v>
      </c>
      <c r="CV126" s="77" t="str">
        <f t="shared" ca="1" si="506"/>
        <v/>
      </c>
      <c r="CW126" s="77">
        <f t="shared" ca="1" si="462"/>
        <v>0</v>
      </c>
      <c r="CZ126" s="77">
        <v>123</v>
      </c>
      <c r="DA126" s="77" t="str">
        <f t="shared" ca="1" si="463"/>
        <v/>
      </c>
      <c r="DB126" s="77" t="str">
        <f t="shared" ca="1" si="464"/>
        <v/>
      </c>
      <c r="DC126" s="77" t="str">
        <f t="shared" ca="1" si="470"/>
        <v/>
      </c>
      <c r="DD126" s="77" t="str">
        <f t="shared" ca="1" si="465"/>
        <v/>
      </c>
    </row>
    <row r="127" spans="1:108">
      <c r="A127" s="77">
        <f t="shared" si="685"/>
        <v>6</v>
      </c>
      <c r="B127" s="77" t="str">
        <f t="shared" si="686"/>
        <v>A. Song (og)</v>
      </c>
      <c r="C127" s="77" t="str">
        <f t="shared" si="687"/>
        <v>A. Song (og)</v>
      </c>
      <c r="D127" s="77" t="str">
        <f t="shared" si="688"/>
        <v>A. Song (og)</v>
      </c>
      <c r="E127" s="77" t="str">
        <f t="shared" si="689"/>
        <v>H. Herrera (og)</v>
      </c>
      <c r="F127" s="77" t="str">
        <f t="shared" si="690"/>
        <v>M. Špiranović (og)</v>
      </c>
      <c r="G127" s="77" t="str">
        <f t="shared" si="691"/>
        <v>M. Špiranović (og)</v>
      </c>
      <c r="H127" s="77" t="str">
        <f t="shared" si="692"/>
        <v>M. Špiranović (og)</v>
      </c>
      <c r="I127" s="77" t="str">
        <f t="shared" si="693"/>
        <v>C. Carmona (og)</v>
      </c>
      <c r="J127" s="77" t="str">
        <f t="shared" si="694"/>
        <v>M. Morishige (og)</v>
      </c>
      <c r="K127" s="77" t="str">
        <f t="shared" si="695"/>
        <v>M. Morishige (og)</v>
      </c>
      <c r="L127" s="77" t="str">
        <f t="shared" si="696"/>
        <v>M. Morishige (og)</v>
      </c>
      <c r="M127" s="77" t="str">
        <f t="shared" si="697"/>
        <v>M. Bolly (og)</v>
      </c>
      <c r="N127" s="77" t="str">
        <f t="shared" si="698"/>
        <v>A. Candreva (og)</v>
      </c>
      <c r="O127" s="77" t="str">
        <f t="shared" si="699"/>
        <v>A. Candreva (og)</v>
      </c>
      <c r="P127" s="77" t="str">
        <f t="shared" si="700"/>
        <v>A. Candreva (og)</v>
      </c>
      <c r="Q127" s="77" t="str">
        <f t="shared" si="701"/>
        <v>P. Jagielka (og)</v>
      </c>
      <c r="R127" s="77" t="str">
        <f t="shared" si="702"/>
        <v>J. Carlos García (og)</v>
      </c>
      <c r="S127" s="77" t="str">
        <f t="shared" si="703"/>
        <v>J. Carlos García (og)</v>
      </c>
      <c r="T127" s="77" t="str">
        <f t="shared" si="704"/>
        <v>J. Carlos García (og)</v>
      </c>
      <c r="U127" s="77" t="str">
        <f t="shared" si="705"/>
        <v>Y. Cabaye (og)</v>
      </c>
      <c r="V127" s="77" t="str">
        <f t="shared" si="706"/>
        <v>A. Egwuekwe (og)</v>
      </c>
      <c r="W127" s="77" t="str">
        <f t="shared" si="707"/>
        <v>A. Egwuekwe (og)</v>
      </c>
      <c r="X127" s="77" t="str">
        <f t="shared" si="708"/>
        <v>A. Egwuekwe (og)</v>
      </c>
      <c r="Y127" s="77" t="str">
        <f t="shared" si="709"/>
        <v>J. Nekounam  (og)</v>
      </c>
      <c r="Z127" s="77" t="str">
        <f t="shared" si="710"/>
        <v>J. Brooks (og)</v>
      </c>
      <c r="AA127" s="77" t="str">
        <f t="shared" si="711"/>
        <v>J. Brooks (og)</v>
      </c>
      <c r="AB127" s="77" t="str">
        <f t="shared" si="712"/>
        <v>J. Brooks (og)</v>
      </c>
      <c r="AC127" s="77" t="str">
        <f t="shared" si="713"/>
        <v>A. Acquah (og)</v>
      </c>
      <c r="AD127" s="77" t="str">
        <f t="shared" si="714"/>
        <v>H. Seok-ho (og)</v>
      </c>
      <c r="AE127" s="77" t="str">
        <f t="shared" si="715"/>
        <v>H. Seok-ho (og)</v>
      </c>
      <c r="AF127" s="77" t="str">
        <f t="shared" si="716"/>
        <v>H. Seok-ho (og)</v>
      </c>
      <c r="AG127" s="77" t="str">
        <f t="shared" si="717"/>
        <v>M. Kanunnikov (og)</v>
      </c>
      <c r="BT127" s="77" t="str">
        <f t="shared" ca="1" si="507"/>
        <v>Netherlands</v>
      </c>
      <c r="BU127" s="77">
        <f t="shared" si="461"/>
        <v>125</v>
      </c>
      <c r="BV127" s="77" t="str">
        <f t="shared" si="641"/>
        <v>A12</v>
      </c>
      <c r="BW127" s="77">
        <f t="shared" si="631"/>
        <v>6</v>
      </c>
      <c r="BX127" s="77" t="str">
        <f t="shared" ca="1" si="642"/>
        <v>W. Sneijder</v>
      </c>
      <c r="BY127" s="77">
        <f ca="1">COUNTIF('Group Stages'!$L$14:$S$110,BX127)+COUNTIF('Knock Out Stages'!$N$41:$U$84,BX127)</f>
        <v>0</v>
      </c>
      <c r="BZ127" s="77" t="str">
        <f t="shared" si="632"/>
        <v>'Player Database'!A12</v>
      </c>
      <c r="CA127" s="77" t="str">
        <f t="shared" ca="1" si="633"/>
        <v>Wesley Sneijder</v>
      </c>
      <c r="CB127" s="77">
        <v>124</v>
      </c>
      <c r="CC127" s="77" t="str">
        <f t="array" aca="1" ref="CC127" ca="1">IFERROR(INDEX($BX$3:$BX$738, SMALL(IF(COUNTIF(CC$3, $BY$3:$BY$738), ROW($BX$3:$BX$738)-MIN(ROW($BX$3:$BX$738))+1), $CB127), 0),"")</f>
        <v/>
      </c>
      <c r="CS127" s="77">
        <f t="shared" si="504"/>
        <v>124</v>
      </c>
      <c r="CT127" s="77">
        <f t="shared" si="616"/>
        <v>3</v>
      </c>
      <c r="CU127" s="77" t="str">
        <f t="shared" si="505"/>
        <v>CR43</v>
      </c>
      <c r="CV127" s="77" t="str">
        <f t="shared" ca="1" si="506"/>
        <v/>
      </c>
      <c r="CW127" s="77">
        <f t="shared" ca="1" si="462"/>
        <v>0</v>
      </c>
      <c r="CZ127" s="77">
        <v>124</v>
      </c>
      <c r="DA127" s="77" t="str">
        <f t="shared" ca="1" si="463"/>
        <v/>
      </c>
      <c r="DB127" s="77" t="str">
        <f t="shared" ca="1" si="464"/>
        <v/>
      </c>
      <c r="DC127" s="77" t="str">
        <f t="shared" ca="1" si="470"/>
        <v/>
      </c>
      <c r="DD127" s="77" t="str">
        <f t="shared" ca="1" si="465"/>
        <v/>
      </c>
    </row>
    <row r="128" spans="1:108">
      <c r="A128" s="77">
        <f t="shared" si="685"/>
        <v>7</v>
      </c>
      <c r="B128" s="77" t="str">
        <f t="shared" si="686"/>
        <v>L. N'Guémo (og)</v>
      </c>
      <c r="C128" s="77" t="str">
        <f t="shared" si="687"/>
        <v>L. N'Guémo (og)</v>
      </c>
      <c r="D128" s="77" t="str">
        <f t="shared" si="688"/>
        <v>L. N'Guémo (og)</v>
      </c>
      <c r="E128" s="77" t="str">
        <f t="shared" si="689"/>
        <v>M. Layún (og)</v>
      </c>
      <c r="F128" s="77" t="str">
        <f t="shared" si="690"/>
        <v>M. Leckie (og)</v>
      </c>
      <c r="G128" s="77" t="str">
        <f t="shared" si="691"/>
        <v>M. Leckie (og)</v>
      </c>
      <c r="H128" s="77" t="str">
        <f t="shared" si="692"/>
        <v>M. Leckie (og)</v>
      </c>
      <c r="I128" s="77" t="str">
        <f t="shared" si="693"/>
        <v>A. Sánchez (og)</v>
      </c>
      <c r="J128" s="77" t="str">
        <f t="shared" si="694"/>
        <v>Y. Endō (og)</v>
      </c>
      <c r="K128" s="77" t="str">
        <f t="shared" si="695"/>
        <v>Y. Endō (og)</v>
      </c>
      <c r="L128" s="77" t="str">
        <f t="shared" si="696"/>
        <v>Y. Endō (og)</v>
      </c>
      <c r="M128" s="77" t="str">
        <f t="shared" si="697"/>
        <v>J. Akpa-Akpro (og)</v>
      </c>
      <c r="N128" s="77" t="str">
        <f t="shared" si="698"/>
        <v>I. Abate (og)</v>
      </c>
      <c r="O128" s="77" t="str">
        <f t="shared" si="699"/>
        <v>I. Abate (og)</v>
      </c>
      <c r="P128" s="77" t="str">
        <f t="shared" si="700"/>
        <v>I. Abate (og)</v>
      </c>
      <c r="Q128" s="77" t="str">
        <f t="shared" si="701"/>
        <v>J. Wilshere (og)</v>
      </c>
      <c r="R128" s="77" t="str">
        <f t="shared" si="702"/>
        <v>E. Izaguirre (og)</v>
      </c>
      <c r="S128" s="77" t="str">
        <f t="shared" si="703"/>
        <v>E. Izaguirre (og)</v>
      </c>
      <c r="T128" s="77" t="str">
        <f t="shared" si="704"/>
        <v>E. Izaguirre (og)</v>
      </c>
      <c r="U128" s="77" t="str">
        <f t="shared" si="705"/>
        <v>R. Cabella[38] (og)</v>
      </c>
      <c r="V128" s="77" t="str">
        <f t="shared" si="706"/>
        <v>A. Musa (og)</v>
      </c>
      <c r="W128" s="77" t="str">
        <f t="shared" si="707"/>
        <v>A. Musa (og)</v>
      </c>
      <c r="X128" s="77" t="str">
        <f t="shared" si="708"/>
        <v>A. Musa (og)</v>
      </c>
      <c r="Y128" s="77" t="str">
        <f t="shared" si="709"/>
        <v>M. Shojaei (og)</v>
      </c>
      <c r="Z128" s="77" t="str">
        <f t="shared" si="710"/>
        <v>D. Beasley (og)</v>
      </c>
      <c r="AA128" s="77" t="str">
        <f t="shared" si="711"/>
        <v>D. Beasley (og)</v>
      </c>
      <c r="AB128" s="77" t="str">
        <f t="shared" si="712"/>
        <v>D. Beasley (og)</v>
      </c>
      <c r="AC128" s="77" t="str">
        <f t="shared" si="713"/>
        <v>C. Atsu (og)</v>
      </c>
      <c r="AD128" s="77" t="str">
        <f t="shared" si="714"/>
        <v>K. Bo-kyung (og)</v>
      </c>
      <c r="AE128" s="77" t="str">
        <f t="shared" si="715"/>
        <v>K. Bo-kyung (og)</v>
      </c>
      <c r="AF128" s="77" t="str">
        <f t="shared" si="716"/>
        <v>K. Bo-kyung (og)</v>
      </c>
      <c r="AG128" s="77" t="str">
        <f t="shared" si="717"/>
        <v>I. Denisov (og)</v>
      </c>
      <c r="BT128" s="77" t="str">
        <f t="shared" ca="1" si="507"/>
        <v>Netherlands</v>
      </c>
      <c r="BU128" s="77">
        <f t="shared" si="461"/>
        <v>126</v>
      </c>
      <c r="BV128" s="77" t="str">
        <f t="shared" si="641"/>
        <v>A13</v>
      </c>
      <c r="BW128" s="77">
        <f t="shared" si="631"/>
        <v>6</v>
      </c>
      <c r="BX128" s="77" t="str">
        <f t="shared" ca="1" si="642"/>
        <v>A. Robben</v>
      </c>
      <c r="BY128" s="77">
        <f ca="1">COUNTIF('Group Stages'!$L$14:$S$110,BX128)+COUNTIF('Knock Out Stages'!$N$41:$U$84,BX128)</f>
        <v>0</v>
      </c>
      <c r="BZ128" s="77" t="str">
        <f t="shared" si="632"/>
        <v>'Player Database'!A13</v>
      </c>
      <c r="CA128" s="77" t="str">
        <f t="shared" ca="1" si="633"/>
        <v>Arjen Robben</v>
      </c>
      <c r="CB128" s="77">
        <v>125</v>
      </c>
      <c r="CC128" s="77" t="str">
        <f t="array" aca="1" ref="CC128" ca="1">IFERROR(INDEX($BX$3:$BX$738, SMALL(IF(COUNTIF(CC$3, $BY$3:$BY$738), ROW($BX$3:$BX$738)-MIN(ROW($BX$3:$BX$738))+1), $CB128), 0),"")</f>
        <v/>
      </c>
      <c r="CS128" s="77">
        <f t="shared" si="504"/>
        <v>125</v>
      </c>
      <c r="CT128" s="77">
        <f t="shared" si="616"/>
        <v>3</v>
      </c>
      <c r="CU128" s="77" t="str">
        <f t="shared" si="505"/>
        <v>CR44</v>
      </c>
      <c r="CV128" s="77" t="str">
        <f t="shared" ca="1" si="506"/>
        <v/>
      </c>
      <c r="CW128" s="77">
        <f t="shared" ca="1" si="462"/>
        <v>0</v>
      </c>
      <c r="CZ128" s="77">
        <v>125</v>
      </c>
      <c r="DA128" s="77" t="str">
        <f t="shared" ca="1" si="463"/>
        <v/>
      </c>
      <c r="DB128" s="77" t="str">
        <f t="shared" ca="1" si="464"/>
        <v/>
      </c>
      <c r="DC128" s="77" t="str">
        <f t="shared" ca="1" si="470"/>
        <v/>
      </c>
      <c r="DD128" s="77" t="str">
        <f t="shared" ca="1" si="465"/>
        <v/>
      </c>
    </row>
    <row r="129" spans="1:108">
      <c r="A129" s="77">
        <f t="shared" si="685"/>
        <v>8</v>
      </c>
      <c r="B129" s="77" t="str">
        <f t="shared" si="686"/>
        <v>B. Moukandjo (og)</v>
      </c>
      <c r="C129" s="77" t="str">
        <f t="shared" si="687"/>
        <v>B. Moukandjo (og)</v>
      </c>
      <c r="D129" s="77" t="str">
        <f t="shared" si="688"/>
        <v>B. Moukandjo (og)</v>
      </c>
      <c r="E129" s="77" t="str">
        <f t="shared" si="689"/>
        <v>M. Fabián (og)</v>
      </c>
      <c r="F129" s="77" t="str">
        <f t="shared" si="690"/>
        <v>B. Wright (og)</v>
      </c>
      <c r="G129" s="77" t="str">
        <f t="shared" si="691"/>
        <v>B. Wright (og)</v>
      </c>
      <c r="H129" s="77" t="str">
        <f t="shared" si="692"/>
        <v>B. Wright (og)</v>
      </c>
      <c r="I129" s="77" t="str">
        <f t="shared" si="693"/>
        <v>A. Vidal (og)</v>
      </c>
      <c r="J129" s="77" t="str">
        <f t="shared" si="694"/>
        <v>H. Kiyotake (og)</v>
      </c>
      <c r="K129" s="77" t="str">
        <f t="shared" si="695"/>
        <v>H. Kiyotake (og)</v>
      </c>
      <c r="L129" s="77" t="str">
        <f t="shared" si="696"/>
        <v>H. Kiyotake (og)</v>
      </c>
      <c r="M129" s="77" t="str">
        <f t="shared" si="697"/>
        <v>S. Kalou (og)</v>
      </c>
      <c r="N129" s="77" t="str">
        <f t="shared" si="698"/>
        <v>C. Marchisio (og)</v>
      </c>
      <c r="O129" s="77" t="str">
        <f t="shared" si="699"/>
        <v>C. Marchisio (og)</v>
      </c>
      <c r="P129" s="77" t="str">
        <f t="shared" si="700"/>
        <v>C. Marchisio (og)</v>
      </c>
      <c r="Q129" s="77" t="str">
        <f t="shared" si="701"/>
        <v>F. Lampard (og)</v>
      </c>
      <c r="R129" s="77" t="str">
        <f t="shared" si="702"/>
        <v>W. Palacios (og)</v>
      </c>
      <c r="S129" s="77" t="str">
        <f t="shared" si="703"/>
        <v>W. Palacios (og)</v>
      </c>
      <c r="T129" s="77" t="str">
        <f t="shared" si="704"/>
        <v>W. Palacios (og)</v>
      </c>
      <c r="U129" s="77" t="str">
        <f t="shared" si="705"/>
        <v>M. Valbuena (og)</v>
      </c>
      <c r="V129" s="77" t="str">
        <f t="shared" si="706"/>
        <v>P. Odemwingie (og)</v>
      </c>
      <c r="W129" s="77" t="str">
        <f t="shared" si="707"/>
        <v>P. Odemwingie (og)</v>
      </c>
      <c r="X129" s="77" t="str">
        <f t="shared" si="708"/>
        <v>P. Odemwingie (og)</v>
      </c>
      <c r="Y129" s="77" t="str">
        <f t="shared" si="709"/>
        <v>R. Haghighi (og)</v>
      </c>
      <c r="Z129" s="77" t="str">
        <f t="shared" si="710"/>
        <v>C. Dempsey  (og)</v>
      </c>
      <c r="AA129" s="77" t="str">
        <f t="shared" si="711"/>
        <v>C. Dempsey  (og)</v>
      </c>
      <c r="AB129" s="77" t="str">
        <f t="shared" si="712"/>
        <v>C. Dempsey  (og)</v>
      </c>
      <c r="AC129" s="77" t="str">
        <f t="shared" si="713"/>
        <v>E. Agyemang-Badu (og)</v>
      </c>
      <c r="AD129" s="77" t="str">
        <f t="shared" si="714"/>
        <v>H. Dae-sung (og)</v>
      </c>
      <c r="AE129" s="77" t="str">
        <f t="shared" si="715"/>
        <v>H. Dae-sung (og)</v>
      </c>
      <c r="AF129" s="77" t="str">
        <f t="shared" si="716"/>
        <v>H. Dae-sung (og)</v>
      </c>
      <c r="AG129" s="77" t="str">
        <f t="shared" si="717"/>
        <v>D. Glushakov (og)</v>
      </c>
      <c r="BT129" s="77" t="str">
        <f t="shared" ca="1" si="507"/>
        <v>Netherlands</v>
      </c>
      <c r="BU129" s="77">
        <f t="shared" si="461"/>
        <v>127</v>
      </c>
      <c r="BV129" s="77" t="str">
        <f t="shared" si="641"/>
        <v>A14</v>
      </c>
      <c r="BW129" s="77">
        <f t="shared" si="631"/>
        <v>6</v>
      </c>
      <c r="BX129" s="77" t="str">
        <f t="shared" ca="1" si="642"/>
        <v>P. Verhaegh</v>
      </c>
      <c r="BY129" s="77">
        <f ca="1">COUNTIF('Group Stages'!$L$14:$S$110,BX129)+COUNTIF('Knock Out Stages'!$N$41:$U$84,BX129)</f>
        <v>0</v>
      </c>
      <c r="BZ129" s="77" t="str">
        <f t="shared" si="632"/>
        <v>'Player Database'!A14</v>
      </c>
      <c r="CA129" s="77" t="str">
        <f t="shared" ca="1" si="633"/>
        <v>Paul Verhaegh</v>
      </c>
      <c r="CS129" s="77">
        <f t="shared" si="504"/>
        <v>126</v>
      </c>
      <c r="CT129" s="77">
        <f t="shared" si="616"/>
        <v>3</v>
      </c>
      <c r="CU129" s="77" t="str">
        <f t="shared" si="505"/>
        <v>CR45</v>
      </c>
      <c r="CV129" s="77" t="str">
        <f t="shared" ca="1" si="506"/>
        <v/>
      </c>
      <c r="CW129" s="77">
        <f t="shared" ca="1" si="462"/>
        <v>0</v>
      </c>
      <c r="CZ129" s="77">
        <v>126</v>
      </c>
      <c r="DA129" s="77" t="str">
        <f t="shared" ca="1" si="463"/>
        <v/>
      </c>
      <c r="DB129" s="77" t="str">
        <f t="shared" ca="1" si="464"/>
        <v/>
      </c>
      <c r="DC129" s="77" t="str">
        <f t="shared" ca="1" si="470"/>
        <v/>
      </c>
      <c r="DD129" s="77" t="str">
        <f t="shared" ca="1" si="465"/>
        <v/>
      </c>
    </row>
    <row r="130" spans="1:108">
      <c r="A130" s="77">
        <f t="shared" si="685"/>
        <v>9</v>
      </c>
      <c r="B130" s="77" t="str">
        <f t="shared" si="686"/>
        <v>S. Eto'o  (og)</v>
      </c>
      <c r="C130" s="77" t="str">
        <f t="shared" si="687"/>
        <v>S. Eto'o  (og)</v>
      </c>
      <c r="D130" s="77" t="str">
        <f t="shared" si="688"/>
        <v>S. Eto'o  (og)</v>
      </c>
      <c r="E130" s="77" t="str">
        <f t="shared" si="689"/>
        <v>R. Jiménez (og)</v>
      </c>
      <c r="F130" s="77" t="str">
        <f t="shared" si="690"/>
        <v>A. Taggart (og)</v>
      </c>
      <c r="G130" s="77" t="str">
        <f t="shared" si="691"/>
        <v>A. Taggart (og)</v>
      </c>
      <c r="H130" s="77" t="str">
        <f t="shared" si="692"/>
        <v>A. Taggart (og)</v>
      </c>
      <c r="I130" s="77" t="str">
        <f t="shared" si="693"/>
        <v>M. Pinilla (og)</v>
      </c>
      <c r="J130" s="77" t="str">
        <f t="shared" si="694"/>
        <v>S. Okazaki (og)</v>
      </c>
      <c r="K130" s="77" t="str">
        <f t="shared" si="695"/>
        <v>S. Okazaki (og)</v>
      </c>
      <c r="L130" s="77" t="str">
        <f t="shared" si="696"/>
        <v>S. Okazaki (og)</v>
      </c>
      <c r="M130" s="77" t="str">
        <f t="shared" si="697"/>
        <v>C. Tioté (og)</v>
      </c>
      <c r="N130" s="77" t="str">
        <f t="shared" si="698"/>
        <v>M. Balotelli (og)</v>
      </c>
      <c r="O130" s="77" t="str">
        <f t="shared" si="699"/>
        <v>M. Balotelli (og)</v>
      </c>
      <c r="P130" s="77" t="str">
        <f t="shared" si="700"/>
        <v>M. Balotelli (og)</v>
      </c>
      <c r="Q130" s="77" t="str">
        <f t="shared" si="701"/>
        <v>D. Sturridge (og)</v>
      </c>
      <c r="R130" s="77" t="str">
        <f t="shared" si="702"/>
        <v>J. Palacios (og)</v>
      </c>
      <c r="S130" s="77" t="str">
        <f t="shared" si="703"/>
        <v>J. Palacios (og)</v>
      </c>
      <c r="T130" s="77" t="str">
        <f t="shared" si="704"/>
        <v>J. Palacios (og)</v>
      </c>
      <c r="U130" s="77" t="str">
        <f t="shared" si="705"/>
        <v>O. Giroud (og)</v>
      </c>
      <c r="V130" s="77" t="str">
        <f t="shared" si="706"/>
        <v>E. Emenike (og)</v>
      </c>
      <c r="W130" s="77" t="str">
        <f t="shared" si="707"/>
        <v>E. Emenike (og)</v>
      </c>
      <c r="X130" s="77" t="str">
        <f t="shared" si="708"/>
        <v>E. Emenike (og)</v>
      </c>
      <c r="Y130" s="77" t="str">
        <f t="shared" si="709"/>
        <v>A. Jahanbakhsh (og)</v>
      </c>
      <c r="Z130" s="77" t="str">
        <f t="shared" si="710"/>
        <v>A. Jóhannsson (og)</v>
      </c>
      <c r="AA130" s="77" t="str">
        <f t="shared" si="711"/>
        <v>A. Jóhannsson (og)</v>
      </c>
      <c r="AB130" s="77" t="str">
        <f t="shared" si="712"/>
        <v>A. Jóhannsson (og)</v>
      </c>
      <c r="AC130" s="77" t="str">
        <f t="shared" si="713"/>
        <v>K. Boateng (og)</v>
      </c>
      <c r="AD130" s="77" t="str">
        <f t="shared" si="714"/>
        <v>S. Heung-min (og)</v>
      </c>
      <c r="AE130" s="77" t="str">
        <f t="shared" si="715"/>
        <v>S. Heung-min (og)</v>
      </c>
      <c r="AF130" s="77" t="str">
        <f t="shared" si="716"/>
        <v>S. Heung-min (og)</v>
      </c>
      <c r="AG130" s="77" t="str">
        <f t="shared" si="717"/>
        <v>A. Kokorin (og)</v>
      </c>
      <c r="BT130" s="77" t="str">
        <f t="shared" ca="1" si="507"/>
        <v>Netherlands</v>
      </c>
      <c r="BU130" s="77">
        <f t="shared" si="461"/>
        <v>128</v>
      </c>
      <c r="BV130" s="77" t="str">
        <f t="shared" si="641"/>
        <v>A15</v>
      </c>
      <c r="BW130" s="77">
        <f t="shared" si="631"/>
        <v>6</v>
      </c>
      <c r="BX130" s="77" t="str">
        <f t="shared" ca="1" si="642"/>
        <v>J. Veltman</v>
      </c>
      <c r="BY130" s="77">
        <f ca="1">COUNTIF('Group Stages'!$L$14:$S$110,BX130)+COUNTIF('Knock Out Stages'!$N$41:$U$84,BX130)</f>
        <v>0</v>
      </c>
      <c r="BZ130" s="77" t="str">
        <f t="shared" si="632"/>
        <v>'Player Database'!A15</v>
      </c>
      <c r="CA130" s="77" t="str">
        <f t="shared" ca="1" si="633"/>
        <v>Joël Veltman</v>
      </c>
      <c r="CS130" s="77">
        <f t="shared" si="504"/>
        <v>127</v>
      </c>
      <c r="CT130" s="77">
        <f t="shared" si="616"/>
        <v>4</v>
      </c>
      <c r="CU130" s="77" t="str">
        <f t="shared" si="505"/>
        <v>CR4</v>
      </c>
      <c r="CV130" s="77" t="str">
        <f t="shared" ca="1" si="506"/>
        <v/>
      </c>
      <c r="CW130" s="77">
        <f t="shared" ca="1" si="462"/>
        <v>0</v>
      </c>
      <c r="CZ130" s="77">
        <v>127</v>
      </c>
      <c r="DA130" s="77" t="str">
        <f t="shared" ca="1" si="463"/>
        <v/>
      </c>
      <c r="DB130" s="77" t="str">
        <f t="shared" ca="1" si="464"/>
        <v/>
      </c>
      <c r="DC130" s="77" t="str">
        <f t="shared" ca="1" si="470"/>
        <v/>
      </c>
      <c r="DD130" s="77" t="str">
        <f t="shared" ca="1" si="465"/>
        <v/>
      </c>
    </row>
    <row r="131" spans="1:108">
      <c r="A131" s="77">
        <f t="shared" si="685"/>
        <v>10</v>
      </c>
      <c r="B131" s="77" t="str">
        <f t="shared" si="686"/>
        <v>V. Aboubakar (og)</v>
      </c>
      <c r="C131" s="77" t="str">
        <f t="shared" si="687"/>
        <v>V. Aboubakar (og)</v>
      </c>
      <c r="D131" s="77" t="str">
        <f t="shared" si="688"/>
        <v>V. Aboubakar (og)</v>
      </c>
      <c r="E131" s="77" t="str">
        <f t="shared" si="689"/>
        <v>G. dos Santos (og)</v>
      </c>
      <c r="F131" s="77" t="str">
        <f t="shared" si="690"/>
        <v>B. Halloran (og)</v>
      </c>
      <c r="G131" s="77" t="str">
        <f t="shared" si="691"/>
        <v>B. Halloran (og)</v>
      </c>
      <c r="H131" s="77" t="str">
        <f t="shared" si="692"/>
        <v>B. Halloran (og)</v>
      </c>
      <c r="I131" s="77" t="str">
        <f t="shared" si="693"/>
        <v>J. Valdívia (og)</v>
      </c>
      <c r="J131" s="77" t="str">
        <f t="shared" si="694"/>
        <v>S. Kagawa (og)</v>
      </c>
      <c r="K131" s="77" t="str">
        <f t="shared" si="695"/>
        <v>S. Kagawa (og)</v>
      </c>
      <c r="L131" s="77" t="str">
        <f t="shared" si="696"/>
        <v>S. Kagawa (og)</v>
      </c>
      <c r="M131" s="77" t="str">
        <f t="shared" si="697"/>
        <v>Gervinho (og)</v>
      </c>
      <c r="N131" s="77" t="str">
        <f t="shared" si="698"/>
        <v>A. Cassano (og)</v>
      </c>
      <c r="O131" s="77" t="str">
        <f t="shared" si="699"/>
        <v>A. Cassano (og)</v>
      </c>
      <c r="P131" s="77" t="str">
        <f t="shared" si="700"/>
        <v>A. Cassano (og)</v>
      </c>
      <c r="Q131" s="77" t="str">
        <f t="shared" si="701"/>
        <v>W. Rooney (og)</v>
      </c>
      <c r="R131" s="77" t="str">
        <f t="shared" si="702"/>
        <v>M. Martínez (og)</v>
      </c>
      <c r="S131" s="77" t="str">
        <f t="shared" si="703"/>
        <v>M. Martínez (og)</v>
      </c>
      <c r="T131" s="77" t="str">
        <f t="shared" si="704"/>
        <v>M. Martínez (og)</v>
      </c>
      <c r="U131" s="77" t="str">
        <f t="shared" si="705"/>
        <v>K. Benzema (og)</v>
      </c>
      <c r="V131" s="77" t="str">
        <f t="shared" si="706"/>
        <v>J. Obi Mikel (og)</v>
      </c>
      <c r="W131" s="77" t="str">
        <f t="shared" si="707"/>
        <v>J. Obi Mikel (og)</v>
      </c>
      <c r="X131" s="77" t="str">
        <f t="shared" si="708"/>
        <v>J. Obi Mikel (og)</v>
      </c>
      <c r="Y131" s="77" t="str">
        <f t="shared" si="709"/>
        <v>K. Ansarifard (og)</v>
      </c>
      <c r="Z131" s="77" t="str">
        <f t="shared" si="710"/>
        <v>M. Diskerud (og)</v>
      </c>
      <c r="AA131" s="77" t="str">
        <f t="shared" si="711"/>
        <v>M. Diskerud (og)</v>
      </c>
      <c r="AB131" s="77" t="str">
        <f t="shared" si="712"/>
        <v>M. Diskerud (og)</v>
      </c>
      <c r="AC131" s="77" t="str">
        <f t="shared" si="713"/>
        <v>A. Ayew (og)</v>
      </c>
      <c r="AD131" s="77" t="str">
        <f t="shared" si="714"/>
        <v>P. Chu-young (og)</v>
      </c>
      <c r="AE131" s="77" t="str">
        <f t="shared" si="715"/>
        <v>P. Chu-young (og)</v>
      </c>
      <c r="AF131" s="77" t="str">
        <f t="shared" si="716"/>
        <v>P. Chu-young (og)</v>
      </c>
      <c r="AG131" s="77" t="str">
        <f t="shared" si="717"/>
        <v>A. Dzagoev (og)</v>
      </c>
      <c r="BT131" s="77" t="str">
        <f t="shared" ca="1" si="507"/>
        <v>Netherlands</v>
      </c>
      <c r="BU131" s="77">
        <f t="shared" si="461"/>
        <v>129</v>
      </c>
      <c r="BV131" s="77" t="str">
        <f t="shared" si="641"/>
        <v>A16</v>
      </c>
      <c r="BW131" s="77">
        <f t="shared" si="631"/>
        <v>6</v>
      </c>
      <c r="BX131" s="77" t="str">
        <f t="shared" ca="1" si="642"/>
        <v>T. Kongolo</v>
      </c>
      <c r="BY131" s="77">
        <f ca="1">COUNTIF('Group Stages'!$L$14:$S$110,BX131)+COUNTIF('Knock Out Stages'!$N$41:$U$84,BX131)</f>
        <v>0</v>
      </c>
      <c r="BZ131" s="77" t="str">
        <f t="shared" si="632"/>
        <v>'Player Database'!A16</v>
      </c>
      <c r="CA131" s="77" t="str">
        <f t="shared" ca="1" si="633"/>
        <v>Terence Kongolo</v>
      </c>
      <c r="CS131" s="77">
        <f t="shared" si="504"/>
        <v>128</v>
      </c>
      <c r="CT131" s="77">
        <f t="shared" si="616"/>
        <v>4</v>
      </c>
      <c r="CU131" s="77" t="str">
        <f t="shared" si="505"/>
        <v>CR5</v>
      </c>
      <c r="CV131" s="77" t="str">
        <f t="shared" ca="1" si="506"/>
        <v/>
      </c>
      <c r="CW131" s="77">
        <f t="shared" ca="1" si="462"/>
        <v>0</v>
      </c>
      <c r="CZ131" s="77">
        <v>128</v>
      </c>
      <c r="DA131" s="77" t="str">
        <f t="shared" ca="1" si="463"/>
        <v/>
      </c>
      <c r="DB131" s="77" t="str">
        <f t="shared" ca="1" si="464"/>
        <v/>
      </c>
      <c r="DC131" s="77" t="str">
        <f t="shared" ca="1" si="470"/>
        <v/>
      </c>
      <c r="DD131" s="77" t="str">
        <f t="shared" ca="1" si="465"/>
        <v/>
      </c>
    </row>
    <row r="132" spans="1:108">
      <c r="A132" s="77">
        <f t="shared" si="685"/>
        <v>11</v>
      </c>
      <c r="B132" s="77" t="str">
        <f t="shared" si="686"/>
        <v>J. Makoun (og)</v>
      </c>
      <c r="C132" s="77" t="str">
        <f t="shared" si="687"/>
        <v>J. Makoun (og)</v>
      </c>
      <c r="D132" s="77" t="str">
        <f t="shared" si="688"/>
        <v>J. Makoun (og)</v>
      </c>
      <c r="E132" s="77" t="str">
        <f t="shared" si="689"/>
        <v>A. Pulido (og)</v>
      </c>
      <c r="F132" s="77" t="str">
        <f t="shared" si="690"/>
        <v>T. Oar (og)</v>
      </c>
      <c r="G132" s="77" t="str">
        <f t="shared" si="691"/>
        <v>T. Oar (og)</v>
      </c>
      <c r="H132" s="77" t="str">
        <f t="shared" si="692"/>
        <v>T. Oar (og)</v>
      </c>
      <c r="I132" s="77" t="str">
        <f t="shared" si="693"/>
        <v>E. Vargas (og)</v>
      </c>
      <c r="J132" s="77" t="str">
        <f t="shared" si="694"/>
        <v>Y. Kakitani (og)</v>
      </c>
      <c r="K132" s="77" t="str">
        <f t="shared" si="695"/>
        <v>Y. Kakitani (og)</v>
      </c>
      <c r="L132" s="77" t="str">
        <f t="shared" si="696"/>
        <v>Y. Kakitani (og)</v>
      </c>
      <c r="M132" s="77" t="str">
        <f t="shared" si="697"/>
        <v>D. Drogba  (og)</v>
      </c>
      <c r="N132" s="77" t="str">
        <f t="shared" si="698"/>
        <v>A. Cerci (og)</v>
      </c>
      <c r="O132" s="77" t="str">
        <f t="shared" si="699"/>
        <v>A. Cerci (og)</v>
      </c>
      <c r="P132" s="77" t="str">
        <f t="shared" si="700"/>
        <v>A. Cerci (og)</v>
      </c>
      <c r="Q132" s="77" t="str">
        <f t="shared" si="701"/>
        <v>D. Welbeck (og)</v>
      </c>
      <c r="R132" s="77" t="str">
        <f t="shared" si="702"/>
        <v>J. Bengtson (og)</v>
      </c>
      <c r="S132" s="77" t="str">
        <f t="shared" si="703"/>
        <v>J. Bengtson (og)</v>
      </c>
      <c r="T132" s="77" t="str">
        <f t="shared" si="704"/>
        <v>J. Bengtson (og)</v>
      </c>
      <c r="U132" s="77" t="str">
        <f t="shared" si="705"/>
        <v>A. Griezmann (og)</v>
      </c>
      <c r="V132" s="77" t="str">
        <f t="shared" si="706"/>
        <v>V. Moses (og)</v>
      </c>
      <c r="W132" s="77" t="str">
        <f t="shared" si="707"/>
        <v>V. Moses (og)</v>
      </c>
      <c r="X132" s="77" t="str">
        <f t="shared" si="708"/>
        <v>V. Moses (og)</v>
      </c>
      <c r="Y132" s="77" t="str">
        <f t="shared" si="709"/>
        <v>G. Haddadifar (og)</v>
      </c>
      <c r="Z132" s="77" t="str">
        <f t="shared" si="710"/>
        <v>A. Bedoya (og)</v>
      </c>
      <c r="AA132" s="77" t="str">
        <f t="shared" si="711"/>
        <v>A. Bedoya (og)</v>
      </c>
      <c r="AB132" s="77" t="str">
        <f t="shared" si="712"/>
        <v>A. Bedoya (og)</v>
      </c>
      <c r="AC132" s="77" t="str">
        <f t="shared" si="713"/>
        <v>S. Muntari (og)</v>
      </c>
      <c r="AD132" s="77" t="str">
        <f t="shared" si="714"/>
        <v>L. Keun-ho (og)</v>
      </c>
      <c r="AE132" s="77" t="str">
        <f t="shared" si="715"/>
        <v>L. Keun-ho (og)</v>
      </c>
      <c r="AF132" s="77" t="str">
        <f t="shared" si="716"/>
        <v>L. Keun-ho (og)</v>
      </c>
      <c r="AG132" s="77" t="str">
        <f t="shared" si="717"/>
        <v>A. Kerzhakov (og)</v>
      </c>
      <c r="BT132" s="77" t="str">
        <f t="shared" ca="1" si="507"/>
        <v>Netherlands</v>
      </c>
      <c r="BU132" s="77">
        <f t="shared" si="461"/>
        <v>130</v>
      </c>
      <c r="BV132" s="77" t="str">
        <f t="shared" si="641"/>
        <v>A17</v>
      </c>
      <c r="BW132" s="77">
        <f t="shared" si="631"/>
        <v>6</v>
      </c>
      <c r="BX132" s="77" t="str">
        <f t="shared" ca="1" si="642"/>
        <v>D. Kuyt</v>
      </c>
      <c r="BY132" s="77">
        <f ca="1">COUNTIF('Group Stages'!$L$14:$S$110,BX132)+COUNTIF('Knock Out Stages'!$N$41:$U$84,BX132)</f>
        <v>0</v>
      </c>
      <c r="BZ132" s="77" t="str">
        <f t="shared" si="632"/>
        <v>'Player Database'!A17</v>
      </c>
      <c r="CA132" s="77" t="str">
        <f t="shared" ca="1" si="633"/>
        <v>Dirk Kuyt</v>
      </c>
      <c r="CS132" s="77">
        <f t="shared" si="504"/>
        <v>129</v>
      </c>
      <c r="CT132" s="77">
        <f t="shared" si="616"/>
        <v>4</v>
      </c>
      <c r="CU132" s="77" t="str">
        <f t="shared" si="505"/>
        <v>CR6</v>
      </c>
      <c r="CV132" s="77" t="str">
        <f t="shared" ca="1" si="506"/>
        <v/>
      </c>
      <c r="CW132" s="77">
        <f t="shared" ca="1" si="462"/>
        <v>0</v>
      </c>
      <c r="CZ132" s="77">
        <v>129</v>
      </c>
      <c r="DA132" s="77" t="str">
        <f t="shared" ca="1" si="463"/>
        <v/>
      </c>
      <c r="DB132" s="77" t="str">
        <f t="shared" ca="1" si="464"/>
        <v/>
      </c>
      <c r="DC132" s="77" t="str">
        <f t="shared" ca="1" si="470"/>
        <v/>
      </c>
      <c r="DD132" s="77" t="str">
        <f t="shared" ca="1" si="465"/>
        <v/>
      </c>
    </row>
    <row r="133" spans="1:108">
      <c r="A133" s="77">
        <f t="shared" si="685"/>
        <v>12</v>
      </c>
      <c r="B133" s="77" t="str">
        <f t="shared" si="686"/>
        <v>H. Bedimo (og)</v>
      </c>
      <c r="C133" s="77" t="str">
        <f t="shared" si="687"/>
        <v>H. Bedimo (og)</v>
      </c>
      <c r="D133" s="77" t="str">
        <f t="shared" si="688"/>
        <v>H. Bedimo (og)</v>
      </c>
      <c r="E133" s="77" t="str">
        <f t="shared" si="689"/>
        <v>A. Talavera (og)</v>
      </c>
      <c r="F133" s="77" t="str">
        <f t="shared" si="690"/>
        <v>M. Langerak (og)</v>
      </c>
      <c r="G133" s="77" t="str">
        <f t="shared" si="691"/>
        <v>M. Langerak (og)</v>
      </c>
      <c r="H133" s="77" t="str">
        <f t="shared" si="692"/>
        <v>M. Langerak (og)</v>
      </c>
      <c r="I133" s="77" t="str">
        <f t="shared" si="693"/>
        <v>C. Toselli (og)</v>
      </c>
      <c r="J133" s="77" t="str">
        <f t="shared" si="694"/>
        <v>S. Nishikawa (og)</v>
      </c>
      <c r="K133" s="77" t="str">
        <f t="shared" si="695"/>
        <v>S. Nishikawa (og)</v>
      </c>
      <c r="L133" s="77" t="str">
        <f t="shared" si="696"/>
        <v>S. Nishikawa (og)</v>
      </c>
      <c r="M133" s="77" t="str">
        <f t="shared" si="697"/>
        <v>W. Bony (og)</v>
      </c>
      <c r="N133" s="77" t="str">
        <f t="shared" si="698"/>
        <v>S. Sirigu (og)</v>
      </c>
      <c r="O133" s="77" t="str">
        <f t="shared" si="699"/>
        <v>S. Sirigu (og)</v>
      </c>
      <c r="P133" s="77" t="str">
        <f t="shared" si="700"/>
        <v>S. Sirigu (og)</v>
      </c>
      <c r="Q133" s="77" t="str">
        <f t="shared" si="701"/>
        <v>C. Smalling (og)</v>
      </c>
      <c r="R133" s="77" t="str">
        <f t="shared" si="702"/>
        <v>E. Delgado[42] (og)</v>
      </c>
      <c r="S133" s="77" t="str">
        <f t="shared" si="703"/>
        <v>E. Delgado[42] (og)</v>
      </c>
      <c r="T133" s="77" t="str">
        <f t="shared" si="704"/>
        <v>E. Delgado[42] (og)</v>
      </c>
      <c r="U133" s="77" t="str">
        <f t="shared" si="705"/>
        <v>R. Mavuba (og)</v>
      </c>
      <c r="V133" s="77" t="str">
        <f t="shared" si="706"/>
        <v>K. Odunlami (og)</v>
      </c>
      <c r="W133" s="77" t="str">
        <f t="shared" si="707"/>
        <v>K. Odunlami (og)</v>
      </c>
      <c r="X133" s="77" t="str">
        <f t="shared" si="708"/>
        <v>K. Odunlami (og)</v>
      </c>
      <c r="Y133" s="77" t="str">
        <f t="shared" si="709"/>
        <v>A. Haghighi (og)</v>
      </c>
      <c r="Z133" s="77" t="str">
        <f t="shared" si="710"/>
        <v>B. Guzan (og)</v>
      </c>
      <c r="AA133" s="77" t="str">
        <f t="shared" si="711"/>
        <v>B. Guzan (og)</v>
      </c>
      <c r="AB133" s="77" t="str">
        <f t="shared" si="712"/>
        <v>B. Guzan (og)</v>
      </c>
      <c r="AC133" s="77" t="str">
        <f t="shared" si="713"/>
        <v>A. Kwarasey (og)</v>
      </c>
      <c r="AD133" s="77" t="str">
        <f t="shared" si="714"/>
        <v>L. Yong (og)</v>
      </c>
      <c r="AE133" s="77" t="str">
        <f t="shared" si="715"/>
        <v>L. Yong (og)</v>
      </c>
      <c r="AF133" s="77" t="str">
        <f t="shared" si="716"/>
        <v>L. Yong (og)</v>
      </c>
      <c r="AG133" s="77" t="str">
        <f t="shared" si="717"/>
        <v>Y. Lodygin (og)</v>
      </c>
      <c r="BT133" s="77" t="str">
        <f t="shared" ca="1" si="507"/>
        <v>Netherlands</v>
      </c>
      <c r="BU133" s="77">
        <f t="shared" ref="BU133:BU196" si="718">BU132+1</f>
        <v>131</v>
      </c>
      <c r="BV133" s="77" t="str">
        <f t="shared" si="641"/>
        <v>A18</v>
      </c>
      <c r="BW133" s="77">
        <f t="shared" si="631"/>
        <v>6</v>
      </c>
      <c r="BX133" s="77" t="str">
        <f t="shared" ca="1" si="642"/>
        <v>J. Clasie</v>
      </c>
      <c r="BY133" s="77">
        <f ca="1">COUNTIF('Group Stages'!$L$14:$S$110,BX133)+COUNTIF('Knock Out Stages'!$N$41:$U$84,BX133)</f>
        <v>0</v>
      </c>
      <c r="BZ133" s="77" t="str">
        <f t="shared" si="632"/>
        <v>'Player Database'!A18</v>
      </c>
      <c r="CA133" s="77" t="str">
        <f t="shared" ca="1" si="633"/>
        <v>Jordy Clasie</v>
      </c>
      <c r="CS133" s="77">
        <f t="shared" si="504"/>
        <v>130</v>
      </c>
      <c r="CT133" s="77">
        <f t="shared" si="616"/>
        <v>4</v>
      </c>
      <c r="CU133" s="77" t="str">
        <f t="shared" si="505"/>
        <v>CR7</v>
      </c>
      <c r="CV133" s="77" t="str">
        <f t="shared" ca="1" si="506"/>
        <v/>
      </c>
      <c r="CW133" s="77">
        <f t="shared" ref="CW133:CW196" ca="1" si="719">IF(CV133&lt;&gt;"",CW132+1,CW132)</f>
        <v>0</v>
      </c>
      <c r="CZ133" s="77">
        <v>130</v>
      </c>
      <c r="DA133" s="77" t="str">
        <f t="shared" ref="DA133:DA196" ca="1" si="720">IFERROR(INDEX($CV$4:$CV$633,MATCH(CZ133,$CW$4:$CW$633,0),0),"")</f>
        <v/>
      </c>
      <c r="DB133" s="77" t="str">
        <f t="shared" ref="DB133:DB196" ca="1" si="721">IFERROR(VLOOKUP(DA133,$BX$3:$BY$738,2,FALSE),"")</f>
        <v/>
      </c>
      <c r="DC133" s="77" t="str">
        <f t="shared" ca="1" si="470"/>
        <v/>
      </c>
      <c r="DD133" s="77" t="str">
        <f t="shared" ref="DD133:DD196" ca="1" si="722">IFERROR(INDEX($BT$3:$BT$738,MATCH(DA133,$BX$3:$BX$738,0),0),"")</f>
        <v/>
      </c>
    </row>
    <row r="134" spans="1:108">
      <c r="A134" s="77">
        <f t="shared" si="685"/>
        <v>13</v>
      </c>
      <c r="B134" s="77" t="str">
        <f t="shared" si="686"/>
        <v>M. Choupo-Moting (og)</v>
      </c>
      <c r="C134" s="77" t="str">
        <f t="shared" si="687"/>
        <v>M. Choupo-Moting (og)</v>
      </c>
      <c r="D134" s="77" t="str">
        <f t="shared" si="688"/>
        <v>M. Choupo-Moting (og)</v>
      </c>
      <c r="E134" s="77" t="str">
        <f t="shared" si="689"/>
        <v>G. Ochoa (og)</v>
      </c>
      <c r="F134" s="77" t="str">
        <f t="shared" si="690"/>
        <v>O. Bozanić (og)</v>
      </c>
      <c r="G134" s="77" t="str">
        <f t="shared" si="691"/>
        <v>O. Bozanić (og)</v>
      </c>
      <c r="H134" s="77" t="str">
        <f t="shared" si="692"/>
        <v>O. Bozanić (og)</v>
      </c>
      <c r="I134" s="77" t="str">
        <f t="shared" si="693"/>
        <v>J. Rojas (og)</v>
      </c>
      <c r="J134" s="77" t="str">
        <f t="shared" si="694"/>
        <v>Y. Ōkubo (og)</v>
      </c>
      <c r="K134" s="77" t="str">
        <f t="shared" si="695"/>
        <v>Y. Ōkubo (og)</v>
      </c>
      <c r="L134" s="77" t="str">
        <f t="shared" si="696"/>
        <v>Y. Ōkubo (og)</v>
      </c>
      <c r="M134" s="77" t="str">
        <f t="shared" si="697"/>
        <v>D. Ya Konan (og)</v>
      </c>
      <c r="N134" s="77" t="str">
        <f t="shared" si="698"/>
        <v>M. Perin (og)</v>
      </c>
      <c r="O134" s="77" t="str">
        <f t="shared" si="699"/>
        <v>M. Perin (og)</v>
      </c>
      <c r="P134" s="77" t="str">
        <f t="shared" si="700"/>
        <v>M. Perin (og)</v>
      </c>
      <c r="Q134" s="77" t="str">
        <f t="shared" si="701"/>
        <v>B. Foster (og)</v>
      </c>
      <c r="R134" s="77" t="str">
        <f t="shared" si="702"/>
        <v>C. Costly (og)</v>
      </c>
      <c r="S134" s="77" t="str">
        <f t="shared" si="703"/>
        <v>C. Costly (og)</v>
      </c>
      <c r="T134" s="77" t="str">
        <f t="shared" si="704"/>
        <v>C. Costly (og)</v>
      </c>
      <c r="U134" s="77" t="str">
        <f t="shared" si="705"/>
        <v>E. Mangala (og)</v>
      </c>
      <c r="V134" s="77" t="str">
        <f t="shared" si="706"/>
        <v>J. Oshaniwa (og)</v>
      </c>
      <c r="W134" s="77" t="str">
        <f t="shared" si="707"/>
        <v>J. Oshaniwa (og)</v>
      </c>
      <c r="X134" s="77" t="str">
        <f t="shared" si="708"/>
        <v>J. Oshaniwa (og)</v>
      </c>
      <c r="Y134" s="77" t="str">
        <f t="shared" si="709"/>
        <v>H. Mahini (og)</v>
      </c>
      <c r="Z134" s="77" t="str">
        <f t="shared" si="710"/>
        <v>J. Jones (og)</v>
      </c>
      <c r="AA134" s="77" t="str">
        <f t="shared" si="711"/>
        <v>J. Jones (og)</v>
      </c>
      <c r="AB134" s="77" t="str">
        <f t="shared" si="712"/>
        <v>J. Jones (og)</v>
      </c>
      <c r="AC134" s="77" t="str">
        <f t="shared" si="713"/>
        <v>J. Ayew (og)</v>
      </c>
      <c r="AD134" s="77" t="str">
        <f t="shared" si="714"/>
        <v>K. Ja-cheol  (og)</v>
      </c>
      <c r="AE134" s="77" t="str">
        <f t="shared" si="715"/>
        <v>K. Ja-cheol  (og)</v>
      </c>
      <c r="AF134" s="77" t="str">
        <f t="shared" si="716"/>
        <v>K. Ja-cheol  (og)</v>
      </c>
      <c r="AG134" s="77" t="str">
        <f t="shared" si="717"/>
        <v>V. Granat (og)</v>
      </c>
      <c r="BT134" s="77" t="str">
        <f t="shared" ca="1" si="507"/>
        <v>Netherlands</v>
      </c>
      <c r="BU134" s="77">
        <f t="shared" si="718"/>
        <v>132</v>
      </c>
      <c r="BV134" s="77" t="str">
        <f t="shared" si="641"/>
        <v>A19</v>
      </c>
      <c r="BW134" s="77">
        <f t="shared" si="631"/>
        <v>6</v>
      </c>
      <c r="BX134" s="77" t="str">
        <f t="shared" ca="1" si="642"/>
        <v>J. Lens</v>
      </c>
      <c r="BY134" s="77">
        <f ca="1">COUNTIF('Group Stages'!$L$14:$S$110,BX134)+COUNTIF('Knock Out Stages'!$N$41:$U$84,BX134)</f>
        <v>0</v>
      </c>
      <c r="BZ134" s="77" t="str">
        <f t="shared" si="632"/>
        <v>'Player Database'!A19</v>
      </c>
      <c r="CA134" s="77" t="str">
        <f t="shared" ca="1" si="633"/>
        <v>Jeremain Lens</v>
      </c>
      <c r="CS134" s="77">
        <f t="shared" si="504"/>
        <v>131</v>
      </c>
      <c r="CT134" s="77">
        <f t="shared" si="616"/>
        <v>4</v>
      </c>
      <c r="CU134" s="77" t="str">
        <f t="shared" si="505"/>
        <v>CR8</v>
      </c>
      <c r="CV134" s="77" t="str">
        <f t="shared" ca="1" si="506"/>
        <v/>
      </c>
      <c r="CW134" s="77">
        <f t="shared" ca="1" si="719"/>
        <v>0</v>
      </c>
      <c r="CZ134" s="77">
        <v>131</v>
      </c>
      <c r="DA134" s="77" t="str">
        <f t="shared" ca="1" si="720"/>
        <v/>
      </c>
      <c r="DB134" s="77" t="str">
        <f t="shared" ca="1" si="721"/>
        <v/>
      </c>
      <c r="DC134" s="77" t="str">
        <f t="shared" ca="1" si="470"/>
        <v/>
      </c>
      <c r="DD134" s="77" t="str">
        <f t="shared" ca="1" si="722"/>
        <v/>
      </c>
    </row>
    <row r="135" spans="1:108">
      <c r="A135" s="77">
        <f t="shared" si="685"/>
        <v>14</v>
      </c>
      <c r="B135" s="77" t="str">
        <f t="shared" si="686"/>
        <v>A. Chedjou (og)</v>
      </c>
      <c r="C135" s="77" t="str">
        <f t="shared" si="687"/>
        <v>A. Chedjou (og)</v>
      </c>
      <c r="D135" s="77" t="str">
        <f t="shared" si="688"/>
        <v>A. Chedjou (og)</v>
      </c>
      <c r="E135" s="77" t="str">
        <f t="shared" si="689"/>
        <v>J. Hernández (og)</v>
      </c>
      <c r="F135" s="77" t="str">
        <f t="shared" si="690"/>
        <v>J. Troisi (og)</v>
      </c>
      <c r="G135" s="77" t="str">
        <f t="shared" si="691"/>
        <v>J. Troisi (og)</v>
      </c>
      <c r="H135" s="77" t="str">
        <f t="shared" si="692"/>
        <v>J. Troisi (og)</v>
      </c>
      <c r="I135" s="77" t="str">
        <f t="shared" si="693"/>
        <v>F. Orellana (og)</v>
      </c>
      <c r="J135" s="77" t="str">
        <f t="shared" si="694"/>
        <v>T. Aoyama (og)</v>
      </c>
      <c r="K135" s="77" t="str">
        <f t="shared" si="695"/>
        <v>T. Aoyama (og)</v>
      </c>
      <c r="L135" s="77" t="str">
        <f t="shared" si="696"/>
        <v>T. Aoyama (og)</v>
      </c>
      <c r="M135" s="77" t="str">
        <f t="shared" si="697"/>
        <v>I. Diomandé (og)</v>
      </c>
      <c r="N135" s="77" t="str">
        <f t="shared" si="698"/>
        <v>A. Aquilani (og)</v>
      </c>
      <c r="O135" s="77" t="str">
        <f t="shared" si="699"/>
        <v>A. Aquilani (og)</v>
      </c>
      <c r="P135" s="77" t="str">
        <f t="shared" si="700"/>
        <v>A. Aquilani (og)</v>
      </c>
      <c r="Q135" s="77" t="str">
        <f t="shared" si="701"/>
        <v>J. Henderson (og)</v>
      </c>
      <c r="R135" s="77" t="str">
        <f t="shared" si="702"/>
        <v>Ó. García (og)</v>
      </c>
      <c r="S135" s="77" t="str">
        <f t="shared" si="703"/>
        <v>Ó. García (og)</v>
      </c>
      <c r="T135" s="77" t="str">
        <f t="shared" si="704"/>
        <v>Ó. García (og)</v>
      </c>
      <c r="U135" s="77" t="str">
        <f t="shared" si="705"/>
        <v>B. Matuidi (og)</v>
      </c>
      <c r="V135" s="77" t="str">
        <f t="shared" si="706"/>
        <v>G. Oboabona (og)</v>
      </c>
      <c r="W135" s="77" t="str">
        <f t="shared" si="707"/>
        <v>G. Oboabona (og)</v>
      </c>
      <c r="X135" s="77" t="str">
        <f t="shared" si="708"/>
        <v>G. Oboabona (og)</v>
      </c>
      <c r="Y135" s="77" t="str">
        <f t="shared" si="709"/>
        <v>A. Teymourian (og)</v>
      </c>
      <c r="Z135" s="77" t="str">
        <f t="shared" si="710"/>
        <v>B. Davis (og)</v>
      </c>
      <c r="AA135" s="77" t="str">
        <f t="shared" si="711"/>
        <v>B. Davis (og)</v>
      </c>
      <c r="AB135" s="77" t="str">
        <f t="shared" si="712"/>
        <v>B. Davis (og)</v>
      </c>
      <c r="AC135" s="77" t="str">
        <f t="shared" si="713"/>
        <v>A. Adomah (og)</v>
      </c>
      <c r="AD135" s="77" t="str">
        <f t="shared" si="714"/>
        <v>H. Kook-young (og)</v>
      </c>
      <c r="AE135" s="77" t="str">
        <f t="shared" si="715"/>
        <v>H. Kook-young (og)</v>
      </c>
      <c r="AF135" s="77" t="str">
        <f t="shared" si="716"/>
        <v>H. Kook-young (og)</v>
      </c>
      <c r="AG135" s="77" t="str">
        <f t="shared" si="717"/>
        <v>V. Berezutski  (og)</v>
      </c>
      <c r="BT135" s="77" t="str">
        <f t="shared" ca="1" si="507"/>
        <v>Netherlands</v>
      </c>
      <c r="BU135" s="77">
        <f t="shared" si="718"/>
        <v>133</v>
      </c>
      <c r="BV135" s="77" t="str">
        <f t="shared" si="641"/>
        <v>A20</v>
      </c>
      <c r="BW135" s="77">
        <f t="shared" si="631"/>
        <v>6</v>
      </c>
      <c r="BX135" s="77" t="str">
        <f t="shared" ca="1" si="642"/>
        <v>L. Fer</v>
      </c>
      <c r="BY135" s="77">
        <f ca="1">COUNTIF('Group Stages'!$L$14:$S$110,BX135)+COUNTIF('Knock Out Stages'!$N$41:$U$84,BX135)</f>
        <v>0</v>
      </c>
      <c r="BZ135" s="77" t="str">
        <f t="shared" si="632"/>
        <v>'Player Database'!A20</v>
      </c>
      <c r="CA135" s="77" t="str">
        <f t="shared" ca="1" si="633"/>
        <v>Leroy Fer</v>
      </c>
      <c r="CS135" s="77">
        <f t="shared" si="504"/>
        <v>132</v>
      </c>
      <c r="CT135" s="77">
        <f t="shared" si="616"/>
        <v>4</v>
      </c>
      <c r="CU135" s="77" t="str">
        <f t="shared" si="505"/>
        <v>CR9</v>
      </c>
      <c r="CV135" s="77" t="str">
        <f t="shared" ca="1" si="506"/>
        <v/>
      </c>
      <c r="CW135" s="77">
        <f t="shared" ca="1" si="719"/>
        <v>0</v>
      </c>
      <c r="CZ135" s="77">
        <v>132</v>
      </c>
      <c r="DA135" s="77" t="str">
        <f t="shared" ca="1" si="720"/>
        <v/>
      </c>
      <c r="DB135" s="77" t="str">
        <f t="shared" ca="1" si="721"/>
        <v/>
      </c>
      <c r="DC135" s="77" t="str">
        <f t="shared" ca="1" si="470"/>
        <v/>
      </c>
      <c r="DD135" s="77" t="str">
        <f t="shared" ca="1" si="722"/>
        <v/>
      </c>
    </row>
    <row r="136" spans="1:108">
      <c r="A136" s="77">
        <f t="shared" si="685"/>
        <v>15</v>
      </c>
      <c r="B136" s="77" t="str">
        <f t="shared" si="686"/>
        <v>P. Webó (og)</v>
      </c>
      <c r="C136" s="77" t="str">
        <f t="shared" si="687"/>
        <v>P. Webó (og)</v>
      </c>
      <c r="D136" s="77" t="str">
        <f t="shared" si="688"/>
        <v>P. Webó (og)</v>
      </c>
      <c r="E136" s="77" t="str">
        <f t="shared" si="689"/>
        <v>H. Moreno (og)</v>
      </c>
      <c r="F136" s="77" t="str">
        <f t="shared" si="690"/>
        <v>M. Jedinak  (og)</v>
      </c>
      <c r="G136" s="77" t="str">
        <f t="shared" si="691"/>
        <v>M. Jedinak  (og)</v>
      </c>
      <c r="H136" s="77" t="str">
        <f t="shared" si="692"/>
        <v>M. Jedinak  (og)</v>
      </c>
      <c r="I136" s="77" t="str">
        <f t="shared" si="693"/>
        <v>J. Beausejour (og)</v>
      </c>
      <c r="J136" s="77" t="str">
        <f t="shared" si="694"/>
        <v>Y. Konno (og)</v>
      </c>
      <c r="K136" s="77" t="str">
        <f t="shared" si="695"/>
        <v>Y. Konno (og)</v>
      </c>
      <c r="L136" s="77" t="str">
        <f t="shared" si="696"/>
        <v>Y. Konno (og)</v>
      </c>
      <c r="M136" s="77" t="str">
        <f t="shared" si="697"/>
        <v>M. Gradel (og)</v>
      </c>
      <c r="N136" s="77" t="str">
        <f t="shared" si="698"/>
        <v>A. Barzagli (og)</v>
      </c>
      <c r="O136" s="77" t="str">
        <f t="shared" si="699"/>
        <v>A. Barzagli (og)</v>
      </c>
      <c r="P136" s="77" t="str">
        <f t="shared" si="700"/>
        <v>A. Barzagli (og)</v>
      </c>
      <c r="Q136" s="77" t="str">
        <f t="shared" si="701"/>
        <v>A. Oxlade-Chamberlain (og)</v>
      </c>
      <c r="R136" s="77" t="str">
        <f t="shared" si="702"/>
        <v>R. Espinoza (og)</v>
      </c>
      <c r="S136" s="77" t="str">
        <f t="shared" si="703"/>
        <v>R. Espinoza (og)</v>
      </c>
      <c r="T136" s="77" t="str">
        <f t="shared" si="704"/>
        <v>R. Espinoza (og)</v>
      </c>
      <c r="U136" s="77" t="str">
        <f t="shared" si="705"/>
        <v>B. Sagna (og)</v>
      </c>
      <c r="V136" s="77" t="str">
        <f t="shared" si="706"/>
        <v>R. Azeez (og)</v>
      </c>
      <c r="W136" s="77" t="str">
        <f t="shared" si="707"/>
        <v>R. Azeez (og)</v>
      </c>
      <c r="X136" s="77" t="str">
        <f t="shared" si="708"/>
        <v>R. Azeez (og)</v>
      </c>
      <c r="Y136" s="77" t="str">
        <f t="shared" si="709"/>
        <v>P. Montazeri (og)</v>
      </c>
      <c r="Z136" s="77" t="str">
        <f t="shared" si="710"/>
        <v>K. Beckerman (og)</v>
      </c>
      <c r="AA136" s="77" t="str">
        <f t="shared" si="711"/>
        <v>K. Beckerman (og)</v>
      </c>
      <c r="AB136" s="77" t="str">
        <f t="shared" si="712"/>
        <v>K. Beckerman (og)</v>
      </c>
      <c r="AC136" s="77" t="str">
        <f t="shared" si="713"/>
        <v>R. Sumaila (og)</v>
      </c>
      <c r="AD136" s="77" t="str">
        <f t="shared" si="714"/>
        <v>P. Jong-woo (og)</v>
      </c>
      <c r="AE136" s="77" t="str">
        <f t="shared" si="715"/>
        <v>P. Jong-woo (og)</v>
      </c>
      <c r="AF136" s="77" t="str">
        <f t="shared" si="716"/>
        <v>P. Jong-woo (og)</v>
      </c>
      <c r="AG136" s="77" t="str">
        <f t="shared" si="717"/>
        <v>P. Mogilevets (og)</v>
      </c>
      <c r="BT136" s="77" t="str">
        <f t="shared" ca="1" si="507"/>
        <v>Netherlands</v>
      </c>
      <c r="BU136" s="77">
        <f t="shared" si="718"/>
        <v>134</v>
      </c>
      <c r="BV136" s="77" t="str">
        <f t="shared" si="641"/>
        <v>A21</v>
      </c>
      <c r="BW136" s="77">
        <f t="shared" si="631"/>
        <v>6</v>
      </c>
      <c r="BX136" s="77" t="str">
        <f t="shared" ca="1" si="642"/>
        <v>K. Huntelaar</v>
      </c>
      <c r="BY136" s="77">
        <f ca="1">COUNTIF('Group Stages'!$L$14:$S$110,BX136)+COUNTIF('Knock Out Stages'!$N$41:$U$84,BX136)</f>
        <v>0</v>
      </c>
      <c r="BZ136" s="77" t="str">
        <f t="shared" si="632"/>
        <v>'Player Database'!A21</v>
      </c>
      <c r="CA136" s="77" t="str">
        <f t="shared" ca="1" si="633"/>
        <v>Klaas-Jan Huntelaar</v>
      </c>
      <c r="CS136" s="77">
        <f t="shared" si="504"/>
        <v>133</v>
      </c>
      <c r="CT136" s="77">
        <f t="shared" si="616"/>
        <v>4</v>
      </c>
      <c r="CU136" s="77" t="str">
        <f t="shared" si="505"/>
        <v>CR10</v>
      </c>
      <c r="CV136" s="77" t="str">
        <f t="shared" ca="1" si="506"/>
        <v/>
      </c>
      <c r="CW136" s="77">
        <f t="shared" ca="1" si="719"/>
        <v>0</v>
      </c>
      <c r="CZ136" s="77">
        <v>133</v>
      </c>
      <c r="DA136" s="77" t="str">
        <f t="shared" ca="1" si="720"/>
        <v/>
      </c>
      <c r="DB136" s="77" t="str">
        <f t="shared" ca="1" si="721"/>
        <v/>
      </c>
      <c r="DC136" s="77" t="str">
        <f t="shared" ca="1" si="470"/>
        <v/>
      </c>
      <c r="DD136" s="77" t="str">
        <f t="shared" ca="1" si="722"/>
        <v/>
      </c>
    </row>
    <row r="137" spans="1:108">
      <c r="A137" s="77">
        <f t="shared" si="685"/>
        <v>16</v>
      </c>
      <c r="B137" s="77" t="str">
        <f t="shared" si="686"/>
        <v>C. Itandje (og)</v>
      </c>
      <c r="C137" s="77" t="str">
        <f t="shared" si="687"/>
        <v>C. Itandje (og)</v>
      </c>
      <c r="D137" s="77" t="str">
        <f t="shared" si="688"/>
        <v>C. Itandje (og)</v>
      </c>
      <c r="E137" s="77" t="str">
        <f t="shared" si="689"/>
        <v>M. Ángel Ponce (og)</v>
      </c>
      <c r="F137" s="77" t="str">
        <f t="shared" si="690"/>
        <v>J. Holland (og)</v>
      </c>
      <c r="G137" s="77" t="str">
        <f t="shared" si="691"/>
        <v>J. Holland (og)</v>
      </c>
      <c r="H137" s="77" t="str">
        <f t="shared" si="692"/>
        <v>J. Holland (og)</v>
      </c>
      <c r="I137" s="77" t="str">
        <f t="shared" si="693"/>
        <v>F. Gutiérrez (og)</v>
      </c>
      <c r="J137" s="77" t="str">
        <f t="shared" si="694"/>
        <v>H. Yamaguchi (og)</v>
      </c>
      <c r="K137" s="77" t="str">
        <f t="shared" si="695"/>
        <v>H. Yamaguchi (og)</v>
      </c>
      <c r="L137" s="77" t="str">
        <f t="shared" si="696"/>
        <v>H. Yamaguchi (og)</v>
      </c>
      <c r="M137" s="77" t="str">
        <f t="shared" si="697"/>
        <v>S. Gbohouo (og)</v>
      </c>
      <c r="N137" s="77" t="str">
        <f t="shared" si="698"/>
        <v>D. De Rossi (og)</v>
      </c>
      <c r="O137" s="77" t="str">
        <f t="shared" si="699"/>
        <v>D. De Rossi (og)</v>
      </c>
      <c r="P137" s="77" t="str">
        <f t="shared" si="700"/>
        <v>D. De Rossi (og)</v>
      </c>
      <c r="Q137" s="77" t="str">
        <f t="shared" si="701"/>
        <v>P. Jones (og)</v>
      </c>
      <c r="R137" s="77" t="str">
        <f t="shared" si="702"/>
        <v>R. Martínez (og)</v>
      </c>
      <c r="S137" s="77" t="str">
        <f t="shared" si="703"/>
        <v>R. Martínez (og)</v>
      </c>
      <c r="T137" s="77" t="str">
        <f t="shared" si="704"/>
        <v>R. Martínez (og)</v>
      </c>
      <c r="U137" s="77" t="str">
        <f t="shared" si="705"/>
        <v>S. Ruffier[39] (og)</v>
      </c>
      <c r="V137" s="77" t="str">
        <f t="shared" si="706"/>
        <v>A. Ejide (og)</v>
      </c>
      <c r="W137" s="77" t="str">
        <f t="shared" si="707"/>
        <v>A. Ejide (og)</v>
      </c>
      <c r="X137" s="77" t="str">
        <f t="shared" si="708"/>
        <v>A. Ejide (og)</v>
      </c>
      <c r="Y137" s="77" t="str">
        <f t="shared" si="709"/>
        <v>R. Ghoochannejhad (og)</v>
      </c>
      <c r="Z137" s="77" t="str">
        <f t="shared" si="710"/>
        <v>J. Green (og)</v>
      </c>
      <c r="AA137" s="77" t="str">
        <f t="shared" si="711"/>
        <v>J. Green (og)</v>
      </c>
      <c r="AB137" s="77" t="str">
        <f t="shared" si="712"/>
        <v>J. Green (og)</v>
      </c>
      <c r="AC137" s="77" t="str">
        <f t="shared" si="713"/>
        <v>F. Dauda (og)</v>
      </c>
      <c r="AD137" s="77" t="str">
        <f t="shared" si="714"/>
        <v>K. Sung-yueng (og)</v>
      </c>
      <c r="AE137" s="77" t="str">
        <f t="shared" si="715"/>
        <v>K. Sung-yueng (og)</v>
      </c>
      <c r="AF137" s="77" t="str">
        <f t="shared" si="716"/>
        <v>K. Sung-yueng (og)</v>
      </c>
      <c r="AG137" s="77" t="str">
        <f t="shared" si="717"/>
        <v>S. Ryzhikov (og)</v>
      </c>
      <c r="BT137" s="77" t="str">
        <f t="shared" ca="1" si="507"/>
        <v>Netherlands</v>
      </c>
      <c r="BU137" s="77">
        <f t="shared" si="718"/>
        <v>135</v>
      </c>
      <c r="BV137" s="77" t="str">
        <f t="shared" si="641"/>
        <v>A22</v>
      </c>
      <c r="BW137" s="77">
        <f t="shared" si="631"/>
        <v>6</v>
      </c>
      <c r="BX137" s="77" t="str">
        <f t="shared" ca="1" si="642"/>
        <v>G. Wijnaldum</v>
      </c>
      <c r="BY137" s="77">
        <f ca="1">COUNTIF('Group Stages'!$L$14:$S$110,BX137)+COUNTIF('Knock Out Stages'!$N$41:$U$84,BX137)</f>
        <v>0</v>
      </c>
      <c r="BZ137" s="77" t="str">
        <f t="shared" si="632"/>
        <v>'Player Database'!A22</v>
      </c>
      <c r="CA137" s="77" t="str">
        <f t="shared" ca="1" si="633"/>
        <v>Georginio Wijnaldum</v>
      </c>
      <c r="CS137" s="77">
        <f t="shared" si="504"/>
        <v>134</v>
      </c>
      <c r="CT137" s="77">
        <f t="shared" si="616"/>
        <v>4</v>
      </c>
      <c r="CU137" s="77" t="str">
        <f t="shared" si="505"/>
        <v>CR11</v>
      </c>
      <c r="CV137" s="77" t="str">
        <f t="shared" ca="1" si="506"/>
        <v/>
      </c>
      <c r="CW137" s="77">
        <f t="shared" ca="1" si="719"/>
        <v>0</v>
      </c>
      <c r="CZ137" s="77">
        <v>134</v>
      </c>
      <c r="DA137" s="77" t="str">
        <f t="shared" ca="1" si="720"/>
        <v/>
      </c>
      <c r="DB137" s="77" t="str">
        <f t="shared" ca="1" si="721"/>
        <v/>
      </c>
      <c r="DC137" s="77" t="str">
        <f t="shared" ref="DC137:DC200" ca="1" si="723">IFERROR(VLOOKUP(DA137,$BX$3:$CA$738,4,FALSE),"")</f>
        <v/>
      </c>
      <c r="DD137" s="77" t="str">
        <f t="shared" ca="1" si="722"/>
        <v/>
      </c>
    </row>
    <row r="138" spans="1:108">
      <c r="A138" s="77">
        <f t="shared" si="685"/>
        <v>17</v>
      </c>
      <c r="B138" s="77" t="str">
        <f t="shared" si="686"/>
        <v>S. Mbia (og)</v>
      </c>
      <c r="C138" s="77" t="str">
        <f t="shared" si="687"/>
        <v>S. Mbia (og)</v>
      </c>
      <c r="D138" s="77" t="str">
        <f t="shared" si="688"/>
        <v>S. Mbia (og)</v>
      </c>
      <c r="E138" s="77" t="str">
        <f t="shared" si="689"/>
        <v>I. Brizuela (og)</v>
      </c>
      <c r="F138" s="77" t="str">
        <f t="shared" si="690"/>
        <v>M. McKay (og)</v>
      </c>
      <c r="G138" s="77" t="str">
        <f t="shared" si="691"/>
        <v>M. McKay (og)</v>
      </c>
      <c r="H138" s="77" t="str">
        <f t="shared" si="692"/>
        <v>M. McKay (og)</v>
      </c>
      <c r="I138" s="77" t="str">
        <f t="shared" si="693"/>
        <v>G. Medel (og)</v>
      </c>
      <c r="J138" s="77" t="str">
        <f t="shared" si="694"/>
        <v>M. Hasebe  (og)</v>
      </c>
      <c r="K138" s="77" t="str">
        <f t="shared" si="695"/>
        <v>M. Hasebe  (og)</v>
      </c>
      <c r="L138" s="77" t="str">
        <f t="shared" si="696"/>
        <v>M. Hasebe  (og)</v>
      </c>
      <c r="M138" s="77" t="str">
        <f t="shared" si="697"/>
        <v>S. Aurier (og)</v>
      </c>
      <c r="N138" s="77" t="str">
        <f t="shared" si="698"/>
        <v>C. Immobile (og)</v>
      </c>
      <c r="O138" s="77" t="str">
        <f t="shared" si="699"/>
        <v>C. Immobile (og)</v>
      </c>
      <c r="P138" s="77" t="str">
        <f t="shared" si="700"/>
        <v>C. Immobile (og)</v>
      </c>
      <c r="Q138" s="77" t="str">
        <f t="shared" si="701"/>
        <v>J. Milner (og)</v>
      </c>
      <c r="R138" s="77" t="str">
        <f t="shared" si="702"/>
        <v>M. Chávez (og)</v>
      </c>
      <c r="S138" s="77" t="str">
        <f t="shared" si="703"/>
        <v>M. Chávez (og)</v>
      </c>
      <c r="T138" s="77" t="str">
        <f t="shared" si="704"/>
        <v>M. Chávez (og)</v>
      </c>
      <c r="U138" s="77" t="str">
        <f t="shared" si="705"/>
        <v>L. Digne (og)</v>
      </c>
      <c r="V138" s="77" t="str">
        <f t="shared" si="706"/>
        <v>O. Onazi (og)</v>
      </c>
      <c r="W138" s="77" t="str">
        <f t="shared" si="707"/>
        <v>O. Onazi (og)</v>
      </c>
      <c r="X138" s="77" t="str">
        <f t="shared" si="708"/>
        <v>O. Onazi (og)</v>
      </c>
      <c r="Y138" s="77" t="str">
        <f t="shared" si="709"/>
        <v>A. Alenemeh (og)</v>
      </c>
      <c r="Z138" s="77" t="str">
        <f t="shared" si="710"/>
        <v>J. Altidore (og)</v>
      </c>
      <c r="AA138" s="77" t="str">
        <f t="shared" si="711"/>
        <v>J. Altidore (og)</v>
      </c>
      <c r="AB138" s="77" t="str">
        <f t="shared" si="712"/>
        <v>J. Altidore (og)</v>
      </c>
      <c r="AC138" s="77" t="str">
        <f t="shared" si="713"/>
        <v>M. Rabiu (og)</v>
      </c>
      <c r="AD138" s="77" t="str">
        <f t="shared" si="714"/>
        <v>L. Chung-yong (og)</v>
      </c>
      <c r="AE138" s="77" t="str">
        <f t="shared" si="715"/>
        <v>L. Chung-yong (og)</v>
      </c>
      <c r="AF138" s="77" t="str">
        <f t="shared" si="716"/>
        <v>L. Chung-yong (og)</v>
      </c>
      <c r="AG138" s="77" t="str">
        <f t="shared" si="717"/>
        <v>O. Shatov (og)</v>
      </c>
      <c r="BT138" s="77" t="str">
        <f t="shared" ca="1" si="507"/>
        <v>Netherlands</v>
      </c>
      <c r="BU138" s="77">
        <f t="shared" si="718"/>
        <v>136</v>
      </c>
      <c r="BV138" s="77" t="str">
        <f t="shared" si="641"/>
        <v>A23</v>
      </c>
      <c r="BW138" s="77">
        <f t="shared" si="631"/>
        <v>6</v>
      </c>
      <c r="BX138" s="77" t="str">
        <f t="shared" ca="1" si="642"/>
        <v>M. Depay</v>
      </c>
      <c r="BY138" s="77">
        <f ca="1">COUNTIF('Group Stages'!$L$14:$S$110,BX138)+COUNTIF('Knock Out Stages'!$N$41:$U$84,BX138)</f>
        <v>0</v>
      </c>
      <c r="BZ138" s="77" t="str">
        <f t="shared" si="632"/>
        <v>'Player Database'!A23</v>
      </c>
      <c r="CA138" s="77" t="str">
        <f t="shared" ca="1" si="633"/>
        <v>Memphis Depay</v>
      </c>
      <c r="CS138" s="77">
        <f t="shared" si="504"/>
        <v>135</v>
      </c>
      <c r="CT138" s="77">
        <f t="shared" si="616"/>
        <v>4</v>
      </c>
      <c r="CU138" s="77" t="str">
        <f t="shared" si="505"/>
        <v>CR12</v>
      </c>
      <c r="CV138" s="77" t="str">
        <f t="shared" ca="1" si="506"/>
        <v/>
      </c>
      <c r="CW138" s="77">
        <f t="shared" ca="1" si="719"/>
        <v>0</v>
      </c>
      <c r="CZ138" s="77">
        <v>135</v>
      </c>
      <c r="DA138" s="77" t="str">
        <f t="shared" ca="1" si="720"/>
        <v/>
      </c>
      <c r="DB138" s="77" t="str">
        <f t="shared" ca="1" si="721"/>
        <v/>
      </c>
      <c r="DC138" s="77" t="str">
        <f t="shared" ca="1" si="723"/>
        <v/>
      </c>
      <c r="DD138" s="77" t="str">
        <f t="shared" ca="1" si="722"/>
        <v/>
      </c>
    </row>
    <row r="139" spans="1:108">
      <c r="A139" s="77">
        <f t="shared" si="685"/>
        <v>18</v>
      </c>
      <c r="B139" s="77" t="str">
        <f t="shared" si="686"/>
        <v>E. Enoh (og)</v>
      </c>
      <c r="C139" s="77" t="str">
        <f t="shared" si="687"/>
        <v>E. Enoh (og)</v>
      </c>
      <c r="D139" s="77" t="str">
        <f t="shared" si="688"/>
        <v>E. Enoh (og)</v>
      </c>
      <c r="E139" s="77" t="str">
        <f t="shared" si="689"/>
        <v>A. Guardado (og)</v>
      </c>
      <c r="F139" s="77" t="str">
        <f t="shared" si="690"/>
        <v>E. Galeković (og)</v>
      </c>
      <c r="G139" s="77" t="str">
        <f t="shared" si="691"/>
        <v>E. Galeković (og)</v>
      </c>
      <c r="H139" s="77" t="str">
        <f t="shared" si="692"/>
        <v>E. Galeković (og)</v>
      </c>
      <c r="I139" s="77" t="str">
        <f t="shared" si="693"/>
        <v>G. Jara (og)</v>
      </c>
      <c r="J139" s="77" t="str">
        <f t="shared" si="694"/>
        <v>Y. Osako (og)</v>
      </c>
      <c r="K139" s="77" t="str">
        <f t="shared" si="695"/>
        <v>Y. Osako (og)</v>
      </c>
      <c r="L139" s="77" t="str">
        <f t="shared" si="696"/>
        <v>Y. Osako (og)</v>
      </c>
      <c r="M139" s="77" t="str">
        <f t="shared" si="697"/>
        <v>C. Djakpa (og)</v>
      </c>
      <c r="N139" s="77" t="str">
        <f t="shared" si="698"/>
        <v>M. Parolo (og)</v>
      </c>
      <c r="O139" s="77" t="str">
        <f t="shared" si="699"/>
        <v>M. Parolo (og)</v>
      </c>
      <c r="P139" s="77" t="str">
        <f t="shared" si="700"/>
        <v>M. Parolo (og)</v>
      </c>
      <c r="Q139" s="77" t="str">
        <f t="shared" si="701"/>
        <v>R. Lambert (og)</v>
      </c>
      <c r="R139" s="77" t="str">
        <f t="shared" si="702"/>
        <v>N. Valladares  (og)</v>
      </c>
      <c r="S139" s="77" t="str">
        <f t="shared" si="703"/>
        <v>N. Valladares  (og)</v>
      </c>
      <c r="T139" s="77" t="str">
        <f t="shared" si="704"/>
        <v>N. Valladares  (og)</v>
      </c>
      <c r="U139" s="77" t="str">
        <f t="shared" si="705"/>
        <v>M. Sissoko (og)</v>
      </c>
      <c r="V139" s="77" t="str">
        <f t="shared" si="706"/>
        <v>M. Babatunde (og)</v>
      </c>
      <c r="W139" s="77" t="str">
        <f t="shared" si="707"/>
        <v>M. Babatunde (og)</v>
      </c>
      <c r="X139" s="77" t="str">
        <f t="shared" si="708"/>
        <v>M. Babatunde (og)</v>
      </c>
      <c r="Y139" s="77" t="str">
        <f t="shared" si="709"/>
        <v>B. Rahmani (og)</v>
      </c>
      <c r="Z139" s="77" t="str">
        <f t="shared" si="710"/>
        <v>C. Wondolowski (og)</v>
      </c>
      <c r="AA139" s="77" t="str">
        <f t="shared" si="711"/>
        <v>C. Wondolowski (og)</v>
      </c>
      <c r="AB139" s="77" t="str">
        <f t="shared" si="712"/>
        <v>C. Wondolowski (og)</v>
      </c>
      <c r="AC139" s="77" t="str">
        <f t="shared" si="713"/>
        <v>M. Waris (og)</v>
      </c>
      <c r="AD139" s="77" t="str">
        <f t="shared" si="714"/>
        <v>K. Shin-wook (og)</v>
      </c>
      <c r="AE139" s="77" t="str">
        <f t="shared" si="715"/>
        <v>K. Shin-wook (og)</v>
      </c>
      <c r="AF139" s="77" t="str">
        <f t="shared" si="716"/>
        <v>K. Shin-wook (og)</v>
      </c>
      <c r="AG139" s="77" t="str">
        <f t="shared" si="717"/>
        <v>Y. Zhirkov (og)</v>
      </c>
      <c r="BT139" s="77" t="str">
        <f t="shared" ca="1" si="507"/>
        <v>Netherlands</v>
      </c>
      <c r="BU139" s="77">
        <f t="shared" si="718"/>
        <v>137</v>
      </c>
      <c r="BV139" s="77" t="str">
        <f t="shared" si="641"/>
        <v>A24</v>
      </c>
      <c r="BW139" s="77">
        <f t="shared" si="631"/>
        <v>6</v>
      </c>
      <c r="BX139" s="77" t="str">
        <f t="shared" ca="1" si="642"/>
        <v>M. Vorm</v>
      </c>
      <c r="BY139" s="77">
        <f ca="1">COUNTIF('Group Stages'!$L$14:$S$110,BX139)+COUNTIF('Knock Out Stages'!$N$41:$U$84,BX139)</f>
        <v>0</v>
      </c>
      <c r="BZ139" s="77" t="str">
        <f t="shared" si="632"/>
        <v>'Player Database'!A24</v>
      </c>
      <c r="CA139" s="77" t="str">
        <f t="shared" ca="1" si="633"/>
        <v>Michel Vorm</v>
      </c>
      <c r="CS139" s="77">
        <f t="shared" si="504"/>
        <v>136</v>
      </c>
      <c r="CT139" s="77">
        <f t="shared" si="616"/>
        <v>4</v>
      </c>
      <c r="CU139" s="77" t="str">
        <f t="shared" si="505"/>
        <v>CR13</v>
      </c>
      <c r="CV139" s="77" t="str">
        <f t="shared" ca="1" si="506"/>
        <v/>
      </c>
      <c r="CW139" s="77">
        <f t="shared" ca="1" si="719"/>
        <v>0</v>
      </c>
      <c r="CZ139" s="77">
        <v>136</v>
      </c>
      <c r="DA139" s="77" t="str">
        <f t="shared" ca="1" si="720"/>
        <v/>
      </c>
      <c r="DB139" s="77" t="str">
        <f t="shared" ca="1" si="721"/>
        <v/>
      </c>
      <c r="DC139" s="77" t="str">
        <f t="shared" ca="1" si="723"/>
        <v/>
      </c>
      <c r="DD139" s="77" t="str">
        <f t="shared" ca="1" si="722"/>
        <v/>
      </c>
    </row>
    <row r="140" spans="1:108">
      <c r="A140" s="77">
        <f t="shared" si="685"/>
        <v>19</v>
      </c>
      <c r="B140" s="77" t="str">
        <f t="shared" si="686"/>
        <v>F. Olinga (og)</v>
      </c>
      <c r="C140" s="77" t="str">
        <f t="shared" si="687"/>
        <v>F. Olinga (og)</v>
      </c>
      <c r="D140" s="77" t="str">
        <f t="shared" si="688"/>
        <v>F. Olinga (og)</v>
      </c>
      <c r="E140" s="77" t="str">
        <f t="shared" si="689"/>
        <v>O. Peralta (og)</v>
      </c>
      <c r="F140" s="77" t="str">
        <f t="shared" si="690"/>
        <v>R. McGowan (og)</v>
      </c>
      <c r="G140" s="77" t="str">
        <f t="shared" si="691"/>
        <v>R. McGowan (og)</v>
      </c>
      <c r="H140" s="77" t="str">
        <f t="shared" si="692"/>
        <v>R. McGowan (og)</v>
      </c>
      <c r="I140" s="77" t="str">
        <f t="shared" si="693"/>
        <v>J. Pedro Fuenzalida (og)</v>
      </c>
      <c r="J140" s="77" t="str">
        <f t="shared" si="694"/>
        <v>M. Inoha (og)</v>
      </c>
      <c r="K140" s="77" t="str">
        <f t="shared" si="695"/>
        <v>M. Inoha (og)</v>
      </c>
      <c r="L140" s="77" t="str">
        <f t="shared" si="696"/>
        <v>M. Inoha (og)</v>
      </c>
      <c r="M140" s="77" t="str">
        <f t="shared" si="697"/>
        <v>Y. Touré (og)</v>
      </c>
      <c r="N140" s="77" t="str">
        <f t="shared" si="698"/>
        <v>L. Bonucci (og)</v>
      </c>
      <c r="O140" s="77" t="str">
        <f t="shared" si="699"/>
        <v>L. Bonucci (og)</v>
      </c>
      <c r="P140" s="77" t="str">
        <f t="shared" si="700"/>
        <v>L. Bonucci (og)</v>
      </c>
      <c r="Q140" s="77" t="str">
        <f t="shared" si="701"/>
        <v>R. Sterling (og)</v>
      </c>
      <c r="R140" s="77" t="str">
        <f t="shared" si="702"/>
        <v>L. Garrido (og)</v>
      </c>
      <c r="S140" s="77" t="str">
        <f t="shared" si="703"/>
        <v>L. Garrido (og)</v>
      </c>
      <c r="T140" s="77" t="str">
        <f t="shared" si="704"/>
        <v>L. Garrido (og)</v>
      </c>
      <c r="U140" s="77" t="str">
        <f t="shared" si="705"/>
        <v>P. Pogba (og)</v>
      </c>
      <c r="V140" s="77" t="str">
        <f t="shared" si="706"/>
        <v>U. Nwofor (og)</v>
      </c>
      <c r="W140" s="77" t="str">
        <f t="shared" si="707"/>
        <v>U. Nwofor (og)</v>
      </c>
      <c r="X140" s="77" t="str">
        <f t="shared" si="708"/>
        <v>U. Nwofor (og)</v>
      </c>
      <c r="Y140" s="77" t="str">
        <f t="shared" si="709"/>
        <v>H. Beikzadeh (og)</v>
      </c>
      <c r="Z140" s="77" t="str">
        <f t="shared" si="710"/>
        <v>G. Zusi (og)</v>
      </c>
      <c r="AA140" s="77" t="str">
        <f t="shared" si="711"/>
        <v>G. Zusi (og)</v>
      </c>
      <c r="AB140" s="77" t="str">
        <f t="shared" si="712"/>
        <v>G. Zusi (og)</v>
      </c>
      <c r="AC140" s="77" t="str">
        <f t="shared" si="713"/>
        <v>J. Mensah (og)</v>
      </c>
      <c r="AD140" s="77" t="str">
        <f t="shared" si="714"/>
        <v>J. Dong-won (og)</v>
      </c>
      <c r="AE140" s="77" t="str">
        <f t="shared" si="715"/>
        <v>J. Dong-won (og)</v>
      </c>
      <c r="AF140" s="77" t="str">
        <f t="shared" si="716"/>
        <v>J. Dong-won (og)</v>
      </c>
      <c r="AG140" s="77" t="str">
        <f t="shared" si="717"/>
        <v>A. Samedov (og)</v>
      </c>
      <c r="BT140" s="77" t="str">
        <f t="shared" ca="1" si="507"/>
        <v>Netherlands</v>
      </c>
      <c r="BU140" s="77">
        <f t="shared" si="718"/>
        <v>138</v>
      </c>
      <c r="BV140" s="77" t="str">
        <f t="shared" si="641"/>
        <v>A25</v>
      </c>
      <c r="BW140" s="77">
        <f t="shared" si="631"/>
        <v>6</v>
      </c>
      <c r="BX140" s="77" t="str">
        <f t="shared" ca="1" si="642"/>
        <v>T. Krul</v>
      </c>
      <c r="BY140" s="77">
        <f ca="1">COUNTIF('Group Stages'!$L$14:$S$110,BX140)+COUNTIF('Knock Out Stages'!$N$41:$U$84,BX140)</f>
        <v>0</v>
      </c>
      <c r="BZ140" s="77" t="str">
        <f t="shared" si="632"/>
        <v>'Player Database'!A25</v>
      </c>
      <c r="CA140" s="77" t="str">
        <f t="shared" ca="1" si="633"/>
        <v>Tim Krul</v>
      </c>
      <c r="CS140" s="77">
        <f t="shared" si="504"/>
        <v>137</v>
      </c>
      <c r="CT140" s="77">
        <f t="shared" si="616"/>
        <v>4</v>
      </c>
      <c r="CU140" s="77" t="str">
        <f t="shared" si="505"/>
        <v>CR14</v>
      </c>
      <c r="CV140" s="77" t="str">
        <f t="shared" ca="1" si="506"/>
        <v/>
      </c>
      <c r="CW140" s="77">
        <f t="shared" ca="1" si="719"/>
        <v>0</v>
      </c>
      <c r="CZ140" s="77">
        <v>137</v>
      </c>
      <c r="DA140" s="77" t="str">
        <f t="shared" ca="1" si="720"/>
        <v/>
      </c>
      <c r="DB140" s="77" t="str">
        <f t="shared" ca="1" si="721"/>
        <v/>
      </c>
      <c r="DC140" s="77" t="str">
        <f t="shared" ca="1" si="723"/>
        <v/>
      </c>
      <c r="DD140" s="77" t="str">
        <f t="shared" ca="1" si="722"/>
        <v/>
      </c>
    </row>
    <row r="141" spans="1:108">
      <c r="A141" s="77">
        <f t="shared" si="685"/>
        <v>20</v>
      </c>
      <c r="B141" s="77" t="str">
        <f t="shared" si="686"/>
        <v>E. Salli (og)</v>
      </c>
      <c r="C141" s="77" t="str">
        <f t="shared" si="687"/>
        <v>E. Salli (og)</v>
      </c>
      <c r="D141" s="77" t="str">
        <f t="shared" si="688"/>
        <v>E. Salli (og)</v>
      </c>
      <c r="E141" s="77" t="str">
        <f t="shared" si="689"/>
        <v>J. Aquino (og)</v>
      </c>
      <c r="F141" s="77" t="str">
        <f t="shared" si="690"/>
        <v>D. Vidošić (og)</v>
      </c>
      <c r="G141" s="77" t="str">
        <f t="shared" si="691"/>
        <v>D. Vidošić (og)</v>
      </c>
      <c r="H141" s="77" t="str">
        <f t="shared" si="692"/>
        <v>D. Vidošić (og)</v>
      </c>
      <c r="I141" s="77" t="str">
        <f t="shared" si="693"/>
        <v>C. Aránguiz (og)</v>
      </c>
      <c r="J141" s="77" t="str">
        <f t="shared" si="694"/>
        <v>M. Saitō (og)</v>
      </c>
      <c r="K141" s="77" t="str">
        <f t="shared" si="695"/>
        <v>M. Saitō (og)</v>
      </c>
      <c r="L141" s="77" t="str">
        <f t="shared" si="696"/>
        <v>M. Saitō (og)</v>
      </c>
      <c r="M141" s="77" t="str">
        <f t="shared" si="697"/>
        <v>S. Die (og)</v>
      </c>
      <c r="N141" s="77" t="str">
        <f t="shared" si="698"/>
        <v>G. Paletta (og)</v>
      </c>
      <c r="O141" s="77" t="str">
        <f t="shared" si="699"/>
        <v>G. Paletta (og)</v>
      </c>
      <c r="P141" s="77" t="str">
        <f t="shared" si="700"/>
        <v>G. Paletta (og)</v>
      </c>
      <c r="Q141" s="77" t="str">
        <f t="shared" si="701"/>
        <v>A. Lallana (og)</v>
      </c>
      <c r="R141" s="77" t="str">
        <f t="shared" si="702"/>
        <v>J. Claros (og)</v>
      </c>
      <c r="S141" s="77" t="str">
        <f t="shared" si="703"/>
        <v>J. Claros (og)</v>
      </c>
      <c r="T141" s="77" t="str">
        <f t="shared" si="704"/>
        <v>J. Claros (og)</v>
      </c>
      <c r="U141" s="77" t="str">
        <f t="shared" si="705"/>
        <v>L. Rémy (og)</v>
      </c>
      <c r="V141" s="77" t="str">
        <f t="shared" si="706"/>
        <v>M. Uchebo (og)</v>
      </c>
      <c r="W141" s="77" t="str">
        <f t="shared" si="707"/>
        <v>M. Uchebo (og)</v>
      </c>
      <c r="X141" s="77" t="str">
        <f t="shared" si="708"/>
        <v>M. Uchebo (og)</v>
      </c>
      <c r="Y141" s="77" t="str">
        <f t="shared" si="709"/>
        <v>S. Beitashour (og)</v>
      </c>
      <c r="Z141" s="77" t="str">
        <f t="shared" si="710"/>
        <v>G. Cameron (og)</v>
      </c>
      <c r="AA141" s="77" t="str">
        <f t="shared" si="711"/>
        <v>G. Cameron (og)</v>
      </c>
      <c r="AB141" s="77" t="str">
        <f t="shared" si="712"/>
        <v>G. Cameron (og)</v>
      </c>
      <c r="AC141" s="77" t="str">
        <f t="shared" si="713"/>
        <v>K. Asamoah (og)</v>
      </c>
      <c r="AD141" s="77" t="str">
        <f t="shared" si="714"/>
        <v>H. Jeong-ho (og)</v>
      </c>
      <c r="AE141" s="77" t="str">
        <f t="shared" si="715"/>
        <v>H. Jeong-ho (og)</v>
      </c>
      <c r="AF141" s="77" t="str">
        <f t="shared" si="716"/>
        <v>H. Jeong-ho (og)</v>
      </c>
      <c r="AG141" s="77" t="str">
        <f t="shared" si="717"/>
        <v>V. Fayzulin (og)</v>
      </c>
      <c r="BT141" s="77" t="str">
        <f t="shared" ca="1" si="507"/>
        <v>Chile</v>
      </c>
      <c r="BU141" s="77">
        <f t="shared" si="718"/>
        <v>139</v>
      </c>
      <c r="BV141" s="77" t="str">
        <f t="shared" si="641"/>
        <v>A3</v>
      </c>
      <c r="BW141" s="77">
        <f t="shared" si="631"/>
        <v>7</v>
      </c>
      <c r="BX141" s="77" t="str">
        <f t="shared" ca="1" si="642"/>
        <v xml:space="preserve">C. Bravo </v>
      </c>
      <c r="BY141" s="77">
        <f ca="1">COUNTIF('Group Stages'!$L$14:$S$110,BX141)+COUNTIF('Knock Out Stages'!$N$41:$U$84,BX141)</f>
        <v>0</v>
      </c>
      <c r="BZ141" s="77" t="str">
        <f t="shared" si="632"/>
        <v>'Player Database'!A3</v>
      </c>
      <c r="CA141" s="77" t="str">
        <f t="shared" ca="1" si="633"/>
        <v xml:space="preserve">Claudio Bravo </v>
      </c>
      <c r="CS141" s="77">
        <f t="shared" si="504"/>
        <v>138</v>
      </c>
      <c r="CT141" s="77">
        <f t="shared" si="616"/>
        <v>4</v>
      </c>
      <c r="CU141" s="77" t="str">
        <f t="shared" si="505"/>
        <v>CR15</v>
      </c>
      <c r="CV141" s="77" t="str">
        <f t="shared" ca="1" si="506"/>
        <v/>
      </c>
      <c r="CW141" s="77">
        <f t="shared" ca="1" si="719"/>
        <v>0</v>
      </c>
      <c r="CZ141" s="77">
        <v>138</v>
      </c>
      <c r="DA141" s="77" t="str">
        <f t="shared" ca="1" si="720"/>
        <v/>
      </c>
      <c r="DB141" s="77" t="str">
        <f t="shared" ca="1" si="721"/>
        <v/>
      </c>
      <c r="DC141" s="77" t="str">
        <f t="shared" ca="1" si="723"/>
        <v/>
      </c>
      <c r="DD141" s="77" t="str">
        <f t="shared" ca="1" si="722"/>
        <v/>
      </c>
    </row>
    <row r="142" spans="1:108">
      <c r="A142" s="77">
        <f t="shared" si="685"/>
        <v>21</v>
      </c>
      <c r="B142" s="77" t="str">
        <f t="shared" si="686"/>
        <v>J. Matip (og)</v>
      </c>
      <c r="C142" s="77" t="str">
        <f t="shared" si="687"/>
        <v>J. Matip (og)</v>
      </c>
      <c r="D142" s="77" t="str">
        <f t="shared" si="688"/>
        <v>J. Matip (og)</v>
      </c>
      <c r="E142" s="77" t="str">
        <f t="shared" si="689"/>
        <v>C. Peña (og)</v>
      </c>
      <c r="F142" s="77" t="str">
        <f t="shared" si="690"/>
        <v>M. Luongo (og)</v>
      </c>
      <c r="G142" s="77" t="str">
        <f t="shared" si="691"/>
        <v>M. Luongo (og)</v>
      </c>
      <c r="H142" s="77" t="str">
        <f t="shared" si="692"/>
        <v>M. Luongo (og)</v>
      </c>
      <c r="I142" s="77" t="str">
        <f t="shared" si="693"/>
        <v>M. Díaz (og)</v>
      </c>
      <c r="J142" s="77" t="str">
        <f t="shared" si="694"/>
        <v>H. Sakai (og)</v>
      </c>
      <c r="K142" s="77" t="str">
        <f t="shared" si="695"/>
        <v>H. Sakai (og)</v>
      </c>
      <c r="L142" s="77" t="str">
        <f t="shared" si="696"/>
        <v>H. Sakai (og)</v>
      </c>
      <c r="M142" s="77" t="str">
        <f t="shared" si="697"/>
        <v>G. Sio (og)</v>
      </c>
      <c r="N142" s="77" t="str">
        <f t="shared" si="698"/>
        <v>A. Pirlo (og)</v>
      </c>
      <c r="O142" s="77" t="str">
        <f t="shared" si="699"/>
        <v>A. Pirlo (og)</v>
      </c>
      <c r="P142" s="77" t="str">
        <f t="shared" si="700"/>
        <v>A. Pirlo (og)</v>
      </c>
      <c r="Q142" s="77" t="str">
        <f t="shared" si="701"/>
        <v>R. Barkley (og)</v>
      </c>
      <c r="R142" s="77" t="str">
        <f t="shared" si="702"/>
        <v>A. Najar (og)</v>
      </c>
      <c r="S142" s="77" t="str">
        <f t="shared" si="703"/>
        <v>A. Najar (og)</v>
      </c>
      <c r="T142" s="77" t="str">
        <f t="shared" si="704"/>
        <v>A. Najar (og)</v>
      </c>
      <c r="U142" s="77" t="str">
        <f t="shared" si="705"/>
        <v>L. Koscielny (og)</v>
      </c>
      <c r="V142" s="77" t="str">
        <f t="shared" si="706"/>
        <v>C. Agbim (og)</v>
      </c>
      <c r="W142" s="77" t="str">
        <f t="shared" si="707"/>
        <v>C. Agbim (og)</v>
      </c>
      <c r="X142" s="77" t="str">
        <f t="shared" si="708"/>
        <v>C. Agbim (og)</v>
      </c>
      <c r="Y142" s="77" t="str">
        <f t="shared" si="709"/>
        <v>A. Dejagah (og)</v>
      </c>
      <c r="Z142" s="77" t="str">
        <f t="shared" si="710"/>
        <v>T. Chandler (og)</v>
      </c>
      <c r="AA142" s="77" t="str">
        <f t="shared" si="711"/>
        <v>T. Chandler (og)</v>
      </c>
      <c r="AB142" s="77" t="str">
        <f t="shared" si="712"/>
        <v>T. Chandler (og)</v>
      </c>
      <c r="AC142" s="77" t="str">
        <f t="shared" si="713"/>
        <v>J. Boye (og)</v>
      </c>
      <c r="AD142" s="77" t="str">
        <f t="shared" si="714"/>
        <v>K. Seung-gyu (og)</v>
      </c>
      <c r="AE142" s="77" t="str">
        <f t="shared" si="715"/>
        <v>K. Seung-gyu (og)</v>
      </c>
      <c r="AF142" s="77" t="str">
        <f t="shared" si="716"/>
        <v>K. Seung-gyu (og)</v>
      </c>
      <c r="AG142" s="77" t="str">
        <f t="shared" si="717"/>
        <v>A. Ionov (og)</v>
      </c>
      <c r="BT142" s="77" t="str">
        <f t="shared" ca="1" si="507"/>
        <v>Chile</v>
      </c>
      <c r="BU142" s="77">
        <f t="shared" si="718"/>
        <v>140</v>
      </c>
      <c r="BV142" s="77" t="str">
        <f t="shared" si="641"/>
        <v>A4</v>
      </c>
      <c r="BW142" s="77">
        <f t="shared" si="631"/>
        <v>7</v>
      </c>
      <c r="BX142" s="77" t="str">
        <f t="shared" ca="1" si="642"/>
        <v>E. Mena</v>
      </c>
      <c r="BY142" s="77">
        <f ca="1">COUNTIF('Group Stages'!$L$14:$S$110,BX142)+COUNTIF('Knock Out Stages'!$N$41:$U$84,BX142)</f>
        <v>0</v>
      </c>
      <c r="BZ142" s="77" t="str">
        <f t="shared" si="632"/>
        <v>'Player Database'!A4</v>
      </c>
      <c r="CA142" s="77" t="str">
        <f t="shared" ca="1" si="633"/>
        <v>Eugenio Mena</v>
      </c>
      <c r="CS142" s="77">
        <f t="shared" si="504"/>
        <v>139</v>
      </c>
      <c r="CT142" s="77">
        <f t="shared" si="616"/>
        <v>4</v>
      </c>
      <c r="CU142" s="77" t="str">
        <f t="shared" si="505"/>
        <v>CR16</v>
      </c>
      <c r="CV142" s="77" t="str">
        <f t="shared" ca="1" si="506"/>
        <v/>
      </c>
      <c r="CW142" s="77">
        <f t="shared" ca="1" si="719"/>
        <v>0</v>
      </c>
      <c r="CZ142" s="77">
        <v>139</v>
      </c>
      <c r="DA142" s="77" t="str">
        <f t="shared" ca="1" si="720"/>
        <v/>
      </c>
      <c r="DB142" s="77" t="str">
        <f t="shared" ca="1" si="721"/>
        <v/>
      </c>
      <c r="DC142" s="77" t="str">
        <f t="shared" ca="1" si="723"/>
        <v/>
      </c>
      <c r="DD142" s="77" t="str">
        <f t="shared" ca="1" si="722"/>
        <v/>
      </c>
    </row>
    <row r="143" spans="1:108">
      <c r="A143" s="77">
        <f t="shared" si="685"/>
        <v>22</v>
      </c>
      <c r="B143" s="77" t="str">
        <f t="shared" si="686"/>
        <v>A. Nyom (og)</v>
      </c>
      <c r="C143" s="77" t="str">
        <f t="shared" si="687"/>
        <v>A. Nyom (og)</v>
      </c>
      <c r="D143" s="77" t="str">
        <f t="shared" si="688"/>
        <v>A. Nyom (og)</v>
      </c>
      <c r="E143" s="77" t="str">
        <f t="shared" si="689"/>
        <v>P. Aguilar (og)</v>
      </c>
      <c r="F143" s="77" t="str">
        <f t="shared" si="690"/>
        <v>A. Wilkinson (og)</v>
      </c>
      <c r="G143" s="77" t="str">
        <f t="shared" si="691"/>
        <v>A. Wilkinson (og)</v>
      </c>
      <c r="H143" s="77" t="str">
        <f t="shared" si="692"/>
        <v>A. Wilkinson (og)</v>
      </c>
      <c r="I143" s="77" t="str">
        <f t="shared" si="693"/>
        <v>E. Paredes (og)</v>
      </c>
      <c r="J143" s="77" t="str">
        <f t="shared" si="694"/>
        <v>M. Yoshida (og)</v>
      </c>
      <c r="K143" s="77" t="str">
        <f t="shared" si="695"/>
        <v>M. Yoshida (og)</v>
      </c>
      <c r="L143" s="77" t="str">
        <f t="shared" si="696"/>
        <v>M. Yoshida (og)</v>
      </c>
      <c r="M143" s="77" t="str">
        <f t="shared" si="697"/>
        <v>S. Bamba (og)</v>
      </c>
      <c r="N143" s="77" t="str">
        <f t="shared" si="698"/>
        <v>L. Insigne (og)</v>
      </c>
      <c r="O143" s="77" t="str">
        <f t="shared" si="699"/>
        <v>L. Insigne (og)</v>
      </c>
      <c r="P143" s="77" t="str">
        <f t="shared" si="700"/>
        <v>L. Insigne (og)</v>
      </c>
      <c r="Q143" s="77" t="str">
        <f t="shared" si="701"/>
        <v>F. Forster (og)</v>
      </c>
      <c r="R143" s="77" t="str">
        <f t="shared" si="702"/>
        <v>D. Escober (og)</v>
      </c>
      <c r="S143" s="77" t="str">
        <f t="shared" si="703"/>
        <v>D. Escober (og)</v>
      </c>
      <c r="T143" s="77" t="str">
        <f t="shared" si="704"/>
        <v>D. Escober (og)</v>
      </c>
      <c r="U143" s="77" t="str">
        <f t="shared" si="705"/>
        <v>M. Schneiderlin[40] (og)</v>
      </c>
      <c r="V143" s="77" t="str">
        <f t="shared" si="706"/>
        <v>K. Omeruo (og)</v>
      </c>
      <c r="W143" s="77" t="str">
        <f t="shared" si="707"/>
        <v>K. Omeruo (og)</v>
      </c>
      <c r="X143" s="77" t="str">
        <f t="shared" si="708"/>
        <v>K. Omeruo (og)</v>
      </c>
      <c r="Y143" s="77" t="str">
        <f t="shared" si="709"/>
        <v>D. Davari (og)</v>
      </c>
      <c r="Z143" s="77" t="str">
        <f t="shared" si="710"/>
        <v>N. Rimando (og)</v>
      </c>
      <c r="AA143" s="77" t="str">
        <f t="shared" si="711"/>
        <v>N. Rimando (og)</v>
      </c>
      <c r="AB143" s="77" t="str">
        <f t="shared" si="712"/>
        <v>N. Rimando (og)</v>
      </c>
      <c r="AC143" s="77" t="str">
        <f t="shared" si="713"/>
        <v>W. Mubarak (og)</v>
      </c>
      <c r="AD143" s="77" t="str">
        <f t="shared" si="714"/>
        <v>P. Joo-ho[66] (og)</v>
      </c>
      <c r="AE143" s="77" t="str">
        <f t="shared" si="715"/>
        <v>P. Joo-ho[66] (og)</v>
      </c>
      <c r="AF143" s="77" t="str">
        <f t="shared" si="716"/>
        <v>P. Joo-ho[66] (og)</v>
      </c>
      <c r="AG143" s="77" t="str">
        <f t="shared" si="717"/>
        <v>A. Yeshchenko (og)</v>
      </c>
      <c r="BT143" s="77" t="str">
        <f t="shared" ca="1" si="507"/>
        <v>Chile</v>
      </c>
      <c r="BU143" s="77">
        <f t="shared" si="718"/>
        <v>141</v>
      </c>
      <c r="BV143" s="77" t="str">
        <f t="shared" si="641"/>
        <v>A5</v>
      </c>
      <c r="BW143" s="77">
        <f t="shared" si="631"/>
        <v>7</v>
      </c>
      <c r="BX143" s="77" t="str">
        <f t="shared" ca="1" si="642"/>
        <v>M. Albornoz</v>
      </c>
      <c r="BY143" s="77">
        <f ca="1">COUNTIF('Group Stages'!$L$14:$S$110,BX143)+COUNTIF('Knock Out Stages'!$N$41:$U$84,BX143)</f>
        <v>0</v>
      </c>
      <c r="BZ143" s="77" t="str">
        <f t="shared" si="632"/>
        <v>'Player Database'!A5</v>
      </c>
      <c r="CA143" s="77" t="str">
        <f t="shared" ca="1" si="633"/>
        <v>Miiko Albornoz</v>
      </c>
      <c r="CS143" s="77">
        <f t="shared" si="504"/>
        <v>140</v>
      </c>
      <c r="CT143" s="77">
        <f t="shared" si="616"/>
        <v>4</v>
      </c>
      <c r="CU143" s="77" t="str">
        <f t="shared" si="505"/>
        <v>CR17</v>
      </c>
      <c r="CV143" s="77" t="str">
        <f t="shared" ca="1" si="506"/>
        <v/>
      </c>
      <c r="CW143" s="77">
        <f t="shared" ca="1" si="719"/>
        <v>0</v>
      </c>
      <c r="CZ143" s="77">
        <v>140</v>
      </c>
      <c r="DA143" s="77" t="str">
        <f t="shared" ca="1" si="720"/>
        <v/>
      </c>
      <c r="DB143" s="77" t="str">
        <f t="shared" ca="1" si="721"/>
        <v/>
      </c>
      <c r="DC143" s="77" t="str">
        <f t="shared" ca="1" si="723"/>
        <v/>
      </c>
      <c r="DD143" s="77" t="str">
        <f t="shared" ca="1" si="722"/>
        <v/>
      </c>
    </row>
    <row r="144" spans="1:108">
      <c r="A144" s="77">
        <f t="shared" si="685"/>
        <v>23</v>
      </c>
      <c r="B144" s="77" t="str">
        <f t="shared" si="686"/>
        <v>S. N'Djock (og)</v>
      </c>
      <c r="C144" s="77" t="str">
        <f t="shared" si="687"/>
        <v>S. N'Djock (og)</v>
      </c>
      <c r="D144" s="77" t="str">
        <f t="shared" si="688"/>
        <v>S. N'Djock (og)</v>
      </c>
      <c r="E144" s="77" t="str">
        <f t="shared" si="689"/>
        <v>J. Juan Vázquez (og)</v>
      </c>
      <c r="F144" s="77" t="str">
        <f t="shared" si="690"/>
        <v>M. Bresciano (og)</v>
      </c>
      <c r="G144" s="77" t="str">
        <f t="shared" si="691"/>
        <v>M. Bresciano (og)</v>
      </c>
      <c r="H144" s="77" t="str">
        <f t="shared" si="692"/>
        <v>M. Bresciano (og)</v>
      </c>
      <c r="I144" s="77" t="str">
        <f t="shared" si="693"/>
        <v>J. Herrera (og)</v>
      </c>
      <c r="J144" s="77" t="str">
        <f t="shared" si="694"/>
        <v>S. Gonda (og)</v>
      </c>
      <c r="K144" s="77" t="str">
        <f t="shared" si="695"/>
        <v>S. Gonda (og)</v>
      </c>
      <c r="L144" s="77" t="str">
        <f t="shared" si="696"/>
        <v>S. Gonda (og)</v>
      </c>
      <c r="M144" s="77" t="str">
        <f t="shared" si="697"/>
        <v>S. Mandé (og)</v>
      </c>
      <c r="N144" s="77" t="str">
        <f t="shared" si="698"/>
        <v>M. Verratti (og)</v>
      </c>
      <c r="O144" s="77" t="str">
        <f t="shared" si="699"/>
        <v>M. Verratti (og)</v>
      </c>
      <c r="P144" s="77" t="str">
        <f t="shared" si="700"/>
        <v>M. Verratti (og)</v>
      </c>
      <c r="Q144" s="77" t="str">
        <f t="shared" si="701"/>
        <v>L. Shaw (og)</v>
      </c>
      <c r="R144" s="77" t="str">
        <f t="shared" si="702"/>
        <v>B. Beckeles (og)</v>
      </c>
      <c r="S144" s="77" t="str">
        <f t="shared" si="703"/>
        <v>B. Beckeles (og)</v>
      </c>
      <c r="T144" s="77" t="str">
        <f t="shared" si="704"/>
        <v>B. Beckeles (og)</v>
      </c>
      <c r="U144" s="77" t="str">
        <f t="shared" si="705"/>
        <v>M. Landreau (og)</v>
      </c>
      <c r="V144" s="77" t="str">
        <f t="shared" si="706"/>
        <v>S. Ameobi (og)</v>
      </c>
      <c r="W144" s="77" t="str">
        <f t="shared" si="707"/>
        <v>S. Ameobi (og)</v>
      </c>
      <c r="X144" s="77" t="str">
        <f t="shared" si="708"/>
        <v>S. Ameobi (og)</v>
      </c>
      <c r="Y144" s="77" t="str">
        <f t="shared" si="709"/>
        <v>M. Pouladi (og)</v>
      </c>
      <c r="Z144" s="77" t="str">
        <f t="shared" si="710"/>
        <v>F. Johnson (og)</v>
      </c>
      <c r="AA144" s="77" t="str">
        <f t="shared" si="711"/>
        <v>F. Johnson (og)</v>
      </c>
      <c r="AB144" s="77" t="str">
        <f t="shared" si="712"/>
        <v>F. Johnson (og)</v>
      </c>
      <c r="AC144" s="77" t="str">
        <f t="shared" si="713"/>
        <v>H. Afful (og)</v>
      </c>
      <c r="AD144" s="77" t="str">
        <f t="shared" si="714"/>
        <v>L. Bum-young (og)</v>
      </c>
      <c r="AE144" s="77" t="str">
        <f t="shared" si="715"/>
        <v>L. Bum-young (og)</v>
      </c>
      <c r="AF144" s="77" t="str">
        <f t="shared" si="716"/>
        <v>L. Bum-young (og)</v>
      </c>
      <c r="AG144" s="77" t="str">
        <f t="shared" si="717"/>
        <v>D. Kombarov (og)</v>
      </c>
      <c r="BT144" s="77" t="str">
        <f t="shared" ca="1" si="507"/>
        <v>Chile</v>
      </c>
      <c r="BU144" s="77">
        <f t="shared" si="718"/>
        <v>142</v>
      </c>
      <c r="BV144" s="77" t="str">
        <f t="shared" si="641"/>
        <v>A6</v>
      </c>
      <c r="BW144" s="77">
        <f t="shared" si="631"/>
        <v>7</v>
      </c>
      <c r="BX144" s="77" t="str">
        <f t="shared" ca="1" si="642"/>
        <v>M. Isla</v>
      </c>
      <c r="BY144" s="77">
        <f ca="1">COUNTIF('Group Stages'!$L$14:$S$110,BX144)+COUNTIF('Knock Out Stages'!$N$41:$U$84,BX144)</f>
        <v>0</v>
      </c>
      <c r="BZ144" s="77" t="str">
        <f t="shared" si="632"/>
        <v>'Player Database'!A6</v>
      </c>
      <c r="CA144" s="77" t="str">
        <f t="shared" ca="1" si="633"/>
        <v>Mauricio Isla</v>
      </c>
      <c r="CS144" s="77">
        <f t="shared" si="504"/>
        <v>141</v>
      </c>
      <c r="CT144" s="77">
        <f t="shared" si="616"/>
        <v>4</v>
      </c>
      <c r="CU144" s="77" t="str">
        <f t="shared" si="505"/>
        <v>CR18</v>
      </c>
      <c r="CV144" s="77" t="str">
        <f t="shared" ca="1" si="506"/>
        <v/>
      </c>
      <c r="CW144" s="77">
        <f t="shared" ca="1" si="719"/>
        <v>0</v>
      </c>
      <c r="CZ144" s="77">
        <v>141</v>
      </c>
      <c r="DA144" s="77" t="str">
        <f t="shared" ca="1" si="720"/>
        <v/>
      </c>
      <c r="DB144" s="77" t="str">
        <f t="shared" ca="1" si="721"/>
        <v/>
      </c>
      <c r="DC144" s="77" t="str">
        <f t="shared" ca="1" si="723"/>
        <v/>
      </c>
      <c r="DD144" s="77" t="str">
        <f t="shared" ca="1" si="722"/>
        <v/>
      </c>
    </row>
    <row r="145" spans="72:108">
      <c r="BT145" s="77" t="str">
        <f t="shared" ca="1" si="507"/>
        <v>Chile</v>
      </c>
      <c r="BU145" s="77">
        <f t="shared" si="718"/>
        <v>143</v>
      </c>
      <c r="BV145" s="77" t="str">
        <f t="shared" si="641"/>
        <v>A7</v>
      </c>
      <c r="BW145" s="77">
        <f t="shared" si="631"/>
        <v>7</v>
      </c>
      <c r="BX145" s="77" t="str">
        <f t="shared" ca="1" si="642"/>
        <v>F. Silva</v>
      </c>
      <c r="BY145" s="77">
        <f ca="1">COUNTIF('Group Stages'!$L$14:$S$110,BX145)+COUNTIF('Knock Out Stages'!$N$41:$U$84,BX145)</f>
        <v>0</v>
      </c>
      <c r="BZ145" s="77" t="str">
        <f t="shared" si="632"/>
        <v>'Player Database'!A7</v>
      </c>
      <c r="CA145" s="77" t="str">
        <f t="shared" ca="1" si="633"/>
        <v>Francisco Silva</v>
      </c>
      <c r="CS145" s="77">
        <f t="shared" si="504"/>
        <v>142</v>
      </c>
      <c r="CT145" s="77">
        <f t="shared" si="616"/>
        <v>4</v>
      </c>
      <c r="CU145" s="77" t="str">
        <f t="shared" si="505"/>
        <v>CR19</v>
      </c>
      <c r="CV145" s="77" t="str">
        <f t="shared" ca="1" si="506"/>
        <v/>
      </c>
      <c r="CW145" s="77">
        <f t="shared" ca="1" si="719"/>
        <v>0</v>
      </c>
      <c r="CZ145" s="77">
        <v>142</v>
      </c>
      <c r="DA145" s="77" t="str">
        <f t="shared" ca="1" si="720"/>
        <v/>
      </c>
      <c r="DB145" s="77" t="str">
        <f t="shared" ca="1" si="721"/>
        <v/>
      </c>
      <c r="DC145" s="77" t="str">
        <f t="shared" ca="1" si="723"/>
        <v/>
      </c>
      <c r="DD145" s="77" t="str">
        <f t="shared" ca="1" si="722"/>
        <v/>
      </c>
    </row>
    <row r="146" spans="72:108">
      <c r="BT146" s="77" t="str">
        <f t="shared" ca="1" si="507"/>
        <v>Chile</v>
      </c>
      <c r="BU146" s="77">
        <f t="shared" si="718"/>
        <v>144</v>
      </c>
      <c r="BV146" s="77" t="str">
        <f t="shared" si="641"/>
        <v>A8</v>
      </c>
      <c r="BW146" s="77">
        <f t="shared" si="631"/>
        <v>7</v>
      </c>
      <c r="BX146" s="77" t="str">
        <f t="shared" ca="1" si="642"/>
        <v>C. Carmona</v>
      </c>
      <c r="BY146" s="77">
        <f ca="1">COUNTIF('Group Stages'!$L$14:$S$110,BX146)+COUNTIF('Knock Out Stages'!$N$41:$U$84,BX146)</f>
        <v>0</v>
      </c>
      <c r="BZ146" s="77" t="str">
        <f t="shared" si="632"/>
        <v>'Player Database'!A8</v>
      </c>
      <c r="CA146" s="77" t="str">
        <f t="shared" ca="1" si="633"/>
        <v>Carlos Carmona</v>
      </c>
      <c r="CS146" s="77">
        <f t="shared" si="504"/>
        <v>143</v>
      </c>
      <c r="CT146" s="77">
        <f t="shared" si="616"/>
        <v>4</v>
      </c>
      <c r="CU146" s="77" t="str">
        <f t="shared" si="505"/>
        <v>CR20</v>
      </c>
      <c r="CV146" s="77" t="str">
        <f t="shared" ca="1" si="506"/>
        <v/>
      </c>
      <c r="CW146" s="77">
        <f t="shared" ca="1" si="719"/>
        <v>0</v>
      </c>
      <c r="CZ146" s="77">
        <v>143</v>
      </c>
      <c r="DA146" s="77" t="str">
        <f t="shared" ca="1" si="720"/>
        <v/>
      </c>
      <c r="DB146" s="77" t="str">
        <f t="shared" ca="1" si="721"/>
        <v/>
      </c>
      <c r="DC146" s="77" t="str">
        <f t="shared" ca="1" si="723"/>
        <v/>
      </c>
      <c r="DD146" s="77" t="str">
        <f t="shared" ca="1" si="722"/>
        <v/>
      </c>
    </row>
    <row r="147" spans="72:108">
      <c r="BT147" s="77" t="str">
        <f t="shared" ca="1" si="507"/>
        <v>Chile</v>
      </c>
      <c r="BU147" s="77">
        <f t="shared" si="718"/>
        <v>145</v>
      </c>
      <c r="BV147" s="77" t="str">
        <f t="shared" si="641"/>
        <v>A9</v>
      </c>
      <c r="BW147" s="77">
        <f t="shared" si="631"/>
        <v>7</v>
      </c>
      <c r="BX147" s="77" t="str">
        <f t="shared" ca="1" si="642"/>
        <v>A. Sánchez</v>
      </c>
      <c r="BY147" s="77">
        <f ca="1">COUNTIF('Group Stages'!$L$14:$S$110,BX147)+COUNTIF('Knock Out Stages'!$N$41:$U$84,BX147)</f>
        <v>0</v>
      </c>
      <c r="BZ147" s="77" t="str">
        <f t="shared" si="632"/>
        <v>'Player Database'!A9</v>
      </c>
      <c r="CA147" s="77" t="str">
        <f t="shared" ca="1" si="633"/>
        <v>Alexis Sánchez</v>
      </c>
      <c r="CS147" s="77">
        <f t="shared" si="504"/>
        <v>144</v>
      </c>
      <c r="CT147" s="77">
        <f t="shared" si="616"/>
        <v>4</v>
      </c>
      <c r="CU147" s="77" t="str">
        <f t="shared" si="505"/>
        <v>CR21</v>
      </c>
      <c r="CV147" s="77" t="str">
        <f t="shared" ca="1" si="506"/>
        <v/>
      </c>
      <c r="CW147" s="77">
        <f t="shared" ca="1" si="719"/>
        <v>0</v>
      </c>
      <c r="CZ147" s="77">
        <v>144</v>
      </c>
      <c r="DA147" s="77" t="str">
        <f t="shared" ca="1" si="720"/>
        <v/>
      </c>
      <c r="DB147" s="77" t="str">
        <f t="shared" ca="1" si="721"/>
        <v/>
      </c>
      <c r="DC147" s="77" t="str">
        <f t="shared" ca="1" si="723"/>
        <v/>
      </c>
      <c r="DD147" s="77" t="str">
        <f t="shared" ca="1" si="722"/>
        <v/>
      </c>
    </row>
    <row r="148" spans="72:108">
      <c r="BT148" s="77" t="str">
        <f t="shared" ca="1" si="507"/>
        <v>Chile</v>
      </c>
      <c r="BU148" s="77">
        <f t="shared" si="718"/>
        <v>146</v>
      </c>
      <c r="BV148" s="77" t="str">
        <f t="shared" si="641"/>
        <v>A10</v>
      </c>
      <c r="BW148" s="77">
        <f t="shared" si="631"/>
        <v>7</v>
      </c>
      <c r="BX148" s="77" t="str">
        <f t="shared" ca="1" si="642"/>
        <v>A. Vidal</v>
      </c>
      <c r="BY148" s="77">
        <f ca="1">COUNTIF('Group Stages'!$L$14:$S$110,BX148)+COUNTIF('Knock Out Stages'!$N$41:$U$84,BX148)</f>
        <v>0</v>
      </c>
      <c r="BZ148" s="77" t="str">
        <f t="shared" si="632"/>
        <v>'Player Database'!A10</v>
      </c>
      <c r="CA148" s="77" t="str">
        <f t="shared" ca="1" si="633"/>
        <v>Arturo Vidal</v>
      </c>
      <c r="CS148" s="77">
        <f t="shared" si="504"/>
        <v>145</v>
      </c>
      <c r="CT148" s="77">
        <f t="shared" si="616"/>
        <v>4</v>
      </c>
      <c r="CU148" s="77" t="str">
        <f t="shared" si="505"/>
        <v>CR22</v>
      </c>
      <c r="CV148" s="77" t="str">
        <f t="shared" ca="1" si="506"/>
        <v/>
      </c>
      <c r="CW148" s="77">
        <f t="shared" ca="1" si="719"/>
        <v>0</v>
      </c>
      <c r="CZ148" s="77">
        <v>145</v>
      </c>
      <c r="DA148" s="77" t="str">
        <f t="shared" ca="1" si="720"/>
        <v/>
      </c>
      <c r="DB148" s="77" t="str">
        <f t="shared" ca="1" si="721"/>
        <v/>
      </c>
      <c r="DC148" s="77" t="str">
        <f t="shared" ca="1" si="723"/>
        <v/>
      </c>
      <c r="DD148" s="77" t="str">
        <f t="shared" ca="1" si="722"/>
        <v/>
      </c>
    </row>
    <row r="149" spans="72:108">
      <c r="BT149" s="77" t="str">
        <f t="shared" ca="1" si="507"/>
        <v>Chile</v>
      </c>
      <c r="BU149" s="77">
        <f t="shared" si="718"/>
        <v>147</v>
      </c>
      <c r="BV149" s="77" t="str">
        <f t="shared" si="641"/>
        <v>A11</v>
      </c>
      <c r="BW149" s="77">
        <f t="shared" si="631"/>
        <v>7</v>
      </c>
      <c r="BX149" s="77" t="str">
        <f t="shared" ca="1" si="642"/>
        <v>M. Pinilla</v>
      </c>
      <c r="BY149" s="77">
        <f ca="1">COUNTIF('Group Stages'!$L$14:$S$110,BX149)+COUNTIF('Knock Out Stages'!$N$41:$U$84,BX149)</f>
        <v>0</v>
      </c>
      <c r="BZ149" s="77" t="str">
        <f t="shared" si="632"/>
        <v>'Player Database'!A11</v>
      </c>
      <c r="CA149" s="77" t="str">
        <f t="shared" ca="1" si="633"/>
        <v>Mauricio Pinilla</v>
      </c>
      <c r="CS149" s="77">
        <f t="shared" si="504"/>
        <v>146</v>
      </c>
      <c r="CT149" s="77">
        <f t="shared" si="616"/>
        <v>4</v>
      </c>
      <c r="CU149" s="77" t="str">
        <f t="shared" si="505"/>
        <v>CR23</v>
      </c>
      <c r="CV149" s="77" t="str">
        <f t="shared" ca="1" si="506"/>
        <v/>
      </c>
      <c r="CW149" s="77">
        <f t="shared" ca="1" si="719"/>
        <v>0</v>
      </c>
      <c r="CZ149" s="77">
        <v>146</v>
      </c>
      <c r="DA149" s="77" t="str">
        <f t="shared" ca="1" si="720"/>
        <v/>
      </c>
      <c r="DB149" s="77" t="str">
        <f t="shared" ca="1" si="721"/>
        <v/>
      </c>
      <c r="DC149" s="77" t="str">
        <f t="shared" ca="1" si="723"/>
        <v/>
      </c>
      <c r="DD149" s="77" t="str">
        <f t="shared" ca="1" si="722"/>
        <v/>
      </c>
    </row>
    <row r="150" spans="72:108">
      <c r="BT150" s="77" t="str">
        <f t="shared" ca="1" si="507"/>
        <v>Chile</v>
      </c>
      <c r="BU150" s="77">
        <f t="shared" si="718"/>
        <v>148</v>
      </c>
      <c r="BV150" s="77" t="str">
        <f t="shared" si="641"/>
        <v>A12</v>
      </c>
      <c r="BW150" s="77">
        <f t="shared" si="631"/>
        <v>7</v>
      </c>
      <c r="BX150" s="77" t="str">
        <f t="shared" ca="1" si="642"/>
        <v>J. Valdívia</v>
      </c>
      <c r="BY150" s="77">
        <f ca="1">COUNTIF('Group Stages'!$L$14:$S$110,BX150)+COUNTIF('Knock Out Stages'!$N$41:$U$84,BX150)</f>
        <v>0</v>
      </c>
      <c r="BZ150" s="77" t="str">
        <f t="shared" si="632"/>
        <v>'Player Database'!A12</v>
      </c>
      <c r="CA150" s="77" t="str">
        <f t="shared" ca="1" si="633"/>
        <v>Jorge Valdívia</v>
      </c>
      <c r="CS150" s="77">
        <f t="shared" si="504"/>
        <v>147</v>
      </c>
      <c r="CT150" s="77">
        <f t="shared" si="616"/>
        <v>4</v>
      </c>
      <c r="CU150" s="77" t="str">
        <f t="shared" si="505"/>
        <v>CR24</v>
      </c>
      <c r="CV150" s="77" t="str">
        <f t="shared" ca="1" si="506"/>
        <v/>
      </c>
      <c r="CW150" s="77">
        <f t="shared" ca="1" si="719"/>
        <v>0</v>
      </c>
      <c r="CZ150" s="77">
        <v>147</v>
      </c>
      <c r="DA150" s="77" t="str">
        <f t="shared" ca="1" si="720"/>
        <v/>
      </c>
      <c r="DB150" s="77" t="str">
        <f t="shared" ca="1" si="721"/>
        <v/>
      </c>
      <c r="DC150" s="77" t="str">
        <f t="shared" ca="1" si="723"/>
        <v/>
      </c>
      <c r="DD150" s="77" t="str">
        <f t="shared" ca="1" si="722"/>
        <v/>
      </c>
    </row>
    <row r="151" spans="72:108">
      <c r="BT151" s="77" t="str">
        <f t="shared" ca="1" si="507"/>
        <v>Chile</v>
      </c>
      <c r="BU151" s="77">
        <f t="shared" si="718"/>
        <v>149</v>
      </c>
      <c r="BV151" s="77" t="str">
        <f t="shared" si="641"/>
        <v>A13</v>
      </c>
      <c r="BW151" s="77">
        <f t="shared" si="631"/>
        <v>7</v>
      </c>
      <c r="BX151" s="77" t="str">
        <f t="shared" ca="1" si="642"/>
        <v>E. Vargas</v>
      </c>
      <c r="BY151" s="77">
        <f ca="1">COUNTIF('Group Stages'!$L$14:$S$110,BX151)+COUNTIF('Knock Out Stages'!$N$41:$U$84,BX151)</f>
        <v>0</v>
      </c>
      <c r="BZ151" s="77" t="str">
        <f t="shared" si="632"/>
        <v>'Player Database'!A13</v>
      </c>
      <c r="CA151" s="77" t="str">
        <f t="shared" ca="1" si="633"/>
        <v>Eduardo Vargas</v>
      </c>
      <c r="CS151" s="77">
        <f t="shared" si="504"/>
        <v>148</v>
      </c>
      <c r="CT151" s="77">
        <f t="shared" si="616"/>
        <v>4</v>
      </c>
      <c r="CU151" s="77" t="str">
        <f t="shared" si="505"/>
        <v>CR25</v>
      </c>
      <c r="CV151" s="77" t="str">
        <f t="shared" ca="1" si="506"/>
        <v/>
      </c>
      <c r="CW151" s="77">
        <f t="shared" ca="1" si="719"/>
        <v>0</v>
      </c>
      <c r="CZ151" s="77">
        <v>148</v>
      </c>
      <c r="DA151" s="77" t="str">
        <f t="shared" ca="1" si="720"/>
        <v/>
      </c>
      <c r="DB151" s="77" t="str">
        <f t="shared" ca="1" si="721"/>
        <v/>
      </c>
      <c r="DC151" s="77" t="str">
        <f t="shared" ca="1" si="723"/>
        <v/>
      </c>
      <c r="DD151" s="77" t="str">
        <f t="shared" ca="1" si="722"/>
        <v/>
      </c>
    </row>
    <row r="152" spans="72:108">
      <c r="BT152" s="77" t="str">
        <f t="shared" ca="1" si="507"/>
        <v>Chile</v>
      </c>
      <c r="BU152" s="77">
        <f t="shared" si="718"/>
        <v>150</v>
      </c>
      <c r="BV152" s="77" t="str">
        <f t="shared" si="641"/>
        <v>A14</v>
      </c>
      <c r="BW152" s="77">
        <f t="shared" si="631"/>
        <v>7</v>
      </c>
      <c r="BX152" s="77" t="str">
        <f t="shared" ca="1" si="642"/>
        <v>C. Toselli</v>
      </c>
      <c r="BY152" s="77">
        <f ca="1">COUNTIF('Group Stages'!$L$14:$S$110,BX152)+COUNTIF('Knock Out Stages'!$N$41:$U$84,BX152)</f>
        <v>0</v>
      </c>
      <c r="BZ152" s="77" t="str">
        <f t="shared" si="632"/>
        <v>'Player Database'!A14</v>
      </c>
      <c r="CA152" s="77" t="str">
        <f t="shared" ca="1" si="633"/>
        <v>Cristopher Toselli</v>
      </c>
      <c r="CS152" s="77">
        <f t="shared" si="504"/>
        <v>149</v>
      </c>
      <c r="CT152" s="77">
        <f t="shared" si="616"/>
        <v>4</v>
      </c>
      <c r="CU152" s="77" t="str">
        <f t="shared" si="505"/>
        <v>CR26</v>
      </c>
      <c r="CV152" s="77" t="str">
        <f t="shared" ca="1" si="506"/>
        <v/>
      </c>
      <c r="CW152" s="77">
        <f t="shared" ca="1" si="719"/>
        <v>0</v>
      </c>
      <c r="CZ152" s="77">
        <v>149</v>
      </c>
      <c r="DA152" s="77" t="str">
        <f t="shared" ca="1" si="720"/>
        <v/>
      </c>
      <c r="DB152" s="77" t="str">
        <f t="shared" ca="1" si="721"/>
        <v/>
      </c>
      <c r="DC152" s="77" t="str">
        <f t="shared" ca="1" si="723"/>
        <v/>
      </c>
      <c r="DD152" s="77" t="str">
        <f t="shared" ca="1" si="722"/>
        <v/>
      </c>
    </row>
    <row r="153" spans="72:108">
      <c r="BT153" s="77" t="str">
        <f t="shared" ca="1" si="507"/>
        <v>Chile</v>
      </c>
      <c r="BU153" s="77">
        <f t="shared" si="718"/>
        <v>151</v>
      </c>
      <c r="BV153" s="77" t="str">
        <f t="shared" si="641"/>
        <v>A15</v>
      </c>
      <c r="BW153" s="77">
        <f t="shared" si="631"/>
        <v>7</v>
      </c>
      <c r="BX153" s="77" t="str">
        <f t="shared" ca="1" si="642"/>
        <v>J. Rojas</v>
      </c>
      <c r="BY153" s="77">
        <f ca="1">COUNTIF('Group Stages'!$L$14:$S$110,BX153)+COUNTIF('Knock Out Stages'!$N$41:$U$84,BX153)</f>
        <v>0</v>
      </c>
      <c r="BZ153" s="77" t="str">
        <f t="shared" si="632"/>
        <v>'Player Database'!A15</v>
      </c>
      <c r="CA153" s="77" t="str">
        <f t="shared" ca="1" si="633"/>
        <v>José Rojas</v>
      </c>
      <c r="CS153" s="77">
        <f t="shared" ref="CS153:CS216" si="724">CS152+1</f>
        <v>150</v>
      </c>
      <c r="CT153" s="77">
        <f t="shared" si="616"/>
        <v>4</v>
      </c>
      <c r="CU153" s="77" t="str">
        <f t="shared" ref="CU153:CU216" si="725">CU111</f>
        <v>CR27</v>
      </c>
      <c r="CV153" s="77" t="str">
        <f t="shared" ref="CV153:CV216" ca="1" si="726">OFFSET(INDIRECT(CU153),0,-CT153)</f>
        <v/>
      </c>
      <c r="CW153" s="77">
        <f t="shared" ca="1" si="719"/>
        <v>0</v>
      </c>
      <c r="CZ153" s="77">
        <v>150</v>
      </c>
      <c r="DA153" s="77" t="str">
        <f t="shared" ca="1" si="720"/>
        <v/>
      </c>
      <c r="DB153" s="77" t="str">
        <f t="shared" ca="1" si="721"/>
        <v/>
      </c>
      <c r="DC153" s="77" t="str">
        <f t="shared" ca="1" si="723"/>
        <v/>
      </c>
      <c r="DD153" s="77" t="str">
        <f t="shared" ca="1" si="722"/>
        <v/>
      </c>
    </row>
    <row r="154" spans="72:108">
      <c r="BT154" s="77" t="str">
        <f t="shared" ca="1" si="507"/>
        <v>Chile</v>
      </c>
      <c r="BU154" s="77">
        <f t="shared" si="718"/>
        <v>152</v>
      </c>
      <c r="BV154" s="77" t="str">
        <f t="shared" si="641"/>
        <v>A16</v>
      </c>
      <c r="BW154" s="77">
        <f t="shared" si="631"/>
        <v>7</v>
      </c>
      <c r="BX154" s="77" t="str">
        <f t="shared" ca="1" si="642"/>
        <v>F. Orellana</v>
      </c>
      <c r="BY154" s="77">
        <f ca="1">COUNTIF('Group Stages'!$L$14:$S$110,BX154)+COUNTIF('Knock Out Stages'!$N$41:$U$84,BX154)</f>
        <v>0</v>
      </c>
      <c r="BZ154" s="77" t="str">
        <f t="shared" si="632"/>
        <v>'Player Database'!A16</v>
      </c>
      <c r="CA154" s="77" t="str">
        <f t="shared" ca="1" si="633"/>
        <v>Fabián Orellana</v>
      </c>
      <c r="CS154" s="77">
        <f t="shared" si="724"/>
        <v>151</v>
      </c>
      <c r="CT154" s="77">
        <f t="shared" si="616"/>
        <v>4</v>
      </c>
      <c r="CU154" s="77" t="str">
        <f t="shared" si="725"/>
        <v>CR28</v>
      </c>
      <c r="CV154" s="77" t="str">
        <f t="shared" ca="1" si="726"/>
        <v/>
      </c>
      <c r="CW154" s="77">
        <f t="shared" ca="1" si="719"/>
        <v>0</v>
      </c>
      <c r="CZ154" s="77">
        <v>151</v>
      </c>
      <c r="DA154" s="77" t="str">
        <f t="shared" ca="1" si="720"/>
        <v/>
      </c>
      <c r="DB154" s="77" t="str">
        <f t="shared" ca="1" si="721"/>
        <v/>
      </c>
      <c r="DC154" s="77" t="str">
        <f t="shared" ca="1" si="723"/>
        <v/>
      </c>
      <c r="DD154" s="77" t="str">
        <f t="shared" ca="1" si="722"/>
        <v/>
      </c>
    </row>
    <row r="155" spans="72:108">
      <c r="BT155" s="77" t="str">
        <f t="shared" ref="BT155:BT218" ca="1" si="727">OFFSET($A$2,0,BW155)</f>
        <v>Chile</v>
      </c>
      <c r="BU155" s="77">
        <f t="shared" si="718"/>
        <v>153</v>
      </c>
      <c r="BV155" s="77" t="str">
        <f t="shared" si="641"/>
        <v>A17</v>
      </c>
      <c r="BW155" s="77">
        <f t="shared" si="631"/>
        <v>7</v>
      </c>
      <c r="BX155" s="77" t="str">
        <f t="shared" ca="1" si="642"/>
        <v>J. Beausejour</v>
      </c>
      <c r="BY155" s="77">
        <f ca="1">COUNTIF('Group Stages'!$L$14:$S$110,BX155)+COUNTIF('Knock Out Stages'!$N$41:$U$84,BX155)</f>
        <v>0</v>
      </c>
      <c r="BZ155" s="77" t="str">
        <f t="shared" si="632"/>
        <v>'Player Database'!A17</v>
      </c>
      <c r="CA155" s="77" t="str">
        <f t="shared" ca="1" si="633"/>
        <v>Jean Beausejour</v>
      </c>
      <c r="CS155" s="77">
        <f t="shared" si="724"/>
        <v>152</v>
      </c>
      <c r="CT155" s="77">
        <f t="shared" si="616"/>
        <v>4</v>
      </c>
      <c r="CU155" s="77" t="str">
        <f t="shared" si="725"/>
        <v>CR29</v>
      </c>
      <c r="CV155" s="77" t="str">
        <f t="shared" ca="1" si="726"/>
        <v/>
      </c>
      <c r="CW155" s="77">
        <f t="shared" ca="1" si="719"/>
        <v>0</v>
      </c>
      <c r="CZ155" s="77">
        <v>152</v>
      </c>
      <c r="DA155" s="77" t="str">
        <f t="shared" ca="1" si="720"/>
        <v/>
      </c>
      <c r="DB155" s="77" t="str">
        <f t="shared" ca="1" si="721"/>
        <v/>
      </c>
      <c r="DC155" s="77" t="str">
        <f t="shared" ca="1" si="723"/>
        <v/>
      </c>
      <c r="DD155" s="77" t="str">
        <f t="shared" ca="1" si="722"/>
        <v/>
      </c>
    </row>
    <row r="156" spans="72:108">
      <c r="BT156" s="77" t="str">
        <f t="shared" ca="1" si="727"/>
        <v>Chile</v>
      </c>
      <c r="BU156" s="77">
        <f t="shared" si="718"/>
        <v>154</v>
      </c>
      <c r="BV156" s="77" t="str">
        <f t="shared" si="641"/>
        <v>A18</v>
      </c>
      <c r="BW156" s="77">
        <f t="shared" si="631"/>
        <v>7</v>
      </c>
      <c r="BX156" s="77" t="str">
        <f t="shared" ca="1" si="642"/>
        <v>F. Gutiérrez</v>
      </c>
      <c r="BY156" s="77">
        <f ca="1">COUNTIF('Group Stages'!$L$14:$S$110,BX156)+COUNTIF('Knock Out Stages'!$N$41:$U$84,BX156)</f>
        <v>0</v>
      </c>
      <c r="BZ156" s="77" t="str">
        <f t="shared" si="632"/>
        <v>'Player Database'!A18</v>
      </c>
      <c r="CA156" s="77" t="str">
        <f t="shared" ca="1" si="633"/>
        <v>Felipe Gutiérrez</v>
      </c>
      <c r="CS156" s="77">
        <f t="shared" si="724"/>
        <v>153</v>
      </c>
      <c r="CT156" s="77">
        <f t="shared" si="616"/>
        <v>4</v>
      </c>
      <c r="CU156" s="77" t="str">
        <f t="shared" si="725"/>
        <v>CR30</v>
      </c>
      <c r="CV156" s="77" t="str">
        <f t="shared" ca="1" si="726"/>
        <v/>
      </c>
      <c r="CW156" s="77">
        <f t="shared" ca="1" si="719"/>
        <v>0</v>
      </c>
      <c r="CZ156" s="77">
        <v>153</v>
      </c>
      <c r="DA156" s="77" t="str">
        <f t="shared" ca="1" si="720"/>
        <v/>
      </c>
      <c r="DB156" s="77" t="str">
        <f t="shared" ca="1" si="721"/>
        <v/>
      </c>
      <c r="DC156" s="77" t="str">
        <f t="shared" ca="1" si="723"/>
        <v/>
      </c>
      <c r="DD156" s="77" t="str">
        <f t="shared" ca="1" si="722"/>
        <v/>
      </c>
    </row>
    <row r="157" spans="72:108">
      <c r="BT157" s="77" t="str">
        <f t="shared" ca="1" si="727"/>
        <v>Chile</v>
      </c>
      <c r="BU157" s="77">
        <f t="shared" si="718"/>
        <v>155</v>
      </c>
      <c r="BV157" s="77" t="str">
        <f t="shared" si="641"/>
        <v>A19</v>
      </c>
      <c r="BW157" s="77">
        <f t="shared" si="631"/>
        <v>7</v>
      </c>
      <c r="BX157" s="77" t="str">
        <f t="shared" ca="1" si="642"/>
        <v>G. Medel</v>
      </c>
      <c r="BY157" s="77">
        <f ca="1">COUNTIF('Group Stages'!$L$14:$S$110,BX157)+COUNTIF('Knock Out Stages'!$N$41:$U$84,BX157)</f>
        <v>0</v>
      </c>
      <c r="BZ157" s="77" t="str">
        <f t="shared" si="632"/>
        <v>'Player Database'!A19</v>
      </c>
      <c r="CA157" s="77" t="str">
        <f t="shared" ca="1" si="633"/>
        <v>Gary Medel</v>
      </c>
      <c r="CS157" s="77">
        <f t="shared" si="724"/>
        <v>154</v>
      </c>
      <c r="CT157" s="77">
        <f t="shared" si="616"/>
        <v>4</v>
      </c>
      <c r="CU157" s="77" t="str">
        <f t="shared" si="725"/>
        <v>CR31</v>
      </c>
      <c r="CV157" s="77" t="str">
        <f t="shared" ca="1" si="726"/>
        <v/>
      </c>
      <c r="CW157" s="77">
        <f t="shared" ca="1" si="719"/>
        <v>0</v>
      </c>
      <c r="CZ157" s="77">
        <v>154</v>
      </c>
      <c r="DA157" s="77" t="str">
        <f t="shared" ca="1" si="720"/>
        <v/>
      </c>
      <c r="DB157" s="77" t="str">
        <f t="shared" ca="1" si="721"/>
        <v/>
      </c>
      <c r="DC157" s="77" t="str">
        <f t="shared" ca="1" si="723"/>
        <v/>
      </c>
      <c r="DD157" s="77" t="str">
        <f t="shared" ca="1" si="722"/>
        <v/>
      </c>
    </row>
    <row r="158" spans="72:108">
      <c r="BT158" s="77" t="str">
        <f t="shared" ca="1" si="727"/>
        <v>Chile</v>
      </c>
      <c r="BU158" s="77">
        <f t="shared" si="718"/>
        <v>156</v>
      </c>
      <c r="BV158" s="77" t="str">
        <f t="shared" si="641"/>
        <v>A20</v>
      </c>
      <c r="BW158" s="77">
        <f t="shared" si="631"/>
        <v>7</v>
      </c>
      <c r="BX158" s="77" t="str">
        <f t="shared" ca="1" si="642"/>
        <v>G. Jara</v>
      </c>
      <c r="BY158" s="77">
        <f ca="1">COUNTIF('Group Stages'!$L$14:$S$110,BX158)+COUNTIF('Knock Out Stages'!$N$41:$U$84,BX158)</f>
        <v>0</v>
      </c>
      <c r="BZ158" s="77" t="str">
        <f t="shared" si="632"/>
        <v>'Player Database'!A20</v>
      </c>
      <c r="CA158" s="77" t="str">
        <f t="shared" ca="1" si="633"/>
        <v>Gonzalo Jara</v>
      </c>
      <c r="CS158" s="77">
        <f t="shared" si="724"/>
        <v>155</v>
      </c>
      <c r="CT158" s="77">
        <f t="shared" si="616"/>
        <v>4</v>
      </c>
      <c r="CU158" s="77" t="str">
        <f t="shared" si="725"/>
        <v>CR32</v>
      </c>
      <c r="CV158" s="77" t="str">
        <f t="shared" ca="1" si="726"/>
        <v/>
      </c>
      <c r="CW158" s="77">
        <f t="shared" ca="1" si="719"/>
        <v>0</v>
      </c>
      <c r="CZ158" s="77">
        <v>155</v>
      </c>
      <c r="DA158" s="77" t="str">
        <f t="shared" ca="1" si="720"/>
        <v/>
      </c>
      <c r="DB158" s="77" t="str">
        <f t="shared" ca="1" si="721"/>
        <v/>
      </c>
      <c r="DC158" s="77" t="str">
        <f t="shared" ca="1" si="723"/>
        <v/>
      </c>
      <c r="DD158" s="77" t="str">
        <f t="shared" ca="1" si="722"/>
        <v/>
      </c>
    </row>
    <row r="159" spans="72:108">
      <c r="BT159" s="77" t="str">
        <f t="shared" ca="1" si="727"/>
        <v>Chile</v>
      </c>
      <c r="BU159" s="77">
        <f t="shared" si="718"/>
        <v>157</v>
      </c>
      <c r="BV159" s="77" t="str">
        <f t="shared" si="641"/>
        <v>A21</v>
      </c>
      <c r="BW159" s="77">
        <f t="shared" si="631"/>
        <v>7</v>
      </c>
      <c r="BX159" s="77" t="str">
        <f t="shared" ca="1" si="642"/>
        <v>J. Pedro Fuenzalida</v>
      </c>
      <c r="BY159" s="77">
        <f ca="1">COUNTIF('Group Stages'!$L$14:$S$110,BX159)+COUNTIF('Knock Out Stages'!$N$41:$U$84,BX159)</f>
        <v>0</v>
      </c>
      <c r="BZ159" s="77" t="str">
        <f t="shared" si="632"/>
        <v>'Player Database'!A21</v>
      </c>
      <c r="CA159" s="77" t="str">
        <f t="shared" ca="1" si="633"/>
        <v>José Pedro Fuenzalida</v>
      </c>
      <c r="CS159" s="77">
        <f t="shared" si="724"/>
        <v>156</v>
      </c>
      <c r="CT159" s="77">
        <f t="shared" si="616"/>
        <v>4</v>
      </c>
      <c r="CU159" s="77" t="str">
        <f t="shared" si="725"/>
        <v>CR33</v>
      </c>
      <c r="CV159" s="77" t="str">
        <f t="shared" ca="1" si="726"/>
        <v/>
      </c>
      <c r="CW159" s="77">
        <f t="shared" ca="1" si="719"/>
        <v>0</v>
      </c>
      <c r="CZ159" s="77">
        <v>156</v>
      </c>
      <c r="DA159" s="77" t="str">
        <f t="shared" ca="1" si="720"/>
        <v/>
      </c>
      <c r="DB159" s="77" t="str">
        <f t="shared" ca="1" si="721"/>
        <v/>
      </c>
      <c r="DC159" s="77" t="str">
        <f t="shared" ca="1" si="723"/>
        <v/>
      </c>
      <c r="DD159" s="77" t="str">
        <f t="shared" ca="1" si="722"/>
        <v/>
      </c>
    </row>
    <row r="160" spans="72:108">
      <c r="BT160" s="77" t="str">
        <f t="shared" ca="1" si="727"/>
        <v>Chile</v>
      </c>
      <c r="BU160" s="77">
        <f t="shared" si="718"/>
        <v>158</v>
      </c>
      <c r="BV160" s="77" t="str">
        <f t="shared" si="641"/>
        <v>A22</v>
      </c>
      <c r="BW160" s="77">
        <f t="shared" si="631"/>
        <v>7</v>
      </c>
      <c r="BX160" s="77" t="str">
        <f t="shared" ca="1" si="642"/>
        <v>C. Aránguiz</v>
      </c>
      <c r="BY160" s="77">
        <f ca="1">COUNTIF('Group Stages'!$L$14:$S$110,BX160)+COUNTIF('Knock Out Stages'!$N$41:$U$84,BX160)</f>
        <v>0</v>
      </c>
      <c r="BZ160" s="77" t="str">
        <f t="shared" si="632"/>
        <v>'Player Database'!A22</v>
      </c>
      <c r="CA160" s="77" t="str">
        <f t="shared" ca="1" si="633"/>
        <v>Charles Aránguiz</v>
      </c>
      <c r="CS160" s="77">
        <f t="shared" si="724"/>
        <v>157</v>
      </c>
      <c r="CT160" s="77">
        <f t="shared" si="616"/>
        <v>4</v>
      </c>
      <c r="CU160" s="77" t="str">
        <f t="shared" si="725"/>
        <v>CR34</v>
      </c>
      <c r="CV160" s="77" t="str">
        <f t="shared" ca="1" si="726"/>
        <v/>
      </c>
      <c r="CW160" s="77">
        <f t="shared" ca="1" si="719"/>
        <v>0</v>
      </c>
      <c r="CZ160" s="77">
        <v>157</v>
      </c>
      <c r="DA160" s="77" t="str">
        <f t="shared" ca="1" si="720"/>
        <v/>
      </c>
      <c r="DB160" s="77" t="str">
        <f t="shared" ca="1" si="721"/>
        <v/>
      </c>
      <c r="DC160" s="77" t="str">
        <f t="shared" ca="1" si="723"/>
        <v/>
      </c>
      <c r="DD160" s="77" t="str">
        <f t="shared" ca="1" si="722"/>
        <v/>
      </c>
    </row>
    <row r="161" spans="72:108">
      <c r="BT161" s="77" t="str">
        <f t="shared" ca="1" si="727"/>
        <v>Chile</v>
      </c>
      <c r="BU161" s="77">
        <f t="shared" si="718"/>
        <v>159</v>
      </c>
      <c r="BV161" s="77" t="str">
        <f t="shared" si="641"/>
        <v>A23</v>
      </c>
      <c r="BW161" s="77">
        <f t="shared" si="631"/>
        <v>7</v>
      </c>
      <c r="BX161" s="77" t="str">
        <f t="shared" ca="1" si="642"/>
        <v>M. Díaz</v>
      </c>
      <c r="BY161" s="77">
        <f ca="1">COUNTIF('Group Stages'!$L$14:$S$110,BX161)+COUNTIF('Knock Out Stages'!$N$41:$U$84,BX161)</f>
        <v>0</v>
      </c>
      <c r="BZ161" s="77" t="str">
        <f t="shared" si="632"/>
        <v>'Player Database'!A23</v>
      </c>
      <c r="CA161" s="77" t="str">
        <f t="shared" ca="1" si="633"/>
        <v>Marcelo Díaz</v>
      </c>
      <c r="CS161" s="77">
        <f t="shared" si="724"/>
        <v>158</v>
      </c>
      <c r="CT161" s="77">
        <f t="shared" si="616"/>
        <v>4</v>
      </c>
      <c r="CU161" s="77" t="str">
        <f t="shared" si="725"/>
        <v>CR35</v>
      </c>
      <c r="CV161" s="77" t="str">
        <f t="shared" ca="1" si="726"/>
        <v/>
      </c>
      <c r="CW161" s="77">
        <f t="shared" ca="1" si="719"/>
        <v>0</v>
      </c>
      <c r="CZ161" s="77">
        <v>158</v>
      </c>
      <c r="DA161" s="77" t="str">
        <f t="shared" ca="1" si="720"/>
        <v/>
      </c>
      <c r="DB161" s="77" t="str">
        <f t="shared" ca="1" si="721"/>
        <v/>
      </c>
      <c r="DC161" s="77" t="str">
        <f t="shared" ca="1" si="723"/>
        <v/>
      </c>
      <c r="DD161" s="77" t="str">
        <f t="shared" ca="1" si="722"/>
        <v/>
      </c>
    </row>
    <row r="162" spans="72:108">
      <c r="BT162" s="77" t="str">
        <f t="shared" ca="1" si="727"/>
        <v>Chile</v>
      </c>
      <c r="BU162" s="77">
        <f t="shared" si="718"/>
        <v>160</v>
      </c>
      <c r="BV162" s="77" t="str">
        <f t="shared" si="641"/>
        <v>A24</v>
      </c>
      <c r="BW162" s="77">
        <f t="shared" si="631"/>
        <v>7</v>
      </c>
      <c r="BX162" s="77" t="str">
        <f t="shared" ca="1" si="642"/>
        <v>E. Paredes</v>
      </c>
      <c r="BY162" s="77">
        <f ca="1">COUNTIF('Group Stages'!$L$14:$S$110,BX162)+COUNTIF('Knock Out Stages'!$N$41:$U$84,BX162)</f>
        <v>0</v>
      </c>
      <c r="BZ162" s="77" t="str">
        <f t="shared" si="632"/>
        <v>'Player Database'!A24</v>
      </c>
      <c r="CA162" s="77" t="str">
        <f t="shared" ca="1" si="633"/>
        <v>Esteban Paredes</v>
      </c>
      <c r="CS162" s="77">
        <f t="shared" si="724"/>
        <v>159</v>
      </c>
      <c r="CT162" s="77">
        <f t="shared" si="616"/>
        <v>4</v>
      </c>
      <c r="CU162" s="77" t="str">
        <f t="shared" si="725"/>
        <v>CR36</v>
      </c>
      <c r="CV162" s="77" t="str">
        <f t="shared" ca="1" si="726"/>
        <v/>
      </c>
      <c r="CW162" s="77">
        <f t="shared" ca="1" si="719"/>
        <v>0</v>
      </c>
      <c r="CZ162" s="77">
        <v>159</v>
      </c>
      <c r="DA162" s="77" t="str">
        <f t="shared" ca="1" si="720"/>
        <v/>
      </c>
      <c r="DB162" s="77" t="str">
        <f t="shared" ca="1" si="721"/>
        <v/>
      </c>
      <c r="DC162" s="77" t="str">
        <f t="shared" ca="1" si="723"/>
        <v/>
      </c>
      <c r="DD162" s="77" t="str">
        <f t="shared" ca="1" si="722"/>
        <v/>
      </c>
    </row>
    <row r="163" spans="72:108">
      <c r="BT163" s="77" t="str">
        <f t="shared" ca="1" si="727"/>
        <v>Chile</v>
      </c>
      <c r="BU163" s="77">
        <f t="shared" si="718"/>
        <v>161</v>
      </c>
      <c r="BV163" s="77" t="str">
        <f t="shared" si="641"/>
        <v>A25</v>
      </c>
      <c r="BW163" s="77">
        <f t="shared" si="631"/>
        <v>7</v>
      </c>
      <c r="BX163" s="77" t="str">
        <f t="shared" ca="1" si="642"/>
        <v>J. Herrera</v>
      </c>
      <c r="BY163" s="77">
        <f ca="1">COUNTIF('Group Stages'!$L$14:$S$110,BX163)+COUNTIF('Knock Out Stages'!$N$41:$U$84,BX163)</f>
        <v>0</v>
      </c>
      <c r="BZ163" s="77" t="str">
        <f t="shared" si="632"/>
        <v>'Player Database'!A25</v>
      </c>
      <c r="CA163" s="77" t="str">
        <f t="shared" ca="1" si="633"/>
        <v>Johnny Herrera</v>
      </c>
      <c r="CS163" s="77">
        <f t="shared" si="724"/>
        <v>160</v>
      </c>
      <c r="CT163" s="77">
        <f t="shared" si="616"/>
        <v>4</v>
      </c>
      <c r="CU163" s="77" t="str">
        <f t="shared" si="725"/>
        <v>CR37</v>
      </c>
      <c r="CV163" s="77" t="str">
        <f t="shared" ca="1" si="726"/>
        <v/>
      </c>
      <c r="CW163" s="77">
        <f t="shared" ca="1" si="719"/>
        <v>0</v>
      </c>
      <c r="CZ163" s="77">
        <v>160</v>
      </c>
      <c r="DA163" s="77" t="str">
        <f t="shared" ca="1" si="720"/>
        <v/>
      </c>
      <c r="DB163" s="77" t="str">
        <f t="shared" ca="1" si="721"/>
        <v/>
      </c>
      <c r="DC163" s="77" t="str">
        <f t="shared" ca="1" si="723"/>
        <v/>
      </c>
      <c r="DD163" s="77" t="str">
        <f t="shared" ca="1" si="722"/>
        <v/>
      </c>
    </row>
    <row r="164" spans="72:108">
      <c r="BT164" s="77" t="str">
        <f t="shared" ca="1" si="727"/>
        <v>Australia</v>
      </c>
      <c r="BU164" s="77">
        <f t="shared" si="718"/>
        <v>162</v>
      </c>
      <c r="BV164" s="77" t="str">
        <f t="shared" si="641"/>
        <v>A3</v>
      </c>
      <c r="BW164" s="77">
        <f t="shared" si="631"/>
        <v>8</v>
      </c>
      <c r="BX164" s="77" t="str">
        <f t="shared" ca="1" si="642"/>
        <v>M. Ryan</v>
      </c>
      <c r="BY164" s="77">
        <f ca="1">COUNTIF('Group Stages'!$L$14:$S$110,BX164)+COUNTIF('Knock Out Stages'!$N$41:$U$84,BX164)</f>
        <v>0</v>
      </c>
      <c r="BZ164" s="77" t="str">
        <f t="shared" si="632"/>
        <v>'Player Database'!A3</v>
      </c>
      <c r="CA164" s="77" t="str">
        <f t="shared" ca="1" si="633"/>
        <v>Mathew Ryan</v>
      </c>
      <c r="CS164" s="77">
        <f t="shared" si="724"/>
        <v>161</v>
      </c>
      <c r="CT164" s="77">
        <f t="shared" si="616"/>
        <v>4</v>
      </c>
      <c r="CU164" s="77" t="str">
        <f t="shared" si="725"/>
        <v>CR38</v>
      </c>
      <c r="CV164" s="77" t="str">
        <f t="shared" ca="1" si="726"/>
        <v/>
      </c>
      <c r="CW164" s="77">
        <f t="shared" ca="1" si="719"/>
        <v>0</v>
      </c>
      <c r="CZ164" s="77">
        <v>161</v>
      </c>
      <c r="DA164" s="77" t="str">
        <f t="shared" ca="1" si="720"/>
        <v/>
      </c>
      <c r="DB164" s="77" t="str">
        <f t="shared" ca="1" si="721"/>
        <v/>
      </c>
      <c r="DC164" s="77" t="str">
        <f t="shared" ca="1" si="723"/>
        <v/>
      </c>
      <c r="DD164" s="77" t="str">
        <f t="shared" ca="1" si="722"/>
        <v/>
      </c>
    </row>
    <row r="165" spans="72:108">
      <c r="BT165" s="77" t="str">
        <f t="shared" ca="1" si="727"/>
        <v>Australia</v>
      </c>
      <c r="BU165" s="77">
        <f t="shared" si="718"/>
        <v>163</v>
      </c>
      <c r="BV165" s="77" t="str">
        <f t="shared" si="641"/>
        <v>A4</v>
      </c>
      <c r="BW165" s="77">
        <f t="shared" si="631"/>
        <v>8</v>
      </c>
      <c r="BX165" s="77" t="str">
        <f t="shared" ca="1" si="642"/>
        <v>I. Franjić</v>
      </c>
      <c r="BY165" s="77">
        <f ca="1">COUNTIF('Group Stages'!$L$14:$S$110,BX165)+COUNTIF('Knock Out Stages'!$N$41:$U$84,BX165)</f>
        <v>0</v>
      </c>
      <c r="BZ165" s="77" t="str">
        <f t="shared" si="632"/>
        <v>'Player Database'!A4</v>
      </c>
      <c r="CA165" s="77" t="str">
        <f t="shared" ca="1" si="633"/>
        <v>Ivan Franjić</v>
      </c>
      <c r="CS165" s="77">
        <f t="shared" si="724"/>
        <v>162</v>
      </c>
      <c r="CT165" s="77">
        <f t="shared" si="616"/>
        <v>4</v>
      </c>
      <c r="CU165" s="77" t="str">
        <f t="shared" si="725"/>
        <v>CR39</v>
      </c>
      <c r="CV165" s="77" t="str">
        <f t="shared" ca="1" si="726"/>
        <v/>
      </c>
      <c r="CW165" s="77">
        <f t="shared" ca="1" si="719"/>
        <v>0</v>
      </c>
      <c r="CZ165" s="77">
        <v>162</v>
      </c>
      <c r="DA165" s="77" t="str">
        <f t="shared" ca="1" si="720"/>
        <v/>
      </c>
      <c r="DB165" s="77" t="str">
        <f t="shared" ca="1" si="721"/>
        <v/>
      </c>
      <c r="DC165" s="77" t="str">
        <f t="shared" ca="1" si="723"/>
        <v/>
      </c>
      <c r="DD165" s="77" t="str">
        <f t="shared" ca="1" si="722"/>
        <v/>
      </c>
    </row>
    <row r="166" spans="72:108">
      <c r="BT166" s="77" t="str">
        <f t="shared" ca="1" si="727"/>
        <v>Australia</v>
      </c>
      <c r="BU166" s="77">
        <f t="shared" si="718"/>
        <v>164</v>
      </c>
      <c r="BV166" s="77" t="str">
        <f t="shared" si="641"/>
        <v>A5</v>
      </c>
      <c r="BW166" s="77">
        <f t="shared" si="631"/>
        <v>8</v>
      </c>
      <c r="BX166" s="77" t="str">
        <f t="shared" ca="1" si="642"/>
        <v>J. Davidson</v>
      </c>
      <c r="BY166" s="77">
        <f ca="1">COUNTIF('Group Stages'!$L$14:$S$110,BX166)+COUNTIF('Knock Out Stages'!$N$41:$U$84,BX166)</f>
        <v>0</v>
      </c>
      <c r="BZ166" s="77" t="str">
        <f t="shared" si="632"/>
        <v>'Player Database'!A5</v>
      </c>
      <c r="CA166" s="77" t="str">
        <f t="shared" ca="1" si="633"/>
        <v>Jason Davidson</v>
      </c>
      <c r="CS166" s="77">
        <f t="shared" si="724"/>
        <v>163</v>
      </c>
      <c r="CT166" s="77">
        <f t="shared" si="616"/>
        <v>4</v>
      </c>
      <c r="CU166" s="77" t="str">
        <f t="shared" si="725"/>
        <v>CR40</v>
      </c>
      <c r="CV166" s="77" t="str">
        <f t="shared" ca="1" si="726"/>
        <v/>
      </c>
      <c r="CW166" s="77">
        <f t="shared" ca="1" si="719"/>
        <v>0</v>
      </c>
      <c r="CZ166" s="77">
        <v>163</v>
      </c>
      <c r="DA166" s="77" t="str">
        <f t="shared" ca="1" si="720"/>
        <v/>
      </c>
      <c r="DB166" s="77" t="str">
        <f t="shared" ca="1" si="721"/>
        <v/>
      </c>
      <c r="DC166" s="77" t="str">
        <f t="shared" ca="1" si="723"/>
        <v/>
      </c>
      <c r="DD166" s="77" t="str">
        <f t="shared" ca="1" si="722"/>
        <v/>
      </c>
    </row>
    <row r="167" spans="72:108">
      <c r="BT167" s="77" t="str">
        <f t="shared" ca="1" si="727"/>
        <v>Australia</v>
      </c>
      <c r="BU167" s="77">
        <f t="shared" si="718"/>
        <v>165</v>
      </c>
      <c r="BV167" s="77" t="str">
        <f t="shared" si="641"/>
        <v>A6</v>
      </c>
      <c r="BW167" s="77">
        <f t="shared" si="631"/>
        <v>8</v>
      </c>
      <c r="BX167" s="77" t="str">
        <f t="shared" ca="1" si="642"/>
        <v>T. Cahill</v>
      </c>
      <c r="BY167" s="77">
        <f ca="1">COUNTIF('Group Stages'!$L$14:$S$110,BX167)+COUNTIF('Knock Out Stages'!$N$41:$U$84,BX167)</f>
        <v>0</v>
      </c>
      <c r="BZ167" s="77" t="str">
        <f t="shared" si="632"/>
        <v>'Player Database'!A6</v>
      </c>
      <c r="CA167" s="77" t="str">
        <f t="shared" ca="1" si="633"/>
        <v>Tim Cahill</v>
      </c>
      <c r="CS167" s="77">
        <f t="shared" si="724"/>
        <v>164</v>
      </c>
      <c r="CT167" s="77">
        <f t="shared" si="616"/>
        <v>4</v>
      </c>
      <c r="CU167" s="77" t="str">
        <f t="shared" si="725"/>
        <v>CR41</v>
      </c>
      <c r="CV167" s="77" t="str">
        <f t="shared" ca="1" si="726"/>
        <v/>
      </c>
      <c r="CW167" s="77">
        <f t="shared" ca="1" si="719"/>
        <v>0</v>
      </c>
      <c r="CZ167" s="77">
        <v>164</v>
      </c>
      <c r="DA167" s="77" t="str">
        <f t="shared" ca="1" si="720"/>
        <v/>
      </c>
      <c r="DB167" s="77" t="str">
        <f t="shared" ca="1" si="721"/>
        <v/>
      </c>
      <c r="DC167" s="77" t="str">
        <f t="shared" ca="1" si="723"/>
        <v/>
      </c>
      <c r="DD167" s="77" t="str">
        <f t="shared" ca="1" si="722"/>
        <v/>
      </c>
    </row>
    <row r="168" spans="72:108">
      <c r="BT168" s="77" t="str">
        <f t="shared" ca="1" si="727"/>
        <v>Australia</v>
      </c>
      <c r="BU168" s="77">
        <f t="shared" si="718"/>
        <v>166</v>
      </c>
      <c r="BV168" s="77" t="str">
        <f t="shared" si="641"/>
        <v>A7</v>
      </c>
      <c r="BW168" s="77">
        <f t="shared" si="631"/>
        <v>8</v>
      </c>
      <c r="BX168" s="77" t="str">
        <f t="shared" ca="1" si="642"/>
        <v>M. Milligan</v>
      </c>
      <c r="BY168" s="77">
        <f ca="1">COUNTIF('Group Stages'!$L$14:$S$110,BX168)+COUNTIF('Knock Out Stages'!$N$41:$U$84,BX168)</f>
        <v>0</v>
      </c>
      <c r="BZ168" s="77" t="str">
        <f t="shared" si="632"/>
        <v>'Player Database'!A7</v>
      </c>
      <c r="CA168" s="77" t="str">
        <f t="shared" ca="1" si="633"/>
        <v>Mark Milligan</v>
      </c>
      <c r="CS168" s="77">
        <f t="shared" si="724"/>
        <v>165</v>
      </c>
      <c r="CT168" s="77">
        <f t="shared" si="616"/>
        <v>4</v>
      </c>
      <c r="CU168" s="77" t="str">
        <f t="shared" si="725"/>
        <v>CR42</v>
      </c>
      <c r="CV168" s="77" t="str">
        <f t="shared" ca="1" si="726"/>
        <v/>
      </c>
      <c r="CW168" s="77">
        <f t="shared" ca="1" si="719"/>
        <v>0</v>
      </c>
      <c r="CZ168" s="77">
        <v>165</v>
      </c>
      <c r="DA168" s="77" t="str">
        <f t="shared" ca="1" si="720"/>
        <v/>
      </c>
      <c r="DB168" s="77" t="str">
        <f t="shared" ca="1" si="721"/>
        <v/>
      </c>
      <c r="DC168" s="77" t="str">
        <f t="shared" ca="1" si="723"/>
        <v/>
      </c>
      <c r="DD168" s="77" t="str">
        <f t="shared" ca="1" si="722"/>
        <v/>
      </c>
    </row>
    <row r="169" spans="72:108">
      <c r="BT169" s="77" t="str">
        <f t="shared" ca="1" si="727"/>
        <v>Australia</v>
      </c>
      <c r="BU169" s="77">
        <f t="shared" si="718"/>
        <v>167</v>
      </c>
      <c r="BV169" s="77" t="str">
        <f t="shared" si="641"/>
        <v>A8</v>
      </c>
      <c r="BW169" s="77">
        <f t="shared" si="631"/>
        <v>8</v>
      </c>
      <c r="BX169" s="77" t="str">
        <f t="shared" ca="1" si="642"/>
        <v>M. Špiranović</v>
      </c>
      <c r="BY169" s="77">
        <f ca="1">COUNTIF('Group Stages'!$L$14:$S$110,BX169)+COUNTIF('Knock Out Stages'!$N$41:$U$84,BX169)</f>
        <v>0</v>
      </c>
      <c r="BZ169" s="77" t="str">
        <f t="shared" si="632"/>
        <v>'Player Database'!A8</v>
      </c>
      <c r="CA169" s="77" t="str">
        <f t="shared" ca="1" si="633"/>
        <v>Matthew Špiranović</v>
      </c>
      <c r="CS169" s="77">
        <f t="shared" si="724"/>
        <v>166</v>
      </c>
      <c r="CT169" s="77">
        <f t="shared" si="616"/>
        <v>4</v>
      </c>
      <c r="CU169" s="77" t="str">
        <f t="shared" si="725"/>
        <v>CR43</v>
      </c>
      <c r="CV169" s="77" t="str">
        <f t="shared" ca="1" si="726"/>
        <v/>
      </c>
      <c r="CW169" s="77">
        <f t="shared" ca="1" si="719"/>
        <v>0</v>
      </c>
      <c r="CZ169" s="77">
        <v>166</v>
      </c>
      <c r="DA169" s="77" t="str">
        <f t="shared" ca="1" si="720"/>
        <v/>
      </c>
      <c r="DB169" s="77" t="str">
        <f t="shared" ca="1" si="721"/>
        <v/>
      </c>
      <c r="DC169" s="77" t="str">
        <f t="shared" ca="1" si="723"/>
        <v/>
      </c>
      <c r="DD169" s="77" t="str">
        <f t="shared" ca="1" si="722"/>
        <v/>
      </c>
    </row>
    <row r="170" spans="72:108">
      <c r="BT170" s="77" t="str">
        <f t="shared" ca="1" si="727"/>
        <v>Australia</v>
      </c>
      <c r="BU170" s="77">
        <f t="shared" si="718"/>
        <v>168</v>
      </c>
      <c r="BV170" s="77" t="str">
        <f t="shared" si="641"/>
        <v>A9</v>
      </c>
      <c r="BW170" s="77">
        <f t="shared" si="631"/>
        <v>8</v>
      </c>
      <c r="BX170" s="77" t="str">
        <f t="shared" ca="1" si="642"/>
        <v>M. Leckie</v>
      </c>
      <c r="BY170" s="77">
        <f ca="1">COUNTIF('Group Stages'!$L$14:$S$110,BX170)+COUNTIF('Knock Out Stages'!$N$41:$U$84,BX170)</f>
        <v>0</v>
      </c>
      <c r="BZ170" s="77" t="str">
        <f t="shared" si="632"/>
        <v>'Player Database'!A9</v>
      </c>
      <c r="CA170" s="77" t="str">
        <f t="shared" ca="1" si="633"/>
        <v>Mathew Leckie</v>
      </c>
      <c r="CS170" s="77">
        <f t="shared" si="724"/>
        <v>167</v>
      </c>
      <c r="CT170" s="77">
        <f t="shared" si="616"/>
        <v>4</v>
      </c>
      <c r="CU170" s="77" t="str">
        <f t="shared" si="725"/>
        <v>CR44</v>
      </c>
      <c r="CV170" s="77" t="str">
        <f t="shared" ca="1" si="726"/>
        <v/>
      </c>
      <c r="CW170" s="77">
        <f t="shared" ca="1" si="719"/>
        <v>0</v>
      </c>
      <c r="CZ170" s="77">
        <v>167</v>
      </c>
      <c r="DA170" s="77" t="str">
        <f t="shared" ca="1" si="720"/>
        <v/>
      </c>
      <c r="DB170" s="77" t="str">
        <f t="shared" ca="1" si="721"/>
        <v/>
      </c>
      <c r="DC170" s="77" t="str">
        <f t="shared" ca="1" si="723"/>
        <v/>
      </c>
      <c r="DD170" s="77" t="str">
        <f t="shared" ca="1" si="722"/>
        <v/>
      </c>
    </row>
    <row r="171" spans="72:108">
      <c r="BT171" s="77" t="str">
        <f t="shared" ca="1" si="727"/>
        <v>Australia</v>
      </c>
      <c r="BU171" s="77">
        <f t="shared" si="718"/>
        <v>169</v>
      </c>
      <c r="BV171" s="77" t="str">
        <f t="shared" si="641"/>
        <v>A10</v>
      </c>
      <c r="BW171" s="77">
        <f t="shared" si="631"/>
        <v>8</v>
      </c>
      <c r="BX171" s="77" t="str">
        <f t="shared" ca="1" si="642"/>
        <v>B. Wright</v>
      </c>
      <c r="BY171" s="77">
        <f ca="1">COUNTIF('Group Stages'!$L$14:$S$110,BX171)+COUNTIF('Knock Out Stages'!$N$41:$U$84,BX171)</f>
        <v>0</v>
      </c>
      <c r="BZ171" s="77" t="str">
        <f t="shared" si="632"/>
        <v>'Player Database'!A10</v>
      </c>
      <c r="CA171" s="77" t="str">
        <f t="shared" ca="1" si="633"/>
        <v>Bailey Wright</v>
      </c>
      <c r="CS171" s="77">
        <f t="shared" si="724"/>
        <v>168</v>
      </c>
      <c r="CT171" s="77">
        <f t="shared" si="616"/>
        <v>4</v>
      </c>
      <c r="CU171" s="77" t="str">
        <f t="shared" si="725"/>
        <v>CR45</v>
      </c>
      <c r="CV171" s="77" t="str">
        <f t="shared" ca="1" si="726"/>
        <v/>
      </c>
      <c r="CW171" s="77">
        <f t="shared" ca="1" si="719"/>
        <v>0</v>
      </c>
      <c r="CZ171" s="77">
        <v>168</v>
      </c>
      <c r="DA171" s="77" t="str">
        <f t="shared" ca="1" si="720"/>
        <v/>
      </c>
      <c r="DB171" s="77" t="str">
        <f t="shared" ca="1" si="721"/>
        <v/>
      </c>
      <c r="DC171" s="77" t="str">
        <f t="shared" ca="1" si="723"/>
        <v/>
      </c>
      <c r="DD171" s="77" t="str">
        <f t="shared" ca="1" si="722"/>
        <v/>
      </c>
    </row>
    <row r="172" spans="72:108">
      <c r="BT172" s="77" t="str">
        <f t="shared" ca="1" si="727"/>
        <v>Australia</v>
      </c>
      <c r="BU172" s="77">
        <f t="shared" si="718"/>
        <v>170</v>
      </c>
      <c r="BV172" s="77" t="str">
        <f t="shared" si="641"/>
        <v>A11</v>
      </c>
      <c r="BW172" s="77">
        <f t="shared" si="631"/>
        <v>8</v>
      </c>
      <c r="BX172" s="77" t="str">
        <f t="shared" ca="1" si="642"/>
        <v>A. Taggart</v>
      </c>
      <c r="BY172" s="77">
        <f ca="1">COUNTIF('Group Stages'!$L$14:$S$110,BX172)+COUNTIF('Knock Out Stages'!$N$41:$U$84,BX172)</f>
        <v>0</v>
      </c>
      <c r="BZ172" s="77" t="str">
        <f t="shared" si="632"/>
        <v>'Player Database'!A11</v>
      </c>
      <c r="CA172" s="77" t="str">
        <f t="shared" ca="1" si="633"/>
        <v>Adam Taggart</v>
      </c>
      <c r="CS172" s="77">
        <f t="shared" si="724"/>
        <v>169</v>
      </c>
      <c r="CT172" s="77">
        <f t="shared" si="616"/>
        <v>5</v>
      </c>
      <c r="CU172" s="77" t="str">
        <f t="shared" si="725"/>
        <v>CR4</v>
      </c>
      <c r="CV172" s="77" t="str">
        <f t="shared" ca="1" si="726"/>
        <v/>
      </c>
      <c r="CW172" s="77">
        <f t="shared" ca="1" si="719"/>
        <v>0</v>
      </c>
      <c r="CZ172" s="77">
        <v>169</v>
      </c>
      <c r="DA172" s="77" t="str">
        <f t="shared" ca="1" si="720"/>
        <v/>
      </c>
      <c r="DB172" s="77" t="str">
        <f t="shared" ca="1" si="721"/>
        <v/>
      </c>
      <c r="DC172" s="77" t="str">
        <f t="shared" ca="1" si="723"/>
        <v/>
      </c>
      <c r="DD172" s="77" t="str">
        <f t="shared" ca="1" si="722"/>
        <v/>
      </c>
    </row>
    <row r="173" spans="72:108">
      <c r="BT173" s="77" t="str">
        <f t="shared" ca="1" si="727"/>
        <v>Australia</v>
      </c>
      <c r="BU173" s="77">
        <f t="shared" si="718"/>
        <v>171</v>
      </c>
      <c r="BV173" s="77" t="str">
        <f t="shared" si="641"/>
        <v>A12</v>
      </c>
      <c r="BW173" s="77">
        <f t="shared" si="631"/>
        <v>8</v>
      </c>
      <c r="BX173" s="77" t="str">
        <f t="shared" ca="1" si="642"/>
        <v>B. Halloran</v>
      </c>
      <c r="BY173" s="77">
        <f ca="1">COUNTIF('Group Stages'!$L$14:$S$110,BX173)+COUNTIF('Knock Out Stages'!$N$41:$U$84,BX173)</f>
        <v>0</v>
      </c>
      <c r="BZ173" s="77" t="str">
        <f t="shared" si="632"/>
        <v>'Player Database'!A12</v>
      </c>
      <c r="CA173" s="77" t="str">
        <f t="shared" ca="1" si="633"/>
        <v>Ben Halloran</v>
      </c>
      <c r="CS173" s="77">
        <f t="shared" si="724"/>
        <v>170</v>
      </c>
      <c r="CT173" s="77">
        <f t="shared" si="616"/>
        <v>5</v>
      </c>
      <c r="CU173" s="77" t="str">
        <f t="shared" si="725"/>
        <v>CR5</v>
      </c>
      <c r="CV173" s="77" t="str">
        <f t="shared" ca="1" si="726"/>
        <v/>
      </c>
      <c r="CW173" s="77">
        <f t="shared" ca="1" si="719"/>
        <v>0</v>
      </c>
      <c r="CZ173" s="77">
        <v>170</v>
      </c>
      <c r="DA173" s="77" t="str">
        <f t="shared" ca="1" si="720"/>
        <v/>
      </c>
      <c r="DB173" s="77" t="str">
        <f t="shared" ca="1" si="721"/>
        <v/>
      </c>
      <c r="DC173" s="77" t="str">
        <f t="shared" ca="1" si="723"/>
        <v/>
      </c>
      <c r="DD173" s="77" t="str">
        <f t="shared" ca="1" si="722"/>
        <v/>
      </c>
    </row>
    <row r="174" spans="72:108">
      <c r="BT174" s="77" t="str">
        <f t="shared" ca="1" si="727"/>
        <v>Australia</v>
      </c>
      <c r="BU174" s="77">
        <f t="shared" si="718"/>
        <v>172</v>
      </c>
      <c r="BV174" s="77" t="str">
        <f t="shared" si="641"/>
        <v>A13</v>
      </c>
      <c r="BW174" s="77">
        <f t="shared" si="631"/>
        <v>8</v>
      </c>
      <c r="BX174" s="77" t="str">
        <f t="shared" ca="1" si="642"/>
        <v>T. Oar</v>
      </c>
      <c r="BY174" s="77">
        <f ca="1">COUNTIF('Group Stages'!$L$14:$S$110,BX174)+COUNTIF('Knock Out Stages'!$N$41:$U$84,BX174)</f>
        <v>0</v>
      </c>
      <c r="BZ174" s="77" t="str">
        <f t="shared" si="632"/>
        <v>'Player Database'!A13</v>
      </c>
      <c r="CA174" s="77" t="str">
        <f t="shared" ca="1" si="633"/>
        <v>Tommy Oar</v>
      </c>
      <c r="CS174" s="77">
        <f t="shared" si="724"/>
        <v>171</v>
      </c>
      <c r="CT174" s="77">
        <f t="shared" si="616"/>
        <v>5</v>
      </c>
      <c r="CU174" s="77" t="str">
        <f t="shared" si="725"/>
        <v>CR6</v>
      </c>
      <c r="CV174" s="77" t="str">
        <f t="shared" ca="1" si="726"/>
        <v/>
      </c>
      <c r="CW174" s="77">
        <f t="shared" ca="1" si="719"/>
        <v>0</v>
      </c>
      <c r="CZ174" s="77">
        <v>171</v>
      </c>
      <c r="DA174" s="77" t="str">
        <f t="shared" ca="1" si="720"/>
        <v/>
      </c>
      <c r="DB174" s="77" t="str">
        <f t="shared" ca="1" si="721"/>
        <v/>
      </c>
      <c r="DC174" s="77" t="str">
        <f t="shared" ca="1" si="723"/>
        <v/>
      </c>
      <c r="DD174" s="77" t="str">
        <f t="shared" ca="1" si="722"/>
        <v/>
      </c>
    </row>
    <row r="175" spans="72:108">
      <c r="BT175" s="77" t="str">
        <f t="shared" ca="1" si="727"/>
        <v>Australia</v>
      </c>
      <c r="BU175" s="77">
        <f t="shared" si="718"/>
        <v>173</v>
      </c>
      <c r="BV175" s="77" t="str">
        <f t="shared" si="641"/>
        <v>A14</v>
      </c>
      <c r="BW175" s="77">
        <f t="shared" si="631"/>
        <v>8</v>
      </c>
      <c r="BX175" s="77" t="str">
        <f t="shared" ca="1" si="642"/>
        <v>M. Langerak</v>
      </c>
      <c r="BY175" s="77">
        <f ca="1">COUNTIF('Group Stages'!$L$14:$S$110,BX175)+COUNTIF('Knock Out Stages'!$N$41:$U$84,BX175)</f>
        <v>0</v>
      </c>
      <c r="BZ175" s="77" t="str">
        <f t="shared" si="632"/>
        <v>'Player Database'!A14</v>
      </c>
      <c r="CA175" s="77" t="str">
        <f t="shared" ca="1" si="633"/>
        <v>Mitchell Langerak</v>
      </c>
      <c r="CS175" s="77">
        <f t="shared" si="724"/>
        <v>172</v>
      </c>
      <c r="CT175" s="77">
        <f t="shared" si="616"/>
        <v>5</v>
      </c>
      <c r="CU175" s="77" t="str">
        <f t="shared" si="725"/>
        <v>CR7</v>
      </c>
      <c r="CV175" s="77" t="str">
        <f t="shared" ca="1" si="726"/>
        <v/>
      </c>
      <c r="CW175" s="77">
        <f t="shared" ca="1" si="719"/>
        <v>0</v>
      </c>
      <c r="CZ175" s="77">
        <v>172</v>
      </c>
      <c r="DA175" s="77" t="str">
        <f t="shared" ca="1" si="720"/>
        <v/>
      </c>
      <c r="DB175" s="77" t="str">
        <f t="shared" ca="1" si="721"/>
        <v/>
      </c>
      <c r="DC175" s="77" t="str">
        <f t="shared" ca="1" si="723"/>
        <v/>
      </c>
      <c r="DD175" s="77" t="str">
        <f t="shared" ca="1" si="722"/>
        <v/>
      </c>
    </row>
    <row r="176" spans="72:108">
      <c r="BT176" s="77" t="str">
        <f t="shared" ca="1" si="727"/>
        <v>Australia</v>
      </c>
      <c r="BU176" s="77">
        <f t="shared" si="718"/>
        <v>174</v>
      </c>
      <c r="BV176" s="77" t="str">
        <f t="shared" si="641"/>
        <v>A15</v>
      </c>
      <c r="BW176" s="77">
        <f t="shared" si="631"/>
        <v>8</v>
      </c>
      <c r="BX176" s="77" t="str">
        <f t="shared" ca="1" si="642"/>
        <v>O. Bozanić</v>
      </c>
      <c r="BY176" s="77">
        <f ca="1">COUNTIF('Group Stages'!$L$14:$S$110,BX176)+COUNTIF('Knock Out Stages'!$N$41:$U$84,BX176)</f>
        <v>0</v>
      </c>
      <c r="BZ176" s="77" t="str">
        <f t="shared" si="632"/>
        <v>'Player Database'!A15</v>
      </c>
      <c r="CA176" s="77" t="str">
        <f t="shared" ca="1" si="633"/>
        <v>Oliver Bozanić</v>
      </c>
      <c r="CS176" s="77">
        <f t="shared" si="724"/>
        <v>173</v>
      </c>
      <c r="CT176" s="77">
        <f t="shared" ref="CT176:CT239" si="728">CT134+1</f>
        <v>5</v>
      </c>
      <c r="CU176" s="77" t="str">
        <f t="shared" si="725"/>
        <v>CR8</v>
      </c>
      <c r="CV176" s="77" t="str">
        <f t="shared" ca="1" si="726"/>
        <v/>
      </c>
      <c r="CW176" s="77">
        <f t="shared" ca="1" si="719"/>
        <v>0</v>
      </c>
      <c r="CZ176" s="77">
        <v>173</v>
      </c>
      <c r="DA176" s="77" t="str">
        <f t="shared" ca="1" si="720"/>
        <v/>
      </c>
      <c r="DB176" s="77" t="str">
        <f t="shared" ca="1" si="721"/>
        <v/>
      </c>
      <c r="DC176" s="77" t="str">
        <f t="shared" ca="1" si="723"/>
        <v/>
      </c>
      <c r="DD176" s="77" t="str">
        <f t="shared" ca="1" si="722"/>
        <v/>
      </c>
    </row>
    <row r="177" spans="72:108">
      <c r="BT177" s="77" t="str">
        <f t="shared" ca="1" si="727"/>
        <v>Australia</v>
      </c>
      <c r="BU177" s="77">
        <f t="shared" si="718"/>
        <v>175</v>
      </c>
      <c r="BV177" s="77" t="str">
        <f t="shared" si="641"/>
        <v>A16</v>
      </c>
      <c r="BW177" s="77">
        <f t="shared" si="631"/>
        <v>8</v>
      </c>
      <c r="BX177" s="77" t="str">
        <f t="shared" ca="1" si="642"/>
        <v>J. Troisi</v>
      </c>
      <c r="BY177" s="77">
        <f ca="1">COUNTIF('Group Stages'!$L$14:$S$110,BX177)+COUNTIF('Knock Out Stages'!$N$41:$U$84,BX177)</f>
        <v>0</v>
      </c>
      <c r="BZ177" s="77" t="str">
        <f t="shared" si="632"/>
        <v>'Player Database'!A16</v>
      </c>
      <c r="CA177" s="77" t="str">
        <f t="shared" ca="1" si="633"/>
        <v>James Troisi</v>
      </c>
      <c r="CS177" s="77">
        <f t="shared" si="724"/>
        <v>174</v>
      </c>
      <c r="CT177" s="77">
        <f t="shared" si="728"/>
        <v>5</v>
      </c>
      <c r="CU177" s="77" t="str">
        <f t="shared" si="725"/>
        <v>CR9</v>
      </c>
      <c r="CV177" s="77" t="str">
        <f t="shared" ca="1" si="726"/>
        <v/>
      </c>
      <c r="CW177" s="77">
        <f t="shared" ca="1" si="719"/>
        <v>0</v>
      </c>
      <c r="CZ177" s="77">
        <v>174</v>
      </c>
      <c r="DA177" s="77" t="str">
        <f t="shared" ca="1" si="720"/>
        <v/>
      </c>
      <c r="DB177" s="77" t="str">
        <f t="shared" ca="1" si="721"/>
        <v/>
      </c>
      <c r="DC177" s="77" t="str">
        <f t="shared" ca="1" si="723"/>
        <v/>
      </c>
      <c r="DD177" s="77" t="str">
        <f t="shared" ca="1" si="722"/>
        <v/>
      </c>
    </row>
    <row r="178" spans="72:108">
      <c r="BT178" s="77" t="str">
        <f t="shared" ca="1" si="727"/>
        <v>Australia</v>
      </c>
      <c r="BU178" s="77">
        <f t="shared" si="718"/>
        <v>176</v>
      </c>
      <c r="BV178" s="77" t="str">
        <f t="shared" si="641"/>
        <v>A17</v>
      </c>
      <c r="BW178" s="77">
        <f t="shared" ref="BW178:BW241" si="729">BW155+1</f>
        <v>8</v>
      </c>
      <c r="BX178" s="77" t="str">
        <f t="shared" ca="1" si="642"/>
        <v xml:space="preserve">M. Jedinak </v>
      </c>
      <c r="BY178" s="77">
        <f ca="1">COUNTIF('Group Stages'!$L$14:$S$110,BX178)+COUNTIF('Knock Out Stages'!$N$41:$U$84,BX178)</f>
        <v>0</v>
      </c>
      <c r="BZ178" s="77" t="str">
        <f t="shared" ref="BZ178:BZ241" si="730">BZ155</f>
        <v>'Player Database'!A17</v>
      </c>
      <c r="CA178" s="77" t="str">
        <f t="shared" ref="CA178:CA241" ca="1" si="731">OFFSET(INDIRECT(BZ178),0,BW178)</f>
        <v xml:space="preserve">Mile Jedinak </v>
      </c>
      <c r="CS178" s="77">
        <f t="shared" si="724"/>
        <v>175</v>
      </c>
      <c r="CT178" s="77">
        <f t="shared" si="728"/>
        <v>5</v>
      </c>
      <c r="CU178" s="77" t="str">
        <f t="shared" si="725"/>
        <v>CR10</v>
      </c>
      <c r="CV178" s="77" t="str">
        <f t="shared" ca="1" si="726"/>
        <v/>
      </c>
      <c r="CW178" s="77">
        <f t="shared" ca="1" si="719"/>
        <v>0</v>
      </c>
      <c r="CZ178" s="77">
        <v>175</v>
      </c>
      <c r="DA178" s="77" t="str">
        <f t="shared" ca="1" si="720"/>
        <v/>
      </c>
      <c r="DB178" s="77" t="str">
        <f t="shared" ca="1" si="721"/>
        <v/>
      </c>
      <c r="DC178" s="77" t="str">
        <f t="shared" ca="1" si="723"/>
        <v/>
      </c>
      <c r="DD178" s="77" t="str">
        <f t="shared" ca="1" si="722"/>
        <v/>
      </c>
    </row>
    <row r="179" spans="72:108">
      <c r="BT179" s="77" t="str">
        <f t="shared" ca="1" si="727"/>
        <v>Australia</v>
      </c>
      <c r="BU179" s="77">
        <f t="shared" si="718"/>
        <v>177</v>
      </c>
      <c r="BV179" s="77" t="str">
        <f t="shared" ref="BV179:BV242" si="732">BV156</f>
        <v>A18</v>
      </c>
      <c r="BW179" s="77">
        <f t="shared" si="729"/>
        <v>8</v>
      </c>
      <c r="BX179" s="77" t="str">
        <f t="shared" ref="BX179:BX242" ca="1" si="733">OFFSET(INDIRECT(BV179),0,BW179)</f>
        <v>J. Holland</v>
      </c>
      <c r="BY179" s="77">
        <f ca="1">COUNTIF('Group Stages'!$L$14:$S$110,BX179)+COUNTIF('Knock Out Stages'!$N$41:$U$84,BX179)</f>
        <v>0</v>
      </c>
      <c r="BZ179" s="77" t="str">
        <f t="shared" si="730"/>
        <v>'Player Database'!A18</v>
      </c>
      <c r="CA179" s="77" t="str">
        <f t="shared" ca="1" si="731"/>
        <v>James Holland</v>
      </c>
      <c r="CS179" s="77">
        <f t="shared" si="724"/>
        <v>176</v>
      </c>
      <c r="CT179" s="77">
        <f t="shared" si="728"/>
        <v>5</v>
      </c>
      <c r="CU179" s="77" t="str">
        <f t="shared" si="725"/>
        <v>CR11</v>
      </c>
      <c r="CV179" s="77" t="str">
        <f t="shared" ca="1" si="726"/>
        <v/>
      </c>
      <c r="CW179" s="77">
        <f t="shared" ca="1" si="719"/>
        <v>0</v>
      </c>
      <c r="CZ179" s="77">
        <v>176</v>
      </c>
      <c r="DA179" s="77" t="str">
        <f t="shared" ca="1" si="720"/>
        <v/>
      </c>
      <c r="DB179" s="77" t="str">
        <f t="shared" ca="1" si="721"/>
        <v/>
      </c>
      <c r="DC179" s="77" t="str">
        <f t="shared" ca="1" si="723"/>
        <v/>
      </c>
      <c r="DD179" s="77" t="str">
        <f t="shared" ca="1" si="722"/>
        <v/>
      </c>
    </row>
    <row r="180" spans="72:108">
      <c r="BT180" s="77" t="str">
        <f t="shared" ca="1" si="727"/>
        <v>Australia</v>
      </c>
      <c r="BU180" s="77">
        <f t="shared" si="718"/>
        <v>178</v>
      </c>
      <c r="BV180" s="77" t="str">
        <f t="shared" si="732"/>
        <v>A19</v>
      </c>
      <c r="BW180" s="77">
        <f t="shared" si="729"/>
        <v>8</v>
      </c>
      <c r="BX180" s="77" t="str">
        <f t="shared" ca="1" si="733"/>
        <v>M. McKay</v>
      </c>
      <c r="BY180" s="77">
        <f ca="1">COUNTIF('Group Stages'!$L$14:$S$110,BX180)+COUNTIF('Knock Out Stages'!$N$41:$U$84,BX180)</f>
        <v>0</v>
      </c>
      <c r="BZ180" s="77" t="str">
        <f t="shared" si="730"/>
        <v>'Player Database'!A19</v>
      </c>
      <c r="CA180" s="77" t="str">
        <f t="shared" ca="1" si="731"/>
        <v>Matt McKay</v>
      </c>
      <c r="CS180" s="77">
        <f t="shared" si="724"/>
        <v>177</v>
      </c>
      <c r="CT180" s="77">
        <f t="shared" si="728"/>
        <v>5</v>
      </c>
      <c r="CU180" s="77" t="str">
        <f t="shared" si="725"/>
        <v>CR12</v>
      </c>
      <c r="CV180" s="77" t="str">
        <f t="shared" ca="1" si="726"/>
        <v/>
      </c>
      <c r="CW180" s="77">
        <f t="shared" ca="1" si="719"/>
        <v>0</v>
      </c>
      <c r="CZ180" s="77">
        <v>177</v>
      </c>
      <c r="DA180" s="77" t="str">
        <f t="shared" ca="1" si="720"/>
        <v/>
      </c>
      <c r="DB180" s="77" t="str">
        <f t="shared" ca="1" si="721"/>
        <v/>
      </c>
      <c r="DC180" s="77" t="str">
        <f t="shared" ca="1" si="723"/>
        <v/>
      </c>
      <c r="DD180" s="77" t="str">
        <f t="shared" ca="1" si="722"/>
        <v/>
      </c>
    </row>
    <row r="181" spans="72:108">
      <c r="BT181" s="77" t="str">
        <f t="shared" ca="1" si="727"/>
        <v>Australia</v>
      </c>
      <c r="BU181" s="77">
        <f t="shared" si="718"/>
        <v>179</v>
      </c>
      <c r="BV181" s="77" t="str">
        <f t="shared" si="732"/>
        <v>A20</v>
      </c>
      <c r="BW181" s="77">
        <f t="shared" si="729"/>
        <v>8</v>
      </c>
      <c r="BX181" s="77" t="str">
        <f t="shared" ca="1" si="733"/>
        <v>E. Galeković</v>
      </c>
      <c r="BY181" s="77">
        <f ca="1">COUNTIF('Group Stages'!$L$14:$S$110,BX181)+COUNTIF('Knock Out Stages'!$N$41:$U$84,BX181)</f>
        <v>0</v>
      </c>
      <c r="BZ181" s="77" t="str">
        <f t="shared" si="730"/>
        <v>'Player Database'!A20</v>
      </c>
      <c r="CA181" s="77" t="str">
        <f t="shared" ca="1" si="731"/>
        <v>Eugene Galeković</v>
      </c>
      <c r="CS181" s="77">
        <f t="shared" si="724"/>
        <v>178</v>
      </c>
      <c r="CT181" s="77">
        <f t="shared" si="728"/>
        <v>5</v>
      </c>
      <c r="CU181" s="77" t="str">
        <f t="shared" si="725"/>
        <v>CR13</v>
      </c>
      <c r="CV181" s="77" t="str">
        <f t="shared" ca="1" si="726"/>
        <v/>
      </c>
      <c r="CW181" s="77">
        <f t="shared" ca="1" si="719"/>
        <v>0</v>
      </c>
      <c r="CZ181" s="77">
        <v>178</v>
      </c>
      <c r="DA181" s="77" t="str">
        <f t="shared" ca="1" si="720"/>
        <v/>
      </c>
      <c r="DB181" s="77" t="str">
        <f t="shared" ca="1" si="721"/>
        <v/>
      </c>
      <c r="DC181" s="77" t="str">
        <f t="shared" ca="1" si="723"/>
        <v/>
      </c>
      <c r="DD181" s="77" t="str">
        <f t="shared" ca="1" si="722"/>
        <v/>
      </c>
    </row>
    <row r="182" spans="72:108">
      <c r="BT182" s="77" t="str">
        <f t="shared" ca="1" si="727"/>
        <v>Australia</v>
      </c>
      <c r="BU182" s="77">
        <f t="shared" si="718"/>
        <v>180</v>
      </c>
      <c r="BV182" s="77" t="str">
        <f t="shared" si="732"/>
        <v>A21</v>
      </c>
      <c r="BW182" s="77">
        <f t="shared" si="729"/>
        <v>8</v>
      </c>
      <c r="BX182" s="77" t="str">
        <f t="shared" ca="1" si="733"/>
        <v>R. McGowan</v>
      </c>
      <c r="BY182" s="77">
        <f ca="1">COUNTIF('Group Stages'!$L$14:$S$110,BX182)+COUNTIF('Knock Out Stages'!$N$41:$U$84,BX182)</f>
        <v>0</v>
      </c>
      <c r="BZ182" s="77" t="str">
        <f t="shared" si="730"/>
        <v>'Player Database'!A21</v>
      </c>
      <c r="CA182" s="77" t="str">
        <f t="shared" ca="1" si="731"/>
        <v>Ryan McGowan</v>
      </c>
      <c r="CS182" s="77">
        <f t="shared" si="724"/>
        <v>179</v>
      </c>
      <c r="CT182" s="77">
        <f t="shared" si="728"/>
        <v>5</v>
      </c>
      <c r="CU182" s="77" t="str">
        <f t="shared" si="725"/>
        <v>CR14</v>
      </c>
      <c r="CV182" s="77" t="str">
        <f t="shared" ca="1" si="726"/>
        <v/>
      </c>
      <c r="CW182" s="77">
        <f t="shared" ca="1" si="719"/>
        <v>0</v>
      </c>
      <c r="CZ182" s="77">
        <v>179</v>
      </c>
      <c r="DA182" s="77" t="str">
        <f t="shared" ca="1" si="720"/>
        <v/>
      </c>
      <c r="DB182" s="77" t="str">
        <f t="shared" ca="1" si="721"/>
        <v/>
      </c>
      <c r="DC182" s="77" t="str">
        <f t="shared" ca="1" si="723"/>
        <v/>
      </c>
      <c r="DD182" s="77" t="str">
        <f t="shared" ca="1" si="722"/>
        <v/>
      </c>
    </row>
    <row r="183" spans="72:108">
      <c r="BT183" s="77" t="str">
        <f t="shared" ca="1" si="727"/>
        <v>Australia</v>
      </c>
      <c r="BU183" s="77">
        <f t="shared" si="718"/>
        <v>181</v>
      </c>
      <c r="BV183" s="77" t="str">
        <f t="shared" si="732"/>
        <v>A22</v>
      </c>
      <c r="BW183" s="77">
        <f t="shared" si="729"/>
        <v>8</v>
      </c>
      <c r="BX183" s="77" t="str">
        <f t="shared" ca="1" si="733"/>
        <v>D. Vidošić</v>
      </c>
      <c r="BY183" s="77">
        <f ca="1">COUNTIF('Group Stages'!$L$14:$S$110,BX183)+COUNTIF('Knock Out Stages'!$N$41:$U$84,BX183)</f>
        <v>0</v>
      </c>
      <c r="BZ183" s="77" t="str">
        <f t="shared" si="730"/>
        <v>'Player Database'!A22</v>
      </c>
      <c r="CA183" s="77" t="str">
        <f t="shared" ca="1" si="731"/>
        <v>Dario Vidošić</v>
      </c>
      <c r="CS183" s="77">
        <f t="shared" si="724"/>
        <v>180</v>
      </c>
      <c r="CT183" s="77">
        <f t="shared" si="728"/>
        <v>5</v>
      </c>
      <c r="CU183" s="77" t="str">
        <f t="shared" si="725"/>
        <v>CR15</v>
      </c>
      <c r="CV183" s="77" t="str">
        <f t="shared" ca="1" si="726"/>
        <v/>
      </c>
      <c r="CW183" s="77">
        <f t="shared" ca="1" si="719"/>
        <v>0</v>
      </c>
      <c r="CZ183" s="77">
        <v>180</v>
      </c>
      <c r="DA183" s="77" t="str">
        <f t="shared" ca="1" si="720"/>
        <v/>
      </c>
      <c r="DB183" s="77" t="str">
        <f t="shared" ca="1" si="721"/>
        <v/>
      </c>
      <c r="DC183" s="77" t="str">
        <f t="shared" ca="1" si="723"/>
        <v/>
      </c>
      <c r="DD183" s="77" t="str">
        <f t="shared" ca="1" si="722"/>
        <v/>
      </c>
    </row>
    <row r="184" spans="72:108">
      <c r="BT184" s="77" t="str">
        <f t="shared" ca="1" si="727"/>
        <v>Australia</v>
      </c>
      <c r="BU184" s="77">
        <f t="shared" si="718"/>
        <v>182</v>
      </c>
      <c r="BV184" s="77" t="str">
        <f t="shared" si="732"/>
        <v>A23</v>
      </c>
      <c r="BW184" s="77">
        <f t="shared" si="729"/>
        <v>8</v>
      </c>
      <c r="BX184" s="77" t="str">
        <f t="shared" ca="1" si="733"/>
        <v>M. Luongo</v>
      </c>
      <c r="BY184" s="77">
        <f ca="1">COUNTIF('Group Stages'!$L$14:$S$110,BX184)+COUNTIF('Knock Out Stages'!$N$41:$U$84,BX184)</f>
        <v>0</v>
      </c>
      <c r="BZ184" s="77" t="str">
        <f t="shared" si="730"/>
        <v>'Player Database'!A23</v>
      </c>
      <c r="CA184" s="77" t="str">
        <f t="shared" ca="1" si="731"/>
        <v>Massimo Luongo</v>
      </c>
      <c r="CS184" s="77">
        <f t="shared" si="724"/>
        <v>181</v>
      </c>
      <c r="CT184" s="77">
        <f t="shared" si="728"/>
        <v>5</v>
      </c>
      <c r="CU184" s="77" t="str">
        <f t="shared" si="725"/>
        <v>CR16</v>
      </c>
      <c r="CV184" s="77" t="str">
        <f t="shared" ca="1" si="726"/>
        <v/>
      </c>
      <c r="CW184" s="77">
        <f t="shared" ca="1" si="719"/>
        <v>0</v>
      </c>
      <c r="CZ184" s="77">
        <v>181</v>
      </c>
      <c r="DA184" s="77" t="str">
        <f t="shared" ca="1" si="720"/>
        <v/>
      </c>
      <c r="DB184" s="77" t="str">
        <f t="shared" ca="1" si="721"/>
        <v/>
      </c>
      <c r="DC184" s="77" t="str">
        <f t="shared" ca="1" si="723"/>
        <v/>
      </c>
      <c r="DD184" s="77" t="str">
        <f t="shared" ca="1" si="722"/>
        <v/>
      </c>
    </row>
    <row r="185" spans="72:108">
      <c r="BT185" s="77" t="str">
        <f t="shared" ca="1" si="727"/>
        <v>Australia</v>
      </c>
      <c r="BU185" s="77">
        <f t="shared" si="718"/>
        <v>183</v>
      </c>
      <c r="BV185" s="77" t="str">
        <f t="shared" si="732"/>
        <v>A24</v>
      </c>
      <c r="BW185" s="77">
        <f t="shared" si="729"/>
        <v>8</v>
      </c>
      <c r="BX185" s="77" t="str">
        <f t="shared" ca="1" si="733"/>
        <v>A. Wilkinson</v>
      </c>
      <c r="BY185" s="77">
        <f ca="1">COUNTIF('Group Stages'!$L$14:$S$110,BX185)+COUNTIF('Knock Out Stages'!$N$41:$U$84,BX185)</f>
        <v>0</v>
      </c>
      <c r="BZ185" s="77" t="str">
        <f t="shared" si="730"/>
        <v>'Player Database'!A24</v>
      </c>
      <c r="CA185" s="77" t="str">
        <f t="shared" ca="1" si="731"/>
        <v>Alex Wilkinson</v>
      </c>
      <c r="CS185" s="77">
        <f t="shared" si="724"/>
        <v>182</v>
      </c>
      <c r="CT185" s="77">
        <f t="shared" si="728"/>
        <v>5</v>
      </c>
      <c r="CU185" s="77" t="str">
        <f t="shared" si="725"/>
        <v>CR17</v>
      </c>
      <c r="CV185" s="77" t="str">
        <f t="shared" ca="1" si="726"/>
        <v/>
      </c>
      <c r="CW185" s="77">
        <f t="shared" ca="1" si="719"/>
        <v>0</v>
      </c>
      <c r="CZ185" s="77">
        <v>182</v>
      </c>
      <c r="DA185" s="77" t="str">
        <f t="shared" ca="1" si="720"/>
        <v/>
      </c>
      <c r="DB185" s="77" t="str">
        <f t="shared" ca="1" si="721"/>
        <v/>
      </c>
      <c r="DC185" s="77" t="str">
        <f t="shared" ca="1" si="723"/>
        <v/>
      </c>
      <c r="DD185" s="77" t="str">
        <f t="shared" ca="1" si="722"/>
        <v/>
      </c>
    </row>
    <row r="186" spans="72:108">
      <c r="BT186" s="77" t="str">
        <f t="shared" ca="1" si="727"/>
        <v>Australia</v>
      </c>
      <c r="BU186" s="77">
        <f t="shared" si="718"/>
        <v>184</v>
      </c>
      <c r="BV186" s="77" t="str">
        <f t="shared" si="732"/>
        <v>A25</v>
      </c>
      <c r="BW186" s="77">
        <f t="shared" si="729"/>
        <v>8</v>
      </c>
      <c r="BX186" s="77" t="str">
        <f t="shared" ca="1" si="733"/>
        <v>M. Bresciano</v>
      </c>
      <c r="BY186" s="77">
        <f ca="1">COUNTIF('Group Stages'!$L$14:$S$110,BX186)+COUNTIF('Knock Out Stages'!$N$41:$U$84,BX186)</f>
        <v>0</v>
      </c>
      <c r="BZ186" s="77" t="str">
        <f t="shared" si="730"/>
        <v>'Player Database'!A25</v>
      </c>
      <c r="CA186" s="77" t="str">
        <f t="shared" ca="1" si="731"/>
        <v>Mark Bresciano</v>
      </c>
      <c r="CS186" s="77">
        <f t="shared" si="724"/>
        <v>183</v>
      </c>
      <c r="CT186" s="77">
        <f t="shared" si="728"/>
        <v>5</v>
      </c>
      <c r="CU186" s="77" t="str">
        <f t="shared" si="725"/>
        <v>CR18</v>
      </c>
      <c r="CV186" s="77" t="str">
        <f t="shared" ca="1" si="726"/>
        <v/>
      </c>
      <c r="CW186" s="77">
        <f t="shared" ca="1" si="719"/>
        <v>0</v>
      </c>
      <c r="CZ186" s="77">
        <v>183</v>
      </c>
      <c r="DA186" s="77" t="str">
        <f t="shared" ca="1" si="720"/>
        <v/>
      </c>
      <c r="DB186" s="77" t="str">
        <f t="shared" ca="1" si="721"/>
        <v/>
      </c>
      <c r="DC186" s="77" t="str">
        <f t="shared" ca="1" si="723"/>
        <v/>
      </c>
      <c r="DD186" s="77" t="str">
        <f t="shared" ca="1" si="722"/>
        <v/>
      </c>
    </row>
    <row r="187" spans="72:108">
      <c r="BT187" s="77" t="str">
        <f t="shared" ca="1" si="727"/>
        <v>Colombia</v>
      </c>
      <c r="BU187" s="77">
        <f t="shared" si="718"/>
        <v>185</v>
      </c>
      <c r="BV187" s="77" t="str">
        <f t="shared" si="732"/>
        <v>A3</v>
      </c>
      <c r="BW187" s="77">
        <f t="shared" si="729"/>
        <v>9</v>
      </c>
      <c r="BX187" s="77" t="str">
        <f t="shared" ca="1" si="733"/>
        <v>D. Ospina</v>
      </c>
      <c r="BY187" s="77">
        <f ca="1">COUNTIF('Group Stages'!$L$14:$S$110,BX187)+COUNTIF('Knock Out Stages'!$N$41:$U$84,BX187)</f>
        <v>0</v>
      </c>
      <c r="BZ187" s="77" t="str">
        <f t="shared" si="730"/>
        <v>'Player Database'!A3</v>
      </c>
      <c r="CA187" s="77" t="str">
        <f t="shared" ca="1" si="731"/>
        <v>David Ospina</v>
      </c>
      <c r="CS187" s="77">
        <f t="shared" si="724"/>
        <v>184</v>
      </c>
      <c r="CT187" s="77">
        <f t="shared" si="728"/>
        <v>5</v>
      </c>
      <c r="CU187" s="77" t="str">
        <f t="shared" si="725"/>
        <v>CR19</v>
      </c>
      <c r="CV187" s="77" t="str">
        <f t="shared" ca="1" si="726"/>
        <v/>
      </c>
      <c r="CW187" s="77">
        <f t="shared" ca="1" si="719"/>
        <v>0</v>
      </c>
      <c r="CZ187" s="77">
        <v>184</v>
      </c>
      <c r="DA187" s="77" t="str">
        <f t="shared" ca="1" si="720"/>
        <v/>
      </c>
      <c r="DB187" s="77" t="str">
        <f t="shared" ca="1" si="721"/>
        <v/>
      </c>
      <c r="DC187" s="77" t="str">
        <f t="shared" ca="1" si="723"/>
        <v/>
      </c>
      <c r="DD187" s="77" t="str">
        <f t="shared" ca="1" si="722"/>
        <v/>
      </c>
    </row>
    <row r="188" spans="72:108">
      <c r="BT188" s="77" t="str">
        <f t="shared" ca="1" si="727"/>
        <v>Colombia</v>
      </c>
      <c r="BU188" s="77">
        <f t="shared" si="718"/>
        <v>186</v>
      </c>
      <c r="BV188" s="77" t="str">
        <f t="shared" si="732"/>
        <v>A4</v>
      </c>
      <c r="BW188" s="77">
        <f t="shared" si="729"/>
        <v>9</v>
      </c>
      <c r="BX188" s="77" t="str">
        <f t="shared" ca="1" si="733"/>
        <v>C. Zapata</v>
      </c>
      <c r="BY188" s="77">
        <f ca="1">COUNTIF('Group Stages'!$L$14:$S$110,BX188)+COUNTIF('Knock Out Stages'!$N$41:$U$84,BX188)</f>
        <v>0</v>
      </c>
      <c r="BZ188" s="77" t="str">
        <f t="shared" si="730"/>
        <v>'Player Database'!A4</v>
      </c>
      <c r="CA188" s="77" t="str">
        <f t="shared" ca="1" si="731"/>
        <v>Cristián Zapata</v>
      </c>
      <c r="CS188" s="77">
        <f t="shared" si="724"/>
        <v>185</v>
      </c>
      <c r="CT188" s="77">
        <f t="shared" si="728"/>
        <v>5</v>
      </c>
      <c r="CU188" s="77" t="str">
        <f t="shared" si="725"/>
        <v>CR20</v>
      </c>
      <c r="CV188" s="77" t="str">
        <f t="shared" ca="1" si="726"/>
        <v/>
      </c>
      <c r="CW188" s="77">
        <f t="shared" ca="1" si="719"/>
        <v>0</v>
      </c>
      <c r="CZ188" s="77">
        <v>185</v>
      </c>
      <c r="DA188" s="77" t="str">
        <f t="shared" ca="1" si="720"/>
        <v/>
      </c>
      <c r="DB188" s="77" t="str">
        <f t="shared" ca="1" si="721"/>
        <v/>
      </c>
      <c r="DC188" s="77" t="str">
        <f t="shared" ca="1" si="723"/>
        <v/>
      </c>
      <c r="DD188" s="77" t="str">
        <f t="shared" ca="1" si="722"/>
        <v/>
      </c>
    </row>
    <row r="189" spans="72:108">
      <c r="BT189" s="77" t="str">
        <f t="shared" ca="1" si="727"/>
        <v>Colombia</v>
      </c>
      <c r="BU189" s="77">
        <f t="shared" si="718"/>
        <v>187</v>
      </c>
      <c r="BV189" s="77" t="str">
        <f t="shared" si="732"/>
        <v>A5</v>
      </c>
      <c r="BW189" s="77">
        <f t="shared" si="729"/>
        <v>9</v>
      </c>
      <c r="BX189" s="77" t="str">
        <f t="shared" ca="1" si="733"/>
        <v xml:space="preserve">M. Yepes </v>
      </c>
      <c r="BY189" s="77">
        <f ca="1">COUNTIF('Group Stages'!$L$14:$S$110,BX189)+COUNTIF('Knock Out Stages'!$N$41:$U$84,BX189)</f>
        <v>0</v>
      </c>
      <c r="BZ189" s="77" t="str">
        <f t="shared" si="730"/>
        <v>'Player Database'!A5</v>
      </c>
      <c r="CA189" s="77" t="str">
        <f t="shared" ca="1" si="731"/>
        <v xml:space="preserve">Mario Yepes </v>
      </c>
      <c r="CS189" s="77">
        <f t="shared" si="724"/>
        <v>186</v>
      </c>
      <c r="CT189" s="77">
        <f t="shared" si="728"/>
        <v>5</v>
      </c>
      <c r="CU189" s="77" t="str">
        <f t="shared" si="725"/>
        <v>CR21</v>
      </c>
      <c r="CV189" s="77" t="str">
        <f t="shared" ca="1" si="726"/>
        <v/>
      </c>
      <c r="CW189" s="77">
        <f t="shared" ca="1" si="719"/>
        <v>0</v>
      </c>
      <c r="CZ189" s="77">
        <v>186</v>
      </c>
      <c r="DA189" s="77" t="str">
        <f t="shared" ca="1" si="720"/>
        <v/>
      </c>
      <c r="DB189" s="77" t="str">
        <f t="shared" ca="1" si="721"/>
        <v/>
      </c>
      <c r="DC189" s="77" t="str">
        <f t="shared" ca="1" si="723"/>
        <v/>
      </c>
      <c r="DD189" s="77" t="str">
        <f t="shared" ca="1" si="722"/>
        <v/>
      </c>
    </row>
    <row r="190" spans="72:108">
      <c r="BT190" s="77" t="str">
        <f t="shared" ca="1" si="727"/>
        <v>Colombia</v>
      </c>
      <c r="BU190" s="77">
        <f t="shared" si="718"/>
        <v>188</v>
      </c>
      <c r="BV190" s="77" t="str">
        <f t="shared" si="732"/>
        <v>A6</v>
      </c>
      <c r="BW190" s="77">
        <f t="shared" si="729"/>
        <v>9</v>
      </c>
      <c r="BX190" s="77" t="str">
        <f t="shared" ca="1" si="733"/>
        <v>S. Arias</v>
      </c>
      <c r="BY190" s="77">
        <f ca="1">COUNTIF('Group Stages'!$L$14:$S$110,BX190)+COUNTIF('Knock Out Stages'!$N$41:$U$84,BX190)</f>
        <v>0</v>
      </c>
      <c r="BZ190" s="77" t="str">
        <f t="shared" si="730"/>
        <v>'Player Database'!A6</v>
      </c>
      <c r="CA190" s="77" t="str">
        <f t="shared" ca="1" si="731"/>
        <v>Santiago Arias</v>
      </c>
      <c r="CS190" s="77">
        <f t="shared" si="724"/>
        <v>187</v>
      </c>
      <c r="CT190" s="77">
        <f t="shared" si="728"/>
        <v>5</v>
      </c>
      <c r="CU190" s="77" t="str">
        <f t="shared" si="725"/>
        <v>CR22</v>
      </c>
      <c r="CV190" s="77" t="str">
        <f t="shared" ca="1" si="726"/>
        <v/>
      </c>
      <c r="CW190" s="77">
        <f t="shared" ca="1" si="719"/>
        <v>0</v>
      </c>
      <c r="CZ190" s="77">
        <v>187</v>
      </c>
      <c r="DA190" s="77" t="str">
        <f t="shared" ca="1" si="720"/>
        <v/>
      </c>
      <c r="DB190" s="77" t="str">
        <f t="shared" ca="1" si="721"/>
        <v/>
      </c>
      <c r="DC190" s="77" t="str">
        <f t="shared" ca="1" si="723"/>
        <v/>
      </c>
      <c r="DD190" s="77" t="str">
        <f t="shared" ca="1" si="722"/>
        <v/>
      </c>
    </row>
    <row r="191" spans="72:108">
      <c r="BT191" s="77" t="str">
        <f t="shared" ca="1" si="727"/>
        <v>Colombia</v>
      </c>
      <c r="BU191" s="77">
        <f t="shared" si="718"/>
        <v>189</v>
      </c>
      <c r="BV191" s="77" t="str">
        <f t="shared" si="732"/>
        <v>A7</v>
      </c>
      <c r="BW191" s="77">
        <f t="shared" si="729"/>
        <v>9</v>
      </c>
      <c r="BX191" s="77" t="str">
        <f t="shared" ca="1" si="733"/>
        <v>C. Carbonero</v>
      </c>
      <c r="BY191" s="77">
        <f ca="1">COUNTIF('Group Stages'!$L$14:$S$110,BX191)+COUNTIF('Knock Out Stages'!$N$41:$U$84,BX191)</f>
        <v>0</v>
      </c>
      <c r="BZ191" s="77" t="str">
        <f t="shared" si="730"/>
        <v>'Player Database'!A7</v>
      </c>
      <c r="CA191" s="77" t="str">
        <f t="shared" ca="1" si="731"/>
        <v>Carlos Carbonero</v>
      </c>
      <c r="CS191" s="77">
        <f t="shared" si="724"/>
        <v>188</v>
      </c>
      <c r="CT191" s="77">
        <f t="shared" si="728"/>
        <v>5</v>
      </c>
      <c r="CU191" s="77" t="str">
        <f t="shared" si="725"/>
        <v>CR23</v>
      </c>
      <c r="CV191" s="77" t="str">
        <f t="shared" ca="1" si="726"/>
        <v/>
      </c>
      <c r="CW191" s="77">
        <f t="shared" ca="1" si="719"/>
        <v>0</v>
      </c>
      <c r="CZ191" s="77">
        <v>188</v>
      </c>
      <c r="DA191" s="77" t="str">
        <f t="shared" ca="1" si="720"/>
        <v/>
      </c>
      <c r="DB191" s="77" t="str">
        <f t="shared" ca="1" si="721"/>
        <v/>
      </c>
      <c r="DC191" s="77" t="str">
        <f t="shared" ca="1" si="723"/>
        <v/>
      </c>
      <c r="DD191" s="77" t="str">
        <f t="shared" ca="1" si="722"/>
        <v/>
      </c>
    </row>
    <row r="192" spans="72:108">
      <c r="BT192" s="77" t="str">
        <f t="shared" ca="1" si="727"/>
        <v>Colombia</v>
      </c>
      <c r="BU192" s="77">
        <f t="shared" si="718"/>
        <v>190</v>
      </c>
      <c r="BV192" s="77" t="str">
        <f t="shared" si="732"/>
        <v>A8</v>
      </c>
      <c r="BW192" s="77">
        <f t="shared" si="729"/>
        <v>9</v>
      </c>
      <c r="BX192" s="77" t="str">
        <f t="shared" ca="1" si="733"/>
        <v>C. Sánchez</v>
      </c>
      <c r="BY192" s="77">
        <f ca="1">COUNTIF('Group Stages'!$L$14:$S$110,BX192)+COUNTIF('Knock Out Stages'!$N$41:$U$84,BX192)</f>
        <v>0</v>
      </c>
      <c r="BZ192" s="77" t="str">
        <f t="shared" si="730"/>
        <v>'Player Database'!A8</v>
      </c>
      <c r="CA192" s="77" t="str">
        <f t="shared" ca="1" si="731"/>
        <v>Carlos Sánchez</v>
      </c>
      <c r="CS192" s="77">
        <f t="shared" si="724"/>
        <v>189</v>
      </c>
      <c r="CT192" s="77">
        <f t="shared" si="728"/>
        <v>5</v>
      </c>
      <c r="CU192" s="77" t="str">
        <f t="shared" si="725"/>
        <v>CR24</v>
      </c>
      <c r="CV192" s="77" t="str">
        <f t="shared" ca="1" si="726"/>
        <v/>
      </c>
      <c r="CW192" s="77">
        <f t="shared" ca="1" si="719"/>
        <v>0</v>
      </c>
      <c r="CZ192" s="77">
        <v>189</v>
      </c>
      <c r="DA192" s="77" t="str">
        <f t="shared" ca="1" si="720"/>
        <v/>
      </c>
      <c r="DB192" s="77" t="str">
        <f t="shared" ca="1" si="721"/>
        <v/>
      </c>
      <c r="DC192" s="77" t="str">
        <f t="shared" ca="1" si="723"/>
        <v/>
      </c>
      <c r="DD192" s="77" t="str">
        <f t="shared" ca="1" si="722"/>
        <v/>
      </c>
    </row>
    <row r="193" spans="72:108">
      <c r="BT193" s="77" t="str">
        <f t="shared" ca="1" si="727"/>
        <v>Colombia</v>
      </c>
      <c r="BU193" s="77">
        <f t="shared" si="718"/>
        <v>191</v>
      </c>
      <c r="BV193" s="77" t="str">
        <f t="shared" si="732"/>
        <v>A9</v>
      </c>
      <c r="BW193" s="77">
        <f t="shared" si="729"/>
        <v>9</v>
      </c>
      <c r="BX193" s="77" t="str">
        <f t="shared" ca="1" si="733"/>
        <v>P. Armero</v>
      </c>
      <c r="BY193" s="77">
        <f ca="1">COUNTIF('Group Stages'!$L$14:$S$110,BX193)+COUNTIF('Knock Out Stages'!$N$41:$U$84,BX193)</f>
        <v>0</v>
      </c>
      <c r="BZ193" s="77" t="str">
        <f t="shared" si="730"/>
        <v>'Player Database'!A9</v>
      </c>
      <c r="CA193" s="77" t="str">
        <f t="shared" ca="1" si="731"/>
        <v>Pablo Armero</v>
      </c>
      <c r="CS193" s="77">
        <f t="shared" si="724"/>
        <v>190</v>
      </c>
      <c r="CT193" s="77">
        <f t="shared" si="728"/>
        <v>5</v>
      </c>
      <c r="CU193" s="77" t="str">
        <f t="shared" si="725"/>
        <v>CR25</v>
      </c>
      <c r="CV193" s="77" t="str">
        <f t="shared" ca="1" si="726"/>
        <v/>
      </c>
      <c r="CW193" s="77">
        <f t="shared" ca="1" si="719"/>
        <v>0</v>
      </c>
      <c r="CZ193" s="77">
        <v>190</v>
      </c>
      <c r="DA193" s="77" t="str">
        <f t="shared" ca="1" si="720"/>
        <v/>
      </c>
      <c r="DB193" s="77" t="str">
        <f t="shared" ca="1" si="721"/>
        <v/>
      </c>
      <c r="DC193" s="77" t="str">
        <f t="shared" ca="1" si="723"/>
        <v/>
      </c>
      <c r="DD193" s="77" t="str">
        <f t="shared" ca="1" si="722"/>
        <v/>
      </c>
    </row>
    <row r="194" spans="72:108">
      <c r="BT194" s="77" t="str">
        <f t="shared" ca="1" si="727"/>
        <v>Colombia</v>
      </c>
      <c r="BU194" s="77">
        <f t="shared" si="718"/>
        <v>192</v>
      </c>
      <c r="BV194" s="77" t="str">
        <f t="shared" si="732"/>
        <v>A10</v>
      </c>
      <c r="BW194" s="77">
        <f t="shared" si="729"/>
        <v>9</v>
      </c>
      <c r="BX194" s="77" t="str">
        <f t="shared" ca="1" si="733"/>
        <v>A. Aguilar</v>
      </c>
      <c r="BY194" s="77">
        <f ca="1">COUNTIF('Group Stages'!$L$14:$S$110,BX194)+COUNTIF('Knock Out Stages'!$N$41:$U$84,BX194)</f>
        <v>0</v>
      </c>
      <c r="BZ194" s="77" t="str">
        <f t="shared" si="730"/>
        <v>'Player Database'!A10</v>
      </c>
      <c r="CA194" s="77" t="str">
        <f t="shared" ca="1" si="731"/>
        <v>Abel Aguilar</v>
      </c>
      <c r="CS194" s="77">
        <f t="shared" si="724"/>
        <v>191</v>
      </c>
      <c r="CT194" s="77">
        <f t="shared" si="728"/>
        <v>5</v>
      </c>
      <c r="CU194" s="77" t="str">
        <f t="shared" si="725"/>
        <v>CR26</v>
      </c>
      <c r="CV194" s="77" t="str">
        <f t="shared" ca="1" si="726"/>
        <v/>
      </c>
      <c r="CW194" s="77">
        <f t="shared" ca="1" si="719"/>
        <v>0</v>
      </c>
      <c r="CZ194" s="77">
        <v>191</v>
      </c>
      <c r="DA194" s="77" t="str">
        <f t="shared" ca="1" si="720"/>
        <v/>
      </c>
      <c r="DB194" s="77" t="str">
        <f t="shared" ca="1" si="721"/>
        <v/>
      </c>
      <c r="DC194" s="77" t="str">
        <f t="shared" ca="1" si="723"/>
        <v/>
      </c>
      <c r="DD194" s="77" t="str">
        <f t="shared" ca="1" si="722"/>
        <v/>
      </c>
    </row>
    <row r="195" spans="72:108">
      <c r="BT195" s="77" t="str">
        <f t="shared" ca="1" si="727"/>
        <v>Colombia</v>
      </c>
      <c r="BU195" s="77">
        <f t="shared" si="718"/>
        <v>193</v>
      </c>
      <c r="BV195" s="77" t="str">
        <f t="shared" si="732"/>
        <v>A11</v>
      </c>
      <c r="BW195" s="77">
        <f t="shared" si="729"/>
        <v>9</v>
      </c>
      <c r="BX195" s="77" t="str">
        <f t="shared" ca="1" si="733"/>
        <v>T. Gutiérrez</v>
      </c>
      <c r="BY195" s="77">
        <f ca="1">COUNTIF('Group Stages'!$L$14:$S$110,BX195)+COUNTIF('Knock Out Stages'!$N$41:$U$84,BX195)</f>
        <v>0</v>
      </c>
      <c r="BZ195" s="77" t="str">
        <f t="shared" si="730"/>
        <v>'Player Database'!A11</v>
      </c>
      <c r="CA195" s="77" t="str">
        <f t="shared" ca="1" si="731"/>
        <v>Teófilo Gutiérrez</v>
      </c>
      <c r="CS195" s="77">
        <f t="shared" si="724"/>
        <v>192</v>
      </c>
      <c r="CT195" s="77">
        <f t="shared" si="728"/>
        <v>5</v>
      </c>
      <c r="CU195" s="77" t="str">
        <f t="shared" si="725"/>
        <v>CR27</v>
      </c>
      <c r="CV195" s="77" t="str">
        <f t="shared" ca="1" si="726"/>
        <v/>
      </c>
      <c r="CW195" s="77">
        <f t="shared" ca="1" si="719"/>
        <v>0</v>
      </c>
      <c r="CZ195" s="77">
        <v>192</v>
      </c>
      <c r="DA195" s="77" t="str">
        <f t="shared" ca="1" si="720"/>
        <v/>
      </c>
      <c r="DB195" s="77" t="str">
        <f t="shared" ca="1" si="721"/>
        <v/>
      </c>
      <c r="DC195" s="77" t="str">
        <f t="shared" ca="1" si="723"/>
        <v/>
      </c>
      <c r="DD195" s="77" t="str">
        <f t="shared" ca="1" si="722"/>
        <v/>
      </c>
    </row>
    <row r="196" spans="72:108">
      <c r="BT196" s="77" t="str">
        <f t="shared" ca="1" si="727"/>
        <v>Colombia</v>
      </c>
      <c r="BU196" s="77">
        <f t="shared" si="718"/>
        <v>194</v>
      </c>
      <c r="BV196" s="77" t="str">
        <f t="shared" si="732"/>
        <v>A12</v>
      </c>
      <c r="BW196" s="77">
        <f t="shared" si="729"/>
        <v>9</v>
      </c>
      <c r="BX196" s="77" t="str">
        <f t="shared" ca="1" si="733"/>
        <v>J. Rodríguez</v>
      </c>
      <c r="BY196" s="77">
        <f ca="1">COUNTIF('Group Stages'!$L$14:$S$110,BX196)+COUNTIF('Knock Out Stages'!$N$41:$U$84,BX196)</f>
        <v>0</v>
      </c>
      <c r="BZ196" s="77" t="str">
        <f t="shared" si="730"/>
        <v>'Player Database'!A12</v>
      </c>
      <c r="CA196" s="77" t="str">
        <f t="shared" ca="1" si="731"/>
        <v>James Rodríguez</v>
      </c>
      <c r="CS196" s="77">
        <f t="shared" si="724"/>
        <v>193</v>
      </c>
      <c r="CT196" s="77">
        <f t="shared" si="728"/>
        <v>5</v>
      </c>
      <c r="CU196" s="77" t="str">
        <f t="shared" si="725"/>
        <v>CR28</v>
      </c>
      <c r="CV196" s="77" t="str">
        <f t="shared" ca="1" si="726"/>
        <v/>
      </c>
      <c r="CW196" s="77">
        <f t="shared" ca="1" si="719"/>
        <v>0</v>
      </c>
      <c r="CZ196" s="77">
        <v>193</v>
      </c>
      <c r="DA196" s="77" t="str">
        <f t="shared" ca="1" si="720"/>
        <v/>
      </c>
      <c r="DB196" s="77" t="str">
        <f t="shared" ca="1" si="721"/>
        <v/>
      </c>
      <c r="DC196" s="77" t="str">
        <f t="shared" ca="1" si="723"/>
        <v/>
      </c>
      <c r="DD196" s="77" t="str">
        <f t="shared" ca="1" si="722"/>
        <v/>
      </c>
    </row>
    <row r="197" spans="72:108">
      <c r="BT197" s="77" t="str">
        <f t="shared" ca="1" si="727"/>
        <v>Colombia</v>
      </c>
      <c r="BU197" s="77">
        <f t="shared" ref="BU197:BU260" si="734">BU196+1</f>
        <v>195</v>
      </c>
      <c r="BV197" s="77" t="str">
        <f t="shared" si="732"/>
        <v>A13</v>
      </c>
      <c r="BW197" s="77">
        <f t="shared" si="729"/>
        <v>9</v>
      </c>
      <c r="BX197" s="77" t="str">
        <f t="shared" ca="1" si="733"/>
        <v>J. Guillermo Cuadrado</v>
      </c>
      <c r="BY197" s="77">
        <f ca="1">COUNTIF('Group Stages'!$L$14:$S$110,BX197)+COUNTIF('Knock Out Stages'!$N$41:$U$84,BX197)</f>
        <v>0</v>
      </c>
      <c r="BZ197" s="77" t="str">
        <f t="shared" si="730"/>
        <v>'Player Database'!A13</v>
      </c>
      <c r="CA197" s="77" t="str">
        <f t="shared" ca="1" si="731"/>
        <v>Juan Guillermo Cuadrado</v>
      </c>
      <c r="CS197" s="77">
        <f t="shared" si="724"/>
        <v>194</v>
      </c>
      <c r="CT197" s="77">
        <f t="shared" si="728"/>
        <v>5</v>
      </c>
      <c r="CU197" s="77" t="str">
        <f t="shared" si="725"/>
        <v>CR29</v>
      </c>
      <c r="CV197" s="77" t="str">
        <f t="shared" ca="1" si="726"/>
        <v/>
      </c>
      <c r="CW197" s="77">
        <f t="shared" ref="CW197:CW260" ca="1" si="735">IF(CV197&lt;&gt;"",CW196+1,CW196)</f>
        <v>0</v>
      </c>
      <c r="CZ197" s="77">
        <v>194</v>
      </c>
      <c r="DA197" s="77" t="str">
        <f t="shared" ref="DA197:DA203" ca="1" si="736">IFERROR(INDEX($CV$4:$CV$633,MATCH(CZ197,$CW$4:$CW$633,0),0),"")</f>
        <v/>
      </c>
      <c r="DB197" s="77" t="str">
        <f t="shared" ref="DB197:DB203" ca="1" si="737">IFERROR(VLOOKUP(DA197,$BX$3:$BY$738,2,FALSE),"")</f>
        <v/>
      </c>
      <c r="DC197" s="77" t="str">
        <f t="shared" ca="1" si="723"/>
        <v/>
      </c>
      <c r="DD197" s="77" t="str">
        <f t="shared" ref="DD197:DD203" ca="1" si="738">IFERROR(INDEX($BT$3:$BT$738,MATCH(DA197,$BX$3:$BX$738,0),0),"")</f>
        <v/>
      </c>
    </row>
    <row r="198" spans="72:108">
      <c r="BT198" s="77" t="str">
        <f t="shared" ca="1" si="727"/>
        <v>Colombia</v>
      </c>
      <c r="BU198" s="77">
        <f t="shared" si="734"/>
        <v>196</v>
      </c>
      <c r="BV198" s="77" t="str">
        <f t="shared" si="732"/>
        <v>A14</v>
      </c>
      <c r="BW198" s="77">
        <f t="shared" si="729"/>
        <v>9</v>
      </c>
      <c r="BX198" s="77" t="str">
        <f t="shared" ca="1" si="733"/>
        <v>C. Vargas</v>
      </c>
      <c r="BY198" s="77">
        <f ca="1">COUNTIF('Group Stages'!$L$14:$S$110,BX198)+COUNTIF('Knock Out Stages'!$N$41:$U$84,BX198)</f>
        <v>0</v>
      </c>
      <c r="BZ198" s="77" t="str">
        <f t="shared" si="730"/>
        <v>'Player Database'!A14</v>
      </c>
      <c r="CA198" s="77" t="str">
        <f t="shared" ca="1" si="731"/>
        <v>Camilo Vargas</v>
      </c>
      <c r="CS198" s="77">
        <f t="shared" si="724"/>
        <v>195</v>
      </c>
      <c r="CT198" s="77">
        <f t="shared" si="728"/>
        <v>5</v>
      </c>
      <c r="CU198" s="77" t="str">
        <f t="shared" si="725"/>
        <v>CR30</v>
      </c>
      <c r="CV198" s="77" t="str">
        <f t="shared" ca="1" si="726"/>
        <v/>
      </c>
      <c r="CW198" s="77">
        <f t="shared" ca="1" si="735"/>
        <v>0</v>
      </c>
      <c r="CZ198" s="77">
        <v>195</v>
      </c>
      <c r="DA198" s="77" t="str">
        <f t="shared" ca="1" si="736"/>
        <v/>
      </c>
      <c r="DB198" s="77" t="str">
        <f t="shared" ca="1" si="737"/>
        <v/>
      </c>
      <c r="DC198" s="77" t="str">
        <f t="shared" ca="1" si="723"/>
        <v/>
      </c>
      <c r="DD198" s="77" t="str">
        <f t="shared" ca="1" si="738"/>
        <v/>
      </c>
    </row>
    <row r="199" spans="72:108">
      <c r="BT199" s="77" t="str">
        <f t="shared" ca="1" si="727"/>
        <v>Colombia</v>
      </c>
      <c r="BU199" s="77">
        <f t="shared" si="734"/>
        <v>197</v>
      </c>
      <c r="BV199" s="77" t="str">
        <f t="shared" si="732"/>
        <v>A15</v>
      </c>
      <c r="BW199" s="77">
        <f t="shared" si="729"/>
        <v>9</v>
      </c>
      <c r="BX199" s="77" t="str">
        <f t="shared" ca="1" si="733"/>
        <v>F. Guarín</v>
      </c>
      <c r="BY199" s="77">
        <f ca="1">COUNTIF('Group Stages'!$L$14:$S$110,BX199)+COUNTIF('Knock Out Stages'!$N$41:$U$84,BX199)</f>
        <v>0</v>
      </c>
      <c r="BZ199" s="77" t="str">
        <f t="shared" si="730"/>
        <v>'Player Database'!A15</v>
      </c>
      <c r="CA199" s="77" t="str">
        <f t="shared" ca="1" si="731"/>
        <v>Fredy Guarín</v>
      </c>
      <c r="CS199" s="77">
        <f t="shared" si="724"/>
        <v>196</v>
      </c>
      <c r="CT199" s="77">
        <f t="shared" si="728"/>
        <v>5</v>
      </c>
      <c r="CU199" s="77" t="str">
        <f t="shared" si="725"/>
        <v>CR31</v>
      </c>
      <c r="CV199" s="77" t="str">
        <f t="shared" ca="1" si="726"/>
        <v/>
      </c>
      <c r="CW199" s="77">
        <f t="shared" ca="1" si="735"/>
        <v>0</v>
      </c>
      <c r="CZ199" s="77">
        <v>196</v>
      </c>
      <c r="DA199" s="77" t="str">
        <f t="shared" ca="1" si="736"/>
        <v/>
      </c>
      <c r="DB199" s="77" t="str">
        <f t="shared" ca="1" si="737"/>
        <v/>
      </c>
      <c r="DC199" s="77" t="str">
        <f t="shared" ca="1" si="723"/>
        <v/>
      </c>
      <c r="DD199" s="77" t="str">
        <f t="shared" ca="1" si="738"/>
        <v/>
      </c>
    </row>
    <row r="200" spans="72:108">
      <c r="BT200" s="77" t="str">
        <f t="shared" ca="1" si="727"/>
        <v>Colombia</v>
      </c>
      <c r="BU200" s="77">
        <f t="shared" si="734"/>
        <v>198</v>
      </c>
      <c r="BV200" s="77" t="str">
        <f t="shared" si="732"/>
        <v>A16</v>
      </c>
      <c r="BW200" s="77">
        <f t="shared" si="729"/>
        <v>9</v>
      </c>
      <c r="BX200" s="77" t="str">
        <f t="shared" ca="1" si="733"/>
        <v>V. Ibarbo</v>
      </c>
      <c r="BY200" s="77">
        <f ca="1">COUNTIF('Group Stages'!$L$14:$S$110,BX200)+COUNTIF('Knock Out Stages'!$N$41:$U$84,BX200)</f>
        <v>0</v>
      </c>
      <c r="BZ200" s="77" t="str">
        <f t="shared" si="730"/>
        <v>'Player Database'!A16</v>
      </c>
      <c r="CA200" s="77" t="str">
        <f t="shared" ca="1" si="731"/>
        <v>Víctor Ibarbo</v>
      </c>
      <c r="CS200" s="77">
        <f t="shared" si="724"/>
        <v>197</v>
      </c>
      <c r="CT200" s="77">
        <f t="shared" si="728"/>
        <v>5</v>
      </c>
      <c r="CU200" s="77" t="str">
        <f t="shared" si="725"/>
        <v>CR32</v>
      </c>
      <c r="CV200" s="77" t="str">
        <f t="shared" ca="1" si="726"/>
        <v/>
      </c>
      <c r="CW200" s="77">
        <f t="shared" ca="1" si="735"/>
        <v>0</v>
      </c>
      <c r="CZ200" s="77">
        <v>197</v>
      </c>
      <c r="DA200" s="77" t="str">
        <f t="shared" ca="1" si="736"/>
        <v/>
      </c>
      <c r="DB200" s="77" t="str">
        <f t="shared" ca="1" si="737"/>
        <v/>
      </c>
      <c r="DC200" s="77" t="str">
        <f t="shared" ca="1" si="723"/>
        <v/>
      </c>
      <c r="DD200" s="77" t="str">
        <f t="shared" ca="1" si="738"/>
        <v/>
      </c>
    </row>
    <row r="201" spans="72:108">
      <c r="BT201" s="77" t="str">
        <f t="shared" ca="1" si="727"/>
        <v>Colombia</v>
      </c>
      <c r="BU201" s="77">
        <f t="shared" si="734"/>
        <v>199</v>
      </c>
      <c r="BV201" s="77" t="str">
        <f t="shared" si="732"/>
        <v>A17</v>
      </c>
      <c r="BW201" s="77">
        <f t="shared" si="729"/>
        <v>9</v>
      </c>
      <c r="BX201" s="77" t="str">
        <f t="shared" ca="1" si="733"/>
        <v>A. Mejía</v>
      </c>
      <c r="BY201" s="77">
        <f ca="1">COUNTIF('Group Stages'!$L$14:$S$110,BX201)+COUNTIF('Knock Out Stages'!$N$41:$U$84,BX201)</f>
        <v>0</v>
      </c>
      <c r="BZ201" s="77" t="str">
        <f t="shared" si="730"/>
        <v>'Player Database'!A17</v>
      </c>
      <c r="CA201" s="77" t="str">
        <f t="shared" ca="1" si="731"/>
        <v>Alexander Mejía</v>
      </c>
      <c r="CS201" s="77">
        <f t="shared" si="724"/>
        <v>198</v>
      </c>
      <c r="CT201" s="77">
        <f t="shared" si="728"/>
        <v>5</v>
      </c>
      <c r="CU201" s="77" t="str">
        <f t="shared" si="725"/>
        <v>CR33</v>
      </c>
      <c r="CV201" s="77" t="str">
        <f t="shared" ca="1" si="726"/>
        <v/>
      </c>
      <c r="CW201" s="77">
        <f t="shared" ca="1" si="735"/>
        <v>0</v>
      </c>
      <c r="CZ201" s="77">
        <v>198</v>
      </c>
      <c r="DA201" s="77" t="str">
        <f t="shared" ca="1" si="736"/>
        <v/>
      </c>
      <c r="DB201" s="77" t="str">
        <f t="shared" ca="1" si="737"/>
        <v/>
      </c>
      <c r="DC201" s="77" t="str">
        <f t="shared" ref="DC201:DC203" ca="1" si="739">IFERROR(VLOOKUP(DA201,$BX$3:$CA$738,4,FALSE),"")</f>
        <v/>
      </c>
      <c r="DD201" s="77" t="str">
        <f t="shared" ca="1" si="738"/>
        <v/>
      </c>
    </row>
    <row r="202" spans="72:108">
      <c r="BT202" s="77" t="str">
        <f t="shared" ca="1" si="727"/>
        <v>Colombia</v>
      </c>
      <c r="BU202" s="77">
        <f t="shared" si="734"/>
        <v>200</v>
      </c>
      <c r="BV202" s="77" t="str">
        <f t="shared" si="732"/>
        <v>A18</v>
      </c>
      <c r="BW202" s="77">
        <f t="shared" si="729"/>
        <v>9</v>
      </c>
      <c r="BX202" s="77" t="str">
        <f t="shared" ca="1" si="733"/>
        <v>É. Álvarez Balanta</v>
      </c>
      <c r="BY202" s="77">
        <f ca="1">COUNTIF('Group Stages'!$L$14:$S$110,BX202)+COUNTIF('Knock Out Stages'!$N$41:$U$84,BX202)</f>
        <v>0</v>
      </c>
      <c r="BZ202" s="77" t="str">
        <f t="shared" si="730"/>
        <v>'Player Database'!A18</v>
      </c>
      <c r="CA202" s="77" t="str">
        <f t="shared" ca="1" si="731"/>
        <v>Éder Álvarez Balanta</v>
      </c>
      <c r="CS202" s="77">
        <f t="shared" si="724"/>
        <v>199</v>
      </c>
      <c r="CT202" s="77">
        <f t="shared" si="728"/>
        <v>5</v>
      </c>
      <c r="CU202" s="77" t="str">
        <f t="shared" si="725"/>
        <v>CR34</v>
      </c>
      <c r="CV202" s="77" t="str">
        <f t="shared" ca="1" si="726"/>
        <v/>
      </c>
      <c r="CW202" s="77">
        <f t="shared" ca="1" si="735"/>
        <v>0</v>
      </c>
      <c r="CZ202" s="77">
        <v>199</v>
      </c>
      <c r="DA202" s="77" t="str">
        <f t="shared" ca="1" si="736"/>
        <v/>
      </c>
      <c r="DB202" s="77" t="str">
        <f t="shared" ca="1" si="737"/>
        <v/>
      </c>
      <c r="DC202" s="77" t="str">
        <f t="shared" ca="1" si="739"/>
        <v/>
      </c>
      <c r="DD202" s="77" t="str">
        <f t="shared" ca="1" si="738"/>
        <v/>
      </c>
    </row>
    <row r="203" spans="72:108">
      <c r="BT203" s="77" t="str">
        <f t="shared" ca="1" si="727"/>
        <v>Colombia</v>
      </c>
      <c r="BU203" s="77">
        <f t="shared" si="734"/>
        <v>201</v>
      </c>
      <c r="BV203" s="77" t="str">
        <f t="shared" si="732"/>
        <v>A19</v>
      </c>
      <c r="BW203" s="77">
        <f t="shared" si="729"/>
        <v>9</v>
      </c>
      <c r="BX203" s="77" t="str">
        <f t="shared" ca="1" si="733"/>
        <v>C. Bacca</v>
      </c>
      <c r="BY203" s="77">
        <f ca="1">COUNTIF('Group Stages'!$L$14:$S$110,BX203)+COUNTIF('Knock Out Stages'!$N$41:$U$84,BX203)</f>
        <v>0</v>
      </c>
      <c r="BZ203" s="77" t="str">
        <f t="shared" si="730"/>
        <v>'Player Database'!A19</v>
      </c>
      <c r="CA203" s="77" t="str">
        <f t="shared" ca="1" si="731"/>
        <v>Carlos Bacca</v>
      </c>
      <c r="CS203" s="77">
        <f t="shared" si="724"/>
        <v>200</v>
      </c>
      <c r="CT203" s="77">
        <f t="shared" si="728"/>
        <v>5</v>
      </c>
      <c r="CU203" s="77" t="str">
        <f t="shared" si="725"/>
        <v>CR35</v>
      </c>
      <c r="CV203" s="77" t="str">
        <f t="shared" ca="1" si="726"/>
        <v/>
      </c>
      <c r="CW203" s="77">
        <f t="shared" ca="1" si="735"/>
        <v>0</v>
      </c>
      <c r="CZ203" s="77">
        <v>200</v>
      </c>
      <c r="DA203" s="77" t="str">
        <f t="shared" ca="1" si="736"/>
        <v/>
      </c>
      <c r="DB203" s="77" t="str">
        <f t="shared" ca="1" si="737"/>
        <v/>
      </c>
      <c r="DC203" s="77" t="str">
        <f t="shared" ca="1" si="739"/>
        <v/>
      </c>
      <c r="DD203" s="77" t="str">
        <f t="shared" ca="1" si="738"/>
        <v/>
      </c>
    </row>
    <row r="204" spans="72:108">
      <c r="BT204" s="77" t="str">
        <f t="shared" ca="1" si="727"/>
        <v>Colombia</v>
      </c>
      <c r="BU204" s="77">
        <f t="shared" si="734"/>
        <v>202</v>
      </c>
      <c r="BV204" s="77" t="str">
        <f t="shared" si="732"/>
        <v>A20</v>
      </c>
      <c r="BW204" s="77">
        <f t="shared" si="729"/>
        <v>9</v>
      </c>
      <c r="BX204" s="77" t="str">
        <f t="shared" ca="1" si="733"/>
        <v>J. Camilo Zúñiga</v>
      </c>
      <c r="BY204" s="77">
        <f ca="1">COUNTIF('Group Stages'!$L$14:$S$110,BX204)+COUNTIF('Knock Out Stages'!$N$41:$U$84,BX204)</f>
        <v>0</v>
      </c>
      <c r="BZ204" s="77" t="str">
        <f t="shared" si="730"/>
        <v>'Player Database'!A20</v>
      </c>
      <c r="CA204" s="77" t="str">
        <f t="shared" ca="1" si="731"/>
        <v>Juan Camilo Zúñiga</v>
      </c>
      <c r="CS204" s="77">
        <f t="shared" si="724"/>
        <v>201</v>
      </c>
      <c r="CT204" s="77">
        <f t="shared" si="728"/>
        <v>5</v>
      </c>
      <c r="CU204" s="77" t="str">
        <f t="shared" si="725"/>
        <v>CR36</v>
      </c>
      <c r="CV204" s="77" t="str">
        <f t="shared" ca="1" si="726"/>
        <v/>
      </c>
      <c r="CW204" s="77">
        <f t="shared" ca="1" si="735"/>
        <v>0</v>
      </c>
    </row>
    <row r="205" spans="72:108">
      <c r="BT205" s="77" t="str">
        <f t="shared" ca="1" si="727"/>
        <v>Colombia</v>
      </c>
      <c r="BU205" s="77">
        <f t="shared" si="734"/>
        <v>203</v>
      </c>
      <c r="BV205" s="77" t="str">
        <f t="shared" si="732"/>
        <v>A21</v>
      </c>
      <c r="BW205" s="77">
        <f t="shared" si="729"/>
        <v>9</v>
      </c>
      <c r="BX205" s="77" t="str">
        <f t="shared" ca="1" si="733"/>
        <v>A. Ramos</v>
      </c>
      <c r="BY205" s="77">
        <f ca="1">COUNTIF('Group Stages'!$L$14:$S$110,BX205)+COUNTIF('Knock Out Stages'!$N$41:$U$84,BX205)</f>
        <v>0</v>
      </c>
      <c r="BZ205" s="77" t="str">
        <f t="shared" si="730"/>
        <v>'Player Database'!A21</v>
      </c>
      <c r="CA205" s="77" t="str">
        <f t="shared" ca="1" si="731"/>
        <v>Adrián Ramos</v>
      </c>
      <c r="CS205" s="77">
        <f t="shared" si="724"/>
        <v>202</v>
      </c>
      <c r="CT205" s="77">
        <f t="shared" si="728"/>
        <v>5</v>
      </c>
      <c r="CU205" s="77" t="str">
        <f t="shared" si="725"/>
        <v>CR37</v>
      </c>
      <c r="CV205" s="77" t="str">
        <f t="shared" ca="1" si="726"/>
        <v/>
      </c>
      <c r="CW205" s="77">
        <f t="shared" ca="1" si="735"/>
        <v>0</v>
      </c>
    </row>
    <row r="206" spans="72:108">
      <c r="BT206" s="77" t="str">
        <f t="shared" ca="1" si="727"/>
        <v>Colombia</v>
      </c>
      <c r="BU206" s="77">
        <f t="shared" si="734"/>
        <v>204</v>
      </c>
      <c r="BV206" s="77" t="str">
        <f t="shared" si="732"/>
        <v>A22</v>
      </c>
      <c r="BW206" s="77">
        <f t="shared" si="729"/>
        <v>9</v>
      </c>
      <c r="BX206" s="77" t="str">
        <f t="shared" ca="1" si="733"/>
        <v>J. Fernando Quintero</v>
      </c>
      <c r="BY206" s="77">
        <f ca="1">COUNTIF('Group Stages'!$L$14:$S$110,BX206)+COUNTIF('Knock Out Stages'!$N$41:$U$84,BX206)</f>
        <v>0</v>
      </c>
      <c r="BZ206" s="77" t="str">
        <f t="shared" si="730"/>
        <v>'Player Database'!A22</v>
      </c>
      <c r="CA206" s="77" t="str">
        <f t="shared" ca="1" si="731"/>
        <v>Juan Fernando Quintero</v>
      </c>
      <c r="CS206" s="77">
        <f t="shared" si="724"/>
        <v>203</v>
      </c>
      <c r="CT206" s="77">
        <f t="shared" si="728"/>
        <v>5</v>
      </c>
      <c r="CU206" s="77" t="str">
        <f t="shared" si="725"/>
        <v>CR38</v>
      </c>
      <c r="CV206" s="77" t="str">
        <f t="shared" ca="1" si="726"/>
        <v/>
      </c>
      <c r="CW206" s="77">
        <f t="shared" ca="1" si="735"/>
        <v>0</v>
      </c>
    </row>
    <row r="207" spans="72:108">
      <c r="BT207" s="77" t="str">
        <f t="shared" ca="1" si="727"/>
        <v>Colombia</v>
      </c>
      <c r="BU207" s="77">
        <f t="shared" si="734"/>
        <v>205</v>
      </c>
      <c r="BV207" s="77" t="str">
        <f t="shared" si="732"/>
        <v>A23</v>
      </c>
      <c r="BW207" s="77">
        <f t="shared" si="729"/>
        <v>9</v>
      </c>
      <c r="BX207" s="77" t="str">
        <f t="shared" ca="1" si="733"/>
        <v>J. Martínez</v>
      </c>
      <c r="BY207" s="77">
        <f ca="1">COUNTIF('Group Stages'!$L$14:$S$110,BX207)+COUNTIF('Knock Out Stages'!$N$41:$U$84,BX207)</f>
        <v>0</v>
      </c>
      <c r="BZ207" s="77" t="str">
        <f t="shared" si="730"/>
        <v>'Player Database'!A23</v>
      </c>
      <c r="CA207" s="77" t="str">
        <f t="shared" ca="1" si="731"/>
        <v>Jackson Martínez</v>
      </c>
      <c r="CS207" s="77">
        <f t="shared" si="724"/>
        <v>204</v>
      </c>
      <c r="CT207" s="77">
        <f t="shared" si="728"/>
        <v>5</v>
      </c>
      <c r="CU207" s="77" t="str">
        <f t="shared" si="725"/>
        <v>CR39</v>
      </c>
      <c r="CV207" s="77" t="str">
        <f t="shared" ca="1" si="726"/>
        <v/>
      </c>
      <c r="CW207" s="77">
        <f t="shared" ca="1" si="735"/>
        <v>0</v>
      </c>
    </row>
    <row r="208" spans="72:108">
      <c r="BT208" s="77" t="str">
        <f t="shared" ca="1" si="727"/>
        <v>Colombia</v>
      </c>
      <c r="BU208" s="77">
        <f t="shared" si="734"/>
        <v>206</v>
      </c>
      <c r="BV208" s="77" t="str">
        <f t="shared" si="732"/>
        <v>A24</v>
      </c>
      <c r="BW208" s="77">
        <f t="shared" si="729"/>
        <v>9</v>
      </c>
      <c r="BX208" s="77" t="str">
        <f t="shared" ca="1" si="733"/>
        <v>F. Mondragón</v>
      </c>
      <c r="BY208" s="77">
        <f ca="1">COUNTIF('Group Stages'!$L$14:$S$110,BX208)+COUNTIF('Knock Out Stages'!$N$41:$U$84,BX208)</f>
        <v>0</v>
      </c>
      <c r="BZ208" s="77" t="str">
        <f t="shared" si="730"/>
        <v>'Player Database'!A24</v>
      </c>
      <c r="CA208" s="77" t="str">
        <f t="shared" ca="1" si="731"/>
        <v>Faryd Mondragón</v>
      </c>
      <c r="CS208" s="77">
        <f t="shared" si="724"/>
        <v>205</v>
      </c>
      <c r="CT208" s="77">
        <f t="shared" si="728"/>
        <v>5</v>
      </c>
      <c r="CU208" s="77" t="str">
        <f t="shared" si="725"/>
        <v>CR40</v>
      </c>
      <c r="CV208" s="77" t="str">
        <f t="shared" ca="1" si="726"/>
        <v/>
      </c>
      <c r="CW208" s="77">
        <f t="shared" ca="1" si="735"/>
        <v>0</v>
      </c>
    </row>
    <row r="209" spans="72:101">
      <c r="BT209" s="77" t="str">
        <f t="shared" ca="1" si="727"/>
        <v>Colombia</v>
      </c>
      <c r="BU209" s="77">
        <f t="shared" si="734"/>
        <v>207</v>
      </c>
      <c r="BV209" s="77" t="str">
        <f t="shared" si="732"/>
        <v>A25</v>
      </c>
      <c r="BW209" s="77">
        <f t="shared" si="729"/>
        <v>9</v>
      </c>
      <c r="BX209" s="77" t="str">
        <f t="shared" ca="1" si="733"/>
        <v>C. Valdés</v>
      </c>
      <c r="BY209" s="77">
        <f ca="1">COUNTIF('Group Stages'!$L$14:$S$110,BX209)+COUNTIF('Knock Out Stages'!$N$41:$U$84,BX209)</f>
        <v>0</v>
      </c>
      <c r="BZ209" s="77" t="str">
        <f t="shared" si="730"/>
        <v>'Player Database'!A25</v>
      </c>
      <c r="CA209" s="77" t="str">
        <f t="shared" ca="1" si="731"/>
        <v>Carlos Valdés</v>
      </c>
      <c r="CS209" s="77">
        <f t="shared" si="724"/>
        <v>206</v>
      </c>
      <c r="CT209" s="77">
        <f t="shared" si="728"/>
        <v>5</v>
      </c>
      <c r="CU209" s="77" t="str">
        <f t="shared" si="725"/>
        <v>CR41</v>
      </c>
      <c r="CV209" s="77" t="str">
        <f t="shared" ca="1" si="726"/>
        <v/>
      </c>
      <c r="CW209" s="77">
        <f t="shared" ca="1" si="735"/>
        <v>0</v>
      </c>
    </row>
    <row r="210" spans="72:101">
      <c r="BT210" s="77" t="str">
        <f t="shared" ca="1" si="727"/>
        <v>Greece</v>
      </c>
      <c r="BU210" s="77">
        <f t="shared" si="734"/>
        <v>208</v>
      </c>
      <c r="BV210" s="77" t="str">
        <f t="shared" si="732"/>
        <v>A3</v>
      </c>
      <c r="BW210" s="77">
        <f t="shared" si="729"/>
        <v>10</v>
      </c>
      <c r="BX210" s="77" t="str">
        <f t="shared" ca="1" si="733"/>
        <v>O. Karnezis</v>
      </c>
      <c r="BY210" s="77">
        <f ca="1">COUNTIF('Group Stages'!$L$14:$S$110,BX210)+COUNTIF('Knock Out Stages'!$N$41:$U$84,BX210)</f>
        <v>0</v>
      </c>
      <c r="BZ210" s="77" t="str">
        <f t="shared" si="730"/>
        <v>'Player Database'!A3</v>
      </c>
      <c r="CA210" s="77" t="str">
        <f t="shared" ca="1" si="731"/>
        <v>Orestis Karnezis</v>
      </c>
      <c r="CS210" s="77">
        <f t="shared" si="724"/>
        <v>207</v>
      </c>
      <c r="CT210" s="77">
        <f t="shared" si="728"/>
        <v>5</v>
      </c>
      <c r="CU210" s="77" t="str">
        <f t="shared" si="725"/>
        <v>CR42</v>
      </c>
      <c r="CV210" s="77" t="str">
        <f t="shared" ca="1" si="726"/>
        <v/>
      </c>
      <c r="CW210" s="77">
        <f t="shared" ca="1" si="735"/>
        <v>0</v>
      </c>
    </row>
    <row r="211" spans="72:101">
      <c r="BT211" s="77" t="str">
        <f t="shared" ca="1" si="727"/>
        <v>Greece</v>
      </c>
      <c r="BU211" s="77">
        <f t="shared" si="734"/>
        <v>209</v>
      </c>
      <c r="BV211" s="77" t="str">
        <f t="shared" si="732"/>
        <v>A4</v>
      </c>
      <c r="BW211" s="77">
        <f t="shared" si="729"/>
        <v>10</v>
      </c>
      <c r="BX211" s="77" t="str">
        <f t="shared" ca="1" si="733"/>
        <v>G. Maniatis</v>
      </c>
      <c r="BY211" s="77">
        <f ca="1">COUNTIF('Group Stages'!$L$14:$S$110,BX211)+COUNTIF('Knock Out Stages'!$N$41:$U$84,BX211)</f>
        <v>0</v>
      </c>
      <c r="BZ211" s="77" t="str">
        <f t="shared" si="730"/>
        <v>'Player Database'!A4</v>
      </c>
      <c r="CA211" s="77" t="str">
        <f t="shared" ca="1" si="731"/>
        <v>Giannis Maniatis</v>
      </c>
      <c r="CS211" s="77">
        <f t="shared" si="724"/>
        <v>208</v>
      </c>
      <c r="CT211" s="77">
        <f t="shared" si="728"/>
        <v>5</v>
      </c>
      <c r="CU211" s="77" t="str">
        <f t="shared" si="725"/>
        <v>CR43</v>
      </c>
      <c r="CV211" s="77" t="str">
        <f t="shared" ca="1" si="726"/>
        <v/>
      </c>
      <c r="CW211" s="77">
        <f t="shared" ca="1" si="735"/>
        <v>0</v>
      </c>
    </row>
    <row r="212" spans="72:101">
      <c r="BT212" s="77" t="str">
        <f t="shared" ca="1" si="727"/>
        <v>Greece</v>
      </c>
      <c r="BU212" s="77">
        <f t="shared" si="734"/>
        <v>210</v>
      </c>
      <c r="BV212" s="77" t="str">
        <f t="shared" si="732"/>
        <v>A5</v>
      </c>
      <c r="BW212" s="77">
        <f t="shared" si="729"/>
        <v>10</v>
      </c>
      <c r="BX212" s="77" t="str">
        <f t="shared" ca="1" si="733"/>
        <v>G. Tzavellas</v>
      </c>
      <c r="BY212" s="77">
        <f ca="1">COUNTIF('Group Stages'!$L$14:$S$110,BX212)+COUNTIF('Knock Out Stages'!$N$41:$U$84,BX212)</f>
        <v>0</v>
      </c>
      <c r="BZ212" s="77" t="str">
        <f t="shared" si="730"/>
        <v>'Player Database'!A5</v>
      </c>
      <c r="CA212" s="77" t="str">
        <f t="shared" ca="1" si="731"/>
        <v>Giorgos Tzavellas</v>
      </c>
      <c r="CS212" s="77">
        <f t="shared" si="724"/>
        <v>209</v>
      </c>
      <c r="CT212" s="77">
        <f t="shared" si="728"/>
        <v>5</v>
      </c>
      <c r="CU212" s="77" t="str">
        <f t="shared" si="725"/>
        <v>CR44</v>
      </c>
      <c r="CV212" s="77" t="str">
        <f t="shared" ca="1" si="726"/>
        <v/>
      </c>
      <c r="CW212" s="77">
        <f t="shared" ca="1" si="735"/>
        <v>0</v>
      </c>
    </row>
    <row r="213" spans="72:101">
      <c r="BT213" s="77" t="str">
        <f t="shared" ca="1" si="727"/>
        <v>Greece</v>
      </c>
      <c r="BU213" s="77">
        <f t="shared" si="734"/>
        <v>211</v>
      </c>
      <c r="BV213" s="77" t="str">
        <f t="shared" si="732"/>
        <v>A6</v>
      </c>
      <c r="BW213" s="77">
        <f t="shared" si="729"/>
        <v>10</v>
      </c>
      <c r="BX213" s="77" t="str">
        <f t="shared" ca="1" si="733"/>
        <v>K. Manolas</v>
      </c>
      <c r="BY213" s="77">
        <f ca="1">COUNTIF('Group Stages'!$L$14:$S$110,BX213)+COUNTIF('Knock Out Stages'!$N$41:$U$84,BX213)</f>
        <v>0</v>
      </c>
      <c r="BZ213" s="77" t="str">
        <f t="shared" si="730"/>
        <v>'Player Database'!A6</v>
      </c>
      <c r="CA213" s="77" t="str">
        <f t="shared" ca="1" si="731"/>
        <v>Kostas Manolas</v>
      </c>
      <c r="CS213" s="77">
        <f t="shared" si="724"/>
        <v>210</v>
      </c>
      <c r="CT213" s="77">
        <f t="shared" si="728"/>
        <v>5</v>
      </c>
      <c r="CU213" s="77" t="str">
        <f t="shared" si="725"/>
        <v>CR45</v>
      </c>
      <c r="CV213" s="77" t="str">
        <f t="shared" ca="1" si="726"/>
        <v/>
      </c>
      <c r="CW213" s="77">
        <f t="shared" ca="1" si="735"/>
        <v>0</v>
      </c>
    </row>
    <row r="214" spans="72:101">
      <c r="BT214" s="77" t="str">
        <f t="shared" ca="1" si="727"/>
        <v>Greece</v>
      </c>
      <c r="BU214" s="77">
        <f t="shared" si="734"/>
        <v>212</v>
      </c>
      <c r="BV214" s="77" t="str">
        <f t="shared" si="732"/>
        <v>A7</v>
      </c>
      <c r="BW214" s="77">
        <f t="shared" si="729"/>
        <v>10</v>
      </c>
      <c r="BX214" s="77" t="str">
        <f t="shared" ca="1" si="733"/>
        <v>V. Moras</v>
      </c>
      <c r="BY214" s="77">
        <f ca="1">COUNTIF('Group Stages'!$L$14:$S$110,BX214)+COUNTIF('Knock Out Stages'!$N$41:$U$84,BX214)</f>
        <v>0</v>
      </c>
      <c r="BZ214" s="77" t="str">
        <f t="shared" si="730"/>
        <v>'Player Database'!A7</v>
      </c>
      <c r="CA214" s="77" t="str">
        <f t="shared" ca="1" si="731"/>
        <v>Vangelis Moras</v>
      </c>
      <c r="CS214" s="77">
        <f t="shared" si="724"/>
        <v>211</v>
      </c>
      <c r="CT214" s="77">
        <f t="shared" si="728"/>
        <v>6</v>
      </c>
      <c r="CU214" s="77" t="str">
        <f t="shared" si="725"/>
        <v>CR4</v>
      </c>
      <c r="CV214" s="77" t="str">
        <f t="shared" ca="1" si="726"/>
        <v/>
      </c>
      <c r="CW214" s="77">
        <f t="shared" ca="1" si="735"/>
        <v>0</v>
      </c>
    </row>
    <row r="215" spans="72:101">
      <c r="BT215" s="77" t="str">
        <f t="shared" ca="1" si="727"/>
        <v>Greece</v>
      </c>
      <c r="BU215" s="77">
        <f t="shared" si="734"/>
        <v>213</v>
      </c>
      <c r="BV215" s="77" t="str">
        <f t="shared" si="732"/>
        <v>A8</v>
      </c>
      <c r="BW215" s="77">
        <f t="shared" si="729"/>
        <v>10</v>
      </c>
      <c r="BX215" s="77" t="str">
        <f t="shared" ca="1" si="733"/>
        <v>A. Tziolis</v>
      </c>
      <c r="BY215" s="77">
        <f ca="1">COUNTIF('Group Stages'!$L$14:$S$110,BX215)+COUNTIF('Knock Out Stages'!$N$41:$U$84,BX215)</f>
        <v>0</v>
      </c>
      <c r="BZ215" s="77" t="str">
        <f t="shared" si="730"/>
        <v>'Player Database'!A8</v>
      </c>
      <c r="CA215" s="77" t="str">
        <f t="shared" ca="1" si="731"/>
        <v>Alexandros Tziolis</v>
      </c>
      <c r="CS215" s="77">
        <f t="shared" si="724"/>
        <v>212</v>
      </c>
      <c r="CT215" s="77">
        <f t="shared" si="728"/>
        <v>6</v>
      </c>
      <c r="CU215" s="77" t="str">
        <f t="shared" si="725"/>
        <v>CR5</v>
      </c>
      <c r="CV215" s="77" t="str">
        <f t="shared" ca="1" si="726"/>
        <v/>
      </c>
      <c r="CW215" s="77">
        <f t="shared" ca="1" si="735"/>
        <v>0</v>
      </c>
    </row>
    <row r="216" spans="72:101">
      <c r="BT216" s="77" t="str">
        <f t="shared" ca="1" si="727"/>
        <v>Greece</v>
      </c>
      <c r="BU216" s="77">
        <f t="shared" si="734"/>
        <v>214</v>
      </c>
      <c r="BV216" s="77" t="str">
        <f t="shared" si="732"/>
        <v>A9</v>
      </c>
      <c r="BW216" s="77">
        <f t="shared" si="729"/>
        <v>10</v>
      </c>
      <c r="BX216" s="77" t="str">
        <f t="shared" ca="1" si="733"/>
        <v>G. Samaras</v>
      </c>
      <c r="BY216" s="77">
        <f ca="1">COUNTIF('Group Stages'!$L$14:$S$110,BX216)+COUNTIF('Knock Out Stages'!$N$41:$U$84,BX216)</f>
        <v>0</v>
      </c>
      <c r="BZ216" s="77" t="str">
        <f t="shared" si="730"/>
        <v>'Player Database'!A9</v>
      </c>
      <c r="CA216" s="77" t="str">
        <f t="shared" ca="1" si="731"/>
        <v>Giorgos Samaras</v>
      </c>
      <c r="CS216" s="77">
        <f t="shared" si="724"/>
        <v>213</v>
      </c>
      <c r="CT216" s="77">
        <f t="shared" si="728"/>
        <v>6</v>
      </c>
      <c r="CU216" s="77" t="str">
        <f t="shared" si="725"/>
        <v>CR6</v>
      </c>
      <c r="CV216" s="77" t="str">
        <f t="shared" ca="1" si="726"/>
        <v/>
      </c>
      <c r="CW216" s="77">
        <f t="shared" ca="1" si="735"/>
        <v>0</v>
      </c>
    </row>
    <row r="217" spans="72:101">
      <c r="BT217" s="77" t="str">
        <f t="shared" ca="1" si="727"/>
        <v>Greece</v>
      </c>
      <c r="BU217" s="77">
        <f t="shared" si="734"/>
        <v>215</v>
      </c>
      <c r="BV217" s="77" t="str">
        <f t="shared" si="732"/>
        <v>A10</v>
      </c>
      <c r="BW217" s="77">
        <f t="shared" si="729"/>
        <v>10</v>
      </c>
      <c r="BX217" s="77" t="str">
        <f t="shared" ca="1" si="733"/>
        <v>P. Kone</v>
      </c>
      <c r="BY217" s="77">
        <f ca="1">COUNTIF('Group Stages'!$L$14:$S$110,BX217)+COUNTIF('Knock Out Stages'!$N$41:$U$84,BX217)</f>
        <v>0</v>
      </c>
      <c r="BZ217" s="77" t="str">
        <f t="shared" si="730"/>
        <v>'Player Database'!A10</v>
      </c>
      <c r="CA217" s="77" t="str">
        <f t="shared" ca="1" si="731"/>
        <v>Panagiotis Kone</v>
      </c>
      <c r="CS217" s="77">
        <f t="shared" ref="CS217:CS264" si="740">CS216+1</f>
        <v>214</v>
      </c>
      <c r="CT217" s="77">
        <f t="shared" si="728"/>
        <v>6</v>
      </c>
      <c r="CU217" s="77" t="str">
        <f t="shared" ref="CU217:CU280" si="741">CU175</f>
        <v>CR7</v>
      </c>
      <c r="CV217" s="77" t="str">
        <f t="shared" ref="CV217:CV264" ca="1" si="742">OFFSET(INDIRECT(CU217),0,-CT217)</f>
        <v/>
      </c>
      <c r="CW217" s="77">
        <f t="shared" ca="1" si="735"/>
        <v>0</v>
      </c>
    </row>
    <row r="218" spans="72:101">
      <c r="BT218" s="77" t="str">
        <f t="shared" ca="1" si="727"/>
        <v>Greece</v>
      </c>
      <c r="BU218" s="77">
        <f t="shared" si="734"/>
        <v>216</v>
      </c>
      <c r="BV218" s="77" t="str">
        <f t="shared" si="732"/>
        <v>A11</v>
      </c>
      <c r="BW218" s="77">
        <f t="shared" si="729"/>
        <v>10</v>
      </c>
      <c r="BX218" s="77" t="str">
        <f t="shared" ca="1" si="733"/>
        <v>K. Mitroglou</v>
      </c>
      <c r="BY218" s="77">
        <f ca="1">COUNTIF('Group Stages'!$L$14:$S$110,BX218)+COUNTIF('Knock Out Stages'!$N$41:$U$84,BX218)</f>
        <v>0</v>
      </c>
      <c r="BZ218" s="77" t="str">
        <f t="shared" si="730"/>
        <v>'Player Database'!A11</v>
      </c>
      <c r="CA218" s="77" t="str">
        <f t="shared" ca="1" si="731"/>
        <v>Kostas Mitroglou</v>
      </c>
      <c r="CS218" s="77">
        <f t="shared" si="740"/>
        <v>215</v>
      </c>
      <c r="CT218" s="77">
        <f t="shared" si="728"/>
        <v>6</v>
      </c>
      <c r="CU218" s="77" t="str">
        <f t="shared" si="741"/>
        <v>CR8</v>
      </c>
      <c r="CV218" s="77" t="str">
        <f t="shared" ca="1" si="742"/>
        <v/>
      </c>
      <c r="CW218" s="77">
        <f t="shared" ca="1" si="735"/>
        <v>0</v>
      </c>
    </row>
    <row r="219" spans="72:101">
      <c r="BT219" s="77" t="str">
        <f t="shared" ref="BT219:BT282" ca="1" si="743">OFFSET($A$2,0,BW219)</f>
        <v>Greece</v>
      </c>
      <c r="BU219" s="77">
        <f t="shared" si="734"/>
        <v>217</v>
      </c>
      <c r="BV219" s="77" t="str">
        <f t="shared" si="732"/>
        <v>A12</v>
      </c>
      <c r="BW219" s="77">
        <f t="shared" si="729"/>
        <v>10</v>
      </c>
      <c r="BX219" s="77" t="str">
        <f t="shared" ca="1" si="733"/>
        <v xml:space="preserve">G. Karagounis </v>
      </c>
      <c r="BY219" s="77">
        <f ca="1">COUNTIF('Group Stages'!$L$14:$S$110,BX219)+COUNTIF('Knock Out Stages'!$N$41:$U$84,BX219)</f>
        <v>0</v>
      </c>
      <c r="BZ219" s="77" t="str">
        <f t="shared" si="730"/>
        <v>'Player Database'!A12</v>
      </c>
      <c r="CA219" s="77" t="str">
        <f t="shared" ca="1" si="731"/>
        <v xml:space="preserve">Giorgos Karagounis </v>
      </c>
      <c r="CS219" s="77">
        <f t="shared" si="740"/>
        <v>216</v>
      </c>
      <c r="CT219" s="77">
        <f t="shared" si="728"/>
        <v>6</v>
      </c>
      <c r="CU219" s="77" t="str">
        <f t="shared" si="741"/>
        <v>CR9</v>
      </c>
      <c r="CV219" s="77" t="str">
        <f t="shared" ca="1" si="742"/>
        <v/>
      </c>
      <c r="CW219" s="77">
        <f t="shared" ca="1" si="735"/>
        <v>0</v>
      </c>
    </row>
    <row r="220" spans="72:101">
      <c r="BT220" s="77" t="str">
        <f t="shared" ca="1" si="743"/>
        <v>Greece</v>
      </c>
      <c r="BU220" s="77">
        <f t="shared" si="734"/>
        <v>218</v>
      </c>
      <c r="BV220" s="77" t="str">
        <f t="shared" si="732"/>
        <v>A13</v>
      </c>
      <c r="BW220" s="77">
        <f t="shared" si="729"/>
        <v>10</v>
      </c>
      <c r="BX220" s="77" t="str">
        <f t="shared" ca="1" si="733"/>
        <v>L. Vyntra</v>
      </c>
      <c r="BY220" s="77">
        <f ca="1">COUNTIF('Group Stages'!$L$14:$S$110,BX220)+COUNTIF('Knock Out Stages'!$N$41:$U$84,BX220)</f>
        <v>0</v>
      </c>
      <c r="BZ220" s="77" t="str">
        <f t="shared" si="730"/>
        <v>'Player Database'!A13</v>
      </c>
      <c r="CA220" s="77" t="str">
        <f t="shared" ca="1" si="731"/>
        <v>Loukas Vyntra</v>
      </c>
      <c r="CS220" s="77">
        <f t="shared" si="740"/>
        <v>217</v>
      </c>
      <c r="CT220" s="77">
        <f t="shared" si="728"/>
        <v>6</v>
      </c>
      <c r="CU220" s="77" t="str">
        <f t="shared" si="741"/>
        <v>CR10</v>
      </c>
      <c r="CV220" s="77" t="str">
        <f t="shared" ca="1" si="742"/>
        <v/>
      </c>
      <c r="CW220" s="77">
        <f t="shared" ca="1" si="735"/>
        <v>0</v>
      </c>
    </row>
    <row r="221" spans="72:101">
      <c r="BT221" s="77" t="str">
        <f t="shared" ca="1" si="743"/>
        <v>Greece</v>
      </c>
      <c r="BU221" s="77">
        <f t="shared" si="734"/>
        <v>219</v>
      </c>
      <c r="BV221" s="77" t="str">
        <f t="shared" si="732"/>
        <v>A14</v>
      </c>
      <c r="BW221" s="77">
        <f t="shared" si="729"/>
        <v>10</v>
      </c>
      <c r="BX221" s="77" t="str">
        <f t="shared" ca="1" si="733"/>
        <v>P. Glykos</v>
      </c>
      <c r="BY221" s="77">
        <f ca="1">COUNTIF('Group Stages'!$L$14:$S$110,BX221)+COUNTIF('Knock Out Stages'!$N$41:$U$84,BX221)</f>
        <v>0</v>
      </c>
      <c r="BZ221" s="77" t="str">
        <f t="shared" si="730"/>
        <v>'Player Database'!A14</v>
      </c>
      <c r="CA221" s="77" t="str">
        <f t="shared" ca="1" si="731"/>
        <v>Panagiotis Glykos</v>
      </c>
      <c r="CS221" s="77">
        <f t="shared" si="740"/>
        <v>218</v>
      </c>
      <c r="CT221" s="77">
        <f t="shared" si="728"/>
        <v>6</v>
      </c>
      <c r="CU221" s="77" t="str">
        <f t="shared" si="741"/>
        <v>CR11</v>
      </c>
      <c r="CV221" s="77" t="str">
        <f t="shared" ca="1" si="742"/>
        <v/>
      </c>
      <c r="CW221" s="77">
        <f t="shared" ca="1" si="735"/>
        <v>0</v>
      </c>
    </row>
    <row r="222" spans="72:101">
      <c r="BT222" s="77" t="str">
        <f t="shared" ca="1" si="743"/>
        <v>Greece</v>
      </c>
      <c r="BU222" s="77">
        <f t="shared" si="734"/>
        <v>220</v>
      </c>
      <c r="BV222" s="77" t="str">
        <f t="shared" si="732"/>
        <v>A15</v>
      </c>
      <c r="BW222" s="77">
        <f t="shared" si="729"/>
        <v>10</v>
      </c>
      <c r="BX222" s="77" t="str">
        <f t="shared" ca="1" si="733"/>
        <v>S. Kapino</v>
      </c>
      <c r="BY222" s="77">
        <f ca="1">COUNTIF('Group Stages'!$L$14:$S$110,BX222)+COUNTIF('Knock Out Stages'!$N$41:$U$84,BX222)</f>
        <v>0</v>
      </c>
      <c r="BZ222" s="77" t="str">
        <f t="shared" si="730"/>
        <v>'Player Database'!A15</v>
      </c>
      <c r="CA222" s="77" t="str">
        <f t="shared" ca="1" si="731"/>
        <v>Stefanos Kapino</v>
      </c>
      <c r="CS222" s="77">
        <f t="shared" si="740"/>
        <v>219</v>
      </c>
      <c r="CT222" s="77">
        <f t="shared" si="728"/>
        <v>6</v>
      </c>
      <c r="CU222" s="77" t="str">
        <f t="shared" si="741"/>
        <v>CR12</v>
      </c>
      <c r="CV222" s="77" t="str">
        <f t="shared" ca="1" si="742"/>
        <v/>
      </c>
      <c r="CW222" s="77">
        <f t="shared" ca="1" si="735"/>
        <v>0</v>
      </c>
    </row>
    <row r="223" spans="72:101">
      <c r="BT223" s="77" t="str">
        <f t="shared" ca="1" si="743"/>
        <v>Greece</v>
      </c>
      <c r="BU223" s="77">
        <f t="shared" si="734"/>
        <v>221</v>
      </c>
      <c r="BV223" s="77" t="str">
        <f t="shared" si="732"/>
        <v>A16</v>
      </c>
      <c r="BW223" s="77">
        <f t="shared" si="729"/>
        <v>10</v>
      </c>
      <c r="BX223" s="77" t="str">
        <f t="shared" ca="1" si="733"/>
        <v>D. Salpingidis</v>
      </c>
      <c r="BY223" s="77">
        <f ca="1">COUNTIF('Group Stages'!$L$14:$S$110,BX223)+COUNTIF('Knock Out Stages'!$N$41:$U$84,BX223)</f>
        <v>0</v>
      </c>
      <c r="BZ223" s="77" t="str">
        <f t="shared" si="730"/>
        <v>'Player Database'!A16</v>
      </c>
      <c r="CA223" s="77" t="str">
        <f t="shared" ca="1" si="731"/>
        <v>Dimitris Salpingidis</v>
      </c>
      <c r="CS223" s="77">
        <f t="shared" si="740"/>
        <v>220</v>
      </c>
      <c r="CT223" s="77">
        <f t="shared" si="728"/>
        <v>6</v>
      </c>
      <c r="CU223" s="77" t="str">
        <f t="shared" si="741"/>
        <v>CR13</v>
      </c>
      <c r="CV223" s="77" t="str">
        <f t="shared" ca="1" si="742"/>
        <v/>
      </c>
      <c r="CW223" s="77">
        <f t="shared" ca="1" si="735"/>
        <v>0</v>
      </c>
    </row>
    <row r="224" spans="72:101">
      <c r="BT224" s="77" t="str">
        <f t="shared" ca="1" si="743"/>
        <v>Greece</v>
      </c>
      <c r="BU224" s="77">
        <f t="shared" si="734"/>
        <v>222</v>
      </c>
      <c r="BV224" s="77" t="str">
        <f t="shared" si="732"/>
        <v>A17</v>
      </c>
      <c r="BW224" s="77">
        <f t="shared" si="729"/>
        <v>10</v>
      </c>
      <c r="BX224" s="77" t="str">
        <f t="shared" ca="1" si="733"/>
        <v>V. Torosidis</v>
      </c>
      <c r="BY224" s="77">
        <f ca="1">COUNTIF('Group Stages'!$L$14:$S$110,BX224)+COUNTIF('Knock Out Stages'!$N$41:$U$84,BX224)</f>
        <v>0</v>
      </c>
      <c r="BZ224" s="77" t="str">
        <f t="shared" si="730"/>
        <v>'Player Database'!A17</v>
      </c>
      <c r="CA224" s="77" t="str">
        <f t="shared" ca="1" si="731"/>
        <v>Vasilis Torosidis</v>
      </c>
      <c r="CS224" s="77">
        <f t="shared" si="740"/>
        <v>221</v>
      </c>
      <c r="CT224" s="77">
        <f t="shared" si="728"/>
        <v>6</v>
      </c>
      <c r="CU224" s="77" t="str">
        <f t="shared" si="741"/>
        <v>CR14</v>
      </c>
      <c r="CV224" s="77" t="str">
        <f t="shared" ca="1" si="742"/>
        <v/>
      </c>
      <c r="CW224" s="77">
        <f t="shared" ca="1" si="735"/>
        <v>0</v>
      </c>
    </row>
    <row r="225" spans="72:101">
      <c r="BT225" s="77" t="str">
        <f t="shared" ca="1" si="743"/>
        <v>Greece</v>
      </c>
      <c r="BU225" s="77">
        <f t="shared" si="734"/>
        <v>223</v>
      </c>
      <c r="BV225" s="77" t="str">
        <f t="shared" si="732"/>
        <v>A18</v>
      </c>
      <c r="BW225" s="77">
        <f t="shared" si="729"/>
        <v>10</v>
      </c>
      <c r="BX225" s="77" t="str">
        <f t="shared" ca="1" si="733"/>
        <v>L. Christodoulopoulos</v>
      </c>
      <c r="BY225" s="77">
        <f ca="1">COUNTIF('Group Stages'!$L$14:$S$110,BX225)+COUNTIF('Knock Out Stages'!$N$41:$U$84,BX225)</f>
        <v>0</v>
      </c>
      <c r="BZ225" s="77" t="str">
        <f t="shared" si="730"/>
        <v>'Player Database'!A18</v>
      </c>
      <c r="CA225" s="77" t="str">
        <f t="shared" ca="1" si="731"/>
        <v>Lazaros Christodoulopoulos</v>
      </c>
      <c r="CS225" s="77">
        <f t="shared" si="740"/>
        <v>222</v>
      </c>
      <c r="CT225" s="77">
        <f t="shared" si="728"/>
        <v>6</v>
      </c>
      <c r="CU225" s="77" t="str">
        <f t="shared" si="741"/>
        <v>CR15</v>
      </c>
      <c r="CV225" s="77" t="str">
        <f t="shared" ca="1" si="742"/>
        <v/>
      </c>
      <c r="CW225" s="77">
        <f t="shared" ca="1" si="735"/>
        <v>0</v>
      </c>
    </row>
    <row r="226" spans="72:101">
      <c r="BT226" s="77" t="str">
        <f t="shared" ca="1" si="743"/>
        <v>Greece</v>
      </c>
      <c r="BU226" s="77">
        <f t="shared" si="734"/>
        <v>224</v>
      </c>
      <c r="BV226" s="77" t="str">
        <f t="shared" si="732"/>
        <v>A19</v>
      </c>
      <c r="BW226" s="77">
        <f t="shared" si="729"/>
        <v>10</v>
      </c>
      <c r="BX226" s="77" t="str">
        <f t="shared" ca="1" si="733"/>
        <v>T. Gekas</v>
      </c>
      <c r="BY226" s="77">
        <f ca="1">COUNTIF('Group Stages'!$L$14:$S$110,BX226)+COUNTIF('Knock Out Stages'!$N$41:$U$84,BX226)</f>
        <v>0</v>
      </c>
      <c r="BZ226" s="77" t="str">
        <f t="shared" si="730"/>
        <v>'Player Database'!A19</v>
      </c>
      <c r="CA226" s="77" t="str">
        <f t="shared" ca="1" si="731"/>
        <v>Theofanis Gekas</v>
      </c>
      <c r="CS226" s="77">
        <f t="shared" si="740"/>
        <v>223</v>
      </c>
      <c r="CT226" s="77">
        <f t="shared" si="728"/>
        <v>6</v>
      </c>
      <c r="CU226" s="77" t="str">
        <f t="shared" si="741"/>
        <v>CR16</v>
      </c>
      <c r="CV226" s="77" t="str">
        <f t="shared" ca="1" si="742"/>
        <v/>
      </c>
      <c r="CW226" s="77">
        <f t="shared" ca="1" si="735"/>
        <v>0</v>
      </c>
    </row>
    <row r="227" spans="72:101">
      <c r="BT227" s="77" t="str">
        <f t="shared" ca="1" si="743"/>
        <v>Greece</v>
      </c>
      <c r="BU227" s="77">
        <f t="shared" si="734"/>
        <v>225</v>
      </c>
      <c r="BV227" s="77" t="str">
        <f t="shared" si="732"/>
        <v>A20</v>
      </c>
      <c r="BW227" s="77">
        <f t="shared" si="729"/>
        <v>10</v>
      </c>
      <c r="BX227" s="77" t="str">
        <f t="shared" ca="1" si="733"/>
        <v>G. Fetfatzidis</v>
      </c>
      <c r="BY227" s="77">
        <f ca="1">COUNTIF('Group Stages'!$L$14:$S$110,BX227)+COUNTIF('Knock Out Stages'!$N$41:$U$84,BX227)</f>
        <v>0</v>
      </c>
      <c r="BZ227" s="77" t="str">
        <f t="shared" si="730"/>
        <v>'Player Database'!A20</v>
      </c>
      <c r="CA227" s="77" t="str">
        <f t="shared" ca="1" si="731"/>
        <v>Giannis Fetfatzidis</v>
      </c>
      <c r="CS227" s="77">
        <f t="shared" si="740"/>
        <v>224</v>
      </c>
      <c r="CT227" s="77">
        <f t="shared" si="728"/>
        <v>6</v>
      </c>
      <c r="CU227" s="77" t="str">
        <f t="shared" si="741"/>
        <v>CR17</v>
      </c>
      <c r="CV227" s="77" t="str">
        <f t="shared" ca="1" si="742"/>
        <v/>
      </c>
      <c r="CW227" s="77">
        <f t="shared" ca="1" si="735"/>
        <v>0</v>
      </c>
    </row>
    <row r="228" spans="72:101">
      <c r="BT228" s="77" t="str">
        <f t="shared" ca="1" si="743"/>
        <v>Greece</v>
      </c>
      <c r="BU228" s="77">
        <f t="shared" si="734"/>
        <v>226</v>
      </c>
      <c r="BV228" s="77" t="str">
        <f t="shared" si="732"/>
        <v>A21</v>
      </c>
      <c r="BW228" s="77">
        <f t="shared" si="729"/>
        <v>10</v>
      </c>
      <c r="BX228" s="77" t="str">
        <f t="shared" ca="1" si="733"/>
        <v>S. Papastathopoulos</v>
      </c>
      <c r="BY228" s="77">
        <f ca="1">COUNTIF('Group Stages'!$L$14:$S$110,BX228)+COUNTIF('Knock Out Stages'!$N$41:$U$84,BX228)</f>
        <v>0</v>
      </c>
      <c r="BZ228" s="77" t="str">
        <f t="shared" si="730"/>
        <v>'Player Database'!A21</v>
      </c>
      <c r="CA228" s="77" t="str">
        <f t="shared" ca="1" si="731"/>
        <v>Sokratis Papastathopoulos</v>
      </c>
      <c r="CS228" s="77">
        <f t="shared" si="740"/>
        <v>225</v>
      </c>
      <c r="CT228" s="77">
        <f t="shared" si="728"/>
        <v>6</v>
      </c>
      <c r="CU228" s="77" t="str">
        <f t="shared" si="741"/>
        <v>CR18</v>
      </c>
      <c r="CV228" s="77" t="str">
        <f t="shared" ca="1" si="742"/>
        <v/>
      </c>
      <c r="CW228" s="77">
        <f t="shared" ca="1" si="735"/>
        <v>0</v>
      </c>
    </row>
    <row r="229" spans="72:101">
      <c r="BT229" s="77" t="str">
        <f t="shared" ca="1" si="743"/>
        <v>Greece</v>
      </c>
      <c r="BU229" s="77">
        <f t="shared" si="734"/>
        <v>227</v>
      </c>
      <c r="BV229" s="77" t="str">
        <f t="shared" si="732"/>
        <v>A22</v>
      </c>
      <c r="BW229" s="77">
        <f t="shared" si="729"/>
        <v>10</v>
      </c>
      <c r="BX229" s="77" t="str">
        <f t="shared" ca="1" si="733"/>
        <v>J. Holebas</v>
      </c>
      <c r="BY229" s="77">
        <f ca="1">COUNTIF('Group Stages'!$L$14:$S$110,BX229)+COUNTIF('Knock Out Stages'!$N$41:$U$84,BX229)</f>
        <v>0</v>
      </c>
      <c r="BZ229" s="77" t="str">
        <f t="shared" si="730"/>
        <v>'Player Database'!A22</v>
      </c>
      <c r="CA229" s="77" t="str">
        <f t="shared" ca="1" si="731"/>
        <v>José Holebas</v>
      </c>
      <c r="CS229" s="77">
        <f t="shared" si="740"/>
        <v>226</v>
      </c>
      <c r="CT229" s="77">
        <f t="shared" si="728"/>
        <v>6</v>
      </c>
      <c r="CU229" s="77" t="str">
        <f t="shared" si="741"/>
        <v>CR19</v>
      </c>
      <c r="CV229" s="77" t="str">
        <f t="shared" ca="1" si="742"/>
        <v/>
      </c>
      <c r="CW229" s="77">
        <f t="shared" ca="1" si="735"/>
        <v>0</v>
      </c>
    </row>
    <row r="230" spans="72:101">
      <c r="BT230" s="77" t="str">
        <f t="shared" ca="1" si="743"/>
        <v>Greece</v>
      </c>
      <c r="BU230" s="77">
        <f t="shared" si="734"/>
        <v>228</v>
      </c>
      <c r="BV230" s="77" t="str">
        <f t="shared" si="732"/>
        <v>A23</v>
      </c>
      <c r="BW230" s="77">
        <f t="shared" si="729"/>
        <v>10</v>
      </c>
      <c r="BX230" s="77" t="str">
        <f t="shared" ca="1" si="733"/>
        <v>K. Katsouranis</v>
      </c>
      <c r="BY230" s="77">
        <f ca="1">COUNTIF('Group Stages'!$L$14:$S$110,BX230)+COUNTIF('Knock Out Stages'!$N$41:$U$84,BX230)</f>
        <v>0</v>
      </c>
      <c r="BZ230" s="77" t="str">
        <f t="shared" si="730"/>
        <v>'Player Database'!A23</v>
      </c>
      <c r="CA230" s="77" t="str">
        <f t="shared" ca="1" si="731"/>
        <v>Kostas Katsouranis</v>
      </c>
      <c r="CS230" s="77">
        <f t="shared" si="740"/>
        <v>227</v>
      </c>
      <c r="CT230" s="77">
        <f t="shared" si="728"/>
        <v>6</v>
      </c>
      <c r="CU230" s="77" t="str">
        <f t="shared" si="741"/>
        <v>CR20</v>
      </c>
      <c r="CV230" s="77" t="str">
        <f t="shared" ca="1" si="742"/>
        <v/>
      </c>
      <c r="CW230" s="77">
        <f t="shared" ca="1" si="735"/>
        <v>0</v>
      </c>
    </row>
    <row r="231" spans="72:101">
      <c r="BT231" s="77" t="str">
        <f t="shared" ca="1" si="743"/>
        <v>Greece</v>
      </c>
      <c r="BU231" s="77">
        <f t="shared" si="734"/>
        <v>229</v>
      </c>
      <c r="BV231" s="77" t="str">
        <f t="shared" si="732"/>
        <v>A24</v>
      </c>
      <c r="BW231" s="77">
        <f t="shared" si="729"/>
        <v>10</v>
      </c>
      <c r="BX231" s="77" t="str">
        <f t="shared" ca="1" si="733"/>
        <v>A. Samaris</v>
      </c>
      <c r="BY231" s="77">
        <f ca="1">COUNTIF('Group Stages'!$L$14:$S$110,BX231)+COUNTIF('Knock Out Stages'!$N$41:$U$84,BX231)</f>
        <v>0</v>
      </c>
      <c r="BZ231" s="77" t="str">
        <f t="shared" si="730"/>
        <v>'Player Database'!A24</v>
      </c>
      <c r="CA231" s="77" t="str">
        <f t="shared" ca="1" si="731"/>
        <v>Andreas Samaris</v>
      </c>
      <c r="CS231" s="77">
        <f t="shared" si="740"/>
        <v>228</v>
      </c>
      <c r="CT231" s="77">
        <f t="shared" si="728"/>
        <v>6</v>
      </c>
      <c r="CU231" s="77" t="str">
        <f t="shared" si="741"/>
        <v>CR21</v>
      </c>
      <c r="CV231" s="77" t="str">
        <f t="shared" ca="1" si="742"/>
        <v/>
      </c>
      <c r="CW231" s="77">
        <f t="shared" ca="1" si="735"/>
        <v>0</v>
      </c>
    </row>
    <row r="232" spans="72:101">
      <c r="BT232" s="77" t="str">
        <f t="shared" ca="1" si="743"/>
        <v>Greece</v>
      </c>
      <c r="BU232" s="77">
        <f t="shared" si="734"/>
        <v>230</v>
      </c>
      <c r="BV232" s="77" t="str">
        <f t="shared" si="732"/>
        <v>A25</v>
      </c>
      <c r="BW232" s="77">
        <f t="shared" si="729"/>
        <v>10</v>
      </c>
      <c r="BX232" s="77" t="str">
        <f t="shared" ca="1" si="733"/>
        <v>P. Tachtsidis</v>
      </c>
      <c r="BY232" s="77">
        <f ca="1">COUNTIF('Group Stages'!$L$14:$S$110,BX232)+COUNTIF('Knock Out Stages'!$N$41:$U$84,BX232)</f>
        <v>0</v>
      </c>
      <c r="BZ232" s="77" t="str">
        <f t="shared" si="730"/>
        <v>'Player Database'!A25</v>
      </c>
      <c r="CA232" s="77" t="str">
        <f t="shared" ca="1" si="731"/>
        <v>Panagiotis Tachtsidis</v>
      </c>
      <c r="CS232" s="77">
        <f t="shared" si="740"/>
        <v>229</v>
      </c>
      <c r="CT232" s="77">
        <f t="shared" si="728"/>
        <v>6</v>
      </c>
      <c r="CU232" s="77" t="str">
        <f t="shared" si="741"/>
        <v>CR22</v>
      </c>
      <c r="CV232" s="77" t="str">
        <f t="shared" ca="1" si="742"/>
        <v/>
      </c>
      <c r="CW232" s="77">
        <f t="shared" ca="1" si="735"/>
        <v>0</v>
      </c>
    </row>
    <row r="233" spans="72:101">
      <c r="BT233" s="77" t="str">
        <f t="shared" ca="1" si="743"/>
        <v>Ivory Coast</v>
      </c>
      <c r="BU233" s="77">
        <f t="shared" si="734"/>
        <v>231</v>
      </c>
      <c r="BV233" s="77" t="str">
        <f t="shared" si="732"/>
        <v>A3</v>
      </c>
      <c r="BW233" s="77">
        <f t="shared" si="729"/>
        <v>11</v>
      </c>
      <c r="BX233" s="77" t="str">
        <f t="shared" ca="1" si="733"/>
        <v>B. Barry</v>
      </c>
      <c r="BY233" s="77">
        <f ca="1">COUNTIF('Group Stages'!$L$14:$S$110,BX233)+COUNTIF('Knock Out Stages'!$N$41:$U$84,BX233)</f>
        <v>0</v>
      </c>
      <c r="BZ233" s="77" t="str">
        <f t="shared" si="730"/>
        <v>'Player Database'!A3</v>
      </c>
      <c r="CA233" s="77" t="str">
        <f t="shared" ca="1" si="731"/>
        <v>Boubacar Barry</v>
      </c>
      <c r="CS233" s="77">
        <f t="shared" si="740"/>
        <v>230</v>
      </c>
      <c r="CT233" s="77">
        <f t="shared" si="728"/>
        <v>6</v>
      </c>
      <c r="CU233" s="77" t="str">
        <f t="shared" si="741"/>
        <v>CR23</v>
      </c>
      <c r="CV233" s="77" t="str">
        <f t="shared" ca="1" si="742"/>
        <v/>
      </c>
      <c r="CW233" s="77">
        <f t="shared" ca="1" si="735"/>
        <v>0</v>
      </c>
    </row>
    <row r="234" spans="72:101">
      <c r="BT234" s="77" t="str">
        <f t="shared" ca="1" si="743"/>
        <v>Ivory Coast</v>
      </c>
      <c r="BU234" s="77">
        <f t="shared" si="734"/>
        <v>232</v>
      </c>
      <c r="BV234" s="77" t="str">
        <f t="shared" si="732"/>
        <v>A4</v>
      </c>
      <c r="BW234" s="77">
        <f t="shared" si="729"/>
        <v>11</v>
      </c>
      <c r="BX234" s="77" t="str">
        <f t="shared" ca="1" si="733"/>
        <v>O. Viera</v>
      </c>
      <c r="BY234" s="77">
        <f ca="1">COUNTIF('Group Stages'!$L$14:$S$110,BX234)+COUNTIF('Knock Out Stages'!$N$41:$U$84,BX234)</f>
        <v>0</v>
      </c>
      <c r="BZ234" s="77" t="str">
        <f t="shared" si="730"/>
        <v>'Player Database'!A4</v>
      </c>
      <c r="CA234" s="77" t="str">
        <f t="shared" ca="1" si="731"/>
        <v>Ousmane Viera</v>
      </c>
      <c r="CS234" s="77">
        <f t="shared" si="740"/>
        <v>231</v>
      </c>
      <c r="CT234" s="77">
        <f t="shared" si="728"/>
        <v>6</v>
      </c>
      <c r="CU234" s="77" t="str">
        <f t="shared" si="741"/>
        <v>CR24</v>
      </c>
      <c r="CV234" s="77" t="str">
        <f t="shared" ca="1" si="742"/>
        <v/>
      </c>
      <c r="CW234" s="77">
        <f t="shared" ca="1" si="735"/>
        <v>0</v>
      </c>
    </row>
    <row r="235" spans="72:101">
      <c r="BT235" s="77" t="str">
        <f t="shared" ca="1" si="743"/>
        <v>Ivory Coast</v>
      </c>
      <c r="BU235" s="77">
        <f t="shared" si="734"/>
        <v>233</v>
      </c>
      <c r="BV235" s="77" t="str">
        <f t="shared" si="732"/>
        <v>A5</v>
      </c>
      <c r="BW235" s="77">
        <f t="shared" si="729"/>
        <v>11</v>
      </c>
      <c r="BX235" s="77" t="str">
        <f t="shared" ca="1" si="733"/>
        <v>A. Boka</v>
      </c>
      <c r="BY235" s="77">
        <f ca="1">COUNTIF('Group Stages'!$L$14:$S$110,BX235)+COUNTIF('Knock Out Stages'!$N$41:$U$84,BX235)</f>
        <v>0</v>
      </c>
      <c r="BZ235" s="77" t="str">
        <f t="shared" si="730"/>
        <v>'Player Database'!A5</v>
      </c>
      <c r="CA235" s="77" t="str">
        <f t="shared" ca="1" si="731"/>
        <v>Arthur Boka</v>
      </c>
      <c r="CS235" s="77">
        <f t="shared" si="740"/>
        <v>232</v>
      </c>
      <c r="CT235" s="77">
        <f t="shared" si="728"/>
        <v>6</v>
      </c>
      <c r="CU235" s="77" t="str">
        <f t="shared" si="741"/>
        <v>CR25</v>
      </c>
      <c r="CV235" s="77" t="str">
        <f t="shared" ca="1" si="742"/>
        <v/>
      </c>
      <c r="CW235" s="77">
        <f t="shared" ca="1" si="735"/>
        <v>0</v>
      </c>
    </row>
    <row r="236" spans="72:101">
      <c r="BT236" s="77" t="str">
        <f t="shared" ca="1" si="743"/>
        <v>Ivory Coast</v>
      </c>
      <c r="BU236" s="77">
        <f t="shared" si="734"/>
        <v>234</v>
      </c>
      <c r="BV236" s="77" t="str">
        <f t="shared" si="732"/>
        <v>A6</v>
      </c>
      <c r="BW236" s="77">
        <f t="shared" si="729"/>
        <v>11</v>
      </c>
      <c r="BX236" s="77" t="str">
        <f t="shared" ca="1" si="733"/>
        <v>K. Touré</v>
      </c>
      <c r="BY236" s="77">
        <f ca="1">COUNTIF('Group Stages'!$L$14:$S$110,BX236)+COUNTIF('Knock Out Stages'!$N$41:$U$84,BX236)</f>
        <v>0</v>
      </c>
      <c r="BZ236" s="77" t="str">
        <f t="shared" si="730"/>
        <v>'Player Database'!A6</v>
      </c>
      <c r="CA236" s="77" t="str">
        <f t="shared" ca="1" si="731"/>
        <v>Kolo Touré</v>
      </c>
      <c r="CS236" s="77">
        <f t="shared" si="740"/>
        <v>233</v>
      </c>
      <c r="CT236" s="77">
        <f t="shared" si="728"/>
        <v>6</v>
      </c>
      <c r="CU236" s="77" t="str">
        <f t="shared" si="741"/>
        <v>CR26</v>
      </c>
      <c r="CV236" s="77" t="str">
        <f t="shared" ca="1" si="742"/>
        <v/>
      </c>
      <c r="CW236" s="77">
        <f t="shared" ca="1" si="735"/>
        <v>0</v>
      </c>
    </row>
    <row r="237" spans="72:101">
      <c r="BT237" s="77" t="str">
        <f t="shared" ca="1" si="743"/>
        <v>Ivory Coast</v>
      </c>
      <c r="BU237" s="77">
        <f t="shared" si="734"/>
        <v>235</v>
      </c>
      <c r="BV237" s="77" t="str">
        <f t="shared" si="732"/>
        <v>A7</v>
      </c>
      <c r="BW237" s="77">
        <f t="shared" si="729"/>
        <v>11</v>
      </c>
      <c r="BX237" s="77" t="str">
        <f t="shared" ca="1" si="733"/>
        <v>D. Zokora</v>
      </c>
      <c r="BY237" s="77">
        <f ca="1">COUNTIF('Group Stages'!$L$14:$S$110,BX237)+COUNTIF('Knock Out Stages'!$N$41:$U$84,BX237)</f>
        <v>0</v>
      </c>
      <c r="BZ237" s="77" t="str">
        <f t="shared" si="730"/>
        <v>'Player Database'!A7</v>
      </c>
      <c r="CA237" s="77" t="str">
        <f t="shared" ca="1" si="731"/>
        <v>Didier Zokora</v>
      </c>
      <c r="CS237" s="77">
        <f t="shared" si="740"/>
        <v>234</v>
      </c>
      <c r="CT237" s="77">
        <f t="shared" si="728"/>
        <v>6</v>
      </c>
      <c r="CU237" s="77" t="str">
        <f t="shared" si="741"/>
        <v>CR27</v>
      </c>
      <c r="CV237" s="77" t="str">
        <f t="shared" ca="1" si="742"/>
        <v/>
      </c>
      <c r="CW237" s="77">
        <f t="shared" ca="1" si="735"/>
        <v>0</v>
      </c>
    </row>
    <row r="238" spans="72:101">
      <c r="BT238" s="77" t="str">
        <f t="shared" ca="1" si="743"/>
        <v>Ivory Coast</v>
      </c>
      <c r="BU238" s="77">
        <f t="shared" si="734"/>
        <v>236</v>
      </c>
      <c r="BV238" s="77" t="str">
        <f t="shared" si="732"/>
        <v>A8</v>
      </c>
      <c r="BW238" s="77">
        <f t="shared" si="729"/>
        <v>11</v>
      </c>
      <c r="BX238" s="77" t="str">
        <f t="shared" ca="1" si="733"/>
        <v>M. Bolly</v>
      </c>
      <c r="BY238" s="77">
        <f ca="1">COUNTIF('Group Stages'!$L$14:$S$110,BX238)+COUNTIF('Knock Out Stages'!$N$41:$U$84,BX238)</f>
        <v>0</v>
      </c>
      <c r="BZ238" s="77" t="str">
        <f t="shared" si="730"/>
        <v>'Player Database'!A8</v>
      </c>
      <c r="CA238" s="77" t="str">
        <f t="shared" ca="1" si="731"/>
        <v>Mathis Bolly</v>
      </c>
      <c r="CS238" s="77">
        <f t="shared" si="740"/>
        <v>235</v>
      </c>
      <c r="CT238" s="77">
        <f t="shared" si="728"/>
        <v>6</v>
      </c>
      <c r="CU238" s="77" t="str">
        <f t="shared" si="741"/>
        <v>CR28</v>
      </c>
      <c r="CV238" s="77" t="str">
        <f t="shared" ca="1" si="742"/>
        <v/>
      </c>
      <c r="CW238" s="77">
        <f t="shared" ca="1" si="735"/>
        <v>0</v>
      </c>
    </row>
    <row r="239" spans="72:101">
      <c r="BT239" s="77" t="str">
        <f t="shared" ca="1" si="743"/>
        <v>Ivory Coast</v>
      </c>
      <c r="BU239" s="77">
        <f t="shared" si="734"/>
        <v>237</v>
      </c>
      <c r="BV239" s="77" t="str">
        <f t="shared" si="732"/>
        <v>A9</v>
      </c>
      <c r="BW239" s="77">
        <f t="shared" si="729"/>
        <v>11</v>
      </c>
      <c r="BX239" s="77" t="str">
        <f t="shared" ca="1" si="733"/>
        <v>J. Akpa-Akpro</v>
      </c>
      <c r="BY239" s="77">
        <f ca="1">COUNTIF('Group Stages'!$L$14:$S$110,BX239)+COUNTIF('Knock Out Stages'!$N$41:$U$84,BX239)</f>
        <v>0</v>
      </c>
      <c r="BZ239" s="77" t="str">
        <f t="shared" si="730"/>
        <v>'Player Database'!A9</v>
      </c>
      <c r="CA239" s="77" t="str">
        <f t="shared" ca="1" si="731"/>
        <v>Jean-Daniel Akpa-Akpro</v>
      </c>
      <c r="CS239" s="77">
        <f t="shared" si="740"/>
        <v>236</v>
      </c>
      <c r="CT239" s="77">
        <f t="shared" si="728"/>
        <v>6</v>
      </c>
      <c r="CU239" s="77" t="str">
        <f t="shared" si="741"/>
        <v>CR29</v>
      </c>
      <c r="CV239" s="77" t="str">
        <f t="shared" ca="1" si="742"/>
        <v/>
      </c>
      <c r="CW239" s="77">
        <f t="shared" ca="1" si="735"/>
        <v>0</v>
      </c>
    </row>
    <row r="240" spans="72:101">
      <c r="BT240" s="77" t="str">
        <f t="shared" ca="1" si="743"/>
        <v>Ivory Coast</v>
      </c>
      <c r="BU240" s="77">
        <f t="shared" si="734"/>
        <v>238</v>
      </c>
      <c r="BV240" s="77" t="str">
        <f t="shared" si="732"/>
        <v>A10</v>
      </c>
      <c r="BW240" s="77">
        <f t="shared" si="729"/>
        <v>11</v>
      </c>
      <c r="BX240" s="77" t="str">
        <f t="shared" ca="1" si="733"/>
        <v>S. Kalou</v>
      </c>
      <c r="BY240" s="77">
        <f ca="1">COUNTIF('Group Stages'!$L$14:$S$110,BX240)+COUNTIF('Knock Out Stages'!$N$41:$U$84,BX240)</f>
        <v>0</v>
      </c>
      <c r="BZ240" s="77" t="str">
        <f t="shared" si="730"/>
        <v>'Player Database'!A10</v>
      </c>
      <c r="CA240" s="77" t="str">
        <f t="shared" ca="1" si="731"/>
        <v>Salomon Kalou</v>
      </c>
      <c r="CS240" s="77">
        <f t="shared" si="740"/>
        <v>237</v>
      </c>
      <c r="CT240" s="77">
        <f t="shared" ref="CT240:CT303" si="744">CT198+1</f>
        <v>6</v>
      </c>
      <c r="CU240" s="77" t="str">
        <f t="shared" si="741"/>
        <v>CR30</v>
      </c>
      <c r="CV240" s="77" t="str">
        <f t="shared" ca="1" si="742"/>
        <v/>
      </c>
      <c r="CW240" s="77">
        <f t="shared" ca="1" si="735"/>
        <v>0</v>
      </c>
    </row>
    <row r="241" spans="72:101">
      <c r="BT241" s="77" t="str">
        <f t="shared" ca="1" si="743"/>
        <v>Ivory Coast</v>
      </c>
      <c r="BU241" s="77">
        <f t="shared" si="734"/>
        <v>239</v>
      </c>
      <c r="BV241" s="77" t="str">
        <f t="shared" si="732"/>
        <v>A11</v>
      </c>
      <c r="BW241" s="77">
        <f t="shared" si="729"/>
        <v>11</v>
      </c>
      <c r="BX241" s="77" t="str">
        <f t="shared" ca="1" si="733"/>
        <v>C. Tioté</v>
      </c>
      <c r="BY241" s="77">
        <f ca="1">COUNTIF('Group Stages'!$L$14:$S$110,BX241)+COUNTIF('Knock Out Stages'!$N$41:$U$84,BX241)</f>
        <v>0</v>
      </c>
      <c r="BZ241" s="77" t="str">
        <f t="shared" si="730"/>
        <v>'Player Database'!A11</v>
      </c>
      <c r="CA241" s="77" t="str">
        <f t="shared" ca="1" si="731"/>
        <v>Cheick Tioté</v>
      </c>
      <c r="CS241" s="77">
        <f t="shared" si="740"/>
        <v>238</v>
      </c>
      <c r="CT241" s="77">
        <f t="shared" si="744"/>
        <v>6</v>
      </c>
      <c r="CU241" s="77" t="str">
        <f t="shared" si="741"/>
        <v>CR31</v>
      </c>
      <c r="CV241" s="77" t="str">
        <f t="shared" ca="1" si="742"/>
        <v/>
      </c>
      <c r="CW241" s="77">
        <f t="shared" ca="1" si="735"/>
        <v>0</v>
      </c>
    </row>
    <row r="242" spans="72:101">
      <c r="BT242" s="77" t="str">
        <f t="shared" ca="1" si="743"/>
        <v>Ivory Coast</v>
      </c>
      <c r="BU242" s="77">
        <f t="shared" si="734"/>
        <v>240</v>
      </c>
      <c r="BV242" s="77" t="str">
        <f t="shared" si="732"/>
        <v>A12</v>
      </c>
      <c r="BW242" s="77">
        <f t="shared" ref="BW242:BW305" si="745">BW219+1</f>
        <v>11</v>
      </c>
      <c r="BX242" s="77" t="str">
        <f t="shared" ca="1" si="733"/>
        <v>Gervinho</v>
      </c>
      <c r="BY242" s="77">
        <f ca="1">COUNTIF('Group Stages'!$L$14:$S$110,BX242)+COUNTIF('Knock Out Stages'!$N$41:$U$84,BX242)</f>
        <v>0</v>
      </c>
      <c r="BZ242" s="77" t="str">
        <f t="shared" ref="BZ242:BZ305" si="746">BZ219</f>
        <v>'Player Database'!A12</v>
      </c>
      <c r="CA242" s="77" t="str">
        <f t="shared" ref="CA242:CA305" ca="1" si="747">OFFSET(INDIRECT(BZ242),0,BW242)</f>
        <v>Gervinho</v>
      </c>
      <c r="CS242" s="77">
        <f t="shared" si="740"/>
        <v>239</v>
      </c>
      <c r="CT242" s="77">
        <f t="shared" si="744"/>
        <v>6</v>
      </c>
      <c r="CU242" s="77" t="str">
        <f t="shared" si="741"/>
        <v>CR32</v>
      </c>
      <c r="CV242" s="77" t="str">
        <f t="shared" ca="1" si="742"/>
        <v/>
      </c>
      <c r="CW242" s="77">
        <f t="shared" ca="1" si="735"/>
        <v>0</v>
      </c>
    </row>
    <row r="243" spans="72:101">
      <c r="BT243" s="77" t="str">
        <f t="shared" ca="1" si="743"/>
        <v>Ivory Coast</v>
      </c>
      <c r="BU243" s="77">
        <f t="shared" si="734"/>
        <v>241</v>
      </c>
      <c r="BV243" s="77" t="str">
        <f t="shared" ref="BV243:BV306" si="748">BV220</f>
        <v>A13</v>
      </c>
      <c r="BW243" s="77">
        <f t="shared" si="745"/>
        <v>11</v>
      </c>
      <c r="BX243" s="77" t="str">
        <f t="shared" ref="BX243:BX306" ca="1" si="749">OFFSET(INDIRECT(BV243),0,BW243)</f>
        <v xml:space="preserve">D. Drogba </v>
      </c>
      <c r="BY243" s="77">
        <f ca="1">COUNTIF('Group Stages'!$L$14:$S$110,BX243)+COUNTIF('Knock Out Stages'!$N$41:$U$84,BX243)</f>
        <v>0</v>
      </c>
      <c r="BZ243" s="77" t="str">
        <f t="shared" si="746"/>
        <v>'Player Database'!A13</v>
      </c>
      <c r="CA243" s="77" t="str">
        <f t="shared" ca="1" si="747"/>
        <v xml:space="preserve">Didier Drogba </v>
      </c>
      <c r="CS243" s="77">
        <f t="shared" si="740"/>
        <v>240</v>
      </c>
      <c r="CT243" s="77">
        <f t="shared" si="744"/>
        <v>6</v>
      </c>
      <c r="CU243" s="77" t="str">
        <f t="shared" si="741"/>
        <v>CR33</v>
      </c>
      <c r="CV243" s="77" t="str">
        <f t="shared" ca="1" si="742"/>
        <v/>
      </c>
      <c r="CW243" s="77">
        <f t="shared" ca="1" si="735"/>
        <v>0</v>
      </c>
    </row>
    <row r="244" spans="72:101">
      <c r="BT244" s="77" t="str">
        <f t="shared" ca="1" si="743"/>
        <v>Ivory Coast</v>
      </c>
      <c r="BU244" s="77">
        <f t="shared" si="734"/>
        <v>242</v>
      </c>
      <c r="BV244" s="77" t="str">
        <f t="shared" si="748"/>
        <v>A14</v>
      </c>
      <c r="BW244" s="77">
        <f t="shared" si="745"/>
        <v>11</v>
      </c>
      <c r="BX244" s="77" t="str">
        <f t="shared" ca="1" si="749"/>
        <v>W. Bony</v>
      </c>
      <c r="BY244" s="77">
        <f ca="1">COUNTIF('Group Stages'!$L$14:$S$110,BX244)+COUNTIF('Knock Out Stages'!$N$41:$U$84,BX244)</f>
        <v>0</v>
      </c>
      <c r="BZ244" s="77" t="str">
        <f t="shared" si="746"/>
        <v>'Player Database'!A14</v>
      </c>
      <c r="CA244" s="77" t="str">
        <f t="shared" ca="1" si="747"/>
        <v>Wilfried Bony</v>
      </c>
      <c r="CS244" s="77">
        <f t="shared" si="740"/>
        <v>241</v>
      </c>
      <c r="CT244" s="77">
        <f t="shared" si="744"/>
        <v>6</v>
      </c>
      <c r="CU244" s="77" t="str">
        <f t="shared" si="741"/>
        <v>CR34</v>
      </c>
      <c r="CV244" s="77" t="str">
        <f t="shared" ca="1" si="742"/>
        <v/>
      </c>
      <c r="CW244" s="77">
        <f t="shared" ca="1" si="735"/>
        <v>0</v>
      </c>
    </row>
    <row r="245" spans="72:101">
      <c r="BT245" s="77" t="str">
        <f t="shared" ca="1" si="743"/>
        <v>Ivory Coast</v>
      </c>
      <c r="BU245" s="77">
        <f t="shared" si="734"/>
        <v>243</v>
      </c>
      <c r="BV245" s="77" t="str">
        <f t="shared" si="748"/>
        <v>A15</v>
      </c>
      <c r="BW245" s="77">
        <f t="shared" si="745"/>
        <v>11</v>
      </c>
      <c r="BX245" s="77" t="str">
        <f t="shared" ca="1" si="749"/>
        <v>D. Ya Konan</v>
      </c>
      <c r="BY245" s="77">
        <f ca="1">COUNTIF('Group Stages'!$L$14:$S$110,BX245)+COUNTIF('Knock Out Stages'!$N$41:$U$84,BX245)</f>
        <v>0</v>
      </c>
      <c r="BZ245" s="77" t="str">
        <f t="shared" si="746"/>
        <v>'Player Database'!A15</v>
      </c>
      <c r="CA245" s="77" t="str">
        <f t="shared" ca="1" si="747"/>
        <v>Didier Ya Konan</v>
      </c>
      <c r="CS245" s="77">
        <f t="shared" si="740"/>
        <v>242</v>
      </c>
      <c r="CT245" s="77">
        <f t="shared" si="744"/>
        <v>6</v>
      </c>
      <c r="CU245" s="77" t="str">
        <f t="shared" si="741"/>
        <v>CR35</v>
      </c>
      <c r="CV245" s="77" t="str">
        <f t="shared" ca="1" si="742"/>
        <v/>
      </c>
      <c r="CW245" s="77">
        <f t="shared" ca="1" si="735"/>
        <v>0</v>
      </c>
    </row>
    <row r="246" spans="72:101">
      <c r="BT246" s="77" t="str">
        <f t="shared" ca="1" si="743"/>
        <v>Ivory Coast</v>
      </c>
      <c r="BU246" s="77">
        <f t="shared" si="734"/>
        <v>244</v>
      </c>
      <c r="BV246" s="77" t="str">
        <f t="shared" si="748"/>
        <v>A16</v>
      </c>
      <c r="BW246" s="77">
        <f t="shared" si="745"/>
        <v>11</v>
      </c>
      <c r="BX246" s="77" t="str">
        <f t="shared" ca="1" si="749"/>
        <v>I. Diomandé</v>
      </c>
      <c r="BY246" s="77">
        <f ca="1">COUNTIF('Group Stages'!$L$14:$S$110,BX246)+COUNTIF('Knock Out Stages'!$N$41:$U$84,BX246)</f>
        <v>0</v>
      </c>
      <c r="BZ246" s="77" t="str">
        <f t="shared" si="746"/>
        <v>'Player Database'!A16</v>
      </c>
      <c r="CA246" s="77" t="str">
        <f t="shared" ca="1" si="747"/>
        <v>Ismaël Diomandé</v>
      </c>
      <c r="CS246" s="77">
        <f t="shared" si="740"/>
        <v>243</v>
      </c>
      <c r="CT246" s="77">
        <f t="shared" si="744"/>
        <v>6</v>
      </c>
      <c r="CU246" s="77" t="str">
        <f t="shared" si="741"/>
        <v>CR36</v>
      </c>
      <c r="CV246" s="77" t="str">
        <f t="shared" ca="1" si="742"/>
        <v/>
      </c>
      <c r="CW246" s="77">
        <f t="shared" ca="1" si="735"/>
        <v>0</v>
      </c>
    </row>
    <row r="247" spans="72:101">
      <c r="BT247" s="77" t="str">
        <f t="shared" ca="1" si="743"/>
        <v>Ivory Coast</v>
      </c>
      <c r="BU247" s="77">
        <f t="shared" si="734"/>
        <v>245</v>
      </c>
      <c r="BV247" s="77" t="str">
        <f t="shared" si="748"/>
        <v>A17</v>
      </c>
      <c r="BW247" s="77">
        <f t="shared" si="745"/>
        <v>11</v>
      </c>
      <c r="BX247" s="77" t="str">
        <f t="shared" ca="1" si="749"/>
        <v>M. Gradel</v>
      </c>
      <c r="BY247" s="77">
        <f ca="1">COUNTIF('Group Stages'!$L$14:$S$110,BX247)+COUNTIF('Knock Out Stages'!$N$41:$U$84,BX247)</f>
        <v>0</v>
      </c>
      <c r="BZ247" s="77" t="str">
        <f t="shared" si="746"/>
        <v>'Player Database'!A17</v>
      </c>
      <c r="CA247" s="77" t="str">
        <f t="shared" ca="1" si="747"/>
        <v>Max Gradel</v>
      </c>
      <c r="CS247" s="77">
        <f t="shared" si="740"/>
        <v>244</v>
      </c>
      <c r="CT247" s="77">
        <f t="shared" si="744"/>
        <v>6</v>
      </c>
      <c r="CU247" s="77" t="str">
        <f t="shared" si="741"/>
        <v>CR37</v>
      </c>
      <c r="CV247" s="77" t="str">
        <f t="shared" ca="1" si="742"/>
        <v/>
      </c>
      <c r="CW247" s="77">
        <f t="shared" ca="1" si="735"/>
        <v>0</v>
      </c>
    </row>
    <row r="248" spans="72:101">
      <c r="BT248" s="77" t="str">
        <f t="shared" ca="1" si="743"/>
        <v>Ivory Coast</v>
      </c>
      <c r="BU248" s="77">
        <f t="shared" si="734"/>
        <v>246</v>
      </c>
      <c r="BV248" s="77" t="str">
        <f t="shared" si="748"/>
        <v>A18</v>
      </c>
      <c r="BW248" s="77">
        <f t="shared" si="745"/>
        <v>11</v>
      </c>
      <c r="BX248" s="77" t="str">
        <f t="shared" ca="1" si="749"/>
        <v>S. Gbohouo</v>
      </c>
      <c r="BY248" s="77">
        <f ca="1">COUNTIF('Group Stages'!$L$14:$S$110,BX248)+COUNTIF('Knock Out Stages'!$N$41:$U$84,BX248)</f>
        <v>0</v>
      </c>
      <c r="BZ248" s="77" t="str">
        <f t="shared" si="746"/>
        <v>'Player Database'!A18</v>
      </c>
      <c r="CA248" s="77" t="str">
        <f t="shared" ca="1" si="747"/>
        <v>Sylvain Gbohouo</v>
      </c>
      <c r="CS248" s="77">
        <f t="shared" si="740"/>
        <v>245</v>
      </c>
      <c r="CT248" s="77">
        <f t="shared" si="744"/>
        <v>6</v>
      </c>
      <c r="CU248" s="77" t="str">
        <f t="shared" si="741"/>
        <v>CR38</v>
      </c>
      <c r="CV248" s="77" t="str">
        <f t="shared" ca="1" si="742"/>
        <v/>
      </c>
      <c r="CW248" s="77">
        <f t="shared" ca="1" si="735"/>
        <v>0</v>
      </c>
    </row>
    <row r="249" spans="72:101">
      <c r="BT249" s="77" t="str">
        <f t="shared" ca="1" si="743"/>
        <v>Ivory Coast</v>
      </c>
      <c r="BU249" s="77">
        <f t="shared" si="734"/>
        <v>247</v>
      </c>
      <c r="BV249" s="77" t="str">
        <f t="shared" si="748"/>
        <v>A19</v>
      </c>
      <c r="BW249" s="77">
        <f t="shared" si="745"/>
        <v>11</v>
      </c>
      <c r="BX249" s="77" t="str">
        <f t="shared" ca="1" si="749"/>
        <v>S. Aurier</v>
      </c>
      <c r="BY249" s="77">
        <f ca="1">COUNTIF('Group Stages'!$L$14:$S$110,BX249)+COUNTIF('Knock Out Stages'!$N$41:$U$84,BX249)</f>
        <v>0</v>
      </c>
      <c r="BZ249" s="77" t="str">
        <f t="shared" si="746"/>
        <v>'Player Database'!A19</v>
      </c>
      <c r="CA249" s="77" t="str">
        <f t="shared" ca="1" si="747"/>
        <v>Serge Aurier</v>
      </c>
      <c r="CS249" s="77">
        <f t="shared" si="740"/>
        <v>246</v>
      </c>
      <c r="CT249" s="77">
        <f t="shared" si="744"/>
        <v>6</v>
      </c>
      <c r="CU249" s="77" t="str">
        <f t="shared" si="741"/>
        <v>CR39</v>
      </c>
      <c r="CV249" s="77" t="str">
        <f t="shared" ca="1" si="742"/>
        <v/>
      </c>
      <c r="CW249" s="77">
        <f t="shared" ca="1" si="735"/>
        <v>0</v>
      </c>
    </row>
    <row r="250" spans="72:101">
      <c r="BT250" s="77" t="str">
        <f t="shared" ca="1" si="743"/>
        <v>Ivory Coast</v>
      </c>
      <c r="BU250" s="77">
        <f t="shared" si="734"/>
        <v>248</v>
      </c>
      <c r="BV250" s="77" t="str">
        <f t="shared" si="748"/>
        <v>A20</v>
      </c>
      <c r="BW250" s="77">
        <f t="shared" si="745"/>
        <v>11</v>
      </c>
      <c r="BX250" s="77" t="str">
        <f t="shared" ca="1" si="749"/>
        <v>C. Djakpa</v>
      </c>
      <c r="BY250" s="77">
        <f ca="1">COUNTIF('Group Stages'!$L$14:$S$110,BX250)+COUNTIF('Knock Out Stages'!$N$41:$U$84,BX250)</f>
        <v>0</v>
      </c>
      <c r="BZ250" s="77" t="str">
        <f t="shared" si="746"/>
        <v>'Player Database'!A20</v>
      </c>
      <c r="CA250" s="77" t="str">
        <f t="shared" ca="1" si="747"/>
        <v>Constant Djakpa</v>
      </c>
      <c r="CS250" s="77">
        <f t="shared" si="740"/>
        <v>247</v>
      </c>
      <c r="CT250" s="77">
        <f t="shared" si="744"/>
        <v>6</v>
      </c>
      <c r="CU250" s="77" t="str">
        <f t="shared" si="741"/>
        <v>CR40</v>
      </c>
      <c r="CV250" s="77" t="str">
        <f t="shared" ca="1" si="742"/>
        <v/>
      </c>
      <c r="CW250" s="77">
        <f t="shared" ca="1" si="735"/>
        <v>0</v>
      </c>
    </row>
    <row r="251" spans="72:101">
      <c r="BT251" s="77" t="str">
        <f t="shared" ca="1" si="743"/>
        <v>Ivory Coast</v>
      </c>
      <c r="BU251" s="77">
        <f t="shared" si="734"/>
        <v>249</v>
      </c>
      <c r="BV251" s="77" t="str">
        <f t="shared" si="748"/>
        <v>A21</v>
      </c>
      <c r="BW251" s="77">
        <f t="shared" si="745"/>
        <v>11</v>
      </c>
      <c r="BX251" s="77" t="str">
        <f t="shared" ca="1" si="749"/>
        <v>Y. Touré</v>
      </c>
      <c r="BY251" s="77">
        <f ca="1">COUNTIF('Group Stages'!$L$14:$S$110,BX251)+COUNTIF('Knock Out Stages'!$N$41:$U$84,BX251)</f>
        <v>0</v>
      </c>
      <c r="BZ251" s="77" t="str">
        <f t="shared" si="746"/>
        <v>'Player Database'!A21</v>
      </c>
      <c r="CA251" s="77" t="str">
        <f t="shared" ca="1" si="747"/>
        <v>Yaya Touré</v>
      </c>
      <c r="CS251" s="77">
        <f t="shared" si="740"/>
        <v>248</v>
      </c>
      <c r="CT251" s="77">
        <f t="shared" si="744"/>
        <v>6</v>
      </c>
      <c r="CU251" s="77" t="str">
        <f t="shared" si="741"/>
        <v>CR41</v>
      </c>
      <c r="CV251" s="77" t="str">
        <f t="shared" ca="1" si="742"/>
        <v/>
      </c>
      <c r="CW251" s="77">
        <f t="shared" ca="1" si="735"/>
        <v>0</v>
      </c>
    </row>
    <row r="252" spans="72:101">
      <c r="BT252" s="77" t="str">
        <f t="shared" ca="1" si="743"/>
        <v>Ivory Coast</v>
      </c>
      <c r="BU252" s="77">
        <f t="shared" si="734"/>
        <v>250</v>
      </c>
      <c r="BV252" s="77" t="str">
        <f t="shared" si="748"/>
        <v>A22</v>
      </c>
      <c r="BW252" s="77">
        <f t="shared" si="745"/>
        <v>11</v>
      </c>
      <c r="BX252" s="77" t="str">
        <f t="shared" ca="1" si="749"/>
        <v>S. Die</v>
      </c>
      <c r="BY252" s="77">
        <f ca="1">COUNTIF('Group Stages'!$L$14:$S$110,BX252)+COUNTIF('Knock Out Stages'!$N$41:$U$84,BX252)</f>
        <v>0</v>
      </c>
      <c r="BZ252" s="77" t="str">
        <f t="shared" si="746"/>
        <v>'Player Database'!A22</v>
      </c>
      <c r="CA252" s="77" t="str">
        <f t="shared" ca="1" si="747"/>
        <v>Serey Die</v>
      </c>
      <c r="CS252" s="77">
        <f t="shared" si="740"/>
        <v>249</v>
      </c>
      <c r="CT252" s="77">
        <f t="shared" si="744"/>
        <v>6</v>
      </c>
      <c r="CU252" s="77" t="str">
        <f t="shared" si="741"/>
        <v>CR42</v>
      </c>
      <c r="CV252" s="77" t="str">
        <f t="shared" ca="1" si="742"/>
        <v/>
      </c>
      <c r="CW252" s="77">
        <f t="shared" ca="1" si="735"/>
        <v>0</v>
      </c>
    </row>
    <row r="253" spans="72:101">
      <c r="BT253" s="77" t="str">
        <f t="shared" ca="1" si="743"/>
        <v>Ivory Coast</v>
      </c>
      <c r="BU253" s="77">
        <f t="shared" si="734"/>
        <v>251</v>
      </c>
      <c r="BV253" s="77" t="str">
        <f t="shared" si="748"/>
        <v>A23</v>
      </c>
      <c r="BW253" s="77">
        <f t="shared" si="745"/>
        <v>11</v>
      </c>
      <c r="BX253" s="77" t="str">
        <f t="shared" ca="1" si="749"/>
        <v>G. Sio</v>
      </c>
      <c r="BY253" s="77">
        <f ca="1">COUNTIF('Group Stages'!$L$14:$S$110,BX253)+COUNTIF('Knock Out Stages'!$N$41:$U$84,BX253)</f>
        <v>0</v>
      </c>
      <c r="BZ253" s="77" t="str">
        <f t="shared" si="746"/>
        <v>'Player Database'!A23</v>
      </c>
      <c r="CA253" s="77" t="str">
        <f t="shared" ca="1" si="747"/>
        <v>Giovanni Sio</v>
      </c>
      <c r="CS253" s="77">
        <f t="shared" si="740"/>
        <v>250</v>
      </c>
      <c r="CT253" s="77">
        <f t="shared" si="744"/>
        <v>6</v>
      </c>
      <c r="CU253" s="77" t="str">
        <f t="shared" si="741"/>
        <v>CR43</v>
      </c>
      <c r="CV253" s="77" t="str">
        <f t="shared" ca="1" si="742"/>
        <v/>
      </c>
      <c r="CW253" s="77">
        <f t="shared" ca="1" si="735"/>
        <v>0</v>
      </c>
    </row>
    <row r="254" spans="72:101">
      <c r="BT254" s="77" t="str">
        <f t="shared" ca="1" si="743"/>
        <v>Ivory Coast</v>
      </c>
      <c r="BU254" s="77">
        <f t="shared" si="734"/>
        <v>252</v>
      </c>
      <c r="BV254" s="77" t="str">
        <f t="shared" si="748"/>
        <v>A24</v>
      </c>
      <c r="BW254" s="77">
        <f t="shared" si="745"/>
        <v>11</v>
      </c>
      <c r="BX254" s="77" t="str">
        <f t="shared" ca="1" si="749"/>
        <v>S. Bamba</v>
      </c>
      <c r="BY254" s="77">
        <f ca="1">COUNTIF('Group Stages'!$L$14:$S$110,BX254)+COUNTIF('Knock Out Stages'!$N$41:$U$84,BX254)</f>
        <v>0</v>
      </c>
      <c r="BZ254" s="77" t="str">
        <f t="shared" si="746"/>
        <v>'Player Database'!A24</v>
      </c>
      <c r="CA254" s="77" t="str">
        <f t="shared" ca="1" si="747"/>
        <v>Sol Bamba</v>
      </c>
      <c r="CS254" s="77">
        <f t="shared" si="740"/>
        <v>251</v>
      </c>
      <c r="CT254" s="77">
        <f t="shared" si="744"/>
        <v>6</v>
      </c>
      <c r="CU254" s="77" t="str">
        <f t="shared" si="741"/>
        <v>CR44</v>
      </c>
      <c r="CV254" s="77" t="str">
        <f t="shared" ca="1" si="742"/>
        <v/>
      </c>
      <c r="CW254" s="77">
        <f t="shared" ca="1" si="735"/>
        <v>0</v>
      </c>
    </row>
    <row r="255" spans="72:101">
      <c r="BT255" s="77" t="str">
        <f t="shared" ca="1" si="743"/>
        <v>Ivory Coast</v>
      </c>
      <c r="BU255" s="77">
        <f t="shared" si="734"/>
        <v>253</v>
      </c>
      <c r="BV255" s="77" t="str">
        <f t="shared" si="748"/>
        <v>A25</v>
      </c>
      <c r="BW255" s="77">
        <f t="shared" si="745"/>
        <v>11</v>
      </c>
      <c r="BX255" s="77" t="str">
        <f t="shared" ca="1" si="749"/>
        <v>S. Mandé</v>
      </c>
      <c r="BY255" s="77">
        <f ca="1">COUNTIF('Group Stages'!$L$14:$S$110,BX255)+COUNTIF('Knock Out Stages'!$N$41:$U$84,BX255)</f>
        <v>0</v>
      </c>
      <c r="BZ255" s="77" t="str">
        <f t="shared" si="746"/>
        <v>'Player Database'!A25</v>
      </c>
      <c r="CA255" s="77" t="str">
        <f t="shared" ca="1" si="747"/>
        <v>Sayouba Mandé</v>
      </c>
      <c r="CS255" s="77">
        <f t="shared" si="740"/>
        <v>252</v>
      </c>
      <c r="CT255" s="77">
        <f t="shared" si="744"/>
        <v>6</v>
      </c>
      <c r="CU255" s="77" t="str">
        <f t="shared" si="741"/>
        <v>CR45</v>
      </c>
      <c r="CV255" s="77" t="str">
        <f t="shared" ca="1" si="742"/>
        <v/>
      </c>
      <c r="CW255" s="77">
        <f t="shared" ca="1" si="735"/>
        <v>0</v>
      </c>
    </row>
    <row r="256" spans="72:101">
      <c r="BT256" s="77" t="str">
        <f t="shared" ca="1" si="743"/>
        <v>Japan</v>
      </c>
      <c r="BU256" s="77">
        <f t="shared" si="734"/>
        <v>254</v>
      </c>
      <c r="BV256" s="77" t="str">
        <f t="shared" si="748"/>
        <v>A3</v>
      </c>
      <c r="BW256" s="77">
        <f t="shared" si="745"/>
        <v>12</v>
      </c>
      <c r="BX256" s="77" t="str">
        <f t="shared" ca="1" si="749"/>
        <v>E. Kawashima</v>
      </c>
      <c r="BY256" s="77">
        <f ca="1">COUNTIF('Group Stages'!$L$14:$S$110,BX256)+COUNTIF('Knock Out Stages'!$N$41:$U$84,BX256)</f>
        <v>0</v>
      </c>
      <c r="BZ256" s="77" t="str">
        <f t="shared" si="746"/>
        <v>'Player Database'!A3</v>
      </c>
      <c r="CA256" s="77" t="str">
        <f t="shared" ca="1" si="747"/>
        <v>Eiji Kawashima</v>
      </c>
      <c r="CS256" s="77">
        <f t="shared" si="740"/>
        <v>253</v>
      </c>
      <c r="CT256" s="77">
        <f t="shared" si="744"/>
        <v>7</v>
      </c>
      <c r="CU256" s="77" t="str">
        <f t="shared" si="741"/>
        <v>CR4</v>
      </c>
      <c r="CV256" s="77" t="str">
        <f t="shared" ca="1" si="742"/>
        <v/>
      </c>
      <c r="CW256" s="77">
        <f t="shared" ca="1" si="735"/>
        <v>0</v>
      </c>
    </row>
    <row r="257" spans="72:101">
      <c r="BT257" s="77" t="str">
        <f t="shared" ca="1" si="743"/>
        <v>Japan</v>
      </c>
      <c r="BU257" s="77">
        <f t="shared" si="734"/>
        <v>255</v>
      </c>
      <c r="BV257" s="77" t="str">
        <f t="shared" si="748"/>
        <v>A4</v>
      </c>
      <c r="BW257" s="77">
        <f t="shared" si="745"/>
        <v>12</v>
      </c>
      <c r="BX257" s="77" t="str">
        <f t="shared" ca="1" si="749"/>
        <v>A. Uchida</v>
      </c>
      <c r="BY257" s="77">
        <f ca="1">COUNTIF('Group Stages'!$L$14:$S$110,BX257)+COUNTIF('Knock Out Stages'!$N$41:$U$84,BX257)</f>
        <v>0</v>
      </c>
      <c r="BZ257" s="77" t="str">
        <f t="shared" si="746"/>
        <v>'Player Database'!A4</v>
      </c>
      <c r="CA257" s="77" t="str">
        <f t="shared" ca="1" si="747"/>
        <v>Atsuto Uchida</v>
      </c>
      <c r="CS257" s="77">
        <f t="shared" si="740"/>
        <v>254</v>
      </c>
      <c r="CT257" s="77">
        <f t="shared" si="744"/>
        <v>7</v>
      </c>
      <c r="CU257" s="77" t="str">
        <f t="shared" si="741"/>
        <v>CR5</v>
      </c>
      <c r="CV257" s="77" t="str">
        <f t="shared" ca="1" si="742"/>
        <v/>
      </c>
      <c r="CW257" s="77">
        <f t="shared" ca="1" si="735"/>
        <v>0</v>
      </c>
    </row>
    <row r="258" spans="72:101">
      <c r="BT258" s="77" t="str">
        <f t="shared" ca="1" si="743"/>
        <v>Japan</v>
      </c>
      <c r="BU258" s="77">
        <f t="shared" si="734"/>
        <v>256</v>
      </c>
      <c r="BV258" s="77" t="str">
        <f t="shared" si="748"/>
        <v>A5</v>
      </c>
      <c r="BW258" s="77">
        <f t="shared" si="745"/>
        <v>12</v>
      </c>
      <c r="BX258" s="77" t="str">
        <f t="shared" ca="1" si="749"/>
        <v>G. Sakai</v>
      </c>
      <c r="BY258" s="77">
        <f ca="1">COUNTIF('Group Stages'!$L$14:$S$110,BX258)+COUNTIF('Knock Out Stages'!$N$41:$U$84,BX258)</f>
        <v>0</v>
      </c>
      <c r="BZ258" s="77" t="str">
        <f t="shared" si="746"/>
        <v>'Player Database'!A5</v>
      </c>
      <c r="CA258" s="77" t="str">
        <f t="shared" ca="1" si="747"/>
        <v>Gōtoku Sakai</v>
      </c>
      <c r="CS258" s="77">
        <f t="shared" si="740"/>
        <v>255</v>
      </c>
      <c r="CT258" s="77">
        <f t="shared" si="744"/>
        <v>7</v>
      </c>
      <c r="CU258" s="77" t="str">
        <f t="shared" si="741"/>
        <v>CR6</v>
      </c>
      <c r="CV258" s="77" t="str">
        <f t="shared" ca="1" si="742"/>
        <v/>
      </c>
      <c r="CW258" s="77">
        <f t="shared" ca="1" si="735"/>
        <v>0</v>
      </c>
    </row>
    <row r="259" spans="72:101">
      <c r="BT259" s="77" t="str">
        <f t="shared" ca="1" si="743"/>
        <v>Japan</v>
      </c>
      <c r="BU259" s="77">
        <f t="shared" si="734"/>
        <v>257</v>
      </c>
      <c r="BV259" s="77" t="str">
        <f t="shared" si="748"/>
        <v>A6</v>
      </c>
      <c r="BW259" s="77">
        <f t="shared" si="745"/>
        <v>12</v>
      </c>
      <c r="BX259" s="77" t="str">
        <f t="shared" ca="1" si="749"/>
        <v>K. Honda</v>
      </c>
      <c r="BY259" s="77">
        <f ca="1">COUNTIF('Group Stages'!$L$14:$S$110,BX259)+COUNTIF('Knock Out Stages'!$N$41:$U$84,BX259)</f>
        <v>0</v>
      </c>
      <c r="BZ259" s="77" t="str">
        <f t="shared" si="746"/>
        <v>'Player Database'!A6</v>
      </c>
      <c r="CA259" s="77" t="str">
        <f t="shared" ca="1" si="747"/>
        <v>Keisuke Honda</v>
      </c>
      <c r="CS259" s="77">
        <f t="shared" si="740"/>
        <v>256</v>
      </c>
      <c r="CT259" s="77">
        <f t="shared" si="744"/>
        <v>7</v>
      </c>
      <c r="CU259" s="77" t="str">
        <f t="shared" si="741"/>
        <v>CR7</v>
      </c>
      <c r="CV259" s="77" t="str">
        <f t="shared" ca="1" si="742"/>
        <v/>
      </c>
      <c r="CW259" s="77">
        <f t="shared" ca="1" si="735"/>
        <v>0</v>
      </c>
    </row>
    <row r="260" spans="72:101">
      <c r="BT260" s="77" t="str">
        <f t="shared" ca="1" si="743"/>
        <v>Japan</v>
      </c>
      <c r="BU260" s="77">
        <f t="shared" si="734"/>
        <v>258</v>
      </c>
      <c r="BV260" s="77" t="str">
        <f t="shared" si="748"/>
        <v>A7</v>
      </c>
      <c r="BW260" s="77">
        <f t="shared" si="745"/>
        <v>12</v>
      </c>
      <c r="BX260" s="77" t="str">
        <f t="shared" ca="1" si="749"/>
        <v>Y. Nagatomo</v>
      </c>
      <c r="BY260" s="77">
        <f ca="1">COUNTIF('Group Stages'!$L$14:$S$110,BX260)+COUNTIF('Knock Out Stages'!$N$41:$U$84,BX260)</f>
        <v>0</v>
      </c>
      <c r="BZ260" s="77" t="str">
        <f t="shared" si="746"/>
        <v>'Player Database'!A7</v>
      </c>
      <c r="CA260" s="77" t="str">
        <f t="shared" ca="1" si="747"/>
        <v>Yuto Nagatomo</v>
      </c>
      <c r="CS260" s="77">
        <f t="shared" si="740"/>
        <v>257</v>
      </c>
      <c r="CT260" s="77">
        <f t="shared" si="744"/>
        <v>7</v>
      </c>
      <c r="CU260" s="77" t="str">
        <f t="shared" si="741"/>
        <v>CR8</v>
      </c>
      <c r="CV260" s="77" t="str">
        <f t="shared" ca="1" si="742"/>
        <v/>
      </c>
      <c r="CW260" s="77">
        <f t="shared" ca="1" si="735"/>
        <v>0</v>
      </c>
    </row>
    <row r="261" spans="72:101">
      <c r="BT261" s="77" t="str">
        <f t="shared" ca="1" si="743"/>
        <v>Japan</v>
      </c>
      <c r="BU261" s="77">
        <f t="shared" ref="BU261:BU324" si="750">BU260+1</f>
        <v>259</v>
      </c>
      <c r="BV261" s="77" t="str">
        <f t="shared" si="748"/>
        <v>A8</v>
      </c>
      <c r="BW261" s="77">
        <f t="shared" si="745"/>
        <v>12</v>
      </c>
      <c r="BX261" s="77" t="str">
        <f t="shared" ca="1" si="749"/>
        <v>M. Morishige</v>
      </c>
      <c r="BY261" s="77">
        <f ca="1">COUNTIF('Group Stages'!$L$14:$S$110,BX261)+COUNTIF('Knock Out Stages'!$N$41:$U$84,BX261)</f>
        <v>0</v>
      </c>
      <c r="BZ261" s="77" t="str">
        <f t="shared" si="746"/>
        <v>'Player Database'!A8</v>
      </c>
      <c r="CA261" s="77" t="str">
        <f t="shared" ca="1" si="747"/>
        <v>Masato Morishige</v>
      </c>
      <c r="CS261" s="77">
        <f t="shared" si="740"/>
        <v>258</v>
      </c>
      <c r="CT261" s="77">
        <f t="shared" si="744"/>
        <v>7</v>
      </c>
      <c r="CU261" s="77" t="str">
        <f t="shared" si="741"/>
        <v>CR9</v>
      </c>
      <c r="CV261" s="77" t="str">
        <f t="shared" ca="1" si="742"/>
        <v/>
      </c>
      <c r="CW261" s="77">
        <f t="shared" ref="CW261:CW324" ca="1" si="751">IF(CV261&lt;&gt;"",CW260+1,CW260)</f>
        <v>0</v>
      </c>
    </row>
    <row r="262" spans="72:101">
      <c r="BT262" s="77" t="str">
        <f t="shared" ca="1" si="743"/>
        <v>Japan</v>
      </c>
      <c r="BU262" s="77">
        <f t="shared" si="750"/>
        <v>260</v>
      </c>
      <c r="BV262" s="77" t="str">
        <f t="shared" si="748"/>
        <v>A9</v>
      </c>
      <c r="BW262" s="77">
        <f t="shared" si="745"/>
        <v>12</v>
      </c>
      <c r="BX262" s="77" t="str">
        <f t="shared" ca="1" si="749"/>
        <v>Y. Endō</v>
      </c>
      <c r="BY262" s="77">
        <f ca="1">COUNTIF('Group Stages'!$L$14:$S$110,BX262)+COUNTIF('Knock Out Stages'!$N$41:$U$84,BX262)</f>
        <v>0</v>
      </c>
      <c r="BZ262" s="77" t="str">
        <f t="shared" si="746"/>
        <v>'Player Database'!A9</v>
      </c>
      <c r="CA262" s="77" t="str">
        <f t="shared" ca="1" si="747"/>
        <v>Yasuhito Endō</v>
      </c>
      <c r="CS262" s="77">
        <f t="shared" si="740"/>
        <v>259</v>
      </c>
      <c r="CT262" s="77">
        <f t="shared" si="744"/>
        <v>7</v>
      </c>
      <c r="CU262" s="77" t="str">
        <f t="shared" si="741"/>
        <v>CR10</v>
      </c>
      <c r="CV262" s="77" t="str">
        <f t="shared" ca="1" si="742"/>
        <v/>
      </c>
      <c r="CW262" s="77">
        <f t="shared" ca="1" si="751"/>
        <v>0</v>
      </c>
    </row>
    <row r="263" spans="72:101">
      <c r="BT263" s="77" t="str">
        <f t="shared" ca="1" si="743"/>
        <v>Japan</v>
      </c>
      <c r="BU263" s="77">
        <f t="shared" si="750"/>
        <v>261</v>
      </c>
      <c r="BV263" s="77" t="str">
        <f t="shared" si="748"/>
        <v>A10</v>
      </c>
      <c r="BW263" s="77">
        <f t="shared" si="745"/>
        <v>12</v>
      </c>
      <c r="BX263" s="77" t="str">
        <f t="shared" ca="1" si="749"/>
        <v>H. Kiyotake</v>
      </c>
      <c r="BY263" s="77">
        <f ca="1">COUNTIF('Group Stages'!$L$14:$S$110,BX263)+COUNTIF('Knock Out Stages'!$N$41:$U$84,BX263)</f>
        <v>0</v>
      </c>
      <c r="BZ263" s="77" t="str">
        <f t="shared" si="746"/>
        <v>'Player Database'!A10</v>
      </c>
      <c r="CA263" s="77" t="str">
        <f t="shared" ca="1" si="747"/>
        <v>Hiroshi Kiyotake</v>
      </c>
      <c r="CS263" s="77">
        <f t="shared" si="740"/>
        <v>260</v>
      </c>
      <c r="CT263" s="77">
        <f t="shared" si="744"/>
        <v>7</v>
      </c>
      <c r="CU263" s="77" t="str">
        <f t="shared" si="741"/>
        <v>CR11</v>
      </c>
      <c r="CV263" s="77" t="str">
        <f t="shared" ca="1" si="742"/>
        <v/>
      </c>
      <c r="CW263" s="77">
        <f t="shared" ca="1" si="751"/>
        <v>0</v>
      </c>
    </row>
    <row r="264" spans="72:101">
      <c r="BT264" s="77" t="str">
        <f t="shared" ca="1" si="743"/>
        <v>Japan</v>
      </c>
      <c r="BU264" s="77">
        <f t="shared" si="750"/>
        <v>262</v>
      </c>
      <c r="BV264" s="77" t="str">
        <f t="shared" si="748"/>
        <v>A11</v>
      </c>
      <c r="BW264" s="77">
        <f t="shared" si="745"/>
        <v>12</v>
      </c>
      <c r="BX264" s="77" t="str">
        <f t="shared" ca="1" si="749"/>
        <v>S. Okazaki</v>
      </c>
      <c r="BY264" s="77">
        <f ca="1">COUNTIF('Group Stages'!$L$14:$S$110,BX264)+COUNTIF('Knock Out Stages'!$N$41:$U$84,BX264)</f>
        <v>0</v>
      </c>
      <c r="BZ264" s="77" t="str">
        <f t="shared" si="746"/>
        <v>'Player Database'!A11</v>
      </c>
      <c r="CA264" s="77" t="str">
        <f t="shared" ca="1" si="747"/>
        <v>Shinji Okazaki</v>
      </c>
      <c r="CS264" s="77">
        <f t="shared" si="740"/>
        <v>261</v>
      </c>
      <c r="CT264" s="77">
        <f t="shared" si="744"/>
        <v>7</v>
      </c>
      <c r="CU264" s="77" t="str">
        <f t="shared" si="741"/>
        <v>CR12</v>
      </c>
      <c r="CV264" s="77" t="str">
        <f t="shared" ca="1" si="742"/>
        <v/>
      </c>
      <c r="CW264" s="77">
        <f t="shared" ca="1" si="751"/>
        <v>0</v>
      </c>
    </row>
    <row r="265" spans="72:101">
      <c r="BT265" s="77" t="str">
        <f t="shared" ca="1" si="743"/>
        <v>Japan</v>
      </c>
      <c r="BU265" s="77">
        <f t="shared" si="750"/>
        <v>263</v>
      </c>
      <c r="BV265" s="77" t="str">
        <f t="shared" si="748"/>
        <v>A12</v>
      </c>
      <c r="BW265" s="77">
        <f t="shared" si="745"/>
        <v>12</v>
      </c>
      <c r="BX265" s="77" t="str">
        <f t="shared" ca="1" si="749"/>
        <v>S. Kagawa</v>
      </c>
      <c r="BY265" s="77">
        <f ca="1">COUNTIF('Group Stages'!$L$14:$S$110,BX265)+COUNTIF('Knock Out Stages'!$N$41:$U$84,BX265)</f>
        <v>0</v>
      </c>
      <c r="BZ265" s="77" t="str">
        <f t="shared" si="746"/>
        <v>'Player Database'!A12</v>
      </c>
      <c r="CA265" s="77" t="str">
        <f t="shared" ca="1" si="747"/>
        <v>Shinji Kagawa</v>
      </c>
      <c r="CS265" s="77">
        <f t="shared" ref="CS265:CS328" si="752">CS264+1</f>
        <v>262</v>
      </c>
      <c r="CT265" s="77">
        <f t="shared" si="744"/>
        <v>7</v>
      </c>
      <c r="CU265" s="77" t="str">
        <f t="shared" si="741"/>
        <v>CR13</v>
      </c>
      <c r="CV265" s="77" t="str">
        <f t="shared" ref="CV265:CV328" ca="1" si="753">OFFSET(INDIRECT(CU265),0,-CT265)</f>
        <v/>
      </c>
      <c r="CW265" s="77">
        <f t="shared" ca="1" si="751"/>
        <v>0</v>
      </c>
    </row>
    <row r="266" spans="72:101">
      <c r="BT266" s="77" t="str">
        <f t="shared" ca="1" si="743"/>
        <v>Japan</v>
      </c>
      <c r="BU266" s="77">
        <f t="shared" si="750"/>
        <v>264</v>
      </c>
      <c r="BV266" s="77" t="str">
        <f t="shared" si="748"/>
        <v>A13</v>
      </c>
      <c r="BW266" s="77">
        <f t="shared" si="745"/>
        <v>12</v>
      </c>
      <c r="BX266" s="77" t="str">
        <f t="shared" ca="1" si="749"/>
        <v>Y. Kakitani</v>
      </c>
      <c r="BY266" s="77">
        <f ca="1">COUNTIF('Group Stages'!$L$14:$S$110,BX266)+COUNTIF('Knock Out Stages'!$N$41:$U$84,BX266)</f>
        <v>0</v>
      </c>
      <c r="BZ266" s="77" t="str">
        <f t="shared" si="746"/>
        <v>'Player Database'!A13</v>
      </c>
      <c r="CA266" s="77" t="str">
        <f t="shared" ca="1" si="747"/>
        <v>Yoichiro Kakitani</v>
      </c>
      <c r="CS266" s="77">
        <f t="shared" si="752"/>
        <v>263</v>
      </c>
      <c r="CT266" s="77">
        <f t="shared" si="744"/>
        <v>7</v>
      </c>
      <c r="CU266" s="77" t="str">
        <f t="shared" si="741"/>
        <v>CR14</v>
      </c>
      <c r="CV266" s="77" t="str">
        <f t="shared" ca="1" si="753"/>
        <v/>
      </c>
      <c r="CW266" s="77">
        <f t="shared" ca="1" si="751"/>
        <v>0</v>
      </c>
    </row>
    <row r="267" spans="72:101">
      <c r="BT267" s="77" t="str">
        <f t="shared" ca="1" si="743"/>
        <v>Japan</v>
      </c>
      <c r="BU267" s="77">
        <f t="shared" si="750"/>
        <v>265</v>
      </c>
      <c r="BV267" s="77" t="str">
        <f t="shared" si="748"/>
        <v>A14</v>
      </c>
      <c r="BW267" s="77">
        <f t="shared" si="745"/>
        <v>12</v>
      </c>
      <c r="BX267" s="77" t="str">
        <f t="shared" ca="1" si="749"/>
        <v>S. Nishikawa</v>
      </c>
      <c r="BY267" s="77">
        <f ca="1">COUNTIF('Group Stages'!$L$14:$S$110,BX267)+COUNTIF('Knock Out Stages'!$N$41:$U$84,BX267)</f>
        <v>0</v>
      </c>
      <c r="BZ267" s="77" t="str">
        <f t="shared" si="746"/>
        <v>'Player Database'!A14</v>
      </c>
      <c r="CA267" s="77" t="str">
        <f t="shared" ca="1" si="747"/>
        <v>Shusaku Nishikawa</v>
      </c>
      <c r="CS267" s="77">
        <f t="shared" si="752"/>
        <v>264</v>
      </c>
      <c r="CT267" s="77">
        <f t="shared" si="744"/>
        <v>7</v>
      </c>
      <c r="CU267" s="77" t="str">
        <f t="shared" si="741"/>
        <v>CR15</v>
      </c>
      <c r="CV267" s="77" t="str">
        <f t="shared" ca="1" si="753"/>
        <v/>
      </c>
      <c r="CW267" s="77">
        <f t="shared" ca="1" si="751"/>
        <v>0</v>
      </c>
    </row>
    <row r="268" spans="72:101">
      <c r="BT268" s="77" t="str">
        <f t="shared" ca="1" si="743"/>
        <v>Japan</v>
      </c>
      <c r="BU268" s="77">
        <f t="shared" si="750"/>
        <v>266</v>
      </c>
      <c r="BV268" s="77" t="str">
        <f t="shared" si="748"/>
        <v>A15</v>
      </c>
      <c r="BW268" s="77">
        <f t="shared" si="745"/>
        <v>12</v>
      </c>
      <c r="BX268" s="77" t="str">
        <f t="shared" ca="1" si="749"/>
        <v>Y. Ōkubo</v>
      </c>
      <c r="BY268" s="77">
        <f ca="1">COUNTIF('Group Stages'!$L$14:$S$110,BX268)+COUNTIF('Knock Out Stages'!$N$41:$U$84,BX268)</f>
        <v>0</v>
      </c>
      <c r="BZ268" s="77" t="str">
        <f t="shared" si="746"/>
        <v>'Player Database'!A15</v>
      </c>
      <c r="CA268" s="77" t="str">
        <f t="shared" ca="1" si="747"/>
        <v>Yoshito Ōkubo</v>
      </c>
      <c r="CS268" s="77">
        <f t="shared" si="752"/>
        <v>265</v>
      </c>
      <c r="CT268" s="77">
        <f t="shared" si="744"/>
        <v>7</v>
      </c>
      <c r="CU268" s="77" t="str">
        <f t="shared" si="741"/>
        <v>CR16</v>
      </c>
      <c r="CV268" s="77" t="str">
        <f t="shared" ca="1" si="753"/>
        <v/>
      </c>
      <c r="CW268" s="77">
        <f t="shared" ca="1" si="751"/>
        <v>0</v>
      </c>
    </row>
    <row r="269" spans="72:101">
      <c r="BT269" s="77" t="str">
        <f t="shared" ca="1" si="743"/>
        <v>Japan</v>
      </c>
      <c r="BU269" s="77">
        <f t="shared" si="750"/>
        <v>267</v>
      </c>
      <c r="BV269" s="77" t="str">
        <f t="shared" si="748"/>
        <v>A16</v>
      </c>
      <c r="BW269" s="77">
        <f t="shared" si="745"/>
        <v>12</v>
      </c>
      <c r="BX269" s="77" t="str">
        <f t="shared" ca="1" si="749"/>
        <v>T. Aoyama</v>
      </c>
      <c r="BY269" s="77">
        <f ca="1">COUNTIF('Group Stages'!$L$14:$S$110,BX269)+COUNTIF('Knock Out Stages'!$N$41:$U$84,BX269)</f>
        <v>0</v>
      </c>
      <c r="BZ269" s="77" t="str">
        <f t="shared" si="746"/>
        <v>'Player Database'!A16</v>
      </c>
      <c r="CA269" s="77" t="str">
        <f t="shared" ca="1" si="747"/>
        <v>Toshihiro Aoyama</v>
      </c>
      <c r="CS269" s="77">
        <f t="shared" si="752"/>
        <v>266</v>
      </c>
      <c r="CT269" s="77">
        <f t="shared" si="744"/>
        <v>7</v>
      </c>
      <c r="CU269" s="77" t="str">
        <f t="shared" si="741"/>
        <v>CR17</v>
      </c>
      <c r="CV269" s="77" t="str">
        <f t="shared" ca="1" si="753"/>
        <v/>
      </c>
      <c r="CW269" s="77">
        <f t="shared" ca="1" si="751"/>
        <v>0</v>
      </c>
    </row>
    <row r="270" spans="72:101">
      <c r="BT270" s="77" t="str">
        <f t="shared" ca="1" si="743"/>
        <v>Japan</v>
      </c>
      <c r="BU270" s="77">
        <f t="shared" si="750"/>
        <v>268</v>
      </c>
      <c r="BV270" s="77" t="str">
        <f t="shared" si="748"/>
        <v>A17</v>
      </c>
      <c r="BW270" s="77">
        <f t="shared" si="745"/>
        <v>12</v>
      </c>
      <c r="BX270" s="77" t="str">
        <f t="shared" ca="1" si="749"/>
        <v>Y. Konno</v>
      </c>
      <c r="BY270" s="77">
        <f ca="1">COUNTIF('Group Stages'!$L$14:$S$110,BX270)+COUNTIF('Knock Out Stages'!$N$41:$U$84,BX270)</f>
        <v>0</v>
      </c>
      <c r="BZ270" s="77" t="str">
        <f t="shared" si="746"/>
        <v>'Player Database'!A17</v>
      </c>
      <c r="CA270" s="77" t="str">
        <f t="shared" ca="1" si="747"/>
        <v>Yasuyuki Konno</v>
      </c>
      <c r="CS270" s="77">
        <f t="shared" si="752"/>
        <v>267</v>
      </c>
      <c r="CT270" s="77">
        <f t="shared" si="744"/>
        <v>7</v>
      </c>
      <c r="CU270" s="77" t="str">
        <f t="shared" si="741"/>
        <v>CR18</v>
      </c>
      <c r="CV270" s="77" t="str">
        <f t="shared" ca="1" si="753"/>
        <v/>
      </c>
      <c r="CW270" s="77">
        <f t="shared" ca="1" si="751"/>
        <v>0</v>
      </c>
    </row>
    <row r="271" spans="72:101">
      <c r="BT271" s="77" t="str">
        <f t="shared" ca="1" si="743"/>
        <v>Japan</v>
      </c>
      <c r="BU271" s="77">
        <f t="shared" si="750"/>
        <v>269</v>
      </c>
      <c r="BV271" s="77" t="str">
        <f t="shared" si="748"/>
        <v>A18</v>
      </c>
      <c r="BW271" s="77">
        <f t="shared" si="745"/>
        <v>12</v>
      </c>
      <c r="BX271" s="77" t="str">
        <f t="shared" ca="1" si="749"/>
        <v>H. Yamaguchi</v>
      </c>
      <c r="BY271" s="77">
        <f ca="1">COUNTIF('Group Stages'!$L$14:$S$110,BX271)+COUNTIF('Knock Out Stages'!$N$41:$U$84,BX271)</f>
        <v>0</v>
      </c>
      <c r="BZ271" s="77" t="str">
        <f t="shared" si="746"/>
        <v>'Player Database'!A18</v>
      </c>
      <c r="CA271" s="77" t="str">
        <f t="shared" ca="1" si="747"/>
        <v>Hotaru Yamaguchi</v>
      </c>
      <c r="CS271" s="77">
        <f t="shared" si="752"/>
        <v>268</v>
      </c>
      <c r="CT271" s="77">
        <f t="shared" si="744"/>
        <v>7</v>
      </c>
      <c r="CU271" s="77" t="str">
        <f t="shared" si="741"/>
        <v>CR19</v>
      </c>
      <c r="CV271" s="77" t="str">
        <f t="shared" ca="1" si="753"/>
        <v/>
      </c>
      <c r="CW271" s="77">
        <f t="shared" ca="1" si="751"/>
        <v>0</v>
      </c>
    </row>
    <row r="272" spans="72:101">
      <c r="BT272" s="77" t="str">
        <f t="shared" ca="1" si="743"/>
        <v>Japan</v>
      </c>
      <c r="BU272" s="77">
        <f t="shared" si="750"/>
        <v>270</v>
      </c>
      <c r="BV272" s="77" t="str">
        <f t="shared" si="748"/>
        <v>A19</v>
      </c>
      <c r="BW272" s="77">
        <f t="shared" si="745"/>
        <v>12</v>
      </c>
      <c r="BX272" s="77" t="str">
        <f t="shared" ca="1" si="749"/>
        <v xml:space="preserve">M. Hasebe </v>
      </c>
      <c r="BY272" s="77">
        <f ca="1">COUNTIF('Group Stages'!$L$14:$S$110,BX272)+COUNTIF('Knock Out Stages'!$N$41:$U$84,BX272)</f>
        <v>0</v>
      </c>
      <c r="BZ272" s="77" t="str">
        <f t="shared" si="746"/>
        <v>'Player Database'!A19</v>
      </c>
      <c r="CA272" s="77" t="str">
        <f t="shared" ca="1" si="747"/>
        <v xml:space="preserve">Makoto Hasebe </v>
      </c>
      <c r="CS272" s="77">
        <f t="shared" si="752"/>
        <v>269</v>
      </c>
      <c r="CT272" s="77">
        <f t="shared" si="744"/>
        <v>7</v>
      </c>
      <c r="CU272" s="77" t="str">
        <f t="shared" si="741"/>
        <v>CR20</v>
      </c>
      <c r="CV272" s="77" t="str">
        <f t="shared" ca="1" si="753"/>
        <v/>
      </c>
      <c r="CW272" s="77">
        <f t="shared" ca="1" si="751"/>
        <v>0</v>
      </c>
    </row>
    <row r="273" spans="72:101">
      <c r="BT273" s="77" t="str">
        <f t="shared" ca="1" si="743"/>
        <v>Japan</v>
      </c>
      <c r="BU273" s="77">
        <f t="shared" si="750"/>
        <v>271</v>
      </c>
      <c r="BV273" s="77" t="str">
        <f t="shared" si="748"/>
        <v>A20</v>
      </c>
      <c r="BW273" s="77">
        <f t="shared" si="745"/>
        <v>12</v>
      </c>
      <c r="BX273" s="77" t="str">
        <f t="shared" ca="1" si="749"/>
        <v>Y. Osako</v>
      </c>
      <c r="BY273" s="77">
        <f ca="1">COUNTIF('Group Stages'!$L$14:$S$110,BX273)+COUNTIF('Knock Out Stages'!$N$41:$U$84,BX273)</f>
        <v>0</v>
      </c>
      <c r="BZ273" s="77" t="str">
        <f t="shared" si="746"/>
        <v>'Player Database'!A20</v>
      </c>
      <c r="CA273" s="77" t="str">
        <f t="shared" ca="1" si="747"/>
        <v>Yuya Osako</v>
      </c>
      <c r="CS273" s="77">
        <f t="shared" si="752"/>
        <v>270</v>
      </c>
      <c r="CT273" s="77">
        <f t="shared" si="744"/>
        <v>7</v>
      </c>
      <c r="CU273" s="77" t="str">
        <f t="shared" si="741"/>
        <v>CR21</v>
      </c>
      <c r="CV273" s="77" t="str">
        <f t="shared" ca="1" si="753"/>
        <v/>
      </c>
      <c r="CW273" s="77">
        <f t="shared" ca="1" si="751"/>
        <v>0</v>
      </c>
    </row>
    <row r="274" spans="72:101">
      <c r="BT274" s="77" t="str">
        <f t="shared" ca="1" si="743"/>
        <v>Japan</v>
      </c>
      <c r="BU274" s="77">
        <f t="shared" si="750"/>
        <v>272</v>
      </c>
      <c r="BV274" s="77" t="str">
        <f t="shared" si="748"/>
        <v>A21</v>
      </c>
      <c r="BW274" s="77">
        <f t="shared" si="745"/>
        <v>12</v>
      </c>
      <c r="BX274" s="77" t="str">
        <f t="shared" ca="1" si="749"/>
        <v>M. Inoha</v>
      </c>
      <c r="BY274" s="77">
        <f ca="1">COUNTIF('Group Stages'!$L$14:$S$110,BX274)+COUNTIF('Knock Out Stages'!$N$41:$U$84,BX274)</f>
        <v>0</v>
      </c>
      <c r="BZ274" s="77" t="str">
        <f t="shared" si="746"/>
        <v>'Player Database'!A21</v>
      </c>
      <c r="CA274" s="77" t="str">
        <f t="shared" ca="1" si="747"/>
        <v>Masahiko Inoha</v>
      </c>
      <c r="CS274" s="77">
        <f t="shared" si="752"/>
        <v>271</v>
      </c>
      <c r="CT274" s="77">
        <f t="shared" si="744"/>
        <v>7</v>
      </c>
      <c r="CU274" s="77" t="str">
        <f t="shared" si="741"/>
        <v>CR22</v>
      </c>
      <c r="CV274" s="77" t="str">
        <f t="shared" ca="1" si="753"/>
        <v/>
      </c>
      <c r="CW274" s="77">
        <f t="shared" ca="1" si="751"/>
        <v>0</v>
      </c>
    </row>
    <row r="275" spans="72:101">
      <c r="BT275" s="77" t="str">
        <f t="shared" ca="1" si="743"/>
        <v>Japan</v>
      </c>
      <c r="BU275" s="77">
        <f t="shared" si="750"/>
        <v>273</v>
      </c>
      <c r="BV275" s="77" t="str">
        <f t="shared" si="748"/>
        <v>A22</v>
      </c>
      <c r="BW275" s="77">
        <f t="shared" si="745"/>
        <v>12</v>
      </c>
      <c r="BX275" s="77" t="str">
        <f t="shared" ca="1" si="749"/>
        <v>M. Saitō</v>
      </c>
      <c r="BY275" s="77">
        <f ca="1">COUNTIF('Group Stages'!$L$14:$S$110,BX275)+COUNTIF('Knock Out Stages'!$N$41:$U$84,BX275)</f>
        <v>0</v>
      </c>
      <c r="BZ275" s="77" t="str">
        <f t="shared" si="746"/>
        <v>'Player Database'!A22</v>
      </c>
      <c r="CA275" s="77" t="str">
        <f t="shared" ca="1" si="747"/>
        <v>Manabu Saitō</v>
      </c>
      <c r="CS275" s="77">
        <f t="shared" si="752"/>
        <v>272</v>
      </c>
      <c r="CT275" s="77">
        <f t="shared" si="744"/>
        <v>7</v>
      </c>
      <c r="CU275" s="77" t="str">
        <f t="shared" si="741"/>
        <v>CR23</v>
      </c>
      <c r="CV275" s="77" t="str">
        <f t="shared" ca="1" si="753"/>
        <v/>
      </c>
      <c r="CW275" s="77">
        <f t="shared" ca="1" si="751"/>
        <v>0</v>
      </c>
    </row>
    <row r="276" spans="72:101">
      <c r="BT276" s="77" t="str">
        <f t="shared" ca="1" si="743"/>
        <v>Japan</v>
      </c>
      <c r="BU276" s="77">
        <f t="shared" si="750"/>
        <v>274</v>
      </c>
      <c r="BV276" s="77" t="str">
        <f t="shared" si="748"/>
        <v>A23</v>
      </c>
      <c r="BW276" s="77">
        <f t="shared" si="745"/>
        <v>12</v>
      </c>
      <c r="BX276" s="77" t="str">
        <f t="shared" ca="1" si="749"/>
        <v>H. Sakai</v>
      </c>
      <c r="BY276" s="77">
        <f ca="1">COUNTIF('Group Stages'!$L$14:$S$110,BX276)+COUNTIF('Knock Out Stages'!$N$41:$U$84,BX276)</f>
        <v>0</v>
      </c>
      <c r="BZ276" s="77" t="str">
        <f t="shared" si="746"/>
        <v>'Player Database'!A23</v>
      </c>
      <c r="CA276" s="77" t="str">
        <f t="shared" ca="1" si="747"/>
        <v>Hiroki Sakai</v>
      </c>
      <c r="CS276" s="77">
        <f t="shared" si="752"/>
        <v>273</v>
      </c>
      <c r="CT276" s="77">
        <f t="shared" si="744"/>
        <v>7</v>
      </c>
      <c r="CU276" s="77" t="str">
        <f t="shared" si="741"/>
        <v>CR24</v>
      </c>
      <c r="CV276" s="77" t="str">
        <f t="shared" ca="1" si="753"/>
        <v/>
      </c>
      <c r="CW276" s="77">
        <f t="shared" ca="1" si="751"/>
        <v>0</v>
      </c>
    </row>
    <row r="277" spans="72:101">
      <c r="BT277" s="77" t="str">
        <f t="shared" ca="1" si="743"/>
        <v>Japan</v>
      </c>
      <c r="BU277" s="77">
        <f t="shared" si="750"/>
        <v>275</v>
      </c>
      <c r="BV277" s="77" t="str">
        <f t="shared" si="748"/>
        <v>A24</v>
      </c>
      <c r="BW277" s="77">
        <f t="shared" si="745"/>
        <v>12</v>
      </c>
      <c r="BX277" s="77" t="str">
        <f t="shared" ca="1" si="749"/>
        <v>M. Yoshida</v>
      </c>
      <c r="BY277" s="77">
        <f ca="1">COUNTIF('Group Stages'!$L$14:$S$110,BX277)+COUNTIF('Knock Out Stages'!$N$41:$U$84,BX277)</f>
        <v>0</v>
      </c>
      <c r="BZ277" s="77" t="str">
        <f t="shared" si="746"/>
        <v>'Player Database'!A24</v>
      </c>
      <c r="CA277" s="77" t="str">
        <f t="shared" ca="1" si="747"/>
        <v>Maya Yoshida</v>
      </c>
      <c r="CS277" s="77">
        <f t="shared" si="752"/>
        <v>274</v>
      </c>
      <c r="CT277" s="77">
        <f t="shared" si="744"/>
        <v>7</v>
      </c>
      <c r="CU277" s="77" t="str">
        <f t="shared" si="741"/>
        <v>CR25</v>
      </c>
      <c r="CV277" s="77" t="str">
        <f t="shared" ca="1" si="753"/>
        <v/>
      </c>
      <c r="CW277" s="77">
        <f t="shared" ca="1" si="751"/>
        <v>0</v>
      </c>
    </row>
    <row r="278" spans="72:101">
      <c r="BT278" s="77" t="str">
        <f t="shared" ca="1" si="743"/>
        <v>Japan</v>
      </c>
      <c r="BU278" s="77">
        <f t="shared" si="750"/>
        <v>276</v>
      </c>
      <c r="BV278" s="77" t="str">
        <f t="shared" si="748"/>
        <v>A25</v>
      </c>
      <c r="BW278" s="77">
        <f t="shared" si="745"/>
        <v>12</v>
      </c>
      <c r="BX278" s="77" t="str">
        <f t="shared" ca="1" si="749"/>
        <v>S. Gonda</v>
      </c>
      <c r="BY278" s="77">
        <f ca="1">COUNTIF('Group Stages'!$L$14:$S$110,BX278)+COUNTIF('Knock Out Stages'!$N$41:$U$84,BX278)</f>
        <v>0</v>
      </c>
      <c r="BZ278" s="77" t="str">
        <f t="shared" si="746"/>
        <v>'Player Database'!A25</v>
      </c>
      <c r="CA278" s="77" t="str">
        <f t="shared" ca="1" si="747"/>
        <v>Shūichi Gonda</v>
      </c>
      <c r="CS278" s="77">
        <f t="shared" si="752"/>
        <v>275</v>
      </c>
      <c r="CT278" s="77">
        <f t="shared" si="744"/>
        <v>7</v>
      </c>
      <c r="CU278" s="77" t="str">
        <f t="shared" si="741"/>
        <v>CR26</v>
      </c>
      <c r="CV278" s="77" t="str">
        <f t="shared" ca="1" si="753"/>
        <v/>
      </c>
      <c r="CW278" s="77">
        <f t="shared" ca="1" si="751"/>
        <v>0</v>
      </c>
    </row>
    <row r="279" spans="72:101">
      <c r="BT279" s="77" t="str">
        <f t="shared" ca="1" si="743"/>
        <v>Uruguay</v>
      </c>
      <c r="BU279" s="77">
        <f t="shared" si="750"/>
        <v>277</v>
      </c>
      <c r="BV279" s="77" t="str">
        <f t="shared" si="748"/>
        <v>A3</v>
      </c>
      <c r="BW279" s="77">
        <f t="shared" si="745"/>
        <v>13</v>
      </c>
      <c r="BX279" s="77" t="str">
        <f t="shared" ca="1" si="749"/>
        <v>F. Muslera</v>
      </c>
      <c r="BY279" s="77">
        <f ca="1">COUNTIF('Group Stages'!$L$14:$S$110,BX279)+COUNTIF('Knock Out Stages'!$N$41:$U$84,BX279)</f>
        <v>0</v>
      </c>
      <c r="BZ279" s="77" t="str">
        <f t="shared" si="746"/>
        <v>'Player Database'!A3</v>
      </c>
      <c r="CA279" s="77" t="str">
        <f t="shared" ca="1" si="747"/>
        <v>Fernando Muslera</v>
      </c>
      <c r="CS279" s="77">
        <f t="shared" si="752"/>
        <v>276</v>
      </c>
      <c r="CT279" s="77">
        <f t="shared" si="744"/>
        <v>7</v>
      </c>
      <c r="CU279" s="77" t="str">
        <f t="shared" si="741"/>
        <v>CR27</v>
      </c>
      <c r="CV279" s="77" t="str">
        <f t="shared" ca="1" si="753"/>
        <v/>
      </c>
      <c r="CW279" s="77">
        <f t="shared" ca="1" si="751"/>
        <v>0</v>
      </c>
    </row>
    <row r="280" spans="72:101">
      <c r="BT280" s="77" t="str">
        <f t="shared" ca="1" si="743"/>
        <v>Uruguay</v>
      </c>
      <c r="BU280" s="77">
        <f t="shared" si="750"/>
        <v>278</v>
      </c>
      <c r="BV280" s="77" t="str">
        <f t="shared" si="748"/>
        <v>A4</v>
      </c>
      <c r="BW280" s="77">
        <f t="shared" si="745"/>
        <v>13</v>
      </c>
      <c r="BX280" s="77" t="str">
        <f t="shared" ca="1" si="749"/>
        <v xml:space="preserve">D. Lugano </v>
      </c>
      <c r="BY280" s="77">
        <f ca="1">COUNTIF('Group Stages'!$L$14:$S$110,BX280)+COUNTIF('Knock Out Stages'!$N$41:$U$84,BX280)</f>
        <v>0</v>
      </c>
      <c r="BZ280" s="77" t="str">
        <f t="shared" si="746"/>
        <v>'Player Database'!A4</v>
      </c>
      <c r="CA280" s="77" t="str">
        <f t="shared" ca="1" si="747"/>
        <v xml:space="preserve">Diego Lugano </v>
      </c>
      <c r="CS280" s="77">
        <f t="shared" si="752"/>
        <v>277</v>
      </c>
      <c r="CT280" s="77">
        <f t="shared" si="744"/>
        <v>7</v>
      </c>
      <c r="CU280" s="77" t="str">
        <f t="shared" si="741"/>
        <v>CR28</v>
      </c>
      <c r="CV280" s="77" t="str">
        <f t="shared" ca="1" si="753"/>
        <v/>
      </c>
      <c r="CW280" s="77">
        <f t="shared" ca="1" si="751"/>
        <v>0</v>
      </c>
    </row>
    <row r="281" spans="72:101">
      <c r="BT281" s="77" t="str">
        <f t="shared" ca="1" si="743"/>
        <v>Uruguay</v>
      </c>
      <c r="BU281" s="77">
        <f t="shared" si="750"/>
        <v>279</v>
      </c>
      <c r="BV281" s="77" t="str">
        <f t="shared" si="748"/>
        <v>A5</v>
      </c>
      <c r="BW281" s="77">
        <f t="shared" si="745"/>
        <v>13</v>
      </c>
      <c r="BX281" s="77" t="str">
        <f t="shared" ca="1" si="749"/>
        <v>D. Godín</v>
      </c>
      <c r="BY281" s="77">
        <f ca="1">COUNTIF('Group Stages'!$L$14:$S$110,BX281)+COUNTIF('Knock Out Stages'!$N$41:$U$84,BX281)</f>
        <v>0</v>
      </c>
      <c r="BZ281" s="77" t="str">
        <f t="shared" si="746"/>
        <v>'Player Database'!A5</v>
      </c>
      <c r="CA281" s="77" t="str">
        <f t="shared" ca="1" si="747"/>
        <v>Diego Godín</v>
      </c>
      <c r="CS281" s="77">
        <f t="shared" si="752"/>
        <v>278</v>
      </c>
      <c r="CT281" s="77">
        <f t="shared" si="744"/>
        <v>7</v>
      </c>
      <c r="CU281" s="77" t="str">
        <f t="shared" ref="CU281:CU344" si="754">CU239</f>
        <v>CR29</v>
      </c>
      <c r="CV281" s="77" t="str">
        <f t="shared" ca="1" si="753"/>
        <v/>
      </c>
      <c r="CW281" s="77">
        <f t="shared" ca="1" si="751"/>
        <v>0</v>
      </c>
    </row>
    <row r="282" spans="72:101">
      <c r="BT282" s="77" t="str">
        <f t="shared" ca="1" si="743"/>
        <v>Uruguay</v>
      </c>
      <c r="BU282" s="77">
        <f t="shared" si="750"/>
        <v>280</v>
      </c>
      <c r="BV282" s="77" t="str">
        <f t="shared" si="748"/>
        <v>A6</v>
      </c>
      <c r="BW282" s="77">
        <f t="shared" si="745"/>
        <v>13</v>
      </c>
      <c r="BX282" s="77" t="str">
        <f t="shared" ca="1" si="749"/>
        <v>S. Coates</v>
      </c>
      <c r="BY282" s="77">
        <f ca="1">COUNTIF('Group Stages'!$L$14:$S$110,BX282)+COUNTIF('Knock Out Stages'!$N$41:$U$84,BX282)</f>
        <v>0</v>
      </c>
      <c r="BZ282" s="77" t="str">
        <f t="shared" si="746"/>
        <v>'Player Database'!A6</v>
      </c>
      <c r="CA282" s="77" t="str">
        <f t="shared" ca="1" si="747"/>
        <v>Sebastián Coates</v>
      </c>
      <c r="CS282" s="77">
        <f t="shared" si="752"/>
        <v>279</v>
      </c>
      <c r="CT282" s="77">
        <f t="shared" si="744"/>
        <v>7</v>
      </c>
      <c r="CU282" s="77" t="str">
        <f t="shared" si="754"/>
        <v>CR30</v>
      </c>
      <c r="CV282" s="77" t="str">
        <f t="shared" ca="1" si="753"/>
        <v/>
      </c>
      <c r="CW282" s="77">
        <f t="shared" ca="1" si="751"/>
        <v>0</v>
      </c>
    </row>
    <row r="283" spans="72:101">
      <c r="BT283" s="77" t="str">
        <f t="shared" ref="BT283:BT346" ca="1" si="755">OFFSET($A$2,0,BW283)</f>
        <v>Uruguay</v>
      </c>
      <c r="BU283" s="77">
        <f t="shared" si="750"/>
        <v>281</v>
      </c>
      <c r="BV283" s="77" t="str">
        <f t="shared" si="748"/>
        <v>A7</v>
      </c>
      <c r="BW283" s="77">
        <f t="shared" si="745"/>
        <v>13</v>
      </c>
      <c r="BX283" s="77" t="str">
        <f t="shared" ca="1" si="749"/>
        <v>W. Gargano</v>
      </c>
      <c r="BY283" s="77">
        <f ca="1">COUNTIF('Group Stages'!$L$14:$S$110,BX283)+COUNTIF('Knock Out Stages'!$N$41:$U$84,BX283)</f>
        <v>0</v>
      </c>
      <c r="BZ283" s="77" t="str">
        <f t="shared" si="746"/>
        <v>'Player Database'!A7</v>
      </c>
      <c r="CA283" s="77" t="str">
        <f t="shared" ca="1" si="747"/>
        <v>Walter Gargano</v>
      </c>
      <c r="CS283" s="77">
        <f t="shared" si="752"/>
        <v>280</v>
      </c>
      <c r="CT283" s="77">
        <f t="shared" si="744"/>
        <v>7</v>
      </c>
      <c r="CU283" s="77" t="str">
        <f t="shared" si="754"/>
        <v>CR31</v>
      </c>
      <c r="CV283" s="77" t="str">
        <f t="shared" ca="1" si="753"/>
        <v/>
      </c>
      <c r="CW283" s="77">
        <f t="shared" ca="1" si="751"/>
        <v>0</v>
      </c>
    </row>
    <row r="284" spans="72:101">
      <c r="BT284" s="77" t="str">
        <f t="shared" ca="1" si="755"/>
        <v>Uruguay</v>
      </c>
      <c r="BU284" s="77">
        <f t="shared" si="750"/>
        <v>282</v>
      </c>
      <c r="BV284" s="77" t="str">
        <f t="shared" si="748"/>
        <v>A8</v>
      </c>
      <c r="BW284" s="77">
        <f t="shared" si="745"/>
        <v>13</v>
      </c>
      <c r="BX284" s="77" t="str">
        <f t="shared" ca="1" si="749"/>
        <v>Á. Pereira</v>
      </c>
      <c r="BY284" s="77">
        <f ca="1">COUNTIF('Group Stages'!$L$14:$S$110,BX284)+COUNTIF('Knock Out Stages'!$N$41:$U$84,BX284)</f>
        <v>0</v>
      </c>
      <c r="BZ284" s="77" t="str">
        <f t="shared" si="746"/>
        <v>'Player Database'!A8</v>
      </c>
      <c r="CA284" s="77" t="str">
        <f t="shared" ca="1" si="747"/>
        <v>Álvaro Pereira</v>
      </c>
      <c r="CS284" s="77">
        <f t="shared" si="752"/>
        <v>281</v>
      </c>
      <c r="CT284" s="77">
        <f t="shared" si="744"/>
        <v>7</v>
      </c>
      <c r="CU284" s="77" t="str">
        <f t="shared" si="754"/>
        <v>CR32</v>
      </c>
      <c r="CV284" s="77" t="str">
        <f t="shared" ca="1" si="753"/>
        <v/>
      </c>
      <c r="CW284" s="77">
        <f t="shared" ca="1" si="751"/>
        <v>0</v>
      </c>
    </row>
    <row r="285" spans="72:101">
      <c r="BT285" s="77" t="str">
        <f t="shared" ca="1" si="755"/>
        <v>Uruguay</v>
      </c>
      <c r="BU285" s="77">
        <f t="shared" si="750"/>
        <v>283</v>
      </c>
      <c r="BV285" s="77" t="str">
        <f t="shared" si="748"/>
        <v>A9</v>
      </c>
      <c r="BW285" s="77">
        <f t="shared" si="745"/>
        <v>13</v>
      </c>
      <c r="BX285" s="77" t="str">
        <f t="shared" ca="1" si="749"/>
        <v>C. Rodríguez</v>
      </c>
      <c r="BY285" s="77">
        <f ca="1">COUNTIF('Group Stages'!$L$14:$S$110,BX285)+COUNTIF('Knock Out Stages'!$N$41:$U$84,BX285)</f>
        <v>0</v>
      </c>
      <c r="BZ285" s="77" t="str">
        <f t="shared" si="746"/>
        <v>'Player Database'!A9</v>
      </c>
      <c r="CA285" s="77" t="str">
        <f t="shared" ca="1" si="747"/>
        <v>Cristian Rodríguez</v>
      </c>
      <c r="CS285" s="77">
        <f t="shared" si="752"/>
        <v>282</v>
      </c>
      <c r="CT285" s="77">
        <f t="shared" si="744"/>
        <v>7</v>
      </c>
      <c r="CU285" s="77" t="str">
        <f t="shared" si="754"/>
        <v>CR33</v>
      </c>
      <c r="CV285" s="77" t="str">
        <f t="shared" ca="1" si="753"/>
        <v/>
      </c>
      <c r="CW285" s="77">
        <f t="shared" ca="1" si="751"/>
        <v>0</v>
      </c>
    </row>
    <row r="286" spans="72:101">
      <c r="BT286" s="77" t="str">
        <f t="shared" ca="1" si="755"/>
        <v>Uruguay</v>
      </c>
      <c r="BU286" s="77">
        <f t="shared" si="750"/>
        <v>284</v>
      </c>
      <c r="BV286" s="77" t="str">
        <f t="shared" si="748"/>
        <v>A10</v>
      </c>
      <c r="BW286" s="77">
        <f t="shared" si="745"/>
        <v>13</v>
      </c>
      <c r="BX286" s="77" t="str">
        <f t="shared" ca="1" si="749"/>
        <v>A. Hernández</v>
      </c>
      <c r="BY286" s="77">
        <f ca="1">COUNTIF('Group Stages'!$L$14:$S$110,BX286)+COUNTIF('Knock Out Stages'!$N$41:$U$84,BX286)</f>
        <v>0</v>
      </c>
      <c r="BZ286" s="77" t="str">
        <f t="shared" si="746"/>
        <v>'Player Database'!A10</v>
      </c>
      <c r="CA286" s="77" t="str">
        <f t="shared" ca="1" si="747"/>
        <v>Abel Hernández</v>
      </c>
      <c r="CS286" s="77">
        <f t="shared" si="752"/>
        <v>283</v>
      </c>
      <c r="CT286" s="77">
        <f t="shared" si="744"/>
        <v>7</v>
      </c>
      <c r="CU286" s="77" t="str">
        <f t="shared" si="754"/>
        <v>CR34</v>
      </c>
      <c r="CV286" s="77" t="str">
        <f t="shared" ca="1" si="753"/>
        <v/>
      </c>
      <c r="CW286" s="77">
        <f t="shared" ca="1" si="751"/>
        <v>0</v>
      </c>
    </row>
    <row r="287" spans="72:101">
      <c r="BT287" s="77" t="str">
        <f t="shared" ca="1" si="755"/>
        <v>Uruguay</v>
      </c>
      <c r="BU287" s="77">
        <f t="shared" si="750"/>
        <v>285</v>
      </c>
      <c r="BV287" s="77" t="str">
        <f t="shared" si="748"/>
        <v>A11</v>
      </c>
      <c r="BW287" s="77">
        <f t="shared" si="745"/>
        <v>13</v>
      </c>
      <c r="BX287" s="77" t="str">
        <f t="shared" ca="1" si="749"/>
        <v>L. Suárez</v>
      </c>
      <c r="BY287" s="77">
        <f ca="1">COUNTIF('Group Stages'!$L$14:$S$110,BX287)+COUNTIF('Knock Out Stages'!$N$41:$U$84,BX287)</f>
        <v>0</v>
      </c>
      <c r="BZ287" s="77" t="str">
        <f t="shared" si="746"/>
        <v>'Player Database'!A11</v>
      </c>
      <c r="CA287" s="77" t="str">
        <f t="shared" ca="1" si="747"/>
        <v>Luis Suárez</v>
      </c>
      <c r="CS287" s="77">
        <f t="shared" si="752"/>
        <v>284</v>
      </c>
      <c r="CT287" s="77">
        <f t="shared" si="744"/>
        <v>7</v>
      </c>
      <c r="CU287" s="77" t="str">
        <f t="shared" si="754"/>
        <v>CR35</v>
      </c>
      <c r="CV287" s="77" t="str">
        <f t="shared" ca="1" si="753"/>
        <v/>
      </c>
      <c r="CW287" s="77">
        <f t="shared" ca="1" si="751"/>
        <v>0</v>
      </c>
    </row>
    <row r="288" spans="72:101">
      <c r="BT288" s="77" t="str">
        <f t="shared" ca="1" si="755"/>
        <v>Uruguay</v>
      </c>
      <c r="BU288" s="77">
        <f t="shared" si="750"/>
        <v>286</v>
      </c>
      <c r="BV288" s="77" t="str">
        <f t="shared" si="748"/>
        <v>A12</v>
      </c>
      <c r="BW288" s="77">
        <f t="shared" si="745"/>
        <v>13</v>
      </c>
      <c r="BX288" s="77" t="str">
        <f t="shared" ca="1" si="749"/>
        <v>D. Forlán</v>
      </c>
      <c r="BY288" s="77">
        <f ca="1">COUNTIF('Group Stages'!$L$14:$S$110,BX288)+COUNTIF('Knock Out Stages'!$N$41:$U$84,BX288)</f>
        <v>0</v>
      </c>
      <c r="BZ288" s="77" t="str">
        <f t="shared" si="746"/>
        <v>'Player Database'!A12</v>
      </c>
      <c r="CA288" s="77" t="str">
        <f t="shared" ca="1" si="747"/>
        <v>Diego Forlán</v>
      </c>
      <c r="CS288" s="77">
        <f t="shared" si="752"/>
        <v>285</v>
      </c>
      <c r="CT288" s="77">
        <f t="shared" si="744"/>
        <v>7</v>
      </c>
      <c r="CU288" s="77" t="str">
        <f t="shared" si="754"/>
        <v>CR36</v>
      </c>
      <c r="CV288" s="77" t="str">
        <f t="shared" ca="1" si="753"/>
        <v/>
      </c>
      <c r="CW288" s="77">
        <f t="shared" ca="1" si="751"/>
        <v>0</v>
      </c>
    </row>
    <row r="289" spans="72:101">
      <c r="BT289" s="77" t="str">
        <f t="shared" ca="1" si="755"/>
        <v>Uruguay</v>
      </c>
      <c r="BU289" s="77">
        <f t="shared" si="750"/>
        <v>287</v>
      </c>
      <c r="BV289" s="77" t="str">
        <f t="shared" si="748"/>
        <v>A13</v>
      </c>
      <c r="BW289" s="77">
        <f t="shared" si="745"/>
        <v>13</v>
      </c>
      <c r="BX289" s="77" t="str">
        <f t="shared" ca="1" si="749"/>
        <v>C. Stuani</v>
      </c>
      <c r="BY289" s="77">
        <f ca="1">COUNTIF('Group Stages'!$L$14:$S$110,BX289)+COUNTIF('Knock Out Stages'!$N$41:$U$84,BX289)</f>
        <v>0</v>
      </c>
      <c r="BZ289" s="77" t="str">
        <f t="shared" si="746"/>
        <v>'Player Database'!A13</v>
      </c>
      <c r="CA289" s="77" t="str">
        <f t="shared" ca="1" si="747"/>
        <v>Christian Stuani</v>
      </c>
      <c r="CS289" s="77">
        <f t="shared" si="752"/>
        <v>286</v>
      </c>
      <c r="CT289" s="77">
        <f t="shared" si="744"/>
        <v>7</v>
      </c>
      <c r="CU289" s="77" t="str">
        <f t="shared" si="754"/>
        <v>CR37</v>
      </c>
      <c r="CV289" s="77" t="str">
        <f t="shared" ca="1" si="753"/>
        <v/>
      </c>
      <c r="CW289" s="77">
        <f t="shared" ca="1" si="751"/>
        <v>0</v>
      </c>
    </row>
    <row r="290" spans="72:101">
      <c r="BT290" s="77" t="str">
        <f t="shared" ca="1" si="755"/>
        <v>Uruguay</v>
      </c>
      <c r="BU290" s="77">
        <f t="shared" si="750"/>
        <v>288</v>
      </c>
      <c r="BV290" s="77" t="str">
        <f t="shared" si="748"/>
        <v>A14</v>
      </c>
      <c r="BW290" s="77">
        <f t="shared" si="745"/>
        <v>13</v>
      </c>
      <c r="BX290" s="77" t="str">
        <f t="shared" ca="1" si="749"/>
        <v>R. Muñoz</v>
      </c>
      <c r="BY290" s="77">
        <f ca="1">COUNTIF('Group Stages'!$L$14:$S$110,BX290)+COUNTIF('Knock Out Stages'!$N$41:$U$84,BX290)</f>
        <v>0</v>
      </c>
      <c r="BZ290" s="77" t="str">
        <f t="shared" si="746"/>
        <v>'Player Database'!A14</v>
      </c>
      <c r="CA290" s="77" t="str">
        <f t="shared" ca="1" si="747"/>
        <v>Rodrigo Muñoz</v>
      </c>
      <c r="CS290" s="77">
        <f t="shared" si="752"/>
        <v>287</v>
      </c>
      <c r="CT290" s="77">
        <f t="shared" si="744"/>
        <v>7</v>
      </c>
      <c r="CU290" s="77" t="str">
        <f t="shared" si="754"/>
        <v>CR38</v>
      </c>
      <c r="CV290" s="77" t="str">
        <f t="shared" ca="1" si="753"/>
        <v/>
      </c>
      <c r="CW290" s="77">
        <f t="shared" ca="1" si="751"/>
        <v>0</v>
      </c>
    </row>
    <row r="291" spans="72:101">
      <c r="BT291" s="77" t="str">
        <f t="shared" ca="1" si="755"/>
        <v>Uruguay</v>
      </c>
      <c r="BU291" s="77">
        <f t="shared" si="750"/>
        <v>289</v>
      </c>
      <c r="BV291" s="77" t="str">
        <f t="shared" si="748"/>
        <v>A15</v>
      </c>
      <c r="BW291" s="77">
        <f t="shared" si="745"/>
        <v>13</v>
      </c>
      <c r="BX291" s="77" t="str">
        <f t="shared" ca="1" si="749"/>
        <v>J. Fucile</v>
      </c>
      <c r="BY291" s="77">
        <f ca="1">COUNTIF('Group Stages'!$L$14:$S$110,BX291)+COUNTIF('Knock Out Stages'!$N$41:$U$84,BX291)</f>
        <v>0</v>
      </c>
      <c r="BZ291" s="77" t="str">
        <f t="shared" si="746"/>
        <v>'Player Database'!A15</v>
      </c>
      <c r="CA291" s="77" t="str">
        <f t="shared" ca="1" si="747"/>
        <v>Jorge Fucile</v>
      </c>
      <c r="CS291" s="77">
        <f t="shared" si="752"/>
        <v>288</v>
      </c>
      <c r="CT291" s="77">
        <f t="shared" si="744"/>
        <v>7</v>
      </c>
      <c r="CU291" s="77" t="str">
        <f t="shared" si="754"/>
        <v>CR39</v>
      </c>
      <c r="CV291" s="77" t="str">
        <f t="shared" ca="1" si="753"/>
        <v/>
      </c>
      <c r="CW291" s="77">
        <f t="shared" ca="1" si="751"/>
        <v>0</v>
      </c>
    </row>
    <row r="292" spans="72:101">
      <c r="BT292" s="77" t="str">
        <f t="shared" ca="1" si="755"/>
        <v>Uruguay</v>
      </c>
      <c r="BU292" s="77">
        <f t="shared" si="750"/>
        <v>290</v>
      </c>
      <c r="BV292" s="77" t="str">
        <f t="shared" si="748"/>
        <v>A16</v>
      </c>
      <c r="BW292" s="77">
        <f t="shared" si="745"/>
        <v>13</v>
      </c>
      <c r="BX292" s="77" t="str">
        <f t="shared" ca="1" si="749"/>
        <v>N. Lodeiro</v>
      </c>
      <c r="BY292" s="77">
        <f ca="1">COUNTIF('Group Stages'!$L$14:$S$110,BX292)+COUNTIF('Knock Out Stages'!$N$41:$U$84,BX292)</f>
        <v>0</v>
      </c>
      <c r="BZ292" s="77" t="str">
        <f t="shared" si="746"/>
        <v>'Player Database'!A16</v>
      </c>
      <c r="CA292" s="77" t="str">
        <f t="shared" ca="1" si="747"/>
        <v>Nicolás Lodeiro</v>
      </c>
      <c r="CS292" s="77">
        <f t="shared" si="752"/>
        <v>289</v>
      </c>
      <c r="CT292" s="77">
        <f t="shared" si="744"/>
        <v>7</v>
      </c>
      <c r="CU292" s="77" t="str">
        <f t="shared" si="754"/>
        <v>CR40</v>
      </c>
      <c r="CV292" s="77" t="str">
        <f t="shared" ca="1" si="753"/>
        <v/>
      </c>
      <c r="CW292" s="77">
        <f t="shared" ca="1" si="751"/>
        <v>0</v>
      </c>
    </row>
    <row r="293" spans="72:101">
      <c r="BT293" s="77" t="str">
        <f t="shared" ca="1" si="755"/>
        <v>Uruguay</v>
      </c>
      <c r="BU293" s="77">
        <f t="shared" si="750"/>
        <v>291</v>
      </c>
      <c r="BV293" s="77" t="str">
        <f t="shared" si="748"/>
        <v>A17</v>
      </c>
      <c r="BW293" s="77">
        <f t="shared" si="745"/>
        <v>13</v>
      </c>
      <c r="BX293" s="77" t="str">
        <f t="shared" ca="1" si="749"/>
        <v>D. Pérez</v>
      </c>
      <c r="BY293" s="77">
        <f ca="1">COUNTIF('Group Stages'!$L$14:$S$110,BX293)+COUNTIF('Knock Out Stages'!$N$41:$U$84,BX293)</f>
        <v>0</v>
      </c>
      <c r="BZ293" s="77" t="str">
        <f t="shared" si="746"/>
        <v>'Player Database'!A17</v>
      </c>
      <c r="CA293" s="77" t="str">
        <f t="shared" ca="1" si="747"/>
        <v>Diego Pérez</v>
      </c>
      <c r="CS293" s="77">
        <f t="shared" si="752"/>
        <v>290</v>
      </c>
      <c r="CT293" s="77">
        <f t="shared" si="744"/>
        <v>7</v>
      </c>
      <c r="CU293" s="77" t="str">
        <f t="shared" si="754"/>
        <v>CR41</v>
      </c>
      <c r="CV293" s="77" t="str">
        <f t="shared" ca="1" si="753"/>
        <v/>
      </c>
      <c r="CW293" s="77">
        <f t="shared" ca="1" si="751"/>
        <v>0</v>
      </c>
    </row>
    <row r="294" spans="72:101">
      <c r="BT294" s="77" t="str">
        <f t="shared" ca="1" si="755"/>
        <v>Uruguay</v>
      </c>
      <c r="BU294" s="77">
        <f t="shared" si="750"/>
        <v>292</v>
      </c>
      <c r="BV294" s="77" t="str">
        <f t="shared" si="748"/>
        <v>A18</v>
      </c>
      <c r="BW294" s="77">
        <f t="shared" si="745"/>
        <v>13</v>
      </c>
      <c r="BX294" s="77" t="str">
        <f t="shared" ca="1" si="749"/>
        <v>M. Pereira</v>
      </c>
      <c r="BY294" s="77">
        <f ca="1">COUNTIF('Group Stages'!$L$14:$S$110,BX294)+COUNTIF('Knock Out Stages'!$N$41:$U$84,BX294)</f>
        <v>0</v>
      </c>
      <c r="BZ294" s="77" t="str">
        <f t="shared" si="746"/>
        <v>'Player Database'!A18</v>
      </c>
      <c r="CA294" s="77" t="str">
        <f t="shared" ca="1" si="747"/>
        <v>Maxi Pereira</v>
      </c>
      <c r="CS294" s="77">
        <f t="shared" si="752"/>
        <v>291</v>
      </c>
      <c r="CT294" s="77">
        <f t="shared" si="744"/>
        <v>7</v>
      </c>
      <c r="CU294" s="77" t="str">
        <f t="shared" si="754"/>
        <v>CR42</v>
      </c>
      <c r="CV294" s="77" t="str">
        <f t="shared" ca="1" si="753"/>
        <v/>
      </c>
      <c r="CW294" s="77">
        <f t="shared" ca="1" si="751"/>
        <v>0</v>
      </c>
    </row>
    <row r="295" spans="72:101">
      <c r="BT295" s="77" t="str">
        <f t="shared" ca="1" si="755"/>
        <v>Uruguay</v>
      </c>
      <c r="BU295" s="77">
        <f t="shared" si="750"/>
        <v>293</v>
      </c>
      <c r="BV295" s="77" t="str">
        <f t="shared" si="748"/>
        <v>A19</v>
      </c>
      <c r="BW295" s="77">
        <f t="shared" si="745"/>
        <v>13</v>
      </c>
      <c r="BX295" s="77" t="str">
        <f t="shared" ca="1" si="749"/>
        <v>E. Arévalo Ríos</v>
      </c>
      <c r="BY295" s="77">
        <f ca="1">COUNTIF('Group Stages'!$L$14:$S$110,BX295)+COUNTIF('Knock Out Stages'!$N$41:$U$84,BX295)</f>
        <v>0</v>
      </c>
      <c r="BZ295" s="77" t="str">
        <f t="shared" si="746"/>
        <v>'Player Database'!A19</v>
      </c>
      <c r="CA295" s="77" t="str">
        <f t="shared" ca="1" si="747"/>
        <v>Egidio Arévalo Ríos</v>
      </c>
      <c r="CS295" s="77">
        <f t="shared" si="752"/>
        <v>292</v>
      </c>
      <c r="CT295" s="77">
        <f t="shared" si="744"/>
        <v>7</v>
      </c>
      <c r="CU295" s="77" t="str">
        <f t="shared" si="754"/>
        <v>CR43</v>
      </c>
      <c r="CV295" s="77" t="str">
        <f t="shared" ca="1" si="753"/>
        <v/>
      </c>
      <c r="CW295" s="77">
        <f t="shared" ca="1" si="751"/>
        <v>0</v>
      </c>
    </row>
    <row r="296" spans="72:101">
      <c r="BT296" s="77" t="str">
        <f t="shared" ca="1" si="755"/>
        <v>Uruguay</v>
      </c>
      <c r="BU296" s="77">
        <f t="shared" si="750"/>
        <v>294</v>
      </c>
      <c r="BV296" s="77" t="str">
        <f t="shared" si="748"/>
        <v>A20</v>
      </c>
      <c r="BW296" s="77">
        <f t="shared" si="745"/>
        <v>13</v>
      </c>
      <c r="BX296" s="77" t="str">
        <f t="shared" ca="1" si="749"/>
        <v>G. Ramírez</v>
      </c>
      <c r="BY296" s="77">
        <f ca="1">COUNTIF('Group Stages'!$L$14:$S$110,BX296)+COUNTIF('Knock Out Stages'!$N$41:$U$84,BX296)</f>
        <v>0</v>
      </c>
      <c r="BZ296" s="77" t="str">
        <f t="shared" si="746"/>
        <v>'Player Database'!A20</v>
      </c>
      <c r="CA296" s="77" t="str">
        <f t="shared" ca="1" si="747"/>
        <v>Gastón Ramírez</v>
      </c>
      <c r="CS296" s="77">
        <f t="shared" si="752"/>
        <v>293</v>
      </c>
      <c r="CT296" s="77">
        <f t="shared" si="744"/>
        <v>7</v>
      </c>
      <c r="CU296" s="77" t="str">
        <f t="shared" si="754"/>
        <v>CR44</v>
      </c>
      <c r="CV296" s="77" t="str">
        <f t="shared" ca="1" si="753"/>
        <v/>
      </c>
      <c r="CW296" s="77">
        <f t="shared" ca="1" si="751"/>
        <v>0</v>
      </c>
    </row>
    <row r="297" spans="72:101">
      <c r="BT297" s="77" t="str">
        <f t="shared" ca="1" si="755"/>
        <v>Uruguay</v>
      </c>
      <c r="BU297" s="77">
        <f t="shared" si="750"/>
        <v>295</v>
      </c>
      <c r="BV297" s="77" t="str">
        <f t="shared" si="748"/>
        <v>A21</v>
      </c>
      <c r="BW297" s="77">
        <f t="shared" si="745"/>
        <v>13</v>
      </c>
      <c r="BX297" s="77" t="str">
        <f t="shared" ca="1" si="749"/>
        <v>J. María Giménez</v>
      </c>
      <c r="BY297" s="77">
        <f ca="1">COUNTIF('Group Stages'!$L$14:$S$110,BX297)+COUNTIF('Knock Out Stages'!$N$41:$U$84,BX297)</f>
        <v>0</v>
      </c>
      <c r="BZ297" s="77" t="str">
        <f t="shared" si="746"/>
        <v>'Player Database'!A21</v>
      </c>
      <c r="CA297" s="77" t="str">
        <f t="shared" ca="1" si="747"/>
        <v>José María Giménez</v>
      </c>
      <c r="CS297" s="77">
        <f t="shared" si="752"/>
        <v>294</v>
      </c>
      <c r="CT297" s="77">
        <f t="shared" si="744"/>
        <v>7</v>
      </c>
      <c r="CU297" s="77" t="str">
        <f t="shared" si="754"/>
        <v>CR45</v>
      </c>
      <c r="CV297" s="77" t="str">
        <f t="shared" ca="1" si="753"/>
        <v/>
      </c>
      <c r="CW297" s="77">
        <f t="shared" ca="1" si="751"/>
        <v>0</v>
      </c>
    </row>
    <row r="298" spans="72:101">
      <c r="BT298" s="77" t="str">
        <f t="shared" ca="1" si="755"/>
        <v>Uruguay</v>
      </c>
      <c r="BU298" s="77">
        <f t="shared" si="750"/>
        <v>296</v>
      </c>
      <c r="BV298" s="77" t="str">
        <f t="shared" si="748"/>
        <v>A22</v>
      </c>
      <c r="BW298" s="77">
        <f t="shared" si="745"/>
        <v>13</v>
      </c>
      <c r="BX298" s="77" t="str">
        <f t="shared" ca="1" si="749"/>
        <v>Á. González</v>
      </c>
      <c r="BY298" s="77">
        <f ca="1">COUNTIF('Group Stages'!$L$14:$S$110,BX298)+COUNTIF('Knock Out Stages'!$N$41:$U$84,BX298)</f>
        <v>0</v>
      </c>
      <c r="BZ298" s="77" t="str">
        <f t="shared" si="746"/>
        <v>'Player Database'!A22</v>
      </c>
      <c r="CA298" s="77" t="str">
        <f t="shared" ca="1" si="747"/>
        <v>Álvaro González</v>
      </c>
      <c r="CS298" s="77">
        <f t="shared" si="752"/>
        <v>295</v>
      </c>
      <c r="CT298" s="77">
        <f t="shared" si="744"/>
        <v>8</v>
      </c>
      <c r="CU298" s="77" t="str">
        <f t="shared" si="754"/>
        <v>CR4</v>
      </c>
      <c r="CV298" s="77" t="str">
        <f t="shared" ca="1" si="753"/>
        <v/>
      </c>
      <c r="CW298" s="77">
        <f t="shared" ca="1" si="751"/>
        <v>0</v>
      </c>
    </row>
    <row r="299" spans="72:101">
      <c r="BT299" s="77" t="str">
        <f t="shared" ca="1" si="755"/>
        <v>Uruguay</v>
      </c>
      <c r="BU299" s="77">
        <f t="shared" si="750"/>
        <v>297</v>
      </c>
      <c r="BV299" s="77" t="str">
        <f t="shared" si="748"/>
        <v>A23</v>
      </c>
      <c r="BW299" s="77">
        <f t="shared" si="745"/>
        <v>13</v>
      </c>
      <c r="BX299" s="77" t="str">
        <f t="shared" ca="1" si="749"/>
        <v>E. Cavani</v>
      </c>
      <c r="BY299" s="77">
        <f ca="1">COUNTIF('Group Stages'!$L$14:$S$110,BX299)+COUNTIF('Knock Out Stages'!$N$41:$U$84,BX299)</f>
        <v>0</v>
      </c>
      <c r="BZ299" s="77" t="str">
        <f t="shared" si="746"/>
        <v>'Player Database'!A23</v>
      </c>
      <c r="CA299" s="77" t="str">
        <f t="shared" ca="1" si="747"/>
        <v>Edinson Cavani</v>
      </c>
      <c r="CS299" s="77">
        <f t="shared" si="752"/>
        <v>296</v>
      </c>
      <c r="CT299" s="77">
        <f t="shared" si="744"/>
        <v>8</v>
      </c>
      <c r="CU299" s="77" t="str">
        <f t="shared" si="754"/>
        <v>CR5</v>
      </c>
      <c r="CV299" s="77" t="str">
        <f t="shared" ca="1" si="753"/>
        <v/>
      </c>
      <c r="CW299" s="77">
        <f t="shared" ca="1" si="751"/>
        <v>0</v>
      </c>
    </row>
    <row r="300" spans="72:101">
      <c r="BT300" s="77" t="str">
        <f t="shared" ca="1" si="755"/>
        <v>Uruguay</v>
      </c>
      <c r="BU300" s="77">
        <f t="shared" si="750"/>
        <v>298</v>
      </c>
      <c r="BV300" s="77" t="str">
        <f t="shared" si="748"/>
        <v>A24</v>
      </c>
      <c r="BW300" s="77">
        <f t="shared" si="745"/>
        <v>13</v>
      </c>
      <c r="BX300" s="77" t="str">
        <f t="shared" ca="1" si="749"/>
        <v>M. Cáceres</v>
      </c>
      <c r="BY300" s="77">
        <f ca="1">COUNTIF('Group Stages'!$L$14:$S$110,BX300)+COUNTIF('Knock Out Stages'!$N$41:$U$84,BX300)</f>
        <v>0</v>
      </c>
      <c r="BZ300" s="77" t="str">
        <f t="shared" si="746"/>
        <v>'Player Database'!A24</v>
      </c>
      <c r="CA300" s="77" t="str">
        <f t="shared" ca="1" si="747"/>
        <v>Martín Cáceres</v>
      </c>
      <c r="CS300" s="77">
        <f t="shared" si="752"/>
        <v>297</v>
      </c>
      <c r="CT300" s="77">
        <f t="shared" si="744"/>
        <v>8</v>
      </c>
      <c r="CU300" s="77" t="str">
        <f t="shared" si="754"/>
        <v>CR6</v>
      </c>
      <c r="CV300" s="77" t="str">
        <f t="shared" ca="1" si="753"/>
        <v/>
      </c>
      <c r="CW300" s="77">
        <f t="shared" ca="1" si="751"/>
        <v>0</v>
      </c>
    </row>
    <row r="301" spans="72:101">
      <c r="BT301" s="77" t="str">
        <f t="shared" ca="1" si="755"/>
        <v>Uruguay</v>
      </c>
      <c r="BU301" s="77">
        <f t="shared" si="750"/>
        <v>299</v>
      </c>
      <c r="BV301" s="77" t="str">
        <f t="shared" si="748"/>
        <v>A25</v>
      </c>
      <c r="BW301" s="77">
        <f t="shared" si="745"/>
        <v>13</v>
      </c>
      <c r="BX301" s="77" t="str">
        <f t="shared" ca="1" si="749"/>
        <v>M. Silva</v>
      </c>
      <c r="BY301" s="77">
        <f ca="1">COUNTIF('Group Stages'!$L$14:$S$110,BX301)+COUNTIF('Knock Out Stages'!$N$41:$U$84,BX301)</f>
        <v>0</v>
      </c>
      <c r="BZ301" s="77" t="str">
        <f t="shared" si="746"/>
        <v>'Player Database'!A25</v>
      </c>
      <c r="CA301" s="77" t="str">
        <f t="shared" ca="1" si="747"/>
        <v>Martín Silva</v>
      </c>
      <c r="CS301" s="77">
        <f t="shared" si="752"/>
        <v>298</v>
      </c>
      <c r="CT301" s="77">
        <f t="shared" si="744"/>
        <v>8</v>
      </c>
      <c r="CU301" s="77" t="str">
        <f t="shared" si="754"/>
        <v>CR7</v>
      </c>
      <c r="CV301" s="77" t="str">
        <f t="shared" ca="1" si="753"/>
        <v/>
      </c>
      <c r="CW301" s="77">
        <f t="shared" ca="1" si="751"/>
        <v>0</v>
      </c>
    </row>
    <row r="302" spans="72:101">
      <c r="BT302" s="77" t="str">
        <f t="shared" ca="1" si="755"/>
        <v>Costa Rica</v>
      </c>
      <c r="BU302" s="77">
        <f t="shared" si="750"/>
        <v>300</v>
      </c>
      <c r="BV302" s="77" t="str">
        <f t="shared" si="748"/>
        <v>A3</v>
      </c>
      <c r="BW302" s="77">
        <f t="shared" si="745"/>
        <v>14</v>
      </c>
      <c r="BX302" s="77" t="str">
        <f t="shared" ca="1" si="749"/>
        <v>K. Navas</v>
      </c>
      <c r="BY302" s="77">
        <f ca="1">COUNTIF('Group Stages'!$L$14:$S$110,BX302)+COUNTIF('Knock Out Stages'!$N$41:$U$84,BX302)</f>
        <v>0</v>
      </c>
      <c r="BZ302" s="77" t="str">
        <f t="shared" si="746"/>
        <v>'Player Database'!A3</v>
      </c>
      <c r="CA302" s="77" t="str">
        <f t="shared" ca="1" si="747"/>
        <v>Keylor Navas</v>
      </c>
      <c r="CS302" s="77">
        <f t="shared" si="752"/>
        <v>299</v>
      </c>
      <c r="CT302" s="77">
        <f t="shared" si="744"/>
        <v>8</v>
      </c>
      <c r="CU302" s="77" t="str">
        <f t="shared" si="754"/>
        <v>CR8</v>
      </c>
      <c r="CV302" s="77" t="str">
        <f t="shared" ca="1" si="753"/>
        <v/>
      </c>
      <c r="CW302" s="77">
        <f t="shared" ca="1" si="751"/>
        <v>0</v>
      </c>
    </row>
    <row r="303" spans="72:101">
      <c r="BT303" s="77" t="str">
        <f t="shared" ca="1" si="755"/>
        <v>Costa Rica</v>
      </c>
      <c r="BU303" s="77">
        <f t="shared" si="750"/>
        <v>301</v>
      </c>
      <c r="BV303" s="77" t="str">
        <f t="shared" si="748"/>
        <v>A4</v>
      </c>
      <c r="BW303" s="77">
        <f t="shared" si="745"/>
        <v>14</v>
      </c>
      <c r="BX303" s="77" t="str">
        <f t="shared" ca="1" si="749"/>
        <v>J. Acosta</v>
      </c>
      <c r="BY303" s="77">
        <f ca="1">COUNTIF('Group Stages'!$L$14:$S$110,BX303)+COUNTIF('Knock Out Stages'!$N$41:$U$84,BX303)</f>
        <v>0</v>
      </c>
      <c r="BZ303" s="77" t="str">
        <f t="shared" si="746"/>
        <v>'Player Database'!A4</v>
      </c>
      <c r="CA303" s="77" t="str">
        <f t="shared" ca="1" si="747"/>
        <v>Johnny Acosta</v>
      </c>
      <c r="CS303" s="77">
        <f t="shared" si="752"/>
        <v>300</v>
      </c>
      <c r="CT303" s="77">
        <f t="shared" si="744"/>
        <v>8</v>
      </c>
      <c r="CU303" s="77" t="str">
        <f t="shared" si="754"/>
        <v>CR9</v>
      </c>
      <c r="CV303" s="77" t="str">
        <f t="shared" ca="1" si="753"/>
        <v/>
      </c>
      <c r="CW303" s="77">
        <f t="shared" ca="1" si="751"/>
        <v>0</v>
      </c>
    </row>
    <row r="304" spans="72:101">
      <c r="BT304" s="77" t="str">
        <f t="shared" ca="1" si="755"/>
        <v>Costa Rica</v>
      </c>
      <c r="BU304" s="77">
        <f t="shared" si="750"/>
        <v>302</v>
      </c>
      <c r="BV304" s="77" t="str">
        <f t="shared" si="748"/>
        <v>A5</v>
      </c>
      <c r="BW304" s="77">
        <f t="shared" si="745"/>
        <v>14</v>
      </c>
      <c r="BX304" s="77" t="str">
        <f t="shared" ca="1" si="749"/>
        <v>G. González</v>
      </c>
      <c r="BY304" s="77">
        <f ca="1">COUNTIF('Group Stages'!$L$14:$S$110,BX304)+COUNTIF('Knock Out Stages'!$N$41:$U$84,BX304)</f>
        <v>0</v>
      </c>
      <c r="BZ304" s="77" t="str">
        <f t="shared" si="746"/>
        <v>'Player Database'!A5</v>
      </c>
      <c r="CA304" s="77" t="str">
        <f t="shared" ca="1" si="747"/>
        <v>Giancarlo González</v>
      </c>
      <c r="CS304" s="77">
        <f t="shared" si="752"/>
        <v>301</v>
      </c>
      <c r="CT304" s="77">
        <f t="shared" ref="CT304:CT367" si="756">CT262+1</f>
        <v>8</v>
      </c>
      <c r="CU304" s="77" t="str">
        <f t="shared" si="754"/>
        <v>CR10</v>
      </c>
      <c r="CV304" s="77" t="str">
        <f t="shared" ca="1" si="753"/>
        <v/>
      </c>
      <c r="CW304" s="77">
        <f t="shared" ca="1" si="751"/>
        <v>0</v>
      </c>
    </row>
    <row r="305" spans="72:101">
      <c r="BT305" s="77" t="str">
        <f t="shared" ca="1" si="755"/>
        <v>Costa Rica</v>
      </c>
      <c r="BU305" s="77">
        <f t="shared" si="750"/>
        <v>303</v>
      </c>
      <c r="BV305" s="77" t="str">
        <f t="shared" si="748"/>
        <v>A6</v>
      </c>
      <c r="BW305" s="77">
        <f t="shared" si="745"/>
        <v>14</v>
      </c>
      <c r="BX305" s="77" t="str">
        <f t="shared" ca="1" si="749"/>
        <v>M. Umaña</v>
      </c>
      <c r="BY305" s="77">
        <f ca="1">COUNTIF('Group Stages'!$L$14:$S$110,BX305)+COUNTIF('Knock Out Stages'!$N$41:$U$84,BX305)</f>
        <v>0</v>
      </c>
      <c r="BZ305" s="77" t="str">
        <f t="shared" si="746"/>
        <v>'Player Database'!A6</v>
      </c>
      <c r="CA305" s="77" t="str">
        <f t="shared" ca="1" si="747"/>
        <v>Michael Umaña</v>
      </c>
      <c r="CS305" s="77">
        <f t="shared" si="752"/>
        <v>302</v>
      </c>
      <c r="CT305" s="77">
        <f t="shared" si="756"/>
        <v>8</v>
      </c>
      <c r="CU305" s="77" t="str">
        <f t="shared" si="754"/>
        <v>CR11</v>
      </c>
      <c r="CV305" s="77" t="str">
        <f t="shared" ca="1" si="753"/>
        <v/>
      </c>
      <c r="CW305" s="77">
        <f t="shared" ca="1" si="751"/>
        <v>0</v>
      </c>
    </row>
    <row r="306" spans="72:101">
      <c r="BT306" s="77" t="str">
        <f t="shared" ca="1" si="755"/>
        <v>Costa Rica</v>
      </c>
      <c r="BU306" s="77">
        <f t="shared" si="750"/>
        <v>304</v>
      </c>
      <c r="BV306" s="77" t="str">
        <f t="shared" si="748"/>
        <v>A7</v>
      </c>
      <c r="BW306" s="77">
        <f t="shared" ref="BW306:BW369" si="757">BW283+1</f>
        <v>14</v>
      </c>
      <c r="BX306" s="77" t="str">
        <f t="shared" ca="1" si="749"/>
        <v>C. Borges</v>
      </c>
      <c r="BY306" s="77">
        <f ca="1">COUNTIF('Group Stages'!$L$14:$S$110,BX306)+COUNTIF('Knock Out Stages'!$N$41:$U$84,BX306)</f>
        <v>0</v>
      </c>
      <c r="BZ306" s="77" t="str">
        <f t="shared" ref="BZ306:BZ369" si="758">BZ283</f>
        <v>'Player Database'!A7</v>
      </c>
      <c r="CA306" s="77" t="str">
        <f t="shared" ref="CA306:CA369" ca="1" si="759">OFFSET(INDIRECT(BZ306),0,BW306)</f>
        <v>Celso Borges</v>
      </c>
      <c r="CS306" s="77">
        <f t="shared" si="752"/>
        <v>303</v>
      </c>
      <c r="CT306" s="77">
        <f t="shared" si="756"/>
        <v>8</v>
      </c>
      <c r="CU306" s="77" t="str">
        <f t="shared" si="754"/>
        <v>CR12</v>
      </c>
      <c r="CV306" s="77" t="str">
        <f t="shared" ca="1" si="753"/>
        <v/>
      </c>
      <c r="CW306" s="77">
        <f t="shared" ca="1" si="751"/>
        <v>0</v>
      </c>
    </row>
    <row r="307" spans="72:101">
      <c r="BT307" s="77" t="str">
        <f t="shared" ca="1" si="755"/>
        <v>Costa Rica</v>
      </c>
      <c r="BU307" s="77">
        <f t="shared" si="750"/>
        <v>305</v>
      </c>
      <c r="BV307" s="77" t="str">
        <f t="shared" ref="BV307:BV370" si="760">BV284</f>
        <v>A8</v>
      </c>
      <c r="BW307" s="77">
        <f t="shared" si="757"/>
        <v>14</v>
      </c>
      <c r="BX307" s="77" t="str">
        <f t="shared" ref="BX307:BX367" ca="1" si="761">OFFSET(INDIRECT(BV307),0,BW307)</f>
        <v>Ó. Duarte</v>
      </c>
      <c r="BY307" s="77">
        <f ca="1">COUNTIF('Group Stages'!$L$14:$S$110,BX307)+COUNTIF('Knock Out Stages'!$N$41:$U$84,BX307)</f>
        <v>0</v>
      </c>
      <c r="BZ307" s="77" t="str">
        <f t="shared" si="758"/>
        <v>'Player Database'!A8</v>
      </c>
      <c r="CA307" s="77" t="str">
        <f t="shared" ca="1" si="759"/>
        <v>Óscar Duarte</v>
      </c>
      <c r="CS307" s="77">
        <f t="shared" si="752"/>
        <v>304</v>
      </c>
      <c r="CT307" s="77">
        <f t="shared" si="756"/>
        <v>8</v>
      </c>
      <c r="CU307" s="77" t="str">
        <f t="shared" si="754"/>
        <v>CR13</v>
      </c>
      <c r="CV307" s="77" t="str">
        <f t="shared" ca="1" si="753"/>
        <v/>
      </c>
      <c r="CW307" s="77">
        <f t="shared" ca="1" si="751"/>
        <v>0</v>
      </c>
    </row>
    <row r="308" spans="72:101">
      <c r="BT308" s="77" t="str">
        <f t="shared" ca="1" si="755"/>
        <v>Costa Rica</v>
      </c>
      <c r="BU308" s="77">
        <f t="shared" si="750"/>
        <v>306</v>
      </c>
      <c r="BV308" s="77" t="str">
        <f t="shared" si="760"/>
        <v>A9</v>
      </c>
      <c r="BW308" s="77">
        <f t="shared" si="757"/>
        <v>14</v>
      </c>
      <c r="BX308" s="77" t="str">
        <f t="shared" ca="1" si="761"/>
        <v>C. Bolaños</v>
      </c>
      <c r="BY308" s="77">
        <f ca="1">COUNTIF('Group Stages'!$L$14:$S$110,BX308)+COUNTIF('Knock Out Stages'!$N$41:$U$84,BX308)</f>
        <v>0</v>
      </c>
      <c r="BZ308" s="77" t="str">
        <f t="shared" si="758"/>
        <v>'Player Database'!A9</v>
      </c>
      <c r="CA308" s="77" t="str">
        <f t="shared" ca="1" si="759"/>
        <v>Christian Bolaños</v>
      </c>
      <c r="CS308" s="77">
        <f t="shared" si="752"/>
        <v>305</v>
      </c>
      <c r="CT308" s="77">
        <f t="shared" si="756"/>
        <v>8</v>
      </c>
      <c r="CU308" s="77" t="str">
        <f t="shared" si="754"/>
        <v>CR14</v>
      </c>
      <c r="CV308" s="77" t="str">
        <f t="shared" ca="1" si="753"/>
        <v/>
      </c>
      <c r="CW308" s="77">
        <f t="shared" ca="1" si="751"/>
        <v>0</v>
      </c>
    </row>
    <row r="309" spans="72:101">
      <c r="BT309" s="77" t="str">
        <f t="shared" ca="1" si="755"/>
        <v>Costa Rica</v>
      </c>
      <c r="BU309" s="77">
        <f t="shared" si="750"/>
        <v>307</v>
      </c>
      <c r="BV309" s="77" t="str">
        <f t="shared" si="760"/>
        <v>A10</v>
      </c>
      <c r="BW309" s="77">
        <f t="shared" si="757"/>
        <v>14</v>
      </c>
      <c r="BX309" s="77" t="str">
        <f t="shared" ca="1" si="761"/>
        <v>H. Mora</v>
      </c>
      <c r="BY309" s="77">
        <f ca="1">COUNTIF('Group Stages'!$L$14:$S$110,BX309)+COUNTIF('Knock Out Stages'!$N$41:$U$84,BX309)</f>
        <v>0</v>
      </c>
      <c r="BZ309" s="77" t="str">
        <f t="shared" si="758"/>
        <v>'Player Database'!A10</v>
      </c>
      <c r="CA309" s="77" t="str">
        <f t="shared" ca="1" si="759"/>
        <v>Heiner Mora</v>
      </c>
      <c r="CS309" s="77">
        <f t="shared" si="752"/>
        <v>306</v>
      </c>
      <c r="CT309" s="77">
        <f t="shared" si="756"/>
        <v>8</v>
      </c>
      <c r="CU309" s="77" t="str">
        <f t="shared" si="754"/>
        <v>CR15</v>
      </c>
      <c r="CV309" s="77" t="str">
        <f t="shared" ca="1" si="753"/>
        <v/>
      </c>
      <c r="CW309" s="77">
        <f t="shared" ca="1" si="751"/>
        <v>0</v>
      </c>
    </row>
    <row r="310" spans="72:101">
      <c r="BT310" s="77" t="str">
        <f t="shared" ca="1" si="755"/>
        <v>Costa Rica</v>
      </c>
      <c r="BU310" s="77">
        <f t="shared" si="750"/>
        <v>308</v>
      </c>
      <c r="BV310" s="77" t="str">
        <f t="shared" si="760"/>
        <v>A11</v>
      </c>
      <c r="BW310" s="77">
        <f t="shared" si="757"/>
        <v>14</v>
      </c>
      <c r="BX310" s="77" t="str">
        <f t="shared" ca="1" si="761"/>
        <v>J. Campbell</v>
      </c>
      <c r="BY310" s="77">
        <f ca="1">COUNTIF('Group Stages'!$L$14:$S$110,BX310)+COUNTIF('Knock Out Stages'!$N$41:$U$84,BX310)</f>
        <v>0</v>
      </c>
      <c r="BZ310" s="77" t="str">
        <f t="shared" si="758"/>
        <v>'Player Database'!A11</v>
      </c>
      <c r="CA310" s="77" t="str">
        <f t="shared" ca="1" si="759"/>
        <v>Joel Campbell</v>
      </c>
      <c r="CS310" s="77">
        <f t="shared" si="752"/>
        <v>307</v>
      </c>
      <c r="CT310" s="77">
        <f t="shared" si="756"/>
        <v>8</v>
      </c>
      <c r="CU310" s="77" t="str">
        <f t="shared" si="754"/>
        <v>CR16</v>
      </c>
      <c r="CV310" s="77" t="str">
        <f t="shared" ca="1" si="753"/>
        <v/>
      </c>
      <c r="CW310" s="77">
        <f t="shared" ca="1" si="751"/>
        <v>0</v>
      </c>
    </row>
    <row r="311" spans="72:101">
      <c r="BT311" s="77" t="str">
        <f t="shared" ca="1" si="755"/>
        <v>Costa Rica</v>
      </c>
      <c r="BU311" s="77">
        <f t="shared" si="750"/>
        <v>309</v>
      </c>
      <c r="BV311" s="77" t="str">
        <f t="shared" si="760"/>
        <v>A12</v>
      </c>
      <c r="BW311" s="77">
        <f t="shared" si="757"/>
        <v>14</v>
      </c>
      <c r="BX311" s="77" t="str">
        <f t="shared" ca="1" si="761"/>
        <v xml:space="preserve">B. Ruiz </v>
      </c>
      <c r="BY311" s="77">
        <f ca="1">COUNTIF('Group Stages'!$L$14:$S$110,BX311)+COUNTIF('Knock Out Stages'!$N$41:$U$84,BX311)</f>
        <v>0</v>
      </c>
      <c r="BZ311" s="77" t="str">
        <f t="shared" si="758"/>
        <v>'Player Database'!A12</v>
      </c>
      <c r="CA311" s="77" t="str">
        <f t="shared" ca="1" si="759"/>
        <v xml:space="preserve">Bryan Ruiz </v>
      </c>
      <c r="CS311" s="77">
        <f t="shared" si="752"/>
        <v>308</v>
      </c>
      <c r="CT311" s="77">
        <f t="shared" si="756"/>
        <v>8</v>
      </c>
      <c r="CU311" s="77" t="str">
        <f t="shared" si="754"/>
        <v>CR17</v>
      </c>
      <c r="CV311" s="77" t="str">
        <f t="shared" ca="1" si="753"/>
        <v/>
      </c>
      <c r="CW311" s="77">
        <f t="shared" ca="1" si="751"/>
        <v>0</v>
      </c>
    </row>
    <row r="312" spans="72:101">
      <c r="BT312" s="77" t="str">
        <f t="shared" ca="1" si="755"/>
        <v>Costa Rica</v>
      </c>
      <c r="BU312" s="77">
        <f t="shared" si="750"/>
        <v>310</v>
      </c>
      <c r="BV312" s="77" t="str">
        <f t="shared" si="760"/>
        <v>A13</v>
      </c>
      <c r="BW312" s="77">
        <f t="shared" si="757"/>
        <v>14</v>
      </c>
      <c r="BX312" s="77" t="str">
        <f t="shared" ca="1" si="761"/>
        <v>M. Barrantes</v>
      </c>
      <c r="BY312" s="77">
        <f ca="1">COUNTIF('Group Stages'!$L$14:$S$110,BX312)+COUNTIF('Knock Out Stages'!$N$41:$U$84,BX312)</f>
        <v>0</v>
      </c>
      <c r="BZ312" s="77" t="str">
        <f t="shared" si="758"/>
        <v>'Player Database'!A13</v>
      </c>
      <c r="CA312" s="77" t="str">
        <f t="shared" ca="1" si="759"/>
        <v>Michael Barrantes</v>
      </c>
      <c r="CS312" s="77">
        <f t="shared" si="752"/>
        <v>309</v>
      </c>
      <c r="CT312" s="77">
        <f t="shared" si="756"/>
        <v>8</v>
      </c>
      <c r="CU312" s="77" t="str">
        <f t="shared" si="754"/>
        <v>CR18</v>
      </c>
      <c r="CV312" s="77" t="str">
        <f t="shared" ca="1" si="753"/>
        <v/>
      </c>
      <c r="CW312" s="77">
        <f t="shared" ca="1" si="751"/>
        <v>0</v>
      </c>
    </row>
    <row r="313" spans="72:101">
      <c r="BT313" s="77" t="str">
        <f t="shared" ca="1" si="755"/>
        <v>Costa Rica</v>
      </c>
      <c r="BU313" s="77">
        <f t="shared" si="750"/>
        <v>311</v>
      </c>
      <c r="BV313" s="77" t="str">
        <f t="shared" si="760"/>
        <v>A14</v>
      </c>
      <c r="BW313" s="77">
        <f t="shared" si="757"/>
        <v>14</v>
      </c>
      <c r="BX313" s="77" t="str">
        <f t="shared" ca="1" si="761"/>
        <v>W. Francis</v>
      </c>
      <c r="BY313" s="77">
        <f ca="1">COUNTIF('Group Stages'!$L$14:$S$110,BX313)+COUNTIF('Knock Out Stages'!$N$41:$U$84,BX313)</f>
        <v>0</v>
      </c>
      <c r="BZ313" s="77" t="str">
        <f t="shared" si="758"/>
        <v>'Player Database'!A14</v>
      </c>
      <c r="CA313" s="77" t="str">
        <f t="shared" ca="1" si="759"/>
        <v>Waylon Francis</v>
      </c>
      <c r="CS313" s="77">
        <f t="shared" si="752"/>
        <v>310</v>
      </c>
      <c r="CT313" s="77">
        <f t="shared" si="756"/>
        <v>8</v>
      </c>
      <c r="CU313" s="77" t="str">
        <f t="shared" si="754"/>
        <v>CR19</v>
      </c>
      <c r="CV313" s="77" t="str">
        <f t="shared" ca="1" si="753"/>
        <v/>
      </c>
      <c r="CW313" s="77">
        <f t="shared" ca="1" si="751"/>
        <v>0</v>
      </c>
    </row>
    <row r="314" spans="72:101">
      <c r="BT314" s="77" t="str">
        <f t="shared" ca="1" si="755"/>
        <v>Costa Rica</v>
      </c>
      <c r="BU314" s="77">
        <f t="shared" si="750"/>
        <v>312</v>
      </c>
      <c r="BV314" s="77" t="str">
        <f t="shared" si="760"/>
        <v>A15</v>
      </c>
      <c r="BW314" s="77">
        <f t="shared" si="757"/>
        <v>14</v>
      </c>
      <c r="BX314" s="77" t="str">
        <f t="shared" ca="1" si="761"/>
        <v>E. Granados</v>
      </c>
      <c r="BY314" s="77">
        <f ca="1">COUNTIF('Group Stages'!$L$14:$S$110,BX314)+COUNTIF('Knock Out Stages'!$N$41:$U$84,BX314)</f>
        <v>0</v>
      </c>
      <c r="BZ314" s="77" t="str">
        <f t="shared" si="758"/>
        <v>'Player Database'!A15</v>
      </c>
      <c r="CA314" s="77" t="str">
        <f t="shared" ca="1" si="759"/>
        <v>Esteban Granados</v>
      </c>
      <c r="CS314" s="77">
        <f t="shared" si="752"/>
        <v>311</v>
      </c>
      <c r="CT314" s="77">
        <f t="shared" si="756"/>
        <v>8</v>
      </c>
      <c r="CU314" s="77" t="str">
        <f t="shared" si="754"/>
        <v>CR20</v>
      </c>
      <c r="CV314" s="77" t="str">
        <f t="shared" ca="1" si="753"/>
        <v/>
      </c>
      <c r="CW314" s="77">
        <f t="shared" ca="1" si="751"/>
        <v>0</v>
      </c>
    </row>
    <row r="315" spans="72:101">
      <c r="BT315" s="77" t="str">
        <f t="shared" ca="1" si="755"/>
        <v>Costa Rica</v>
      </c>
      <c r="BU315" s="77">
        <f t="shared" si="750"/>
        <v>313</v>
      </c>
      <c r="BV315" s="77" t="str">
        <f t="shared" si="760"/>
        <v>A16</v>
      </c>
      <c r="BW315" s="77">
        <f t="shared" si="757"/>
        <v>14</v>
      </c>
      <c r="BX315" s="77" t="str">
        <f t="shared" ca="1" si="761"/>
        <v>R. Brenes</v>
      </c>
      <c r="BY315" s="77">
        <f ca="1">COUNTIF('Group Stages'!$L$14:$S$110,BX315)+COUNTIF('Knock Out Stages'!$N$41:$U$84,BX315)</f>
        <v>0</v>
      </c>
      <c r="BZ315" s="77" t="str">
        <f t="shared" si="758"/>
        <v>'Player Database'!A16</v>
      </c>
      <c r="CA315" s="77" t="str">
        <f t="shared" ca="1" si="759"/>
        <v>Randall Brenes</v>
      </c>
      <c r="CS315" s="77">
        <f t="shared" si="752"/>
        <v>312</v>
      </c>
      <c r="CT315" s="77">
        <f t="shared" si="756"/>
        <v>8</v>
      </c>
      <c r="CU315" s="77" t="str">
        <f t="shared" si="754"/>
        <v>CR21</v>
      </c>
      <c r="CV315" s="77" t="str">
        <f t="shared" ca="1" si="753"/>
        <v/>
      </c>
      <c r="CW315" s="77">
        <f t="shared" ca="1" si="751"/>
        <v>0</v>
      </c>
    </row>
    <row r="316" spans="72:101">
      <c r="BT316" s="77" t="str">
        <f t="shared" ca="1" si="755"/>
        <v>Costa Rica</v>
      </c>
      <c r="BU316" s="77">
        <f t="shared" si="750"/>
        <v>314</v>
      </c>
      <c r="BV316" s="77" t="str">
        <f t="shared" si="760"/>
        <v>A17</v>
      </c>
      <c r="BW316" s="77">
        <f t="shared" si="757"/>
        <v>14</v>
      </c>
      <c r="BX316" s="77" t="str">
        <f t="shared" ca="1" si="761"/>
        <v>J. Díaz</v>
      </c>
      <c r="BY316" s="77">
        <f ca="1">COUNTIF('Group Stages'!$L$14:$S$110,BX316)+COUNTIF('Knock Out Stages'!$N$41:$U$84,BX316)</f>
        <v>0</v>
      </c>
      <c r="BZ316" s="77" t="str">
        <f t="shared" si="758"/>
        <v>'Player Database'!A17</v>
      </c>
      <c r="CA316" s="77" t="str">
        <f t="shared" ca="1" si="759"/>
        <v>Júnior Díaz</v>
      </c>
      <c r="CS316" s="77">
        <f t="shared" si="752"/>
        <v>313</v>
      </c>
      <c r="CT316" s="77">
        <f t="shared" si="756"/>
        <v>8</v>
      </c>
      <c r="CU316" s="77" t="str">
        <f t="shared" si="754"/>
        <v>CR22</v>
      </c>
      <c r="CV316" s="77" t="str">
        <f t="shared" ca="1" si="753"/>
        <v/>
      </c>
      <c r="CW316" s="77">
        <f t="shared" ca="1" si="751"/>
        <v>0</v>
      </c>
    </row>
    <row r="317" spans="72:101">
      <c r="BT317" s="77" t="str">
        <f t="shared" ca="1" si="755"/>
        <v>Costa Rica</v>
      </c>
      <c r="BU317" s="77">
        <f t="shared" si="750"/>
        <v>315</v>
      </c>
      <c r="BV317" s="77" t="str">
        <f t="shared" si="760"/>
        <v>A18</v>
      </c>
      <c r="BW317" s="77">
        <f t="shared" si="757"/>
        <v>14</v>
      </c>
      <c r="BX317" s="77" t="str">
        <f t="shared" ca="1" si="761"/>
        <v>C. Gamboa</v>
      </c>
      <c r="BY317" s="77">
        <f ca="1">COUNTIF('Group Stages'!$L$14:$S$110,BX317)+COUNTIF('Knock Out Stages'!$N$41:$U$84,BX317)</f>
        <v>0</v>
      </c>
      <c r="BZ317" s="77" t="str">
        <f t="shared" si="758"/>
        <v>'Player Database'!A18</v>
      </c>
      <c r="CA317" s="77" t="str">
        <f t="shared" ca="1" si="759"/>
        <v>Cristian Gamboa</v>
      </c>
      <c r="CS317" s="77">
        <f t="shared" si="752"/>
        <v>314</v>
      </c>
      <c r="CT317" s="77">
        <f t="shared" si="756"/>
        <v>8</v>
      </c>
      <c r="CU317" s="77" t="str">
        <f t="shared" si="754"/>
        <v>CR23</v>
      </c>
      <c r="CV317" s="77" t="str">
        <f t="shared" ca="1" si="753"/>
        <v/>
      </c>
      <c r="CW317" s="77">
        <f t="shared" ca="1" si="751"/>
        <v>0</v>
      </c>
    </row>
    <row r="318" spans="72:101">
      <c r="BT318" s="77" t="str">
        <f t="shared" ca="1" si="755"/>
        <v>Costa Rica</v>
      </c>
      <c r="BU318" s="77">
        <f t="shared" si="750"/>
        <v>316</v>
      </c>
      <c r="BV318" s="77" t="str">
        <f t="shared" si="760"/>
        <v>A19</v>
      </c>
      <c r="BW318" s="77">
        <f t="shared" si="757"/>
        <v>14</v>
      </c>
      <c r="BX318" s="77" t="str">
        <f t="shared" ca="1" si="761"/>
        <v>Y. Tejeda</v>
      </c>
      <c r="BY318" s="77">
        <f ca="1">COUNTIF('Group Stages'!$L$14:$S$110,BX318)+COUNTIF('Knock Out Stages'!$N$41:$U$84,BX318)</f>
        <v>0</v>
      </c>
      <c r="BZ318" s="77" t="str">
        <f t="shared" si="758"/>
        <v>'Player Database'!A19</v>
      </c>
      <c r="CA318" s="77" t="str">
        <f t="shared" ca="1" si="759"/>
        <v>Yeltsin Tejeda</v>
      </c>
      <c r="CS318" s="77">
        <f t="shared" si="752"/>
        <v>315</v>
      </c>
      <c r="CT318" s="77">
        <f t="shared" si="756"/>
        <v>8</v>
      </c>
      <c r="CU318" s="77" t="str">
        <f t="shared" si="754"/>
        <v>CR24</v>
      </c>
      <c r="CV318" s="77" t="str">
        <f t="shared" ca="1" si="753"/>
        <v/>
      </c>
      <c r="CW318" s="77">
        <f t="shared" ca="1" si="751"/>
        <v>0</v>
      </c>
    </row>
    <row r="319" spans="72:101">
      <c r="BT319" s="77" t="str">
        <f t="shared" ca="1" si="755"/>
        <v>Costa Rica</v>
      </c>
      <c r="BU319" s="77">
        <f t="shared" si="750"/>
        <v>317</v>
      </c>
      <c r="BV319" s="77" t="str">
        <f t="shared" si="760"/>
        <v>A20</v>
      </c>
      <c r="BW319" s="77">
        <f t="shared" si="757"/>
        <v>14</v>
      </c>
      <c r="BX319" s="77" t="str">
        <f t="shared" ca="1" si="761"/>
        <v>P. Pemberton</v>
      </c>
      <c r="BY319" s="77">
        <f ca="1">COUNTIF('Group Stages'!$L$14:$S$110,BX319)+COUNTIF('Knock Out Stages'!$N$41:$U$84,BX319)</f>
        <v>0</v>
      </c>
      <c r="BZ319" s="77" t="str">
        <f t="shared" si="758"/>
        <v>'Player Database'!A20</v>
      </c>
      <c r="CA319" s="77" t="str">
        <f t="shared" ca="1" si="759"/>
        <v>Patrick Pemberton</v>
      </c>
      <c r="CS319" s="77">
        <f t="shared" si="752"/>
        <v>316</v>
      </c>
      <c r="CT319" s="77">
        <f t="shared" si="756"/>
        <v>8</v>
      </c>
      <c r="CU319" s="77" t="str">
        <f t="shared" si="754"/>
        <v>CR25</v>
      </c>
      <c r="CV319" s="77" t="str">
        <f t="shared" ca="1" si="753"/>
        <v/>
      </c>
      <c r="CW319" s="77">
        <f t="shared" ca="1" si="751"/>
        <v>0</v>
      </c>
    </row>
    <row r="320" spans="72:101">
      <c r="BT320" s="77" t="str">
        <f t="shared" ca="1" si="755"/>
        <v>Costa Rica</v>
      </c>
      <c r="BU320" s="77">
        <f t="shared" si="750"/>
        <v>318</v>
      </c>
      <c r="BV320" s="77" t="str">
        <f t="shared" si="760"/>
        <v>A21</v>
      </c>
      <c r="BW320" s="77">
        <f t="shared" si="757"/>
        <v>14</v>
      </c>
      <c r="BX320" s="77" t="str">
        <f t="shared" ca="1" si="761"/>
        <v>R. Miller</v>
      </c>
      <c r="BY320" s="77">
        <f ca="1">COUNTIF('Group Stages'!$L$14:$S$110,BX320)+COUNTIF('Knock Out Stages'!$N$41:$U$84,BX320)</f>
        <v>0</v>
      </c>
      <c r="BZ320" s="77" t="str">
        <f t="shared" si="758"/>
        <v>'Player Database'!A21</v>
      </c>
      <c r="CA320" s="77" t="str">
        <f t="shared" ca="1" si="759"/>
        <v>Roy Miller</v>
      </c>
      <c r="CS320" s="77">
        <f t="shared" si="752"/>
        <v>317</v>
      </c>
      <c r="CT320" s="77">
        <f t="shared" si="756"/>
        <v>8</v>
      </c>
      <c r="CU320" s="77" t="str">
        <f t="shared" si="754"/>
        <v>CR26</v>
      </c>
      <c r="CV320" s="77" t="str">
        <f t="shared" ca="1" si="753"/>
        <v/>
      </c>
      <c r="CW320" s="77">
        <f t="shared" ca="1" si="751"/>
        <v>0</v>
      </c>
    </row>
    <row r="321" spans="72:101">
      <c r="BT321" s="77" t="str">
        <f t="shared" ca="1" si="755"/>
        <v>Costa Rica</v>
      </c>
      <c r="BU321" s="77">
        <f t="shared" si="750"/>
        <v>319</v>
      </c>
      <c r="BV321" s="77" t="str">
        <f t="shared" si="760"/>
        <v>A22</v>
      </c>
      <c r="BW321" s="77">
        <f t="shared" si="757"/>
        <v>14</v>
      </c>
      <c r="BX321" s="77" t="str">
        <f t="shared" ca="1" si="761"/>
        <v>D. Calvo</v>
      </c>
      <c r="BY321" s="77">
        <f ca="1">COUNTIF('Group Stages'!$L$14:$S$110,BX321)+COUNTIF('Knock Out Stages'!$N$41:$U$84,BX321)</f>
        <v>0</v>
      </c>
      <c r="BZ321" s="77" t="str">
        <f t="shared" si="758"/>
        <v>'Player Database'!A22</v>
      </c>
      <c r="CA321" s="77" t="str">
        <f t="shared" ca="1" si="759"/>
        <v>Diego Calvo</v>
      </c>
      <c r="CS321" s="77">
        <f t="shared" si="752"/>
        <v>318</v>
      </c>
      <c r="CT321" s="77">
        <f t="shared" si="756"/>
        <v>8</v>
      </c>
      <c r="CU321" s="77" t="str">
        <f t="shared" si="754"/>
        <v>CR27</v>
      </c>
      <c r="CV321" s="77" t="str">
        <f t="shared" ca="1" si="753"/>
        <v/>
      </c>
      <c r="CW321" s="77">
        <f t="shared" ca="1" si="751"/>
        <v>0</v>
      </c>
    </row>
    <row r="322" spans="72:101">
      <c r="BT322" s="77" t="str">
        <f t="shared" ca="1" si="755"/>
        <v>Costa Rica</v>
      </c>
      <c r="BU322" s="77">
        <f t="shared" si="750"/>
        <v>320</v>
      </c>
      <c r="BV322" s="77" t="str">
        <f t="shared" si="760"/>
        <v>A23</v>
      </c>
      <c r="BW322" s="77">
        <f t="shared" si="757"/>
        <v>14</v>
      </c>
      <c r="BX322" s="77" t="str">
        <f t="shared" ca="1" si="761"/>
        <v>M. Ureña</v>
      </c>
      <c r="BY322" s="77">
        <f ca="1">COUNTIF('Group Stages'!$L$14:$S$110,BX322)+COUNTIF('Knock Out Stages'!$N$41:$U$84,BX322)</f>
        <v>0</v>
      </c>
      <c r="BZ322" s="77" t="str">
        <f t="shared" si="758"/>
        <v>'Player Database'!A23</v>
      </c>
      <c r="CA322" s="77" t="str">
        <f t="shared" ca="1" si="759"/>
        <v>Marco Ureña</v>
      </c>
      <c r="CS322" s="77">
        <f t="shared" si="752"/>
        <v>319</v>
      </c>
      <c r="CT322" s="77">
        <f t="shared" si="756"/>
        <v>8</v>
      </c>
      <c r="CU322" s="77" t="str">
        <f t="shared" si="754"/>
        <v>CR28</v>
      </c>
      <c r="CV322" s="77" t="str">
        <f t="shared" ca="1" si="753"/>
        <v/>
      </c>
      <c r="CW322" s="77">
        <f t="shared" ca="1" si="751"/>
        <v>0</v>
      </c>
    </row>
    <row r="323" spans="72:101">
      <c r="BT323" s="77" t="str">
        <f t="shared" ca="1" si="755"/>
        <v>Costa Rica</v>
      </c>
      <c r="BU323" s="77">
        <f t="shared" si="750"/>
        <v>321</v>
      </c>
      <c r="BV323" s="77" t="str">
        <f t="shared" si="760"/>
        <v>A24</v>
      </c>
      <c r="BW323" s="77">
        <f t="shared" si="757"/>
        <v>14</v>
      </c>
      <c r="BX323" s="77" t="str">
        <f t="shared" ca="1" si="761"/>
        <v>J. Miguel Cubero</v>
      </c>
      <c r="BY323" s="77">
        <f ca="1">COUNTIF('Group Stages'!$L$14:$S$110,BX323)+COUNTIF('Knock Out Stages'!$N$41:$U$84,BX323)</f>
        <v>0</v>
      </c>
      <c r="BZ323" s="77" t="str">
        <f t="shared" si="758"/>
        <v>'Player Database'!A24</v>
      </c>
      <c r="CA323" s="77" t="str">
        <f t="shared" ca="1" si="759"/>
        <v>José Miguel Cubero</v>
      </c>
      <c r="CS323" s="77">
        <f t="shared" si="752"/>
        <v>320</v>
      </c>
      <c r="CT323" s="77">
        <f t="shared" si="756"/>
        <v>8</v>
      </c>
      <c r="CU323" s="77" t="str">
        <f t="shared" si="754"/>
        <v>CR29</v>
      </c>
      <c r="CV323" s="77" t="str">
        <f t="shared" ca="1" si="753"/>
        <v/>
      </c>
      <c r="CW323" s="77">
        <f t="shared" ca="1" si="751"/>
        <v>0</v>
      </c>
    </row>
    <row r="324" spans="72:101">
      <c r="BT324" s="77" t="str">
        <f t="shared" ca="1" si="755"/>
        <v>Costa Rica</v>
      </c>
      <c r="BU324" s="77">
        <f t="shared" si="750"/>
        <v>322</v>
      </c>
      <c r="BV324" s="77" t="str">
        <f t="shared" si="760"/>
        <v>A25</v>
      </c>
      <c r="BW324" s="77">
        <f t="shared" si="757"/>
        <v>14</v>
      </c>
      <c r="BX324" s="77" t="str">
        <f t="shared" ca="1" si="761"/>
        <v>D. Cambronero</v>
      </c>
      <c r="BY324" s="77">
        <f ca="1">COUNTIF('Group Stages'!$L$14:$S$110,BX324)+COUNTIF('Knock Out Stages'!$N$41:$U$84,BX324)</f>
        <v>0</v>
      </c>
      <c r="BZ324" s="77" t="str">
        <f t="shared" si="758"/>
        <v>'Player Database'!A25</v>
      </c>
      <c r="CA324" s="77" t="str">
        <f t="shared" ca="1" si="759"/>
        <v>Daniel Cambronero</v>
      </c>
      <c r="CS324" s="77">
        <f t="shared" si="752"/>
        <v>321</v>
      </c>
      <c r="CT324" s="77">
        <f t="shared" si="756"/>
        <v>8</v>
      </c>
      <c r="CU324" s="77" t="str">
        <f t="shared" si="754"/>
        <v>CR30</v>
      </c>
      <c r="CV324" s="77" t="str">
        <f t="shared" ca="1" si="753"/>
        <v/>
      </c>
      <c r="CW324" s="77">
        <f t="shared" ca="1" si="751"/>
        <v>0</v>
      </c>
    </row>
    <row r="325" spans="72:101">
      <c r="BT325" s="77" t="str">
        <f t="shared" ca="1" si="755"/>
        <v>England</v>
      </c>
      <c r="BU325" s="77">
        <f t="shared" ref="BU325:BU388" si="762">BU324+1</f>
        <v>323</v>
      </c>
      <c r="BV325" s="77" t="str">
        <f t="shared" si="760"/>
        <v>A3</v>
      </c>
      <c r="BW325" s="77">
        <f t="shared" si="757"/>
        <v>15</v>
      </c>
      <c r="BX325" s="77" t="str">
        <f t="shared" ca="1" si="761"/>
        <v>J. Hart</v>
      </c>
      <c r="BY325" s="77">
        <f ca="1">COUNTIF('Group Stages'!$L$14:$S$110,BX325)+COUNTIF('Knock Out Stages'!$N$41:$U$84,BX325)</f>
        <v>0</v>
      </c>
      <c r="BZ325" s="77" t="str">
        <f t="shared" si="758"/>
        <v>'Player Database'!A3</v>
      </c>
      <c r="CA325" s="77" t="str">
        <f t="shared" ca="1" si="759"/>
        <v>Joe Hart</v>
      </c>
      <c r="CS325" s="77">
        <f t="shared" si="752"/>
        <v>322</v>
      </c>
      <c r="CT325" s="77">
        <f t="shared" si="756"/>
        <v>8</v>
      </c>
      <c r="CU325" s="77" t="str">
        <f t="shared" si="754"/>
        <v>CR31</v>
      </c>
      <c r="CV325" s="77" t="str">
        <f t="shared" ca="1" si="753"/>
        <v/>
      </c>
      <c r="CW325" s="77">
        <f t="shared" ref="CW325:CW388" ca="1" si="763">IF(CV325&lt;&gt;"",CW324+1,CW324)</f>
        <v>0</v>
      </c>
    </row>
    <row r="326" spans="72:101">
      <c r="BT326" s="77" t="str">
        <f t="shared" ca="1" si="755"/>
        <v>England</v>
      </c>
      <c r="BU326" s="77">
        <f t="shared" si="762"/>
        <v>324</v>
      </c>
      <c r="BV326" s="77" t="str">
        <f t="shared" si="760"/>
        <v>A4</v>
      </c>
      <c r="BW326" s="77">
        <f t="shared" si="757"/>
        <v>15</v>
      </c>
      <c r="BX326" s="77" t="str">
        <f t="shared" ca="1" si="761"/>
        <v>G. Johnson</v>
      </c>
      <c r="BY326" s="77">
        <f ca="1">COUNTIF('Group Stages'!$L$14:$S$110,BX326)+COUNTIF('Knock Out Stages'!$N$41:$U$84,BX326)</f>
        <v>0</v>
      </c>
      <c r="BZ326" s="77" t="str">
        <f t="shared" si="758"/>
        <v>'Player Database'!A4</v>
      </c>
      <c r="CA326" s="77" t="str">
        <f t="shared" ca="1" si="759"/>
        <v>Glen Johnson</v>
      </c>
      <c r="CS326" s="77">
        <f t="shared" si="752"/>
        <v>323</v>
      </c>
      <c r="CT326" s="77">
        <f t="shared" si="756"/>
        <v>8</v>
      </c>
      <c r="CU326" s="77" t="str">
        <f t="shared" si="754"/>
        <v>CR32</v>
      </c>
      <c r="CV326" s="77" t="str">
        <f t="shared" ca="1" si="753"/>
        <v/>
      </c>
      <c r="CW326" s="77">
        <f t="shared" ca="1" si="763"/>
        <v>0</v>
      </c>
    </row>
    <row r="327" spans="72:101">
      <c r="BT327" s="77" t="str">
        <f t="shared" ca="1" si="755"/>
        <v>England</v>
      </c>
      <c r="BU327" s="77">
        <f t="shared" si="762"/>
        <v>325</v>
      </c>
      <c r="BV327" s="77" t="str">
        <f t="shared" si="760"/>
        <v>A5</v>
      </c>
      <c r="BW327" s="77">
        <f t="shared" si="757"/>
        <v>15</v>
      </c>
      <c r="BX327" s="77" t="str">
        <f t="shared" ca="1" si="761"/>
        <v>L. Baines</v>
      </c>
      <c r="BY327" s="77">
        <f ca="1">COUNTIF('Group Stages'!$L$14:$S$110,BX327)+COUNTIF('Knock Out Stages'!$N$41:$U$84,BX327)</f>
        <v>0</v>
      </c>
      <c r="BZ327" s="77" t="str">
        <f t="shared" si="758"/>
        <v>'Player Database'!A5</v>
      </c>
      <c r="CA327" s="77" t="str">
        <f t="shared" ca="1" si="759"/>
        <v>Leighton Baines</v>
      </c>
      <c r="CS327" s="77">
        <f t="shared" si="752"/>
        <v>324</v>
      </c>
      <c r="CT327" s="77">
        <f t="shared" si="756"/>
        <v>8</v>
      </c>
      <c r="CU327" s="77" t="str">
        <f t="shared" si="754"/>
        <v>CR33</v>
      </c>
      <c r="CV327" s="77" t="str">
        <f t="shared" ca="1" si="753"/>
        <v/>
      </c>
      <c r="CW327" s="77">
        <f t="shared" ca="1" si="763"/>
        <v>0</v>
      </c>
    </row>
    <row r="328" spans="72:101">
      <c r="BT328" s="77" t="str">
        <f t="shared" ca="1" si="755"/>
        <v>England</v>
      </c>
      <c r="BU328" s="77">
        <f t="shared" si="762"/>
        <v>326</v>
      </c>
      <c r="BV328" s="77" t="str">
        <f t="shared" si="760"/>
        <v>A6</v>
      </c>
      <c r="BW328" s="77">
        <f t="shared" si="757"/>
        <v>15</v>
      </c>
      <c r="BX328" s="77" t="str">
        <f t="shared" ca="1" si="761"/>
        <v xml:space="preserve">S. Gerrard </v>
      </c>
      <c r="BY328" s="77">
        <f ca="1">COUNTIF('Group Stages'!$L$14:$S$110,BX328)+COUNTIF('Knock Out Stages'!$N$41:$U$84,BX328)</f>
        <v>0</v>
      </c>
      <c r="BZ328" s="77" t="str">
        <f t="shared" si="758"/>
        <v>'Player Database'!A6</v>
      </c>
      <c r="CA328" s="77" t="str">
        <f t="shared" ca="1" si="759"/>
        <v xml:space="preserve">Steven Gerrard </v>
      </c>
      <c r="CS328" s="77">
        <f t="shared" si="752"/>
        <v>325</v>
      </c>
      <c r="CT328" s="77">
        <f t="shared" si="756"/>
        <v>8</v>
      </c>
      <c r="CU328" s="77" t="str">
        <f t="shared" si="754"/>
        <v>CR34</v>
      </c>
      <c r="CV328" s="77" t="str">
        <f t="shared" ca="1" si="753"/>
        <v/>
      </c>
      <c r="CW328" s="77">
        <f t="shared" ca="1" si="763"/>
        <v>0</v>
      </c>
    </row>
    <row r="329" spans="72:101">
      <c r="BT329" s="77" t="str">
        <f t="shared" ca="1" si="755"/>
        <v>England</v>
      </c>
      <c r="BU329" s="77">
        <f t="shared" si="762"/>
        <v>327</v>
      </c>
      <c r="BV329" s="77" t="str">
        <f t="shared" si="760"/>
        <v>A7</v>
      </c>
      <c r="BW329" s="77">
        <f t="shared" si="757"/>
        <v>15</v>
      </c>
      <c r="BX329" s="77" t="str">
        <f t="shared" ca="1" si="761"/>
        <v>G. Cahill</v>
      </c>
      <c r="BY329" s="77">
        <f ca="1">COUNTIF('Group Stages'!$L$14:$S$110,BX329)+COUNTIF('Knock Out Stages'!$N$41:$U$84,BX329)</f>
        <v>0</v>
      </c>
      <c r="BZ329" s="77" t="str">
        <f t="shared" si="758"/>
        <v>'Player Database'!A7</v>
      </c>
      <c r="CA329" s="77" t="str">
        <f t="shared" ca="1" si="759"/>
        <v>Gary Cahill</v>
      </c>
      <c r="CS329" s="77">
        <f t="shared" ref="CS329:CS392" si="764">CS328+1</f>
        <v>326</v>
      </c>
      <c r="CT329" s="77">
        <f t="shared" si="756"/>
        <v>8</v>
      </c>
      <c r="CU329" s="77" t="str">
        <f t="shared" si="754"/>
        <v>CR35</v>
      </c>
      <c r="CV329" s="77" t="str">
        <f t="shared" ref="CV329:CV392" ca="1" si="765">OFFSET(INDIRECT(CU329),0,-CT329)</f>
        <v/>
      </c>
      <c r="CW329" s="77">
        <f t="shared" ca="1" si="763"/>
        <v>0</v>
      </c>
    </row>
    <row r="330" spans="72:101">
      <c r="BT330" s="77" t="str">
        <f t="shared" ca="1" si="755"/>
        <v>England</v>
      </c>
      <c r="BU330" s="77">
        <f t="shared" si="762"/>
        <v>328</v>
      </c>
      <c r="BV330" s="77" t="str">
        <f t="shared" si="760"/>
        <v>A8</v>
      </c>
      <c r="BW330" s="77">
        <f t="shared" si="757"/>
        <v>15</v>
      </c>
      <c r="BX330" s="77" t="str">
        <f t="shared" ca="1" si="761"/>
        <v>P. Jagielka</v>
      </c>
      <c r="BY330" s="77">
        <f ca="1">COUNTIF('Group Stages'!$L$14:$S$110,BX330)+COUNTIF('Knock Out Stages'!$N$41:$U$84,BX330)</f>
        <v>0</v>
      </c>
      <c r="BZ330" s="77" t="str">
        <f t="shared" si="758"/>
        <v>'Player Database'!A8</v>
      </c>
      <c r="CA330" s="77" t="str">
        <f t="shared" ca="1" si="759"/>
        <v>Phil Jagielka</v>
      </c>
      <c r="CS330" s="77">
        <f t="shared" si="764"/>
        <v>327</v>
      </c>
      <c r="CT330" s="77">
        <f t="shared" si="756"/>
        <v>8</v>
      </c>
      <c r="CU330" s="77" t="str">
        <f t="shared" si="754"/>
        <v>CR36</v>
      </c>
      <c r="CV330" s="77" t="str">
        <f t="shared" ca="1" si="765"/>
        <v/>
      </c>
      <c r="CW330" s="77">
        <f t="shared" ca="1" si="763"/>
        <v>0</v>
      </c>
    </row>
    <row r="331" spans="72:101">
      <c r="BT331" s="77" t="str">
        <f t="shared" ca="1" si="755"/>
        <v>England</v>
      </c>
      <c r="BU331" s="77">
        <f t="shared" si="762"/>
        <v>329</v>
      </c>
      <c r="BV331" s="77" t="str">
        <f t="shared" si="760"/>
        <v>A9</v>
      </c>
      <c r="BW331" s="77">
        <f t="shared" si="757"/>
        <v>15</v>
      </c>
      <c r="BX331" s="77" t="str">
        <f t="shared" ca="1" si="761"/>
        <v>J. Wilshere</v>
      </c>
      <c r="BY331" s="77">
        <f ca="1">COUNTIF('Group Stages'!$L$14:$S$110,BX331)+COUNTIF('Knock Out Stages'!$N$41:$U$84,BX331)</f>
        <v>0</v>
      </c>
      <c r="BZ331" s="77" t="str">
        <f t="shared" si="758"/>
        <v>'Player Database'!A9</v>
      </c>
      <c r="CA331" s="77" t="str">
        <f t="shared" ca="1" si="759"/>
        <v>Jack Wilshere</v>
      </c>
      <c r="CS331" s="77">
        <f t="shared" si="764"/>
        <v>328</v>
      </c>
      <c r="CT331" s="77">
        <f t="shared" si="756"/>
        <v>8</v>
      </c>
      <c r="CU331" s="77" t="str">
        <f t="shared" si="754"/>
        <v>CR37</v>
      </c>
      <c r="CV331" s="77" t="str">
        <f t="shared" ca="1" si="765"/>
        <v/>
      </c>
      <c r="CW331" s="77">
        <f t="shared" ca="1" si="763"/>
        <v>0</v>
      </c>
    </row>
    <row r="332" spans="72:101">
      <c r="BT332" s="77" t="str">
        <f t="shared" ca="1" si="755"/>
        <v>England</v>
      </c>
      <c r="BU332" s="77">
        <f t="shared" si="762"/>
        <v>330</v>
      </c>
      <c r="BV332" s="77" t="str">
        <f t="shared" si="760"/>
        <v>A10</v>
      </c>
      <c r="BW332" s="77">
        <f t="shared" si="757"/>
        <v>15</v>
      </c>
      <c r="BX332" s="77" t="str">
        <f t="shared" ca="1" si="761"/>
        <v>F. Lampard</v>
      </c>
      <c r="BY332" s="77">
        <f ca="1">COUNTIF('Group Stages'!$L$14:$S$110,BX332)+COUNTIF('Knock Out Stages'!$N$41:$U$84,BX332)</f>
        <v>0</v>
      </c>
      <c r="BZ332" s="77" t="str">
        <f t="shared" si="758"/>
        <v>'Player Database'!A10</v>
      </c>
      <c r="CA332" s="77" t="str">
        <f t="shared" ca="1" si="759"/>
        <v>Frank Lampard</v>
      </c>
      <c r="CS332" s="77">
        <f t="shared" si="764"/>
        <v>329</v>
      </c>
      <c r="CT332" s="77">
        <f t="shared" si="756"/>
        <v>8</v>
      </c>
      <c r="CU332" s="77" t="str">
        <f t="shared" si="754"/>
        <v>CR38</v>
      </c>
      <c r="CV332" s="77" t="str">
        <f t="shared" ca="1" si="765"/>
        <v/>
      </c>
      <c r="CW332" s="77">
        <f t="shared" ca="1" si="763"/>
        <v>0</v>
      </c>
    </row>
    <row r="333" spans="72:101">
      <c r="BT333" s="77" t="str">
        <f t="shared" ca="1" si="755"/>
        <v>England</v>
      </c>
      <c r="BU333" s="77">
        <f t="shared" si="762"/>
        <v>331</v>
      </c>
      <c r="BV333" s="77" t="str">
        <f t="shared" si="760"/>
        <v>A11</v>
      </c>
      <c r="BW333" s="77">
        <f t="shared" si="757"/>
        <v>15</v>
      </c>
      <c r="BX333" s="77" t="str">
        <f t="shared" ca="1" si="761"/>
        <v>D. Sturridge</v>
      </c>
      <c r="BY333" s="77">
        <f ca="1">COUNTIF('Group Stages'!$L$14:$S$110,BX333)+COUNTIF('Knock Out Stages'!$N$41:$U$84,BX333)</f>
        <v>0</v>
      </c>
      <c r="BZ333" s="77" t="str">
        <f t="shared" si="758"/>
        <v>'Player Database'!A11</v>
      </c>
      <c r="CA333" s="77" t="str">
        <f t="shared" ca="1" si="759"/>
        <v>Daniel Sturridge</v>
      </c>
      <c r="CS333" s="77">
        <f t="shared" si="764"/>
        <v>330</v>
      </c>
      <c r="CT333" s="77">
        <f t="shared" si="756"/>
        <v>8</v>
      </c>
      <c r="CU333" s="77" t="str">
        <f t="shared" si="754"/>
        <v>CR39</v>
      </c>
      <c r="CV333" s="77" t="str">
        <f t="shared" ca="1" si="765"/>
        <v/>
      </c>
      <c r="CW333" s="77">
        <f t="shared" ca="1" si="763"/>
        <v>0</v>
      </c>
    </row>
    <row r="334" spans="72:101">
      <c r="BT334" s="77" t="str">
        <f t="shared" ca="1" si="755"/>
        <v>England</v>
      </c>
      <c r="BU334" s="77">
        <f t="shared" si="762"/>
        <v>332</v>
      </c>
      <c r="BV334" s="77" t="str">
        <f t="shared" si="760"/>
        <v>A12</v>
      </c>
      <c r="BW334" s="77">
        <f t="shared" si="757"/>
        <v>15</v>
      </c>
      <c r="BX334" s="77" t="str">
        <f t="shared" ca="1" si="761"/>
        <v>W. Rooney</v>
      </c>
      <c r="BY334" s="77">
        <f ca="1">COUNTIF('Group Stages'!$L$14:$S$110,BX334)+COUNTIF('Knock Out Stages'!$N$41:$U$84,BX334)</f>
        <v>0</v>
      </c>
      <c r="BZ334" s="77" t="str">
        <f t="shared" si="758"/>
        <v>'Player Database'!A12</v>
      </c>
      <c r="CA334" s="77" t="str">
        <f t="shared" ca="1" si="759"/>
        <v>Wayne Rooney</v>
      </c>
      <c r="CS334" s="77">
        <f t="shared" si="764"/>
        <v>331</v>
      </c>
      <c r="CT334" s="77">
        <f t="shared" si="756"/>
        <v>8</v>
      </c>
      <c r="CU334" s="77" t="str">
        <f t="shared" si="754"/>
        <v>CR40</v>
      </c>
      <c r="CV334" s="77" t="str">
        <f t="shared" ca="1" si="765"/>
        <v/>
      </c>
      <c r="CW334" s="77">
        <f t="shared" ca="1" si="763"/>
        <v>0</v>
      </c>
    </row>
    <row r="335" spans="72:101">
      <c r="BT335" s="77" t="str">
        <f t="shared" ca="1" si="755"/>
        <v>England</v>
      </c>
      <c r="BU335" s="77">
        <f t="shared" si="762"/>
        <v>333</v>
      </c>
      <c r="BV335" s="77" t="str">
        <f t="shared" si="760"/>
        <v>A13</v>
      </c>
      <c r="BW335" s="77">
        <f t="shared" si="757"/>
        <v>15</v>
      </c>
      <c r="BX335" s="77" t="str">
        <f t="shared" ca="1" si="761"/>
        <v>D. Welbeck</v>
      </c>
      <c r="BY335" s="77">
        <f ca="1">COUNTIF('Group Stages'!$L$14:$S$110,BX335)+COUNTIF('Knock Out Stages'!$N$41:$U$84,BX335)</f>
        <v>0</v>
      </c>
      <c r="BZ335" s="77" t="str">
        <f t="shared" si="758"/>
        <v>'Player Database'!A13</v>
      </c>
      <c r="CA335" s="77" t="str">
        <f t="shared" ca="1" si="759"/>
        <v>Danny Welbeck</v>
      </c>
      <c r="CS335" s="77">
        <f t="shared" si="764"/>
        <v>332</v>
      </c>
      <c r="CT335" s="77">
        <f t="shared" si="756"/>
        <v>8</v>
      </c>
      <c r="CU335" s="77" t="str">
        <f t="shared" si="754"/>
        <v>CR41</v>
      </c>
      <c r="CV335" s="77" t="str">
        <f t="shared" ca="1" si="765"/>
        <v/>
      </c>
      <c r="CW335" s="77">
        <f t="shared" ca="1" si="763"/>
        <v>0</v>
      </c>
    </row>
    <row r="336" spans="72:101">
      <c r="BT336" s="77" t="str">
        <f t="shared" ca="1" si="755"/>
        <v>England</v>
      </c>
      <c r="BU336" s="77">
        <f t="shared" si="762"/>
        <v>334</v>
      </c>
      <c r="BV336" s="77" t="str">
        <f t="shared" si="760"/>
        <v>A14</v>
      </c>
      <c r="BW336" s="77">
        <f t="shared" si="757"/>
        <v>15</v>
      </c>
      <c r="BX336" s="77" t="str">
        <f t="shared" ca="1" si="761"/>
        <v>C. Smalling</v>
      </c>
      <c r="BY336" s="77">
        <f ca="1">COUNTIF('Group Stages'!$L$14:$S$110,BX336)+COUNTIF('Knock Out Stages'!$N$41:$U$84,BX336)</f>
        <v>0</v>
      </c>
      <c r="BZ336" s="77" t="str">
        <f t="shared" si="758"/>
        <v>'Player Database'!A14</v>
      </c>
      <c r="CA336" s="77" t="str">
        <f t="shared" ca="1" si="759"/>
        <v>Chris Smalling</v>
      </c>
      <c r="CS336" s="77">
        <f t="shared" si="764"/>
        <v>333</v>
      </c>
      <c r="CT336" s="77">
        <f t="shared" si="756"/>
        <v>8</v>
      </c>
      <c r="CU336" s="77" t="str">
        <f t="shared" si="754"/>
        <v>CR42</v>
      </c>
      <c r="CV336" s="77" t="str">
        <f t="shared" ca="1" si="765"/>
        <v/>
      </c>
      <c r="CW336" s="77">
        <f t="shared" ca="1" si="763"/>
        <v>0</v>
      </c>
    </row>
    <row r="337" spans="72:101">
      <c r="BT337" s="77" t="str">
        <f t="shared" ca="1" si="755"/>
        <v>England</v>
      </c>
      <c r="BU337" s="77">
        <f t="shared" si="762"/>
        <v>335</v>
      </c>
      <c r="BV337" s="77" t="str">
        <f t="shared" si="760"/>
        <v>A15</v>
      </c>
      <c r="BW337" s="77">
        <f t="shared" si="757"/>
        <v>15</v>
      </c>
      <c r="BX337" s="77" t="str">
        <f t="shared" ca="1" si="761"/>
        <v>B. Foster</v>
      </c>
      <c r="BY337" s="77">
        <f ca="1">COUNTIF('Group Stages'!$L$14:$S$110,BX337)+COUNTIF('Knock Out Stages'!$N$41:$U$84,BX337)</f>
        <v>0</v>
      </c>
      <c r="BZ337" s="77" t="str">
        <f t="shared" si="758"/>
        <v>'Player Database'!A15</v>
      </c>
      <c r="CA337" s="77" t="str">
        <f t="shared" ca="1" si="759"/>
        <v>Ben Foster</v>
      </c>
      <c r="CS337" s="77">
        <f t="shared" si="764"/>
        <v>334</v>
      </c>
      <c r="CT337" s="77">
        <f t="shared" si="756"/>
        <v>8</v>
      </c>
      <c r="CU337" s="77" t="str">
        <f t="shared" si="754"/>
        <v>CR43</v>
      </c>
      <c r="CV337" s="77" t="str">
        <f t="shared" ca="1" si="765"/>
        <v/>
      </c>
      <c r="CW337" s="77">
        <f t="shared" ca="1" si="763"/>
        <v>0</v>
      </c>
    </row>
    <row r="338" spans="72:101">
      <c r="BT338" s="77" t="str">
        <f t="shared" ca="1" si="755"/>
        <v>England</v>
      </c>
      <c r="BU338" s="77">
        <f t="shared" si="762"/>
        <v>336</v>
      </c>
      <c r="BV338" s="77" t="str">
        <f t="shared" si="760"/>
        <v>A16</v>
      </c>
      <c r="BW338" s="77">
        <f t="shared" si="757"/>
        <v>15</v>
      </c>
      <c r="BX338" s="77" t="str">
        <f t="shared" ca="1" si="761"/>
        <v>J. Henderson</v>
      </c>
      <c r="BY338" s="77">
        <f ca="1">COUNTIF('Group Stages'!$L$14:$S$110,BX338)+COUNTIF('Knock Out Stages'!$N$41:$U$84,BX338)</f>
        <v>0</v>
      </c>
      <c r="BZ338" s="77" t="str">
        <f t="shared" si="758"/>
        <v>'Player Database'!A16</v>
      </c>
      <c r="CA338" s="77" t="str">
        <f t="shared" ca="1" si="759"/>
        <v>Jordan Henderson</v>
      </c>
      <c r="CS338" s="77">
        <f t="shared" si="764"/>
        <v>335</v>
      </c>
      <c r="CT338" s="77">
        <f t="shared" si="756"/>
        <v>8</v>
      </c>
      <c r="CU338" s="77" t="str">
        <f t="shared" si="754"/>
        <v>CR44</v>
      </c>
      <c r="CV338" s="77" t="str">
        <f t="shared" ca="1" si="765"/>
        <v/>
      </c>
      <c r="CW338" s="77">
        <f t="shared" ca="1" si="763"/>
        <v>0</v>
      </c>
    </row>
    <row r="339" spans="72:101">
      <c r="BT339" s="77" t="str">
        <f t="shared" ca="1" si="755"/>
        <v>England</v>
      </c>
      <c r="BU339" s="77">
        <f t="shared" si="762"/>
        <v>337</v>
      </c>
      <c r="BV339" s="77" t="str">
        <f t="shared" si="760"/>
        <v>A17</v>
      </c>
      <c r="BW339" s="77">
        <f t="shared" si="757"/>
        <v>15</v>
      </c>
      <c r="BX339" s="77" t="str">
        <f t="shared" ca="1" si="761"/>
        <v>A. Oxlade-Chamberlain</v>
      </c>
      <c r="BY339" s="77">
        <f ca="1">COUNTIF('Group Stages'!$L$14:$S$110,BX339)+COUNTIF('Knock Out Stages'!$N$41:$U$84,BX339)</f>
        <v>0</v>
      </c>
      <c r="BZ339" s="77" t="str">
        <f t="shared" si="758"/>
        <v>'Player Database'!A17</v>
      </c>
      <c r="CA339" s="77" t="str">
        <f t="shared" ca="1" si="759"/>
        <v>Alex Oxlade-Chamberlain</v>
      </c>
      <c r="CS339" s="77">
        <f t="shared" si="764"/>
        <v>336</v>
      </c>
      <c r="CT339" s="77">
        <f t="shared" si="756"/>
        <v>8</v>
      </c>
      <c r="CU339" s="77" t="str">
        <f t="shared" si="754"/>
        <v>CR45</v>
      </c>
      <c r="CV339" s="77" t="str">
        <f t="shared" ca="1" si="765"/>
        <v/>
      </c>
      <c r="CW339" s="77">
        <f t="shared" ca="1" si="763"/>
        <v>0</v>
      </c>
    </row>
    <row r="340" spans="72:101">
      <c r="BT340" s="77" t="str">
        <f t="shared" ca="1" si="755"/>
        <v>England</v>
      </c>
      <c r="BU340" s="77">
        <f t="shared" si="762"/>
        <v>338</v>
      </c>
      <c r="BV340" s="77" t="str">
        <f t="shared" si="760"/>
        <v>A18</v>
      </c>
      <c r="BW340" s="77">
        <f t="shared" si="757"/>
        <v>15</v>
      </c>
      <c r="BX340" s="77" t="str">
        <f t="shared" ca="1" si="761"/>
        <v>P. Jones</v>
      </c>
      <c r="BY340" s="77">
        <f ca="1">COUNTIF('Group Stages'!$L$14:$S$110,BX340)+COUNTIF('Knock Out Stages'!$N$41:$U$84,BX340)</f>
        <v>0</v>
      </c>
      <c r="BZ340" s="77" t="str">
        <f t="shared" si="758"/>
        <v>'Player Database'!A18</v>
      </c>
      <c r="CA340" s="77" t="str">
        <f t="shared" ca="1" si="759"/>
        <v>Phil Jones</v>
      </c>
      <c r="CS340" s="77">
        <f t="shared" si="764"/>
        <v>337</v>
      </c>
      <c r="CT340" s="77">
        <f t="shared" si="756"/>
        <v>9</v>
      </c>
      <c r="CU340" s="77" t="str">
        <f t="shared" si="754"/>
        <v>CR4</v>
      </c>
      <c r="CV340" s="77" t="str">
        <f t="shared" ca="1" si="765"/>
        <v/>
      </c>
      <c r="CW340" s="77">
        <f t="shared" ca="1" si="763"/>
        <v>0</v>
      </c>
    </row>
    <row r="341" spans="72:101">
      <c r="BT341" s="77" t="str">
        <f t="shared" ca="1" si="755"/>
        <v>England</v>
      </c>
      <c r="BU341" s="77">
        <f t="shared" si="762"/>
        <v>339</v>
      </c>
      <c r="BV341" s="77" t="str">
        <f t="shared" si="760"/>
        <v>A19</v>
      </c>
      <c r="BW341" s="77">
        <f t="shared" si="757"/>
        <v>15</v>
      </c>
      <c r="BX341" s="77" t="str">
        <f t="shared" ca="1" si="761"/>
        <v>J. Milner</v>
      </c>
      <c r="BY341" s="77">
        <f ca="1">COUNTIF('Group Stages'!$L$14:$S$110,BX341)+COUNTIF('Knock Out Stages'!$N$41:$U$84,BX341)</f>
        <v>0</v>
      </c>
      <c r="BZ341" s="77" t="str">
        <f t="shared" si="758"/>
        <v>'Player Database'!A19</v>
      </c>
      <c r="CA341" s="77" t="str">
        <f t="shared" ca="1" si="759"/>
        <v>James Milner</v>
      </c>
      <c r="CS341" s="77">
        <f t="shared" si="764"/>
        <v>338</v>
      </c>
      <c r="CT341" s="77">
        <f t="shared" si="756"/>
        <v>9</v>
      </c>
      <c r="CU341" s="77" t="str">
        <f t="shared" si="754"/>
        <v>CR5</v>
      </c>
      <c r="CV341" s="77" t="str">
        <f t="shared" ca="1" si="765"/>
        <v/>
      </c>
      <c r="CW341" s="77">
        <f t="shared" ca="1" si="763"/>
        <v>0</v>
      </c>
    </row>
    <row r="342" spans="72:101">
      <c r="BT342" s="77" t="str">
        <f t="shared" ca="1" si="755"/>
        <v>England</v>
      </c>
      <c r="BU342" s="77">
        <f t="shared" si="762"/>
        <v>340</v>
      </c>
      <c r="BV342" s="77" t="str">
        <f t="shared" si="760"/>
        <v>A20</v>
      </c>
      <c r="BW342" s="77">
        <f t="shared" si="757"/>
        <v>15</v>
      </c>
      <c r="BX342" s="77" t="str">
        <f t="shared" ca="1" si="761"/>
        <v>R. Lambert</v>
      </c>
      <c r="BY342" s="77">
        <f ca="1">COUNTIF('Group Stages'!$L$14:$S$110,BX342)+COUNTIF('Knock Out Stages'!$N$41:$U$84,BX342)</f>
        <v>0</v>
      </c>
      <c r="BZ342" s="77" t="str">
        <f t="shared" si="758"/>
        <v>'Player Database'!A20</v>
      </c>
      <c r="CA342" s="77" t="str">
        <f t="shared" ca="1" si="759"/>
        <v>Rickie Lambert</v>
      </c>
      <c r="CS342" s="77">
        <f t="shared" si="764"/>
        <v>339</v>
      </c>
      <c r="CT342" s="77">
        <f t="shared" si="756"/>
        <v>9</v>
      </c>
      <c r="CU342" s="77" t="str">
        <f t="shared" si="754"/>
        <v>CR6</v>
      </c>
      <c r="CV342" s="77" t="str">
        <f t="shared" ca="1" si="765"/>
        <v/>
      </c>
      <c r="CW342" s="77">
        <f t="shared" ca="1" si="763"/>
        <v>0</v>
      </c>
    </row>
    <row r="343" spans="72:101">
      <c r="BT343" s="77" t="str">
        <f t="shared" ca="1" si="755"/>
        <v>England</v>
      </c>
      <c r="BU343" s="77">
        <f t="shared" si="762"/>
        <v>341</v>
      </c>
      <c r="BV343" s="77" t="str">
        <f t="shared" si="760"/>
        <v>A21</v>
      </c>
      <c r="BW343" s="77">
        <f t="shared" si="757"/>
        <v>15</v>
      </c>
      <c r="BX343" s="77" t="str">
        <f t="shared" ca="1" si="761"/>
        <v>R. Sterling</v>
      </c>
      <c r="BY343" s="77">
        <f ca="1">COUNTIF('Group Stages'!$L$14:$S$110,BX343)+COUNTIF('Knock Out Stages'!$N$41:$U$84,BX343)</f>
        <v>0</v>
      </c>
      <c r="BZ343" s="77" t="str">
        <f t="shared" si="758"/>
        <v>'Player Database'!A21</v>
      </c>
      <c r="CA343" s="77" t="str">
        <f t="shared" ca="1" si="759"/>
        <v>Raheem Sterling</v>
      </c>
      <c r="CS343" s="77">
        <f t="shared" si="764"/>
        <v>340</v>
      </c>
      <c r="CT343" s="77">
        <f t="shared" si="756"/>
        <v>9</v>
      </c>
      <c r="CU343" s="77" t="str">
        <f t="shared" si="754"/>
        <v>CR7</v>
      </c>
      <c r="CV343" s="77" t="str">
        <f t="shared" ca="1" si="765"/>
        <v/>
      </c>
      <c r="CW343" s="77">
        <f t="shared" ca="1" si="763"/>
        <v>0</v>
      </c>
    </row>
    <row r="344" spans="72:101">
      <c r="BT344" s="77" t="str">
        <f t="shared" ca="1" si="755"/>
        <v>England</v>
      </c>
      <c r="BU344" s="77">
        <f t="shared" si="762"/>
        <v>342</v>
      </c>
      <c r="BV344" s="77" t="str">
        <f t="shared" si="760"/>
        <v>A22</v>
      </c>
      <c r="BW344" s="77">
        <f t="shared" si="757"/>
        <v>15</v>
      </c>
      <c r="BX344" s="77" t="str">
        <f t="shared" ca="1" si="761"/>
        <v>A. Lallana</v>
      </c>
      <c r="BY344" s="77">
        <f ca="1">COUNTIF('Group Stages'!$L$14:$S$110,BX344)+COUNTIF('Knock Out Stages'!$N$41:$U$84,BX344)</f>
        <v>0</v>
      </c>
      <c r="BZ344" s="77" t="str">
        <f t="shared" si="758"/>
        <v>'Player Database'!A22</v>
      </c>
      <c r="CA344" s="77" t="str">
        <f t="shared" ca="1" si="759"/>
        <v>Adam Lallana</v>
      </c>
      <c r="CS344" s="77">
        <f t="shared" si="764"/>
        <v>341</v>
      </c>
      <c r="CT344" s="77">
        <f t="shared" si="756"/>
        <v>9</v>
      </c>
      <c r="CU344" s="77" t="str">
        <f t="shared" si="754"/>
        <v>CR8</v>
      </c>
      <c r="CV344" s="77" t="str">
        <f t="shared" ca="1" si="765"/>
        <v/>
      </c>
      <c r="CW344" s="77">
        <f t="shared" ca="1" si="763"/>
        <v>0</v>
      </c>
    </row>
    <row r="345" spans="72:101">
      <c r="BT345" s="77" t="str">
        <f t="shared" ca="1" si="755"/>
        <v>England</v>
      </c>
      <c r="BU345" s="77">
        <f t="shared" si="762"/>
        <v>343</v>
      </c>
      <c r="BV345" s="77" t="str">
        <f t="shared" si="760"/>
        <v>A23</v>
      </c>
      <c r="BW345" s="77">
        <f t="shared" si="757"/>
        <v>15</v>
      </c>
      <c r="BX345" s="77" t="str">
        <f t="shared" ca="1" si="761"/>
        <v>R. Barkley</v>
      </c>
      <c r="BY345" s="77">
        <f ca="1">COUNTIF('Group Stages'!$L$14:$S$110,BX345)+COUNTIF('Knock Out Stages'!$N$41:$U$84,BX345)</f>
        <v>0</v>
      </c>
      <c r="BZ345" s="77" t="str">
        <f t="shared" si="758"/>
        <v>'Player Database'!A23</v>
      </c>
      <c r="CA345" s="77" t="str">
        <f t="shared" ca="1" si="759"/>
        <v>Ross Barkley</v>
      </c>
      <c r="CS345" s="77">
        <f t="shared" si="764"/>
        <v>342</v>
      </c>
      <c r="CT345" s="77">
        <f t="shared" si="756"/>
        <v>9</v>
      </c>
      <c r="CU345" s="77" t="str">
        <f t="shared" ref="CU345:CU408" si="766">CU303</f>
        <v>CR9</v>
      </c>
      <c r="CV345" s="77" t="str">
        <f t="shared" ca="1" si="765"/>
        <v/>
      </c>
      <c r="CW345" s="77">
        <f t="shared" ca="1" si="763"/>
        <v>0</v>
      </c>
    </row>
    <row r="346" spans="72:101">
      <c r="BT346" s="77" t="str">
        <f t="shared" ca="1" si="755"/>
        <v>England</v>
      </c>
      <c r="BU346" s="77">
        <f t="shared" si="762"/>
        <v>344</v>
      </c>
      <c r="BV346" s="77" t="str">
        <f t="shared" si="760"/>
        <v>A24</v>
      </c>
      <c r="BW346" s="77">
        <f t="shared" si="757"/>
        <v>15</v>
      </c>
      <c r="BX346" s="77" t="str">
        <f t="shared" ca="1" si="761"/>
        <v>F. Forster</v>
      </c>
      <c r="BY346" s="77">
        <f ca="1">COUNTIF('Group Stages'!$L$14:$S$110,BX346)+COUNTIF('Knock Out Stages'!$N$41:$U$84,BX346)</f>
        <v>0</v>
      </c>
      <c r="BZ346" s="77" t="str">
        <f t="shared" si="758"/>
        <v>'Player Database'!A24</v>
      </c>
      <c r="CA346" s="77" t="str">
        <f t="shared" ca="1" si="759"/>
        <v>Fraser Forster</v>
      </c>
      <c r="CS346" s="77">
        <f t="shared" si="764"/>
        <v>343</v>
      </c>
      <c r="CT346" s="77">
        <f t="shared" si="756"/>
        <v>9</v>
      </c>
      <c r="CU346" s="77" t="str">
        <f t="shared" si="766"/>
        <v>CR10</v>
      </c>
      <c r="CV346" s="77" t="str">
        <f t="shared" ca="1" si="765"/>
        <v/>
      </c>
      <c r="CW346" s="77">
        <f t="shared" ca="1" si="763"/>
        <v>0</v>
      </c>
    </row>
    <row r="347" spans="72:101">
      <c r="BT347" s="77" t="str">
        <f t="shared" ref="BT347:BT410" ca="1" si="767">OFFSET($A$2,0,BW347)</f>
        <v>England</v>
      </c>
      <c r="BU347" s="77">
        <f t="shared" si="762"/>
        <v>345</v>
      </c>
      <c r="BV347" s="77" t="str">
        <f t="shared" si="760"/>
        <v>A25</v>
      </c>
      <c r="BW347" s="77">
        <f t="shared" si="757"/>
        <v>15</v>
      </c>
      <c r="BX347" s="77" t="str">
        <f t="shared" ca="1" si="761"/>
        <v>L. Shaw</v>
      </c>
      <c r="BY347" s="77">
        <f ca="1">COUNTIF('Group Stages'!$L$14:$S$110,BX347)+COUNTIF('Knock Out Stages'!$N$41:$U$84,BX347)</f>
        <v>0</v>
      </c>
      <c r="BZ347" s="77" t="str">
        <f t="shared" si="758"/>
        <v>'Player Database'!A25</v>
      </c>
      <c r="CA347" s="77" t="str">
        <f t="shared" ca="1" si="759"/>
        <v>Luke Shaw</v>
      </c>
      <c r="CS347" s="77">
        <f t="shared" si="764"/>
        <v>344</v>
      </c>
      <c r="CT347" s="77">
        <f t="shared" si="756"/>
        <v>9</v>
      </c>
      <c r="CU347" s="77" t="str">
        <f t="shared" si="766"/>
        <v>CR11</v>
      </c>
      <c r="CV347" s="77" t="str">
        <f t="shared" ca="1" si="765"/>
        <v/>
      </c>
      <c r="CW347" s="77">
        <f t="shared" ca="1" si="763"/>
        <v>0</v>
      </c>
    </row>
    <row r="348" spans="72:101">
      <c r="BT348" s="77" t="str">
        <f t="shared" ca="1" si="767"/>
        <v>Italy</v>
      </c>
      <c r="BU348" s="77">
        <f t="shared" si="762"/>
        <v>346</v>
      </c>
      <c r="BV348" s="77" t="str">
        <f t="shared" si="760"/>
        <v>A3</v>
      </c>
      <c r="BW348" s="77">
        <f t="shared" si="757"/>
        <v>16</v>
      </c>
      <c r="BX348" s="77" t="str">
        <f t="shared" ca="1" si="761"/>
        <v xml:space="preserve">G. Buffon </v>
      </c>
      <c r="BY348" s="77">
        <f ca="1">COUNTIF('Group Stages'!$L$14:$S$110,BX348)+COUNTIF('Knock Out Stages'!$N$41:$U$84,BX348)</f>
        <v>0</v>
      </c>
      <c r="BZ348" s="77" t="str">
        <f t="shared" si="758"/>
        <v>'Player Database'!A3</v>
      </c>
      <c r="CA348" s="77" t="str">
        <f t="shared" ca="1" si="759"/>
        <v xml:space="preserve">Gianluigi Buffon </v>
      </c>
      <c r="CS348" s="77">
        <f t="shared" si="764"/>
        <v>345</v>
      </c>
      <c r="CT348" s="77">
        <f t="shared" si="756"/>
        <v>9</v>
      </c>
      <c r="CU348" s="77" t="str">
        <f t="shared" si="766"/>
        <v>CR12</v>
      </c>
      <c r="CV348" s="77" t="str">
        <f t="shared" ca="1" si="765"/>
        <v/>
      </c>
      <c r="CW348" s="77">
        <f t="shared" ca="1" si="763"/>
        <v>0</v>
      </c>
    </row>
    <row r="349" spans="72:101">
      <c r="BT349" s="77" t="str">
        <f t="shared" ca="1" si="767"/>
        <v>Italy</v>
      </c>
      <c r="BU349" s="77">
        <f t="shared" si="762"/>
        <v>347</v>
      </c>
      <c r="BV349" s="77" t="str">
        <f t="shared" si="760"/>
        <v>A4</v>
      </c>
      <c r="BW349" s="77">
        <f t="shared" si="757"/>
        <v>16</v>
      </c>
      <c r="BX349" s="77" t="str">
        <f t="shared" ca="1" si="761"/>
        <v>M. De Sciglio</v>
      </c>
      <c r="BY349" s="77">
        <f ca="1">COUNTIF('Group Stages'!$L$14:$S$110,BX349)+COUNTIF('Knock Out Stages'!$N$41:$U$84,BX349)</f>
        <v>0</v>
      </c>
      <c r="BZ349" s="77" t="str">
        <f t="shared" si="758"/>
        <v>'Player Database'!A4</v>
      </c>
      <c r="CA349" s="77" t="str">
        <f t="shared" ca="1" si="759"/>
        <v>Mattia De Sciglio</v>
      </c>
      <c r="CS349" s="77">
        <f t="shared" si="764"/>
        <v>346</v>
      </c>
      <c r="CT349" s="77">
        <f t="shared" si="756"/>
        <v>9</v>
      </c>
      <c r="CU349" s="77" t="str">
        <f t="shared" si="766"/>
        <v>CR13</v>
      </c>
      <c r="CV349" s="77" t="str">
        <f t="shared" ca="1" si="765"/>
        <v/>
      </c>
      <c r="CW349" s="77">
        <f t="shared" ca="1" si="763"/>
        <v>0</v>
      </c>
    </row>
    <row r="350" spans="72:101">
      <c r="BT350" s="77" t="str">
        <f t="shared" ca="1" si="767"/>
        <v>Italy</v>
      </c>
      <c r="BU350" s="77">
        <f t="shared" si="762"/>
        <v>348</v>
      </c>
      <c r="BV350" s="77" t="str">
        <f t="shared" si="760"/>
        <v>A5</v>
      </c>
      <c r="BW350" s="77">
        <f t="shared" si="757"/>
        <v>16</v>
      </c>
      <c r="BX350" s="77" t="str">
        <f t="shared" ca="1" si="761"/>
        <v>G. Chiellini</v>
      </c>
      <c r="BY350" s="77">
        <f ca="1">COUNTIF('Group Stages'!$L$14:$S$110,BX350)+COUNTIF('Knock Out Stages'!$N$41:$U$84,BX350)</f>
        <v>0</v>
      </c>
      <c r="BZ350" s="77" t="str">
        <f t="shared" si="758"/>
        <v>'Player Database'!A5</v>
      </c>
      <c r="CA350" s="77" t="str">
        <f t="shared" ca="1" si="759"/>
        <v>Giorgio Chiellini</v>
      </c>
      <c r="CS350" s="77">
        <f t="shared" si="764"/>
        <v>347</v>
      </c>
      <c r="CT350" s="77">
        <f t="shared" si="756"/>
        <v>9</v>
      </c>
      <c r="CU350" s="77" t="str">
        <f t="shared" si="766"/>
        <v>CR14</v>
      </c>
      <c r="CV350" s="77" t="str">
        <f t="shared" ca="1" si="765"/>
        <v/>
      </c>
      <c r="CW350" s="77">
        <f t="shared" ca="1" si="763"/>
        <v>0</v>
      </c>
    </row>
    <row r="351" spans="72:101">
      <c r="BT351" s="77" t="str">
        <f t="shared" ca="1" si="767"/>
        <v>Italy</v>
      </c>
      <c r="BU351" s="77">
        <f t="shared" si="762"/>
        <v>349</v>
      </c>
      <c r="BV351" s="77" t="str">
        <f t="shared" si="760"/>
        <v>A6</v>
      </c>
      <c r="BW351" s="77">
        <f t="shared" si="757"/>
        <v>16</v>
      </c>
      <c r="BX351" s="77" t="str">
        <f t="shared" ca="1" si="761"/>
        <v>M. Darmian</v>
      </c>
      <c r="BY351" s="77">
        <f ca="1">COUNTIF('Group Stages'!$L$14:$S$110,BX351)+COUNTIF('Knock Out Stages'!$N$41:$U$84,BX351)</f>
        <v>0</v>
      </c>
      <c r="BZ351" s="77" t="str">
        <f t="shared" si="758"/>
        <v>'Player Database'!A6</v>
      </c>
      <c r="CA351" s="77" t="str">
        <f t="shared" ca="1" si="759"/>
        <v>Matteo Darmian</v>
      </c>
      <c r="CS351" s="77">
        <f t="shared" si="764"/>
        <v>348</v>
      </c>
      <c r="CT351" s="77">
        <f t="shared" si="756"/>
        <v>9</v>
      </c>
      <c r="CU351" s="77" t="str">
        <f t="shared" si="766"/>
        <v>CR15</v>
      </c>
      <c r="CV351" s="77" t="str">
        <f t="shared" ca="1" si="765"/>
        <v/>
      </c>
      <c r="CW351" s="77">
        <f t="shared" ca="1" si="763"/>
        <v>0</v>
      </c>
    </row>
    <row r="352" spans="72:101">
      <c r="BT352" s="77" t="str">
        <f t="shared" ca="1" si="767"/>
        <v>Italy</v>
      </c>
      <c r="BU352" s="77">
        <f t="shared" si="762"/>
        <v>350</v>
      </c>
      <c r="BV352" s="77" t="str">
        <f t="shared" si="760"/>
        <v>A7</v>
      </c>
      <c r="BW352" s="77">
        <f t="shared" si="757"/>
        <v>16</v>
      </c>
      <c r="BX352" s="77" t="str">
        <f t="shared" ca="1" si="761"/>
        <v>T. Motta</v>
      </c>
      <c r="BY352" s="77">
        <f ca="1">COUNTIF('Group Stages'!$L$14:$S$110,BX352)+COUNTIF('Knock Out Stages'!$N$41:$U$84,BX352)</f>
        <v>0</v>
      </c>
      <c r="BZ352" s="77" t="str">
        <f t="shared" si="758"/>
        <v>'Player Database'!A7</v>
      </c>
      <c r="CA352" s="77" t="str">
        <f t="shared" ca="1" si="759"/>
        <v>Thiago Motta</v>
      </c>
      <c r="CS352" s="77">
        <f t="shared" si="764"/>
        <v>349</v>
      </c>
      <c r="CT352" s="77">
        <f t="shared" si="756"/>
        <v>9</v>
      </c>
      <c r="CU352" s="77" t="str">
        <f t="shared" si="766"/>
        <v>CR16</v>
      </c>
      <c r="CV352" s="77" t="str">
        <f t="shared" ca="1" si="765"/>
        <v/>
      </c>
      <c r="CW352" s="77">
        <f t="shared" ca="1" si="763"/>
        <v>0</v>
      </c>
    </row>
    <row r="353" spans="72:101">
      <c r="BT353" s="77" t="str">
        <f t="shared" ca="1" si="767"/>
        <v>Italy</v>
      </c>
      <c r="BU353" s="77">
        <f t="shared" si="762"/>
        <v>351</v>
      </c>
      <c r="BV353" s="77" t="str">
        <f t="shared" si="760"/>
        <v>A8</v>
      </c>
      <c r="BW353" s="77">
        <f t="shared" si="757"/>
        <v>16</v>
      </c>
      <c r="BX353" s="77" t="str">
        <f t="shared" ca="1" si="761"/>
        <v>A. Candreva</v>
      </c>
      <c r="BY353" s="77">
        <f ca="1">COUNTIF('Group Stages'!$L$14:$S$110,BX353)+COUNTIF('Knock Out Stages'!$N$41:$U$84,BX353)</f>
        <v>0</v>
      </c>
      <c r="BZ353" s="77" t="str">
        <f t="shared" si="758"/>
        <v>'Player Database'!A8</v>
      </c>
      <c r="CA353" s="77" t="str">
        <f t="shared" ca="1" si="759"/>
        <v>Antonio Candreva</v>
      </c>
      <c r="CS353" s="77">
        <f t="shared" si="764"/>
        <v>350</v>
      </c>
      <c r="CT353" s="77">
        <f t="shared" si="756"/>
        <v>9</v>
      </c>
      <c r="CU353" s="77" t="str">
        <f t="shared" si="766"/>
        <v>CR17</v>
      </c>
      <c r="CV353" s="77" t="str">
        <f t="shared" ca="1" si="765"/>
        <v/>
      </c>
      <c r="CW353" s="77">
        <f t="shared" ca="1" si="763"/>
        <v>0</v>
      </c>
    </row>
    <row r="354" spans="72:101">
      <c r="BT354" s="77" t="str">
        <f t="shared" ca="1" si="767"/>
        <v>Italy</v>
      </c>
      <c r="BU354" s="77">
        <f t="shared" si="762"/>
        <v>352</v>
      </c>
      <c r="BV354" s="77" t="str">
        <f t="shared" si="760"/>
        <v>A9</v>
      </c>
      <c r="BW354" s="77">
        <f t="shared" si="757"/>
        <v>16</v>
      </c>
      <c r="BX354" s="77" t="str">
        <f t="shared" ca="1" si="761"/>
        <v>I. Abate</v>
      </c>
      <c r="BY354" s="77">
        <f ca="1">COUNTIF('Group Stages'!$L$14:$S$110,BX354)+COUNTIF('Knock Out Stages'!$N$41:$U$84,BX354)</f>
        <v>0</v>
      </c>
      <c r="BZ354" s="77" t="str">
        <f t="shared" si="758"/>
        <v>'Player Database'!A9</v>
      </c>
      <c r="CA354" s="77" t="str">
        <f t="shared" ca="1" si="759"/>
        <v>Ignazio Abate</v>
      </c>
      <c r="CS354" s="77">
        <f t="shared" si="764"/>
        <v>351</v>
      </c>
      <c r="CT354" s="77">
        <f t="shared" si="756"/>
        <v>9</v>
      </c>
      <c r="CU354" s="77" t="str">
        <f t="shared" si="766"/>
        <v>CR18</v>
      </c>
      <c r="CV354" s="77" t="str">
        <f t="shared" ca="1" si="765"/>
        <v/>
      </c>
      <c r="CW354" s="77">
        <f t="shared" ca="1" si="763"/>
        <v>0</v>
      </c>
    </row>
    <row r="355" spans="72:101">
      <c r="BT355" s="77" t="str">
        <f t="shared" ca="1" si="767"/>
        <v>Italy</v>
      </c>
      <c r="BU355" s="77">
        <f t="shared" si="762"/>
        <v>353</v>
      </c>
      <c r="BV355" s="77" t="str">
        <f t="shared" si="760"/>
        <v>A10</v>
      </c>
      <c r="BW355" s="77">
        <f t="shared" si="757"/>
        <v>16</v>
      </c>
      <c r="BX355" s="77" t="str">
        <f t="shared" ca="1" si="761"/>
        <v>C. Marchisio</v>
      </c>
      <c r="BY355" s="77">
        <f ca="1">COUNTIF('Group Stages'!$L$14:$S$110,BX355)+COUNTIF('Knock Out Stages'!$N$41:$U$84,BX355)</f>
        <v>0</v>
      </c>
      <c r="BZ355" s="77" t="str">
        <f t="shared" si="758"/>
        <v>'Player Database'!A10</v>
      </c>
      <c r="CA355" s="77" t="str">
        <f t="shared" ca="1" si="759"/>
        <v>Claudio Marchisio</v>
      </c>
      <c r="CS355" s="77">
        <f t="shared" si="764"/>
        <v>352</v>
      </c>
      <c r="CT355" s="77">
        <f t="shared" si="756"/>
        <v>9</v>
      </c>
      <c r="CU355" s="77" t="str">
        <f t="shared" si="766"/>
        <v>CR19</v>
      </c>
      <c r="CV355" s="77" t="str">
        <f t="shared" ca="1" si="765"/>
        <v/>
      </c>
      <c r="CW355" s="77">
        <f t="shared" ca="1" si="763"/>
        <v>0</v>
      </c>
    </row>
    <row r="356" spans="72:101">
      <c r="BT356" s="77" t="str">
        <f t="shared" ca="1" si="767"/>
        <v>Italy</v>
      </c>
      <c r="BU356" s="77">
        <f t="shared" si="762"/>
        <v>354</v>
      </c>
      <c r="BV356" s="77" t="str">
        <f t="shared" si="760"/>
        <v>A11</v>
      </c>
      <c r="BW356" s="77">
        <f t="shared" si="757"/>
        <v>16</v>
      </c>
      <c r="BX356" s="77" t="str">
        <f t="shared" ca="1" si="761"/>
        <v>M. Balotelli</v>
      </c>
      <c r="BY356" s="77">
        <f ca="1">COUNTIF('Group Stages'!$L$14:$S$110,BX356)+COUNTIF('Knock Out Stages'!$N$41:$U$84,BX356)</f>
        <v>0</v>
      </c>
      <c r="BZ356" s="77" t="str">
        <f t="shared" si="758"/>
        <v>'Player Database'!A11</v>
      </c>
      <c r="CA356" s="77" t="str">
        <f t="shared" ca="1" si="759"/>
        <v>Mario Balotelli</v>
      </c>
      <c r="CS356" s="77">
        <f t="shared" si="764"/>
        <v>353</v>
      </c>
      <c r="CT356" s="77">
        <f t="shared" si="756"/>
        <v>9</v>
      </c>
      <c r="CU356" s="77" t="str">
        <f t="shared" si="766"/>
        <v>CR20</v>
      </c>
      <c r="CV356" s="77" t="str">
        <f t="shared" ca="1" si="765"/>
        <v/>
      </c>
      <c r="CW356" s="77">
        <f t="shared" ca="1" si="763"/>
        <v>0</v>
      </c>
    </row>
    <row r="357" spans="72:101">
      <c r="BT357" s="77" t="str">
        <f t="shared" ca="1" si="767"/>
        <v>Italy</v>
      </c>
      <c r="BU357" s="77">
        <f t="shared" si="762"/>
        <v>355</v>
      </c>
      <c r="BV357" s="77" t="str">
        <f t="shared" si="760"/>
        <v>A12</v>
      </c>
      <c r="BW357" s="77">
        <f t="shared" si="757"/>
        <v>16</v>
      </c>
      <c r="BX357" s="77" t="str">
        <f t="shared" ca="1" si="761"/>
        <v>A. Cassano</v>
      </c>
      <c r="BY357" s="77">
        <f ca="1">COUNTIF('Group Stages'!$L$14:$S$110,BX357)+COUNTIF('Knock Out Stages'!$N$41:$U$84,BX357)</f>
        <v>0</v>
      </c>
      <c r="BZ357" s="77" t="str">
        <f t="shared" si="758"/>
        <v>'Player Database'!A12</v>
      </c>
      <c r="CA357" s="77" t="str">
        <f t="shared" ca="1" si="759"/>
        <v>Antonio Cassano</v>
      </c>
      <c r="CS357" s="77">
        <f t="shared" si="764"/>
        <v>354</v>
      </c>
      <c r="CT357" s="77">
        <f t="shared" si="756"/>
        <v>9</v>
      </c>
      <c r="CU357" s="77" t="str">
        <f t="shared" si="766"/>
        <v>CR21</v>
      </c>
      <c r="CV357" s="77" t="str">
        <f t="shared" ca="1" si="765"/>
        <v/>
      </c>
      <c r="CW357" s="77">
        <f t="shared" ca="1" si="763"/>
        <v>0</v>
      </c>
    </row>
    <row r="358" spans="72:101">
      <c r="BT358" s="77" t="str">
        <f t="shared" ca="1" si="767"/>
        <v>Italy</v>
      </c>
      <c r="BU358" s="77">
        <f t="shared" si="762"/>
        <v>356</v>
      </c>
      <c r="BV358" s="77" t="str">
        <f t="shared" si="760"/>
        <v>A13</v>
      </c>
      <c r="BW358" s="77">
        <f t="shared" si="757"/>
        <v>16</v>
      </c>
      <c r="BX358" s="77" t="str">
        <f t="shared" ca="1" si="761"/>
        <v>A. Cerci</v>
      </c>
      <c r="BY358" s="77">
        <f ca="1">COUNTIF('Group Stages'!$L$14:$S$110,BX358)+COUNTIF('Knock Out Stages'!$N$41:$U$84,BX358)</f>
        <v>0</v>
      </c>
      <c r="BZ358" s="77" t="str">
        <f t="shared" si="758"/>
        <v>'Player Database'!A13</v>
      </c>
      <c r="CA358" s="77" t="str">
        <f t="shared" ca="1" si="759"/>
        <v>Alessio Cerci</v>
      </c>
      <c r="CS358" s="77">
        <f t="shared" si="764"/>
        <v>355</v>
      </c>
      <c r="CT358" s="77">
        <f t="shared" si="756"/>
        <v>9</v>
      </c>
      <c r="CU358" s="77" t="str">
        <f t="shared" si="766"/>
        <v>CR22</v>
      </c>
      <c r="CV358" s="77" t="str">
        <f t="shared" ca="1" si="765"/>
        <v/>
      </c>
      <c r="CW358" s="77">
        <f t="shared" ca="1" si="763"/>
        <v>0</v>
      </c>
    </row>
    <row r="359" spans="72:101">
      <c r="BT359" s="77" t="str">
        <f t="shared" ca="1" si="767"/>
        <v>Italy</v>
      </c>
      <c r="BU359" s="77">
        <f t="shared" si="762"/>
        <v>357</v>
      </c>
      <c r="BV359" s="77" t="str">
        <f t="shared" si="760"/>
        <v>A14</v>
      </c>
      <c r="BW359" s="77">
        <f t="shared" si="757"/>
        <v>16</v>
      </c>
      <c r="BX359" s="77" t="str">
        <f t="shared" ca="1" si="761"/>
        <v>S. Sirigu</v>
      </c>
      <c r="BY359" s="77">
        <f ca="1">COUNTIF('Group Stages'!$L$14:$S$110,BX359)+COUNTIF('Knock Out Stages'!$N$41:$U$84,BX359)</f>
        <v>0</v>
      </c>
      <c r="BZ359" s="77" t="str">
        <f t="shared" si="758"/>
        <v>'Player Database'!A14</v>
      </c>
      <c r="CA359" s="77" t="str">
        <f t="shared" ca="1" si="759"/>
        <v>Salvatore Sirigu</v>
      </c>
      <c r="CS359" s="77">
        <f t="shared" si="764"/>
        <v>356</v>
      </c>
      <c r="CT359" s="77">
        <f t="shared" si="756"/>
        <v>9</v>
      </c>
      <c r="CU359" s="77" t="str">
        <f t="shared" si="766"/>
        <v>CR23</v>
      </c>
      <c r="CV359" s="77" t="str">
        <f t="shared" ca="1" si="765"/>
        <v/>
      </c>
      <c r="CW359" s="77">
        <f t="shared" ca="1" si="763"/>
        <v>0</v>
      </c>
    </row>
    <row r="360" spans="72:101">
      <c r="BT360" s="77" t="str">
        <f t="shared" ca="1" si="767"/>
        <v>Italy</v>
      </c>
      <c r="BU360" s="77">
        <f t="shared" si="762"/>
        <v>358</v>
      </c>
      <c r="BV360" s="77" t="str">
        <f t="shared" si="760"/>
        <v>A15</v>
      </c>
      <c r="BW360" s="77">
        <f t="shared" si="757"/>
        <v>16</v>
      </c>
      <c r="BX360" s="77" t="str">
        <f t="shared" ca="1" si="761"/>
        <v>M. Perin</v>
      </c>
      <c r="BY360" s="77">
        <f ca="1">COUNTIF('Group Stages'!$L$14:$S$110,BX360)+COUNTIF('Knock Out Stages'!$N$41:$U$84,BX360)</f>
        <v>0</v>
      </c>
      <c r="BZ360" s="77" t="str">
        <f t="shared" si="758"/>
        <v>'Player Database'!A15</v>
      </c>
      <c r="CA360" s="77" t="str">
        <f t="shared" ca="1" si="759"/>
        <v>Mattia Perin</v>
      </c>
      <c r="CS360" s="77">
        <f t="shared" si="764"/>
        <v>357</v>
      </c>
      <c r="CT360" s="77">
        <f t="shared" si="756"/>
        <v>9</v>
      </c>
      <c r="CU360" s="77" t="str">
        <f t="shared" si="766"/>
        <v>CR24</v>
      </c>
      <c r="CV360" s="77" t="str">
        <f t="shared" ca="1" si="765"/>
        <v/>
      </c>
      <c r="CW360" s="77">
        <f t="shared" ca="1" si="763"/>
        <v>0</v>
      </c>
    </row>
    <row r="361" spans="72:101">
      <c r="BT361" s="77" t="str">
        <f t="shared" ca="1" si="767"/>
        <v>Italy</v>
      </c>
      <c r="BU361" s="77">
        <f t="shared" si="762"/>
        <v>359</v>
      </c>
      <c r="BV361" s="77" t="str">
        <f t="shared" si="760"/>
        <v>A16</v>
      </c>
      <c r="BW361" s="77">
        <f t="shared" si="757"/>
        <v>16</v>
      </c>
      <c r="BX361" s="77" t="str">
        <f t="shared" ca="1" si="761"/>
        <v>A. Aquilani</v>
      </c>
      <c r="BY361" s="77">
        <f ca="1">COUNTIF('Group Stages'!$L$14:$S$110,BX361)+COUNTIF('Knock Out Stages'!$N$41:$U$84,BX361)</f>
        <v>0</v>
      </c>
      <c r="BZ361" s="77" t="str">
        <f t="shared" si="758"/>
        <v>'Player Database'!A16</v>
      </c>
      <c r="CA361" s="77" t="str">
        <f t="shared" ca="1" si="759"/>
        <v>Alberto Aquilani</v>
      </c>
      <c r="CS361" s="77">
        <f t="shared" si="764"/>
        <v>358</v>
      </c>
      <c r="CT361" s="77">
        <f t="shared" si="756"/>
        <v>9</v>
      </c>
      <c r="CU361" s="77" t="str">
        <f t="shared" si="766"/>
        <v>CR25</v>
      </c>
      <c r="CV361" s="77" t="str">
        <f t="shared" ca="1" si="765"/>
        <v/>
      </c>
      <c r="CW361" s="77">
        <f t="shared" ca="1" si="763"/>
        <v>0</v>
      </c>
    </row>
    <row r="362" spans="72:101">
      <c r="BT362" s="77" t="str">
        <f t="shared" ca="1" si="767"/>
        <v>Italy</v>
      </c>
      <c r="BU362" s="77">
        <f t="shared" si="762"/>
        <v>360</v>
      </c>
      <c r="BV362" s="77" t="str">
        <f t="shared" si="760"/>
        <v>A17</v>
      </c>
      <c r="BW362" s="77">
        <f t="shared" si="757"/>
        <v>16</v>
      </c>
      <c r="BX362" s="77" t="str">
        <f t="shared" ca="1" si="761"/>
        <v>A. Barzagli</v>
      </c>
      <c r="BY362" s="77">
        <f ca="1">COUNTIF('Group Stages'!$L$14:$S$110,BX362)+COUNTIF('Knock Out Stages'!$N$41:$U$84,BX362)</f>
        <v>0</v>
      </c>
      <c r="BZ362" s="77" t="str">
        <f t="shared" si="758"/>
        <v>'Player Database'!A17</v>
      </c>
      <c r="CA362" s="77" t="str">
        <f t="shared" ca="1" si="759"/>
        <v>Andrea Barzagli</v>
      </c>
      <c r="CS362" s="77">
        <f t="shared" si="764"/>
        <v>359</v>
      </c>
      <c r="CT362" s="77">
        <f t="shared" si="756"/>
        <v>9</v>
      </c>
      <c r="CU362" s="77" t="str">
        <f t="shared" si="766"/>
        <v>CR26</v>
      </c>
      <c r="CV362" s="77" t="str">
        <f t="shared" ca="1" si="765"/>
        <v/>
      </c>
      <c r="CW362" s="77">
        <f t="shared" ca="1" si="763"/>
        <v>0</v>
      </c>
    </row>
    <row r="363" spans="72:101">
      <c r="BT363" s="77" t="str">
        <f t="shared" ca="1" si="767"/>
        <v>Italy</v>
      </c>
      <c r="BU363" s="77">
        <f t="shared" si="762"/>
        <v>361</v>
      </c>
      <c r="BV363" s="77" t="str">
        <f t="shared" si="760"/>
        <v>A18</v>
      </c>
      <c r="BW363" s="77">
        <f t="shared" si="757"/>
        <v>16</v>
      </c>
      <c r="BX363" s="77" t="str">
        <f t="shared" ca="1" si="761"/>
        <v>D. De Rossi</v>
      </c>
      <c r="BY363" s="77">
        <f ca="1">COUNTIF('Group Stages'!$L$14:$S$110,BX363)+COUNTIF('Knock Out Stages'!$N$41:$U$84,BX363)</f>
        <v>0</v>
      </c>
      <c r="BZ363" s="77" t="str">
        <f t="shared" si="758"/>
        <v>'Player Database'!A18</v>
      </c>
      <c r="CA363" s="77" t="str">
        <f t="shared" ca="1" si="759"/>
        <v>Daniele De Rossi</v>
      </c>
      <c r="CS363" s="77">
        <f t="shared" si="764"/>
        <v>360</v>
      </c>
      <c r="CT363" s="77">
        <f t="shared" si="756"/>
        <v>9</v>
      </c>
      <c r="CU363" s="77" t="str">
        <f t="shared" si="766"/>
        <v>CR27</v>
      </c>
      <c r="CV363" s="77" t="str">
        <f t="shared" ca="1" si="765"/>
        <v/>
      </c>
      <c r="CW363" s="77">
        <f t="shared" ca="1" si="763"/>
        <v>0</v>
      </c>
    </row>
    <row r="364" spans="72:101">
      <c r="BT364" s="77" t="str">
        <f t="shared" ca="1" si="767"/>
        <v>Italy</v>
      </c>
      <c r="BU364" s="77">
        <f t="shared" si="762"/>
        <v>362</v>
      </c>
      <c r="BV364" s="77" t="str">
        <f t="shared" si="760"/>
        <v>A19</v>
      </c>
      <c r="BW364" s="77">
        <f t="shared" si="757"/>
        <v>16</v>
      </c>
      <c r="BX364" s="77" t="str">
        <f t="shared" ca="1" si="761"/>
        <v>C. Immobile</v>
      </c>
      <c r="BY364" s="77">
        <f ca="1">COUNTIF('Group Stages'!$L$14:$S$110,BX364)+COUNTIF('Knock Out Stages'!$N$41:$U$84,BX364)</f>
        <v>0</v>
      </c>
      <c r="BZ364" s="77" t="str">
        <f t="shared" si="758"/>
        <v>'Player Database'!A19</v>
      </c>
      <c r="CA364" s="77" t="str">
        <f t="shared" ca="1" si="759"/>
        <v>Ciro Immobile</v>
      </c>
      <c r="CS364" s="77">
        <f t="shared" si="764"/>
        <v>361</v>
      </c>
      <c r="CT364" s="77">
        <f t="shared" si="756"/>
        <v>9</v>
      </c>
      <c r="CU364" s="77" t="str">
        <f t="shared" si="766"/>
        <v>CR28</v>
      </c>
      <c r="CV364" s="77" t="str">
        <f t="shared" ca="1" si="765"/>
        <v/>
      </c>
      <c r="CW364" s="77">
        <f t="shared" ca="1" si="763"/>
        <v>0</v>
      </c>
    </row>
    <row r="365" spans="72:101">
      <c r="BT365" s="77" t="str">
        <f t="shared" ca="1" si="767"/>
        <v>Italy</v>
      </c>
      <c r="BU365" s="77">
        <f t="shared" si="762"/>
        <v>363</v>
      </c>
      <c r="BV365" s="77" t="str">
        <f t="shared" si="760"/>
        <v>A20</v>
      </c>
      <c r="BW365" s="77">
        <f t="shared" si="757"/>
        <v>16</v>
      </c>
      <c r="BX365" s="77" t="str">
        <f t="shared" ca="1" si="761"/>
        <v>M. Parolo</v>
      </c>
      <c r="BY365" s="77">
        <f ca="1">COUNTIF('Group Stages'!$L$14:$S$110,BX365)+COUNTIF('Knock Out Stages'!$N$41:$U$84,BX365)</f>
        <v>0</v>
      </c>
      <c r="BZ365" s="77" t="str">
        <f t="shared" si="758"/>
        <v>'Player Database'!A20</v>
      </c>
      <c r="CA365" s="77" t="str">
        <f t="shared" ca="1" si="759"/>
        <v>Marco Parolo</v>
      </c>
      <c r="CS365" s="77">
        <f t="shared" si="764"/>
        <v>362</v>
      </c>
      <c r="CT365" s="77">
        <f t="shared" si="756"/>
        <v>9</v>
      </c>
      <c r="CU365" s="77" t="str">
        <f t="shared" si="766"/>
        <v>CR29</v>
      </c>
      <c r="CV365" s="77" t="str">
        <f t="shared" ca="1" si="765"/>
        <v/>
      </c>
      <c r="CW365" s="77">
        <f t="shared" ca="1" si="763"/>
        <v>0</v>
      </c>
    </row>
    <row r="366" spans="72:101">
      <c r="BT366" s="77" t="str">
        <f t="shared" ca="1" si="767"/>
        <v>Italy</v>
      </c>
      <c r="BU366" s="77">
        <f t="shared" si="762"/>
        <v>364</v>
      </c>
      <c r="BV366" s="77" t="str">
        <f t="shared" si="760"/>
        <v>A21</v>
      </c>
      <c r="BW366" s="77">
        <f t="shared" si="757"/>
        <v>16</v>
      </c>
      <c r="BX366" s="77" t="str">
        <f t="shared" ca="1" si="761"/>
        <v>L. Bonucci</v>
      </c>
      <c r="BY366" s="77">
        <f ca="1">COUNTIF('Group Stages'!$L$14:$S$110,BX366)+COUNTIF('Knock Out Stages'!$N$41:$U$84,BX366)</f>
        <v>0</v>
      </c>
      <c r="BZ366" s="77" t="str">
        <f t="shared" si="758"/>
        <v>'Player Database'!A21</v>
      </c>
      <c r="CA366" s="77" t="str">
        <f t="shared" ca="1" si="759"/>
        <v>Leonardo Bonucci</v>
      </c>
      <c r="CS366" s="77">
        <f t="shared" si="764"/>
        <v>363</v>
      </c>
      <c r="CT366" s="77">
        <f t="shared" si="756"/>
        <v>9</v>
      </c>
      <c r="CU366" s="77" t="str">
        <f t="shared" si="766"/>
        <v>CR30</v>
      </c>
      <c r="CV366" s="77" t="str">
        <f t="shared" ca="1" si="765"/>
        <v/>
      </c>
      <c r="CW366" s="77">
        <f t="shared" ca="1" si="763"/>
        <v>0</v>
      </c>
    </row>
    <row r="367" spans="72:101">
      <c r="BT367" s="77" t="str">
        <f t="shared" ca="1" si="767"/>
        <v>Italy</v>
      </c>
      <c r="BU367" s="77">
        <f t="shared" si="762"/>
        <v>365</v>
      </c>
      <c r="BV367" s="77" t="str">
        <f t="shared" si="760"/>
        <v>A22</v>
      </c>
      <c r="BW367" s="77">
        <f t="shared" si="757"/>
        <v>16</v>
      </c>
      <c r="BX367" s="77" t="str">
        <f t="shared" ca="1" si="761"/>
        <v>G. Paletta</v>
      </c>
      <c r="BY367" s="77">
        <f ca="1">COUNTIF('Group Stages'!$L$14:$S$110,BX367)+COUNTIF('Knock Out Stages'!$N$41:$U$84,BX367)</f>
        <v>0</v>
      </c>
      <c r="BZ367" s="77" t="str">
        <f t="shared" si="758"/>
        <v>'Player Database'!A22</v>
      </c>
      <c r="CA367" s="77" t="str">
        <f t="shared" ca="1" si="759"/>
        <v>Gabriel Paletta</v>
      </c>
      <c r="CS367" s="77">
        <f t="shared" si="764"/>
        <v>364</v>
      </c>
      <c r="CT367" s="77">
        <f t="shared" si="756"/>
        <v>9</v>
      </c>
      <c r="CU367" s="77" t="str">
        <f t="shared" si="766"/>
        <v>CR31</v>
      </c>
      <c r="CV367" s="77" t="str">
        <f t="shared" ca="1" si="765"/>
        <v/>
      </c>
      <c r="CW367" s="77">
        <f t="shared" ca="1" si="763"/>
        <v>0</v>
      </c>
    </row>
    <row r="368" spans="72:101">
      <c r="BT368" s="77" t="str">
        <f t="shared" ca="1" si="767"/>
        <v>Italy</v>
      </c>
      <c r="BU368" s="77">
        <f t="shared" si="762"/>
        <v>366</v>
      </c>
      <c r="BV368" s="77" t="str">
        <f t="shared" si="760"/>
        <v>A23</v>
      </c>
      <c r="BW368" s="77">
        <f t="shared" si="757"/>
        <v>16</v>
      </c>
      <c r="BX368" s="77" t="str">
        <f t="shared" ref="BX368:BX431" ca="1" si="768">OFFSET(INDIRECT(BV368),0,BW368)</f>
        <v>A. Pirlo</v>
      </c>
      <c r="BY368" s="77">
        <f ca="1">COUNTIF('Group Stages'!$L$14:$S$110,BX368)+COUNTIF('Knock Out Stages'!$N$41:$U$84,BX368)</f>
        <v>0</v>
      </c>
      <c r="BZ368" s="77" t="str">
        <f t="shared" si="758"/>
        <v>'Player Database'!A23</v>
      </c>
      <c r="CA368" s="77" t="str">
        <f t="shared" ca="1" si="759"/>
        <v>Andrea Pirlo</v>
      </c>
      <c r="CS368" s="77">
        <f t="shared" si="764"/>
        <v>365</v>
      </c>
      <c r="CT368" s="77">
        <f t="shared" ref="CT368:CT431" si="769">CT326+1</f>
        <v>9</v>
      </c>
      <c r="CU368" s="77" t="str">
        <f t="shared" si="766"/>
        <v>CR32</v>
      </c>
      <c r="CV368" s="77" t="str">
        <f t="shared" ca="1" si="765"/>
        <v/>
      </c>
      <c r="CW368" s="77">
        <f t="shared" ca="1" si="763"/>
        <v>0</v>
      </c>
    </row>
    <row r="369" spans="72:101">
      <c r="BT369" s="77" t="str">
        <f t="shared" ca="1" si="767"/>
        <v>Italy</v>
      </c>
      <c r="BU369" s="77">
        <f t="shared" si="762"/>
        <v>367</v>
      </c>
      <c r="BV369" s="77" t="str">
        <f t="shared" si="760"/>
        <v>A24</v>
      </c>
      <c r="BW369" s="77">
        <f t="shared" si="757"/>
        <v>16</v>
      </c>
      <c r="BX369" s="77" t="str">
        <f t="shared" ca="1" si="768"/>
        <v>L. Insigne</v>
      </c>
      <c r="BY369" s="77">
        <f ca="1">COUNTIF('Group Stages'!$L$14:$S$110,BX369)+COUNTIF('Knock Out Stages'!$N$41:$U$84,BX369)</f>
        <v>0</v>
      </c>
      <c r="BZ369" s="77" t="str">
        <f t="shared" si="758"/>
        <v>'Player Database'!A24</v>
      </c>
      <c r="CA369" s="77" t="str">
        <f t="shared" ca="1" si="759"/>
        <v>Lorenzo Insigne</v>
      </c>
      <c r="CS369" s="77">
        <f t="shared" si="764"/>
        <v>366</v>
      </c>
      <c r="CT369" s="77">
        <f t="shared" si="769"/>
        <v>9</v>
      </c>
      <c r="CU369" s="77" t="str">
        <f t="shared" si="766"/>
        <v>CR33</v>
      </c>
      <c r="CV369" s="77" t="str">
        <f t="shared" ca="1" si="765"/>
        <v/>
      </c>
      <c r="CW369" s="77">
        <f t="shared" ca="1" si="763"/>
        <v>0</v>
      </c>
    </row>
    <row r="370" spans="72:101">
      <c r="BT370" s="77" t="str">
        <f t="shared" ca="1" si="767"/>
        <v>Italy</v>
      </c>
      <c r="BU370" s="77">
        <f t="shared" si="762"/>
        <v>368</v>
      </c>
      <c r="BV370" s="77" t="str">
        <f t="shared" si="760"/>
        <v>A25</v>
      </c>
      <c r="BW370" s="77">
        <f t="shared" ref="BW370:BW433" si="770">BW347+1</f>
        <v>16</v>
      </c>
      <c r="BX370" s="77" t="str">
        <f t="shared" ca="1" si="768"/>
        <v>M. Verratti</v>
      </c>
      <c r="BY370" s="77">
        <f ca="1">COUNTIF('Group Stages'!$L$14:$S$110,BX370)+COUNTIF('Knock Out Stages'!$N$41:$U$84,BX370)</f>
        <v>0</v>
      </c>
      <c r="BZ370" s="77" t="str">
        <f t="shared" ref="BZ370:BZ433" si="771">BZ347</f>
        <v>'Player Database'!A25</v>
      </c>
      <c r="CA370" s="77" t="str">
        <f t="shared" ref="CA370:CA433" ca="1" si="772">OFFSET(INDIRECT(BZ370),0,BW370)</f>
        <v>Marco Verratti</v>
      </c>
      <c r="CS370" s="77">
        <f t="shared" si="764"/>
        <v>367</v>
      </c>
      <c r="CT370" s="77">
        <f t="shared" si="769"/>
        <v>9</v>
      </c>
      <c r="CU370" s="77" t="str">
        <f t="shared" si="766"/>
        <v>CR34</v>
      </c>
      <c r="CV370" s="77" t="str">
        <f t="shared" ca="1" si="765"/>
        <v/>
      </c>
      <c r="CW370" s="77">
        <f t="shared" ca="1" si="763"/>
        <v>0</v>
      </c>
    </row>
    <row r="371" spans="72:101">
      <c r="BT371" s="77" t="str">
        <f t="shared" ca="1" si="767"/>
        <v>Switzerland</v>
      </c>
      <c r="BU371" s="77">
        <f t="shared" si="762"/>
        <v>369</v>
      </c>
      <c r="BV371" s="77" t="str">
        <f t="shared" ref="BV371:BV434" si="773">BV348</f>
        <v>A3</v>
      </c>
      <c r="BW371" s="77">
        <f t="shared" si="770"/>
        <v>17</v>
      </c>
      <c r="BX371" s="77" t="str">
        <f t="shared" ca="1" si="768"/>
        <v>D. Benaglio</v>
      </c>
      <c r="BY371" s="77">
        <f ca="1">COUNTIF('Group Stages'!$L$14:$S$110,BX371)+COUNTIF('Knock Out Stages'!$N$41:$U$84,BX371)</f>
        <v>0</v>
      </c>
      <c r="BZ371" s="77" t="str">
        <f t="shared" si="771"/>
        <v>'Player Database'!A3</v>
      </c>
      <c r="CA371" s="77" t="str">
        <f t="shared" ca="1" si="772"/>
        <v>Diego Benaglio</v>
      </c>
      <c r="CS371" s="77">
        <f t="shared" si="764"/>
        <v>368</v>
      </c>
      <c r="CT371" s="77">
        <f t="shared" si="769"/>
        <v>9</v>
      </c>
      <c r="CU371" s="77" t="str">
        <f t="shared" si="766"/>
        <v>CR35</v>
      </c>
      <c r="CV371" s="77" t="str">
        <f t="shared" ca="1" si="765"/>
        <v/>
      </c>
      <c r="CW371" s="77">
        <f t="shared" ca="1" si="763"/>
        <v>0</v>
      </c>
    </row>
    <row r="372" spans="72:101">
      <c r="BT372" s="77" t="str">
        <f t="shared" ca="1" si="767"/>
        <v>Switzerland</v>
      </c>
      <c r="BU372" s="77">
        <f t="shared" si="762"/>
        <v>370</v>
      </c>
      <c r="BV372" s="77" t="str">
        <f t="shared" si="773"/>
        <v>A4</v>
      </c>
      <c r="BW372" s="77">
        <f t="shared" si="770"/>
        <v>17</v>
      </c>
      <c r="BX372" s="77" t="str">
        <f t="shared" ca="1" si="768"/>
        <v>S. Lichtsteiner</v>
      </c>
      <c r="BY372" s="77">
        <f ca="1">COUNTIF('Group Stages'!$L$14:$S$110,BX372)+COUNTIF('Knock Out Stages'!$N$41:$U$84,BX372)</f>
        <v>0</v>
      </c>
      <c r="BZ372" s="77" t="str">
        <f t="shared" si="771"/>
        <v>'Player Database'!A4</v>
      </c>
      <c r="CA372" s="77" t="str">
        <f t="shared" ca="1" si="772"/>
        <v>Stephan Lichtsteiner</v>
      </c>
      <c r="CS372" s="77">
        <f t="shared" si="764"/>
        <v>369</v>
      </c>
      <c r="CT372" s="77">
        <f t="shared" si="769"/>
        <v>9</v>
      </c>
      <c r="CU372" s="77" t="str">
        <f t="shared" si="766"/>
        <v>CR36</v>
      </c>
      <c r="CV372" s="77" t="str">
        <f t="shared" ca="1" si="765"/>
        <v/>
      </c>
      <c r="CW372" s="77">
        <f t="shared" ca="1" si="763"/>
        <v>0</v>
      </c>
    </row>
    <row r="373" spans="72:101">
      <c r="BT373" s="77" t="str">
        <f t="shared" ca="1" si="767"/>
        <v>Switzerland</v>
      </c>
      <c r="BU373" s="77">
        <f t="shared" si="762"/>
        <v>371</v>
      </c>
      <c r="BV373" s="77" t="str">
        <f t="shared" si="773"/>
        <v>A5</v>
      </c>
      <c r="BW373" s="77">
        <f t="shared" si="770"/>
        <v>17</v>
      </c>
      <c r="BX373" s="77" t="str">
        <f t="shared" ca="1" si="768"/>
        <v>R. Ziegler</v>
      </c>
      <c r="BY373" s="77">
        <f ca="1">COUNTIF('Group Stages'!$L$14:$S$110,BX373)+COUNTIF('Knock Out Stages'!$N$41:$U$84,BX373)</f>
        <v>0</v>
      </c>
      <c r="BZ373" s="77" t="str">
        <f t="shared" si="771"/>
        <v>'Player Database'!A5</v>
      </c>
      <c r="CA373" s="77" t="str">
        <f t="shared" ca="1" si="772"/>
        <v>Reto Ziegler</v>
      </c>
      <c r="CS373" s="77">
        <f t="shared" si="764"/>
        <v>370</v>
      </c>
      <c r="CT373" s="77">
        <f t="shared" si="769"/>
        <v>9</v>
      </c>
      <c r="CU373" s="77" t="str">
        <f t="shared" si="766"/>
        <v>CR37</v>
      </c>
      <c r="CV373" s="77" t="str">
        <f t="shared" ca="1" si="765"/>
        <v/>
      </c>
      <c r="CW373" s="77">
        <f t="shared" ca="1" si="763"/>
        <v>0</v>
      </c>
    </row>
    <row r="374" spans="72:101">
      <c r="BT374" s="77" t="str">
        <f t="shared" ca="1" si="767"/>
        <v>Switzerland</v>
      </c>
      <c r="BU374" s="77">
        <f t="shared" si="762"/>
        <v>372</v>
      </c>
      <c r="BV374" s="77" t="str">
        <f t="shared" si="773"/>
        <v>A6</v>
      </c>
      <c r="BW374" s="77">
        <f t="shared" si="770"/>
        <v>17</v>
      </c>
      <c r="BX374" s="77" t="str">
        <f t="shared" ca="1" si="768"/>
        <v>P. Senderos</v>
      </c>
      <c r="BY374" s="77">
        <f ca="1">COUNTIF('Group Stages'!$L$14:$S$110,BX374)+COUNTIF('Knock Out Stages'!$N$41:$U$84,BX374)</f>
        <v>0</v>
      </c>
      <c r="BZ374" s="77" t="str">
        <f t="shared" si="771"/>
        <v>'Player Database'!A6</v>
      </c>
      <c r="CA374" s="77" t="str">
        <f t="shared" ca="1" si="772"/>
        <v>Philippe Senderos</v>
      </c>
      <c r="CS374" s="77">
        <f t="shared" si="764"/>
        <v>371</v>
      </c>
      <c r="CT374" s="77">
        <f t="shared" si="769"/>
        <v>9</v>
      </c>
      <c r="CU374" s="77" t="str">
        <f t="shared" si="766"/>
        <v>CR38</v>
      </c>
      <c r="CV374" s="77" t="str">
        <f t="shared" ca="1" si="765"/>
        <v/>
      </c>
      <c r="CW374" s="77">
        <f t="shared" ca="1" si="763"/>
        <v>0</v>
      </c>
    </row>
    <row r="375" spans="72:101">
      <c r="BT375" s="77" t="str">
        <f t="shared" ca="1" si="767"/>
        <v>Switzerland</v>
      </c>
      <c r="BU375" s="77">
        <f t="shared" si="762"/>
        <v>373</v>
      </c>
      <c r="BV375" s="77" t="str">
        <f t="shared" si="773"/>
        <v>A7</v>
      </c>
      <c r="BW375" s="77">
        <f t="shared" si="770"/>
        <v>17</v>
      </c>
      <c r="BX375" s="77" t="str">
        <f t="shared" ca="1" si="768"/>
        <v>S. von Bergen</v>
      </c>
      <c r="BY375" s="77">
        <f ca="1">COUNTIF('Group Stages'!$L$14:$S$110,BX375)+COUNTIF('Knock Out Stages'!$N$41:$U$84,BX375)</f>
        <v>0</v>
      </c>
      <c r="BZ375" s="77" t="str">
        <f t="shared" si="771"/>
        <v>'Player Database'!A7</v>
      </c>
      <c r="CA375" s="77" t="str">
        <f t="shared" ca="1" si="772"/>
        <v>Steve von Bergen</v>
      </c>
      <c r="CS375" s="77">
        <f t="shared" si="764"/>
        <v>372</v>
      </c>
      <c r="CT375" s="77">
        <f t="shared" si="769"/>
        <v>9</v>
      </c>
      <c r="CU375" s="77" t="str">
        <f t="shared" si="766"/>
        <v>CR39</v>
      </c>
      <c r="CV375" s="77" t="str">
        <f t="shared" ca="1" si="765"/>
        <v/>
      </c>
      <c r="CW375" s="77">
        <f t="shared" ca="1" si="763"/>
        <v>0</v>
      </c>
    </row>
    <row r="376" spans="72:101">
      <c r="BT376" s="77" t="str">
        <f t="shared" ca="1" si="767"/>
        <v>Switzerland</v>
      </c>
      <c r="BU376" s="77">
        <f t="shared" si="762"/>
        <v>374</v>
      </c>
      <c r="BV376" s="77" t="str">
        <f t="shared" si="773"/>
        <v>A8</v>
      </c>
      <c r="BW376" s="77">
        <f t="shared" si="770"/>
        <v>17</v>
      </c>
      <c r="BX376" s="77" t="str">
        <f t="shared" ca="1" si="768"/>
        <v>M. Lang</v>
      </c>
      <c r="BY376" s="77">
        <f ca="1">COUNTIF('Group Stages'!$L$14:$S$110,BX376)+COUNTIF('Knock Out Stages'!$N$41:$U$84,BX376)</f>
        <v>0</v>
      </c>
      <c r="BZ376" s="77" t="str">
        <f t="shared" si="771"/>
        <v>'Player Database'!A8</v>
      </c>
      <c r="CA376" s="77" t="str">
        <f t="shared" ca="1" si="772"/>
        <v>Michael Lang</v>
      </c>
      <c r="CS376" s="77">
        <f t="shared" si="764"/>
        <v>373</v>
      </c>
      <c r="CT376" s="77">
        <f t="shared" si="769"/>
        <v>9</v>
      </c>
      <c r="CU376" s="77" t="str">
        <f t="shared" si="766"/>
        <v>CR40</v>
      </c>
      <c r="CV376" s="77" t="str">
        <f t="shared" ca="1" si="765"/>
        <v/>
      </c>
      <c r="CW376" s="77">
        <f t="shared" ca="1" si="763"/>
        <v>0</v>
      </c>
    </row>
    <row r="377" spans="72:101">
      <c r="BT377" s="77" t="str">
        <f t="shared" ca="1" si="767"/>
        <v>Switzerland</v>
      </c>
      <c r="BU377" s="77">
        <f t="shared" si="762"/>
        <v>375</v>
      </c>
      <c r="BV377" s="77" t="str">
        <f t="shared" si="773"/>
        <v>A9</v>
      </c>
      <c r="BW377" s="77">
        <f t="shared" si="770"/>
        <v>17</v>
      </c>
      <c r="BX377" s="77" t="str">
        <f t="shared" ca="1" si="768"/>
        <v>T. Barnetta</v>
      </c>
      <c r="BY377" s="77">
        <f ca="1">COUNTIF('Group Stages'!$L$14:$S$110,BX377)+COUNTIF('Knock Out Stages'!$N$41:$U$84,BX377)</f>
        <v>0</v>
      </c>
      <c r="BZ377" s="77" t="str">
        <f t="shared" si="771"/>
        <v>'Player Database'!A9</v>
      </c>
      <c r="CA377" s="77" t="str">
        <f t="shared" ca="1" si="772"/>
        <v>Tranquillo Barnetta</v>
      </c>
      <c r="CS377" s="77">
        <f t="shared" si="764"/>
        <v>374</v>
      </c>
      <c r="CT377" s="77">
        <f t="shared" si="769"/>
        <v>9</v>
      </c>
      <c r="CU377" s="77" t="str">
        <f t="shared" si="766"/>
        <v>CR41</v>
      </c>
      <c r="CV377" s="77" t="str">
        <f t="shared" ca="1" si="765"/>
        <v/>
      </c>
      <c r="CW377" s="77">
        <f t="shared" ca="1" si="763"/>
        <v>0</v>
      </c>
    </row>
    <row r="378" spans="72:101">
      <c r="BT378" s="77" t="str">
        <f t="shared" ca="1" si="767"/>
        <v>Switzerland</v>
      </c>
      <c r="BU378" s="77">
        <f t="shared" si="762"/>
        <v>376</v>
      </c>
      <c r="BV378" s="77" t="str">
        <f t="shared" si="773"/>
        <v>A10</v>
      </c>
      <c r="BW378" s="77">
        <f t="shared" si="770"/>
        <v>17</v>
      </c>
      <c r="BX378" s="77" t="str">
        <f t="shared" ca="1" si="768"/>
        <v xml:space="preserve">G. Inler </v>
      </c>
      <c r="BY378" s="77">
        <f ca="1">COUNTIF('Group Stages'!$L$14:$S$110,BX378)+COUNTIF('Knock Out Stages'!$N$41:$U$84,BX378)</f>
        <v>0</v>
      </c>
      <c r="BZ378" s="77" t="str">
        <f t="shared" si="771"/>
        <v>'Player Database'!A10</v>
      </c>
      <c r="CA378" s="77" t="str">
        <f t="shared" ca="1" si="772"/>
        <v xml:space="preserve">Gökhan Inler </v>
      </c>
      <c r="CS378" s="77">
        <f t="shared" si="764"/>
        <v>375</v>
      </c>
      <c r="CT378" s="77">
        <f t="shared" si="769"/>
        <v>9</v>
      </c>
      <c r="CU378" s="77" t="str">
        <f t="shared" si="766"/>
        <v>CR42</v>
      </c>
      <c r="CV378" s="77" t="str">
        <f t="shared" ca="1" si="765"/>
        <v/>
      </c>
      <c r="CW378" s="77">
        <f t="shared" ca="1" si="763"/>
        <v>0</v>
      </c>
    </row>
    <row r="379" spans="72:101">
      <c r="BT379" s="77" t="str">
        <f t="shared" ca="1" si="767"/>
        <v>Switzerland</v>
      </c>
      <c r="BU379" s="77">
        <f t="shared" si="762"/>
        <v>377</v>
      </c>
      <c r="BV379" s="77" t="str">
        <f t="shared" si="773"/>
        <v>A11</v>
      </c>
      <c r="BW379" s="77">
        <f t="shared" si="770"/>
        <v>17</v>
      </c>
      <c r="BX379" s="77" t="str">
        <f t="shared" ca="1" si="768"/>
        <v>H. Seferović</v>
      </c>
      <c r="BY379" s="77">
        <f ca="1">COUNTIF('Group Stages'!$L$14:$S$110,BX379)+COUNTIF('Knock Out Stages'!$N$41:$U$84,BX379)</f>
        <v>0</v>
      </c>
      <c r="BZ379" s="77" t="str">
        <f t="shared" si="771"/>
        <v>'Player Database'!A11</v>
      </c>
      <c r="CA379" s="77" t="str">
        <f t="shared" ca="1" si="772"/>
        <v>Haris Seferović</v>
      </c>
      <c r="CS379" s="77">
        <f t="shared" si="764"/>
        <v>376</v>
      </c>
      <c r="CT379" s="77">
        <f t="shared" si="769"/>
        <v>9</v>
      </c>
      <c r="CU379" s="77" t="str">
        <f t="shared" si="766"/>
        <v>CR43</v>
      </c>
      <c r="CV379" s="77" t="str">
        <f t="shared" ca="1" si="765"/>
        <v/>
      </c>
      <c r="CW379" s="77">
        <f t="shared" ca="1" si="763"/>
        <v>0</v>
      </c>
    </row>
    <row r="380" spans="72:101">
      <c r="BT380" s="77" t="str">
        <f t="shared" ca="1" si="767"/>
        <v>Switzerland</v>
      </c>
      <c r="BU380" s="77">
        <f t="shared" si="762"/>
        <v>378</v>
      </c>
      <c r="BV380" s="77" t="str">
        <f t="shared" si="773"/>
        <v>A12</v>
      </c>
      <c r="BW380" s="77">
        <f t="shared" si="770"/>
        <v>17</v>
      </c>
      <c r="BX380" s="77" t="str">
        <f t="shared" ca="1" si="768"/>
        <v>G. Xhaka</v>
      </c>
      <c r="BY380" s="77">
        <f ca="1">COUNTIF('Group Stages'!$L$14:$S$110,BX380)+COUNTIF('Knock Out Stages'!$N$41:$U$84,BX380)</f>
        <v>0</v>
      </c>
      <c r="BZ380" s="77" t="str">
        <f t="shared" si="771"/>
        <v>'Player Database'!A12</v>
      </c>
      <c r="CA380" s="77" t="str">
        <f t="shared" ca="1" si="772"/>
        <v>Granit Xhaka</v>
      </c>
      <c r="CS380" s="77">
        <f t="shared" si="764"/>
        <v>377</v>
      </c>
      <c r="CT380" s="77">
        <f t="shared" si="769"/>
        <v>9</v>
      </c>
      <c r="CU380" s="77" t="str">
        <f t="shared" si="766"/>
        <v>CR44</v>
      </c>
      <c r="CV380" s="77" t="str">
        <f t="shared" ca="1" si="765"/>
        <v/>
      </c>
      <c r="CW380" s="77">
        <f t="shared" ca="1" si="763"/>
        <v>0</v>
      </c>
    </row>
    <row r="381" spans="72:101">
      <c r="BT381" s="77" t="str">
        <f t="shared" ca="1" si="767"/>
        <v>Switzerland</v>
      </c>
      <c r="BU381" s="77">
        <f t="shared" si="762"/>
        <v>379</v>
      </c>
      <c r="BV381" s="77" t="str">
        <f t="shared" si="773"/>
        <v>A13</v>
      </c>
      <c r="BW381" s="77">
        <f t="shared" si="770"/>
        <v>17</v>
      </c>
      <c r="BX381" s="77" t="str">
        <f t="shared" ca="1" si="768"/>
        <v>V. Behrami</v>
      </c>
      <c r="BY381" s="77">
        <f ca="1">COUNTIF('Group Stages'!$L$14:$S$110,BX381)+COUNTIF('Knock Out Stages'!$N$41:$U$84,BX381)</f>
        <v>0</v>
      </c>
      <c r="BZ381" s="77" t="str">
        <f t="shared" si="771"/>
        <v>'Player Database'!A13</v>
      </c>
      <c r="CA381" s="77" t="str">
        <f t="shared" ca="1" si="772"/>
        <v>Valon Behrami</v>
      </c>
      <c r="CS381" s="77">
        <f t="shared" si="764"/>
        <v>378</v>
      </c>
      <c r="CT381" s="77">
        <f t="shared" si="769"/>
        <v>9</v>
      </c>
      <c r="CU381" s="77" t="str">
        <f t="shared" si="766"/>
        <v>CR45</v>
      </c>
      <c r="CV381" s="77" t="str">
        <f t="shared" ca="1" si="765"/>
        <v/>
      </c>
      <c r="CW381" s="77">
        <f t="shared" ca="1" si="763"/>
        <v>0</v>
      </c>
    </row>
    <row r="382" spans="72:101">
      <c r="BT382" s="77" t="str">
        <f t="shared" ca="1" si="767"/>
        <v>Switzerland</v>
      </c>
      <c r="BU382" s="77">
        <f t="shared" si="762"/>
        <v>380</v>
      </c>
      <c r="BV382" s="77" t="str">
        <f t="shared" si="773"/>
        <v>A14</v>
      </c>
      <c r="BW382" s="77">
        <f t="shared" si="770"/>
        <v>17</v>
      </c>
      <c r="BX382" s="77" t="str">
        <f t="shared" ca="1" si="768"/>
        <v>Y. Sommer</v>
      </c>
      <c r="BY382" s="77">
        <f ca="1">COUNTIF('Group Stages'!$L$14:$S$110,BX382)+COUNTIF('Knock Out Stages'!$N$41:$U$84,BX382)</f>
        <v>0</v>
      </c>
      <c r="BZ382" s="77" t="str">
        <f t="shared" si="771"/>
        <v>'Player Database'!A14</v>
      </c>
      <c r="CA382" s="77" t="str">
        <f t="shared" ca="1" si="772"/>
        <v>Yann Sommer</v>
      </c>
      <c r="CS382" s="77">
        <f t="shared" si="764"/>
        <v>379</v>
      </c>
      <c r="CT382" s="77">
        <f t="shared" si="769"/>
        <v>10</v>
      </c>
      <c r="CU382" s="77" t="str">
        <f t="shared" si="766"/>
        <v>CR4</v>
      </c>
      <c r="CV382" s="77" t="str">
        <f t="shared" ca="1" si="765"/>
        <v/>
      </c>
      <c r="CW382" s="77">
        <f t="shared" ca="1" si="763"/>
        <v>0</v>
      </c>
    </row>
    <row r="383" spans="72:101">
      <c r="BT383" s="77" t="str">
        <f t="shared" ca="1" si="767"/>
        <v>Switzerland</v>
      </c>
      <c r="BU383" s="77">
        <f t="shared" si="762"/>
        <v>381</v>
      </c>
      <c r="BV383" s="77" t="str">
        <f t="shared" si="773"/>
        <v>A15</v>
      </c>
      <c r="BW383" s="77">
        <f t="shared" si="770"/>
        <v>17</v>
      </c>
      <c r="BX383" s="77" t="str">
        <f t="shared" ca="1" si="768"/>
        <v>R. Rodríguez</v>
      </c>
      <c r="BY383" s="77">
        <f ca="1">COUNTIF('Group Stages'!$L$14:$S$110,BX383)+COUNTIF('Knock Out Stages'!$N$41:$U$84,BX383)</f>
        <v>0</v>
      </c>
      <c r="BZ383" s="77" t="str">
        <f t="shared" si="771"/>
        <v>'Player Database'!A15</v>
      </c>
      <c r="CA383" s="77" t="str">
        <f t="shared" ca="1" si="772"/>
        <v>Ricardo Rodríguez</v>
      </c>
      <c r="CS383" s="77">
        <f t="shared" si="764"/>
        <v>380</v>
      </c>
      <c r="CT383" s="77">
        <f t="shared" si="769"/>
        <v>10</v>
      </c>
      <c r="CU383" s="77" t="str">
        <f t="shared" si="766"/>
        <v>CR5</v>
      </c>
      <c r="CV383" s="77" t="str">
        <f t="shared" ca="1" si="765"/>
        <v/>
      </c>
      <c r="CW383" s="77">
        <f t="shared" ca="1" si="763"/>
        <v>0</v>
      </c>
    </row>
    <row r="384" spans="72:101">
      <c r="BT384" s="77" t="str">
        <f t="shared" ca="1" si="767"/>
        <v>Switzerland</v>
      </c>
      <c r="BU384" s="77">
        <f t="shared" si="762"/>
        <v>382</v>
      </c>
      <c r="BV384" s="77" t="str">
        <f t="shared" si="773"/>
        <v>A16</v>
      </c>
      <c r="BW384" s="77">
        <f t="shared" si="770"/>
        <v>17</v>
      </c>
      <c r="BX384" s="77" t="str">
        <f t="shared" ca="1" si="768"/>
        <v>V. Stocker</v>
      </c>
      <c r="BY384" s="77">
        <f ca="1">COUNTIF('Group Stages'!$L$14:$S$110,BX384)+COUNTIF('Knock Out Stages'!$N$41:$U$84,BX384)</f>
        <v>0</v>
      </c>
      <c r="BZ384" s="77" t="str">
        <f t="shared" si="771"/>
        <v>'Player Database'!A16</v>
      </c>
      <c r="CA384" s="77" t="str">
        <f t="shared" ca="1" si="772"/>
        <v>Valentin Stocker</v>
      </c>
      <c r="CS384" s="77">
        <f t="shared" si="764"/>
        <v>381</v>
      </c>
      <c r="CT384" s="77">
        <f t="shared" si="769"/>
        <v>10</v>
      </c>
      <c r="CU384" s="77" t="str">
        <f t="shared" si="766"/>
        <v>CR6</v>
      </c>
      <c r="CV384" s="77" t="str">
        <f t="shared" ca="1" si="765"/>
        <v/>
      </c>
      <c r="CW384" s="77">
        <f t="shared" ca="1" si="763"/>
        <v>0</v>
      </c>
    </row>
    <row r="385" spans="72:101">
      <c r="BT385" s="77" t="str">
        <f t="shared" ca="1" si="767"/>
        <v>Switzerland</v>
      </c>
      <c r="BU385" s="77">
        <f t="shared" si="762"/>
        <v>383</v>
      </c>
      <c r="BV385" s="77" t="str">
        <f t="shared" si="773"/>
        <v>A17</v>
      </c>
      <c r="BW385" s="77">
        <f t="shared" si="770"/>
        <v>17</v>
      </c>
      <c r="BX385" s="77" t="str">
        <f t="shared" ca="1" si="768"/>
        <v>B. Džemaili</v>
      </c>
      <c r="BY385" s="77">
        <f ca="1">COUNTIF('Group Stages'!$L$14:$S$110,BX385)+COUNTIF('Knock Out Stages'!$N$41:$U$84,BX385)</f>
        <v>0</v>
      </c>
      <c r="BZ385" s="77" t="str">
        <f t="shared" si="771"/>
        <v>'Player Database'!A17</v>
      </c>
      <c r="CA385" s="77" t="str">
        <f t="shared" ca="1" si="772"/>
        <v>Blerim Džemaili</v>
      </c>
      <c r="CS385" s="77">
        <f t="shared" si="764"/>
        <v>382</v>
      </c>
      <c r="CT385" s="77">
        <f t="shared" si="769"/>
        <v>10</v>
      </c>
      <c r="CU385" s="77" t="str">
        <f t="shared" si="766"/>
        <v>CR7</v>
      </c>
      <c r="CV385" s="77" t="str">
        <f t="shared" ca="1" si="765"/>
        <v/>
      </c>
      <c r="CW385" s="77">
        <f t="shared" ca="1" si="763"/>
        <v>0</v>
      </c>
    </row>
    <row r="386" spans="72:101">
      <c r="BT386" s="77" t="str">
        <f t="shared" ca="1" si="767"/>
        <v>Switzerland</v>
      </c>
      <c r="BU386" s="77">
        <f t="shared" si="762"/>
        <v>384</v>
      </c>
      <c r="BV386" s="77" t="str">
        <f t="shared" si="773"/>
        <v>A18</v>
      </c>
      <c r="BW386" s="77">
        <f t="shared" si="770"/>
        <v>17</v>
      </c>
      <c r="BX386" s="77" t="str">
        <f t="shared" ca="1" si="768"/>
        <v>G. Fernandes</v>
      </c>
      <c r="BY386" s="77">
        <f ca="1">COUNTIF('Group Stages'!$L$14:$S$110,BX386)+COUNTIF('Knock Out Stages'!$N$41:$U$84,BX386)</f>
        <v>0</v>
      </c>
      <c r="BZ386" s="77" t="str">
        <f t="shared" si="771"/>
        <v>'Player Database'!A18</v>
      </c>
      <c r="CA386" s="77" t="str">
        <f t="shared" ca="1" si="772"/>
        <v>Gelson Fernandes</v>
      </c>
      <c r="CS386" s="77">
        <f t="shared" si="764"/>
        <v>383</v>
      </c>
      <c r="CT386" s="77">
        <f t="shared" si="769"/>
        <v>10</v>
      </c>
      <c r="CU386" s="77" t="str">
        <f t="shared" si="766"/>
        <v>CR8</v>
      </c>
      <c r="CV386" s="77" t="str">
        <f t="shared" ca="1" si="765"/>
        <v/>
      </c>
      <c r="CW386" s="77">
        <f t="shared" ca="1" si="763"/>
        <v>0</v>
      </c>
    </row>
    <row r="387" spans="72:101">
      <c r="BT387" s="77" t="str">
        <f t="shared" ca="1" si="767"/>
        <v>Switzerland</v>
      </c>
      <c r="BU387" s="77">
        <f t="shared" si="762"/>
        <v>385</v>
      </c>
      <c r="BV387" s="77" t="str">
        <f t="shared" si="773"/>
        <v>A19</v>
      </c>
      <c r="BW387" s="77">
        <f t="shared" si="770"/>
        <v>17</v>
      </c>
      <c r="BX387" s="77" t="str">
        <f t="shared" ca="1" si="768"/>
        <v>M. Gavranović</v>
      </c>
      <c r="BY387" s="77">
        <f ca="1">COUNTIF('Group Stages'!$L$14:$S$110,BX387)+COUNTIF('Knock Out Stages'!$N$41:$U$84,BX387)</f>
        <v>0</v>
      </c>
      <c r="BZ387" s="77" t="str">
        <f t="shared" si="771"/>
        <v>'Player Database'!A19</v>
      </c>
      <c r="CA387" s="77" t="str">
        <f t="shared" ca="1" si="772"/>
        <v>Mario Gavranović</v>
      </c>
      <c r="CS387" s="77">
        <f t="shared" si="764"/>
        <v>384</v>
      </c>
      <c r="CT387" s="77">
        <f t="shared" si="769"/>
        <v>10</v>
      </c>
      <c r="CU387" s="77" t="str">
        <f t="shared" si="766"/>
        <v>CR9</v>
      </c>
      <c r="CV387" s="77" t="str">
        <f t="shared" ca="1" si="765"/>
        <v/>
      </c>
      <c r="CW387" s="77">
        <f t="shared" ca="1" si="763"/>
        <v>0</v>
      </c>
    </row>
    <row r="388" spans="72:101">
      <c r="BT388" s="77" t="str">
        <f t="shared" ca="1" si="767"/>
        <v>Switzerland</v>
      </c>
      <c r="BU388" s="77">
        <f t="shared" si="762"/>
        <v>386</v>
      </c>
      <c r="BV388" s="77" t="str">
        <f t="shared" si="773"/>
        <v>A20</v>
      </c>
      <c r="BW388" s="77">
        <f t="shared" si="770"/>
        <v>17</v>
      </c>
      <c r="BX388" s="77" t="str">
        <f t="shared" ca="1" si="768"/>
        <v>A. Mehmedi</v>
      </c>
      <c r="BY388" s="77">
        <f ca="1">COUNTIF('Group Stages'!$L$14:$S$110,BX388)+COUNTIF('Knock Out Stages'!$N$41:$U$84,BX388)</f>
        <v>0</v>
      </c>
      <c r="BZ388" s="77" t="str">
        <f t="shared" si="771"/>
        <v>'Player Database'!A20</v>
      </c>
      <c r="CA388" s="77" t="str">
        <f t="shared" ca="1" si="772"/>
        <v>Admir Mehmedi</v>
      </c>
      <c r="CS388" s="77">
        <f t="shared" si="764"/>
        <v>385</v>
      </c>
      <c r="CT388" s="77">
        <f t="shared" si="769"/>
        <v>10</v>
      </c>
      <c r="CU388" s="77" t="str">
        <f t="shared" si="766"/>
        <v>CR10</v>
      </c>
      <c r="CV388" s="77" t="str">
        <f t="shared" ca="1" si="765"/>
        <v/>
      </c>
      <c r="CW388" s="77">
        <f t="shared" ca="1" si="763"/>
        <v>0</v>
      </c>
    </row>
    <row r="389" spans="72:101">
      <c r="BT389" s="77" t="str">
        <f t="shared" ca="1" si="767"/>
        <v>Switzerland</v>
      </c>
      <c r="BU389" s="77">
        <f t="shared" ref="BU389:BU452" si="774">BU388+1</f>
        <v>387</v>
      </c>
      <c r="BV389" s="77" t="str">
        <f t="shared" si="773"/>
        <v>A21</v>
      </c>
      <c r="BW389" s="77">
        <f t="shared" si="770"/>
        <v>17</v>
      </c>
      <c r="BX389" s="77" t="str">
        <f t="shared" ca="1" si="768"/>
        <v>J. Drmić</v>
      </c>
      <c r="BY389" s="77">
        <f ca="1">COUNTIF('Group Stages'!$L$14:$S$110,BX389)+COUNTIF('Knock Out Stages'!$N$41:$U$84,BX389)</f>
        <v>0</v>
      </c>
      <c r="BZ389" s="77" t="str">
        <f t="shared" si="771"/>
        <v>'Player Database'!A21</v>
      </c>
      <c r="CA389" s="77" t="str">
        <f t="shared" ca="1" si="772"/>
        <v>Josip Drmić</v>
      </c>
      <c r="CS389" s="77">
        <f t="shared" si="764"/>
        <v>386</v>
      </c>
      <c r="CT389" s="77">
        <f t="shared" si="769"/>
        <v>10</v>
      </c>
      <c r="CU389" s="77" t="str">
        <f t="shared" si="766"/>
        <v>CR11</v>
      </c>
      <c r="CV389" s="77" t="str">
        <f t="shared" ca="1" si="765"/>
        <v/>
      </c>
      <c r="CW389" s="77">
        <f t="shared" ref="CW389:CW452" ca="1" si="775">IF(CV389&lt;&gt;"",CW388+1,CW388)</f>
        <v>0</v>
      </c>
    </row>
    <row r="390" spans="72:101">
      <c r="BT390" s="77" t="str">
        <f t="shared" ca="1" si="767"/>
        <v>Switzerland</v>
      </c>
      <c r="BU390" s="77">
        <f t="shared" si="774"/>
        <v>388</v>
      </c>
      <c r="BV390" s="77" t="str">
        <f t="shared" si="773"/>
        <v>A22</v>
      </c>
      <c r="BW390" s="77">
        <f t="shared" si="770"/>
        <v>17</v>
      </c>
      <c r="BX390" s="77" t="str">
        <f t="shared" ca="1" si="768"/>
        <v>J. Djourou</v>
      </c>
      <c r="BY390" s="77">
        <f ca="1">COUNTIF('Group Stages'!$L$14:$S$110,BX390)+COUNTIF('Knock Out Stages'!$N$41:$U$84,BX390)</f>
        <v>0</v>
      </c>
      <c r="BZ390" s="77" t="str">
        <f t="shared" si="771"/>
        <v>'Player Database'!A22</v>
      </c>
      <c r="CA390" s="77" t="str">
        <f t="shared" ca="1" si="772"/>
        <v>Johan Djourou</v>
      </c>
      <c r="CS390" s="77">
        <f t="shared" si="764"/>
        <v>387</v>
      </c>
      <c r="CT390" s="77">
        <f t="shared" si="769"/>
        <v>10</v>
      </c>
      <c r="CU390" s="77" t="str">
        <f t="shared" si="766"/>
        <v>CR12</v>
      </c>
      <c r="CV390" s="77" t="str">
        <f t="shared" ca="1" si="765"/>
        <v/>
      </c>
      <c r="CW390" s="77">
        <f t="shared" ca="1" si="775"/>
        <v>0</v>
      </c>
    </row>
    <row r="391" spans="72:101">
      <c r="BT391" s="77" t="str">
        <f t="shared" ca="1" si="767"/>
        <v>Switzerland</v>
      </c>
      <c r="BU391" s="77">
        <f t="shared" si="774"/>
        <v>389</v>
      </c>
      <c r="BV391" s="77" t="str">
        <f t="shared" si="773"/>
        <v>A23</v>
      </c>
      <c r="BW391" s="77">
        <f t="shared" si="770"/>
        <v>17</v>
      </c>
      <c r="BX391" s="77" t="str">
        <f t="shared" ca="1" si="768"/>
        <v>R. Bürki</v>
      </c>
      <c r="BY391" s="77">
        <f ca="1">COUNTIF('Group Stages'!$L$14:$S$110,BX391)+COUNTIF('Knock Out Stages'!$N$41:$U$84,BX391)</f>
        <v>0</v>
      </c>
      <c r="BZ391" s="77" t="str">
        <f t="shared" si="771"/>
        <v>'Player Database'!A23</v>
      </c>
      <c r="CA391" s="77" t="str">
        <f t="shared" ca="1" si="772"/>
        <v>Roman Bürki</v>
      </c>
      <c r="CS391" s="77">
        <f t="shared" si="764"/>
        <v>388</v>
      </c>
      <c r="CT391" s="77">
        <f t="shared" si="769"/>
        <v>10</v>
      </c>
      <c r="CU391" s="77" t="str">
        <f t="shared" si="766"/>
        <v>CR13</v>
      </c>
      <c r="CV391" s="77" t="str">
        <f t="shared" ca="1" si="765"/>
        <v/>
      </c>
      <c r="CW391" s="77">
        <f t="shared" ca="1" si="775"/>
        <v>0</v>
      </c>
    </row>
    <row r="392" spans="72:101">
      <c r="BT392" s="77" t="str">
        <f t="shared" ca="1" si="767"/>
        <v>Switzerland</v>
      </c>
      <c r="BU392" s="77">
        <f t="shared" si="774"/>
        <v>390</v>
      </c>
      <c r="BV392" s="77" t="str">
        <f t="shared" si="773"/>
        <v>A24</v>
      </c>
      <c r="BW392" s="77">
        <f t="shared" si="770"/>
        <v>17</v>
      </c>
      <c r="BX392" s="77" t="str">
        <f t="shared" ca="1" si="768"/>
        <v>F. Schär</v>
      </c>
      <c r="BY392" s="77">
        <f ca="1">COUNTIF('Group Stages'!$L$14:$S$110,BX392)+COUNTIF('Knock Out Stages'!$N$41:$U$84,BX392)</f>
        <v>0</v>
      </c>
      <c r="BZ392" s="77" t="str">
        <f t="shared" si="771"/>
        <v>'Player Database'!A24</v>
      </c>
      <c r="CA392" s="77" t="str">
        <f t="shared" ca="1" si="772"/>
        <v>Fabian Schär</v>
      </c>
      <c r="CS392" s="77">
        <f t="shared" si="764"/>
        <v>389</v>
      </c>
      <c r="CT392" s="77">
        <f t="shared" si="769"/>
        <v>10</v>
      </c>
      <c r="CU392" s="77" t="str">
        <f t="shared" si="766"/>
        <v>CR14</v>
      </c>
      <c r="CV392" s="77" t="str">
        <f t="shared" ca="1" si="765"/>
        <v/>
      </c>
      <c r="CW392" s="77">
        <f t="shared" ca="1" si="775"/>
        <v>0</v>
      </c>
    </row>
    <row r="393" spans="72:101">
      <c r="BT393" s="77" t="str">
        <f t="shared" ca="1" si="767"/>
        <v>Switzerland</v>
      </c>
      <c r="BU393" s="77">
        <f t="shared" si="774"/>
        <v>391</v>
      </c>
      <c r="BV393" s="77" t="str">
        <f t="shared" si="773"/>
        <v>A25</v>
      </c>
      <c r="BW393" s="77">
        <f t="shared" si="770"/>
        <v>17</v>
      </c>
      <c r="BX393" s="77" t="str">
        <f t="shared" ca="1" si="768"/>
        <v>X. Shaqiri</v>
      </c>
      <c r="BY393" s="77">
        <f ca="1">COUNTIF('Group Stages'!$L$14:$S$110,BX393)+COUNTIF('Knock Out Stages'!$N$41:$U$84,BX393)</f>
        <v>0</v>
      </c>
      <c r="BZ393" s="77" t="str">
        <f t="shared" si="771"/>
        <v>'Player Database'!A25</v>
      </c>
      <c r="CA393" s="77" t="str">
        <f t="shared" ca="1" si="772"/>
        <v>Xherdan Shaqiri</v>
      </c>
      <c r="CS393" s="77">
        <f t="shared" ref="CS393:CS456" si="776">CS392+1</f>
        <v>390</v>
      </c>
      <c r="CT393" s="77">
        <f t="shared" si="769"/>
        <v>10</v>
      </c>
      <c r="CU393" s="77" t="str">
        <f t="shared" si="766"/>
        <v>CR15</v>
      </c>
      <c r="CV393" s="77" t="str">
        <f t="shared" ref="CV393:CV456" ca="1" si="777">OFFSET(INDIRECT(CU393),0,-CT393)</f>
        <v/>
      </c>
      <c r="CW393" s="77">
        <f t="shared" ca="1" si="775"/>
        <v>0</v>
      </c>
    </row>
    <row r="394" spans="72:101">
      <c r="BT394" s="77" t="str">
        <f t="shared" ca="1" si="767"/>
        <v>Ecuador</v>
      </c>
      <c r="BU394" s="77">
        <f t="shared" si="774"/>
        <v>392</v>
      </c>
      <c r="BV394" s="77" t="str">
        <f t="shared" si="773"/>
        <v>A3</v>
      </c>
      <c r="BW394" s="77">
        <f t="shared" si="770"/>
        <v>18</v>
      </c>
      <c r="BX394" s="77" t="str">
        <f t="shared" ca="1" si="768"/>
        <v>M. Banguera</v>
      </c>
      <c r="BY394" s="77">
        <f ca="1">COUNTIF('Group Stages'!$L$14:$S$110,BX394)+COUNTIF('Knock Out Stages'!$N$41:$U$84,BX394)</f>
        <v>0</v>
      </c>
      <c r="BZ394" s="77" t="str">
        <f t="shared" si="771"/>
        <v>'Player Database'!A3</v>
      </c>
      <c r="CA394" s="77" t="str">
        <f t="shared" ca="1" si="772"/>
        <v>Máximo Banguera</v>
      </c>
      <c r="CS394" s="77">
        <f t="shared" si="776"/>
        <v>391</v>
      </c>
      <c r="CT394" s="77">
        <f t="shared" si="769"/>
        <v>10</v>
      </c>
      <c r="CU394" s="77" t="str">
        <f t="shared" si="766"/>
        <v>CR16</v>
      </c>
      <c r="CV394" s="77" t="str">
        <f t="shared" ca="1" si="777"/>
        <v/>
      </c>
      <c r="CW394" s="77">
        <f t="shared" ca="1" si="775"/>
        <v>0</v>
      </c>
    </row>
    <row r="395" spans="72:101">
      <c r="BT395" s="77" t="str">
        <f t="shared" ca="1" si="767"/>
        <v>Ecuador</v>
      </c>
      <c r="BU395" s="77">
        <f t="shared" si="774"/>
        <v>393</v>
      </c>
      <c r="BV395" s="77" t="str">
        <f t="shared" si="773"/>
        <v>A4</v>
      </c>
      <c r="BW395" s="77">
        <f t="shared" si="770"/>
        <v>18</v>
      </c>
      <c r="BX395" s="77" t="str">
        <f t="shared" ca="1" si="768"/>
        <v>J. Guagua</v>
      </c>
      <c r="BY395" s="77">
        <f ca="1">COUNTIF('Group Stages'!$L$14:$S$110,BX395)+COUNTIF('Knock Out Stages'!$N$41:$U$84,BX395)</f>
        <v>0</v>
      </c>
      <c r="BZ395" s="77" t="str">
        <f t="shared" si="771"/>
        <v>'Player Database'!A4</v>
      </c>
      <c r="CA395" s="77" t="str">
        <f t="shared" ca="1" si="772"/>
        <v>Jorge Guagua</v>
      </c>
      <c r="CS395" s="77">
        <f t="shared" si="776"/>
        <v>392</v>
      </c>
      <c r="CT395" s="77">
        <f t="shared" si="769"/>
        <v>10</v>
      </c>
      <c r="CU395" s="77" t="str">
        <f t="shared" si="766"/>
        <v>CR17</v>
      </c>
      <c r="CV395" s="77" t="str">
        <f t="shared" ca="1" si="777"/>
        <v/>
      </c>
      <c r="CW395" s="77">
        <f t="shared" ca="1" si="775"/>
        <v>0</v>
      </c>
    </row>
    <row r="396" spans="72:101">
      <c r="BT396" s="77" t="str">
        <f t="shared" ca="1" si="767"/>
        <v>Ecuador</v>
      </c>
      <c r="BU396" s="77">
        <f t="shared" si="774"/>
        <v>394</v>
      </c>
      <c r="BV396" s="77" t="str">
        <f t="shared" si="773"/>
        <v>A5</v>
      </c>
      <c r="BW396" s="77">
        <f t="shared" si="770"/>
        <v>18</v>
      </c>
      <c r="BX396" s="77" t="str">
        <f t="shared" ca="1" si="768"/>
        <v>F. Erazo</v>
      </c>
      <c r="BY396" s="77">
        <f ca="1">COUNTIF('Group Stages'!$L$14:$S$110,BX396)+COUNTIF('Knock Out Stages'!$N$41:$U$84,BX396)</f>
        <v>0</v>
      </c>
      <c r="BZ396" s="77" t="str">
        <f t="shared" si="771"/>
        <v>'Player Database'!A5</v>
      </c>
      <c r="CA396" s="77" t="str">
        <f t="shared" ca="1" si="772"/>
        <v>Frickson Erazo</v>
      </c>
      <c r="CS396" s="77">
        <f t="shared" si="776"/>
        <v>393</v>
      </c>
      <c r="CT396" s="77">
        <f t="shared" si="769"/>
        <v>10</v>
      </c>
      <c r="CU396" s="77" t="str">
        <f t="shared" si="766"/>
        <v>CR18</v>
      </c>
      <c r="CV396" s="77" t="str">
        <f t="shared" ca="1" si="777"/>
        <v/>
      </c>
      <c r="CW396" s="77">
        <f t="shared" ca="1" si="775"/>
        <v>0</v>
      </c>
    </row>
    <row r="397" spans="72:101">
      <c r="BT397" s="77" t="str">
        <f t="shared" ca="1" si="767"/>
        <v>Ecuador</v>
      </c>
      <c r="BU397" s="77">
        <f t="shared" si="774"/>
        <v>395</v>
      </c>
      <c r="BV397" s="77" t="str">
        <f t="shared" si="773"/>
        <v>A6</v>
      </c>
      <c r="BW397" s="77">
        <f t="shared" si="770"/>
        <v>18</v>
      </c>
      <c r="BX397" s="77" t="str">
        <f t="shared" ca="1" si="768"/>
        <v>J. Carlos Paredes</v>
      </c>
      <c r="BY397" s="77">
        <f ca="1">COUNTIF('Group Stages'!$L$14:$S$110,BX397)+COUNTIF('Knock Out Stages'!$N$41:$U$84,BX397)</f>
        <v>0</v>
      </c>
      <c r="BZ397" s="77" t="str">
        <f t="shared" si="771"/>
        <v>'Player Database'!A6</v>
      </c>
      <c r="CA397" s="77" t="str">
        <f t="shared" ca="1" si="772"/>
        <v>Juan Carlos Paredes</v>
      </c>
      <c r="CS397" s="77">
        <f t="shared" si="776"/>
        <v>394</v>
      </c>
      <c r="CT397" s="77">
        <f t="shared" si="769"/>
        <v>10</v>
      </c>
      <c r="CU397" s="77" t="str">
        <f t="shared" si="766"/>
        <v>CR19</v>
      </c>
      <c r="CV397" s="77" t="str">
        <f t="shared" ca="1" si="777"/>
        <v/>
      </c>
      <c r="CW397" s="77">
        <f t="shared" ca="1" si="775"/>
        <v>0</v>
      </c>
    </row>
    <row r="398" spans="72:101">
      <c r="BT398" s="77" t="str">
        <f t="shared" ca="1" si="767"/>
        <v>Ecuador</v>
      </c>
      <c r="BU398" s="77">
        <f t="shared" si="774"/>
        <v>396</v>
      </c>
      <c r="BV398" s="77" t="str">
        <f t="shared" si="773"/>
        <v>A7</v>
      </c>
      <c r="BW398" s="77">
        <f t="shared" si="770"/>
        <v>18</v>
      </c>
      <c r="BX398" s="77" t="str">
        <f t="shared" ca="1" si="768"/>
        <v>R. Ibarra</v>
      </c>
      <c r="BY398" s="77">
        <f ca="1">COUNTIF('Group Stages'!$L$14:$S$110,BX398)+COUNTIF('Knock Out Stages'!$N$41:$U$84,BX398)</f>
        <v>0</v>
      </c>
      <c r="BZ398" s="77" t="str">
        <f t="shared" si="771"/>
        <v>'Player Database'!A7</v>
      </c>
      <c r="CA398" s="77" t="str">
        <f t="shared" ca="1" si="772"/>
        <v>Renato Ibarra</v>
      </c>
      <c r="CS398" s="77">
        <f t="shared" si="776"/>
        <v>395</v>
      </c>
      <c r="CT398" s="77">
        <f t="shared" si="769"/>
        <v>10</v>
      </c>
      <c r="CU398" s="77" t="str">
        <f t="shared" si="766"/>
        <v>CR20</v>
      </c>
      <c r="CV398" s="77" t="str">
        <f t="shared" ca="1" si="777"/>
        <v/>
      </c>
      <c r="CW398" s="77">
        <f t="shared" ca="1" si="775"/>
        <v>0</v>
      </c>
    </row>
    <row r="399" spans="72:101">
      <c r="BT399" s="77" t="str">
        <f t="shared" ca="1" si="767"/>
        <v>Ecuador</v>
      </c>
      <c r="BU399" s="77">
        <f t="shared" si="774"/>
        <v>397</v>
      </c>
      <c r="BV399" s="77" t="str">
        <f t="shared" si="773"/>
        <v>A8</v>
      </c>
      <c r="BW399" s="77">
        <f t="shared" si="770"/>
        <v>18</v>
      </c>
      <c r="BX399" s="77" t="str">
        <f t="shared" ca="1" si="768"/>
        <v>C. Noboa</v>
      </c>
      <c r="BY399" s="77">
        <f ca="1">COUNTIF('Group Stages'!$L$14:$S$110,BX399)+COUNTIF('Knock Out Stages'!$N$41:$U$84,BX399)</f>
        <v>0</v>
      </c>
      <c r="BZ399" s="77" t="str">
        <f t="shared" si="771"/>
        <v>'Player Database'!A8</v>
      </c>
      <c r="CA399" s="77" t="str">
        <f t="shared" ca="1" si="772"/>
        <v>Christian Noboa</v>
      </c>
      <c r="CS399" s="77">
        <f t="shared" si="776"/>
        <v>396</v>
      </c>
      <c r="CT399" s="77">
        <f t="shared" si="769"/>
        <v>10</v>
      </c>
      <c r="CU399" s="77" t="str">
        <f t="shared" si="766"/>
        <v>CR21</v>
      </c>
      <c r="CV399" s="77" t="str">
        <f t="shared" ca="1" si="777"/>
        <v/>
      </c>
      <c r="CW399" s="77">
        <f t="shared" ca="1" si="775"/>
        <v>0</v>
      </c>
    </row>
    <row r="400" spans="72:101">
      <c r="BT400" s="77" t="str">
        <f t="shared" ca="1" si="767"/>
        <v>Ecuador</v>
      </c>
      <c r="BU400" s="77">
        <f t="shared" si="774"/>
        <v>398</v>
      </c>
      <c r="BV400" s="77" t="str">
        <f t="shared" si="773"/>
        <v>A9</v>
      </c>
      <c r="BW400" s="77">
        <f t="shared" si="770"/>
        <v>18</v>
      </c>
      <c r="BX400" s="77" t="str">
        <f t="shared" ca="1" si="768"/>
        <v>J. Montero</v>
      </c>
      <c r="BY400" s="77">
        <f ca="1">COUNTIF('Group Stages'!$L$14:$S$110,BX400)+COUNTIF('Knock Out Stages'!$N$41:$U$84,BX400)</f>
        <v>0</v>
      </c>
      <c r="BZ400" s="77" t="str">
        <f t="shared" si="771"/>
        <v>'Player Database'!A9</v>
      </c>
      <c r="CA400" s="77" t="str">
        <f t="shared" ca="1" si="772"/>
        <v>Jefferson Montero</v>
      </c>
      <c r="CS400" s="77">
        <f t="shared" si="776"/>
        <v>397</v>
      </c>
      <c r="CT400" s="77">
        <f t="shared" si="769"/>
        <v>10</v>
      </c>
      <c r="CU400" s="77" t="str">
        <f t="shared" si="766"/>
        <v>CR22</v>
      </c>
      <c r="CV400" s="77" t="str">
        <f t="shared" ca="1" si="777"/>
        <v/>
      </c>
      <c r="CW400" s="77">
        <f t="shared" ca="1" si="775"/>
        <v>0</v>
      </c>
    </row>
    <row r="401" spans="72:101">
      <c r="BT401" s="77" t="str">
        <f t="shared" ca="1" si="767"/>
        <v>Ecuador</v>
      </c>
      <c r="BU401" s="77">
        <f t="shared" si="774"/>
        <v>399</v>
      </c>
      <c r="BV401" s="77" t="str">
        <f t="shared" si="773"/>
        <v>A10</v>
      </c>
      <c r="BW401" s="77">
        <f t="shared" si="770"/>
        <v>18</v>
      </c>
      <c r="BX401" s="77" t="str">
        <f t="shared" ca="1" si="768"/>
        <v>É. Méndez</v>
      </c>
      <c r="BY401" s="77">
        <f ca="1">COUNTIF('Group Stages'!$L$14:$S$110,BX401)+COUNTIF('Knock Out Stages'!$N$41:$U$84,BX401)</f>
        <v>0</v>
      </c>
      <c r="BZ401" s="77" t="str">
        <f t="shared" si="771"/>
        <v>'Player Database'!A10</v>
      </c>
      <c r="CA401" s="77" t="str">
        <f t="shared" ca="1" si="772"/>
        <v>Édison Méndez</v>
      </c>
      <c r="CS401" s="77">
        <f t="shared" si="776"/>
        <v>398</v>
      </c>
      <c r="CT401" s="77">
        <f t="shared" si="769"/>
        <v>10</v>
      </c>
      <c r="CU401" s="77" t="str">
        <f t="shared" si="766"/>
        <v>CR23</v>
      </c>
      <c r="CV401" s="77" t="str">
        <f t="shared" ca="1" si="777"/>
        <v/>
      </c>
      <c r="CW401" s="77">
        <f t="shared" ca="1" si="775"/>
        <v>0</v>
      </c>
    </row>
    <row r="402" spans="72:101">
      <c r="BT402" s="77" t="str">
        <f t="shared" ca="1" si="767"/>
        <v>Ecuador</v>
      </c>
      <c r="BU402" s="77">
        <f t="shared" si="774"/>
        <v>400</v>
      </c>
      <c r="BV402" s="77" t="str">
        <f t="shared" si="773"/>
        <v>A11</v>
      </c>
      <c r="BW402" s="77">
        <f t="shared" si="770"/>
        <v>18</v>
      </c>
      <c r="BX402" s="77" t="str">
        <f t="shared" ca="1" si="768"/>
        <v>J. Rojas</v>
      </c>
      <c r="BY402" s="77">
        <f ca="1">COUNTIF('Group Stages'!$L$14:$S$110,BX402)+COUNTIF('Knock Out Stages'!$N$41:$U$84,BX402)</f>
        <v>0</v>
      </c>
      <c r="BZ402" s="77" t="str">
        <f t="shared" si="771"/>
        <v>'Player Database'!A11</v>
      </c>
      <c r="CA402" s="77" t="str">
        <f t="shared" ca="1" si="772"/>
        <v>Joao Rojas</v>
      </c>
      <c r="CS402" s="77">
        <f t="shared" si="776"/>
        <v>399</v>
      </c>
      <c r="CT402" s="77">
        <f t="shared" si="769"/>
        <v>10</v>
      </c>
      <c r="CU402" s="77" t="str">
        <f t="shared" si="766"/>
        <v>CR24</v>
      </c>
      <c r="CV402" s="77" t="str">
        <f t="shared" ca="1" si="777"/>
        <v/>
      </c>
      <c r="CW402" s="77">
        <f t="shared" ca="1" si="775"/>
        <v>0</v>
      </c>
    </row>
    <row r="403" spans="72:101">
      <c r="BT403" s="77" t="str">
        <f t="shared" ca="1" si="767"/>
        <v>Ecuador</v>
      </c>
      <c r="BU403" s="77">
        <f t="shared" si="774"/>
        <v>401</v>
      </c>
      <c r="BV403" s="77" t="str">
        <f t="shared" si="773"/>
        <v>A12</v>
      </c>
      <c r="BW403" s="77">
        <f t="shared" si="770"/>
        <v>18</v>
      </c>
      <c r="BX403" s="77" t="str">
        <f t="shared" ca="1" si="768"/>
        <v>W. Ayoví</v>
      </c>
      <c r="BY403" s="77">
        <f ca="1">COUNTIF('Group Stages'!$L$14:$S$110,BX403)+COUNTIF('Knock Out Stages'!$N$41:$U$84,BX403)</f>
        <v>0</v>
      </c>
      <c r="BZ403" s="77" t="str">
        <f t="shared" si="771"/>
        <v>'Player Database'!A12</v>
      </c>
      <c r="CA403" s="77" t="str">
        <f t="shared" ca="1" si="772"/>
        <v>Walter Ayoví</v>
      </c>
      <c r="CS403" s="77">
        <f t="shared" si="776"/>
        <v>400</v>
      </c>
      <c r="CT403" s="77">
        <f t="shared" si="769"/>
        <v>10</v>
      </c>
      <c r="CU403" s="77" t="str">
        <f t="shared" si="766"/>
        <v>CR25</v>
      </c>
      <c r="CV403" s="77" t="str">
        <f t="shared" ca="1" si="777"/>
        <v/>
      </c>
      <c r="CW403" s="77">
        <f t="shared" ca="1" si="775"/>
        <v>0</v>
      </c>
    </row>
    <row r="404" spans="72:101">
      <c r="BT404" s="77" t="str">
        <f t="shared" ca="1" si="767"/>
        <v>Ecuador</v>
      </c>
      <c r="BU404" s="77">
        <f t="shared" si="774"/>
        <v>402</v>
      </c>
      <c r="BV404" s="77" t="str">
        <f t="shared" si="773"/>
        <v>A13</v>
      </c>
      <c r="BW404" s="77">
        <f t="shared" si="770"/>
        <v>18</v>
      </c>
      <c r="BX404" s="77" t="str">
        <f t="shared" ca="1" si="768"/>
        <v>F. Caicedo</v>
      </c>
      <c r="BY404" s="77">
        <f ca="1">COUNTIF('Group Stages'!$L$14:$S$110,BX404)+COUNTIF('Knock Out Stages'!$N$41:$U$84,BX404)</f>
        <v>0</v>
      </c>
      <c r="BZ404" s="77" t="str">
        <f t="shared" si="771"/>
        <v>'Player Database'!A13</v>
      </c>
      <c r="CA404" s="77" t="str">
        <f t="shared" ca="1" si="772"/>
        <v>Felipe Caicedo</v>
      </c>
      <c r="CS404" s="77">
        <f t="shared" si="776"/>
        <v>401</v>
      </c>
      <c r="CT404" s="77">
        <f t="shared" si="769"/>
        <v>10</v>
      </c>
      <c r="CU404" s="77" t="str">
        <f t="shared" si="766"/>
        <v>CR26</v>
      </c>
      <c r="CV404" s="77" t="str">
        <f t="shared" ca="1" si="777"/>
        <v/>
      </c>
      <c r="CW404" s="77">
        <f t="shared" ca="1" si="775"/>
        <v>0</v>
      </c>
    </row>
    <row r="405" spans="72:101">
      <c r="BT405" s="77" t="str">
        <f t="shared" ca="1" si="767"/>
        <v>Ecuador</v>
      </c>
      <c r="BU405" s="77">
        <f t="shared" si="774"/>
        <v>403</v>
      </c>
      <c r="BV405" s="77" t="str">
        <f t="shared" si="773"/>
        <v>A14</v>
      </c>
      <c r="BW405" s="77">
        <f t="shared" si="770"/>
        <v>18</v>
      </c>
      <c r="BX405" s="77" t="str">
        <f t="shared" ca="1" si="768"/>
        <v>A. Bone</v>
      </c>
      <c r="BY405" s="77">
        <f ca="1">COUNTIF('Group Stages'!$L$14:$S$110,BX405)+COUNTIF('Knock Out Stages'!$N$41:$U$84,BX405)</f>
        <v>0</v>
      </c>
      <c r="BZ405" s="77" t="str">
        <f t="shared" si="771"/>
        <v>'Player Database'!A14</v>
      </c>
      <c r="CA405" s="77" t="str">
        <f t="shared" ca="1" si="772"/>
        <v>Adrián Bone</v>
      </c>
      <c r="CS405" s="77">
        <f t="shared" si="776"/>
        <v>402</v>
      </c>
      <c r="CT405" s="77">
        <f t="shared" si="769"/>
        <v>10</v>
      </c>
      <c r="CU405" s="77" t="str">
        <f t="shared" si="766"/>
        <v>CR27</v>
      </c>
      <c r="CV405" s="77" t="str">
        <f t="shared" ca="1" si="777"/>
        <v/>
      </c>
      <c r="CW405" s="77">
        <f t="shared" ca="1" si="775"/>
        <v>0</v>
      </c>
    </row>
    <row r="406" spans="72:101">
      <c r="BT406" s="77" t="str">
        <f t="shared" ca="1" si="767"/>
        <v>Ecuador</v>
      </c>
      <c r="BU406" s="77">
        <f t="shared" si="774"/>
        <v>404</v>
      </c>
      <c r="BV406" s="77" t="str">
        <f t="shared" si="773"/>
        <v>A15</v>
      </c>
      <c r="BW406" s="77">
        <f t="shared" si="770"/>
        <v>18</v>
      </c>
      <c r="BX406" s="77" t="str">
        <f t="shared" ca="1" si="768"/>
        <v>E. Valencia</v>
      </c>
      <c r="BY406" s="77">
        <f ca="1">COUNTIF('Group Stages'!$L$14:$S$110,BX406)+COUNTIF('Knock Out Stages'!$N$41:$U$84,BX406)</f>
        <v>0</v>
      </c>
      <c r="BZ406" s="77" t="str">
        <f t="shared" si="771"/>
        <v>'Player Database'!A15</v>
      </c>
      <c r="CA406" s="77" t="str">
        <f t="shared" ca="1" si="772"/>
        <v>Enner Valencia</v>
      </c>
      <c r="CS406" s="77">
        <f t="shared" si="776"/>
        <v>403</v>
      </c>
      <c r="CT406" s="77">
        <f t="shared" si="769"/>
        <v>10</v>
      </c>
      <c r="CU406" s="77" t="str">
        <f t="shared" si="766"/>
        <v>CR28</v>
      </c>
      <c r="CV406" s="77" t="str">
        <f t="shared" ca="1" si="777"/>
        <v/>
      </c>
      <c r="CW406" s="77">
        <f t="shared" ca="1" si="775"/>
        <v>0</v>
      </c>
    </row>
    <row r="407" spans="72:101">
      <c r="BT407" s="77" t="str">
        <f t="shared" ca="1" si="767"/>
        <v>Ecuador</v>
      </c>
      <c r="BU407" s="77">
        <f t="shared" si="774"/>
        <v>405</v>
      </c>
      <c r="BV407" s="77" t="str">
        <f t="shared" si="773"/>
        <v>A16</v>
      </c>
      <c r="BW407" s="77">
        <f t="shared" si="770"/>
        <v>18</v>
      </c>
      <c r="BX407" s="77" t="str">
        <f t="shared" ca="1" si="768"/>
        <v>O. Minda</v>
      </c>
      <c r="BY407" s="77">
        <f ca="1">COUNTIF('Group Stages'!$L$14:$S$110,BX407)+COUNTIF('Knock Out Stages'!$N$41:$U$84,BX407)</f>
        <v>0</v>
      </c>
      <c r="BZ407" s="77" t="str">
        <f t="shared" si="771"/>
        <v>'Player Database'!A16</v>
      </c>
      <c r="CA407" s="77" t="str">
        <f t="shared" ca="1" si="772"/>
        <v>Oswaldo Minda</v>
      </c>
      <c r="CS407" s="77">
        <f t="shared" si="776"/>
        <v>404</v>
      </c>
      <c r="CT407" s="77">
        <f t="shared" si="769"/>
        <v>10</v>
      </c>
      <c r="CU407" s="77" t="str">
        <f t="shared" si="766"/>
        <v>CR29</v>
      </c>
      <c r="CV407" s="77" t="str">
        <f t="shared" ca="1" si="777"/>
        <v/>
      </c>
      <c r="CW407" s="77">
        <f t="shared" ca="1" si="775"/>
        <v>0</v>
      </c>
    </row>
    <row r="408" spans="72:101">
      <c r="BT408" s="77" t="str">
        <f t="shared" ca="1" si="767"/>
        <v>Ecuador</v>
      </c>
      <c r="BU408" s="77">
        <f t="shared" si="774"/>
        <v>406</v>
      </c>
      <c r="BV408" s="77" t="str">
        <f t="shared" si="773"/>
        <v>A17</v>
      </c>
      <c r="BW408" s="77">
        <f t="shared" si="770"/>
        <v>18</v>
      </c>
      <c r="BX408" s="77" t="str">
        <f t="shared" ca="1" si="768"/>
        <v>M. Arroyo</v>
      </c>
      <c r="BY408" s="77">
        <f ca="1">COUNTIF('Group Stages'!$L$14:$S$110,BX408)+COUNTIF('Knock Out Stages'!$N$41:$U$84,BX408)</f>
        <v>0</v>
      </c>
      <c r="BZ408" s="77" t="str">
        <f t="shared" si="771"/>
        <v>'Player Database'!A17</v>
      </c>
      <c r="CA408" s="77" t="str">
        <f t="shared" ca="1" si="772"/>
        <v>Michael Arroyo</v>
      </c>
      <c r="CS408" s="77">
        <f t="shared" si="776"/>
        <v>405</v>
      </c>
      <c r="CT408" s="77">
        <f t="shared" si="769"/>
        <v>10</v>
      </c>
      <c r="CU408" s="77" t="str">
        <f t="shared" si="766"/>
        <v>CR30</v>
      </c>
      <c r="CV408" s="77" t="str">
        <f t="shared" ca="1" si="777"/>
        <v/>
      </c>
      <c r="CW408" s="77">
        <f t="shared" ca="1" si="775"/>
        <v>0</v>
      </c>
    </row>
    <row r="409" spans="72:101">
      <c r="BT409" s="77" t="str">
        <f t="shared" ca="1" si="767"/>
        <v>Ecuador</v>
      </c>
      <c r="BU409" s="77">
        <f t="shared" si="774"/>
        <v>407</v>
      </c>
      <c r="BV409" s="77" t="str">
        <f t="shared" si="773"/>
        <v>A18</v>
      </c>
      <c r="BW409" s="77">
        <f t="shared" si="770"/>
        <v>18</v>
      </c>
      <c r="BX409" s="77" t="str">
        <f t="shared" ca="1" si="768"/>
        <v xml:space="preserve">A. Valencia </v>
      </c>
      <c r="BY409" s="77">
        <f ca="1">COUNTIF('Group Stages'!$L$14:$S$110,BX409)+COUNTIF('Knock Out Stages'!$N$41:$U$84,BX409)</f>
        <v>0</v>
      </c>
      <c r="BZ409" s="77" t="str">
        <f t="shared" si="771"/>
        <v>'Player Database'!A18</v>
      </c>
      <c r="CA409" s="77" t="str">
        <f t="shared" ca="1" si="772"/>
        <v xml:space="preserve">Antonio Valencia </v>
      </c>
      <c r="CS409" s="77">
        <f t="shared" si="776"/>
        <v>406</v>
      </c>
      <c r="CT409" s="77">
        <f t="shared" si="769"/>
        <v>10</v>
      </c>
      <c r="CU409" s="77" t="str">
        <f t="shared" ref="CU409:CU472" si="778">CU367</f>
        <v>CR31</v>
      </c>
      <c r="CV409" s="77" t="str">
        <f t="shared" ca="1" si="777"/>
        <v/>
      </c>
      <c r="CW409" s="77">
        <f t="shared" ca="1" si="775"/>
        <v>0</v>
      </c>
    </row>
    <row r="410" spans="72:101">
      <c r="BT410" s="77" t="str">
        <f t="shared" ca="1" si="767"/>
        <v>Ecuador</v>
      </c>
      <c r="BU410" s="77">
        <f t="shared" si="774"/>
        <v>408</v>
      </c>
      <c r="BV410" s="77" t="str">
        <f t="shared" si="773"/>
        <v>A19</v>
      </c>
      <c r="BW410" s="77">
        <f t="shared" si="770"/>
        <v>18</v>
      </c>
      <c r="BX410" s="77" t="str">
        <f t="shared" ca="1" si="768"/>
        <v>J. Ayoví</v>
      </c>
      <c r="BY410" s="77">
        <f ca="1">COUNTIF('Group Stages'!$L$14:$S$110,BX410)+COUNTIF('Knock Out Stages'!$N$41:$U$84,BX410)</f>
        <v>0</v>
      </c>
      <c r="BZ410" s="77" t="str">
        <f t="shared" si="771"/>
        <v>'Player Database'!A19</v>
      </c>
      <c r="CA410" s="77" t="str">
        <f t="shared" ca="1" si="772"/>
        <v>Jaime Ayoví</v>
      </c>
      <c r="CS410" s="77">
        <f t="shared" si="776"/>
        <v>407</v>
      </c>
      <c r="CT410" s="77">
        <f t="shared" si="769"/>
        <v>10</v>
      </c>
      <c r="CU410" s="77" t="str">
        <f t="shared" si="778"/>
        <v>CR32</v>
      </c>
      <c r="CV410" s="77" t="str">
        <f t="shared" ca="1" si="777"/>
        <v/>
      </c>
      <c r="CW410" s="77">
        <f t="shared" ca="1" si="775"/>
        <v>0</v>
      </c>
    </row>
    <row r="411" spans="72:101">
      <c r="BT411" s="77" t="str">
        <f t="shared" ref="BT411:BT474" ca="1" si="779">OFFSET($A$2,0,BW411)</f>
        <v>Ecuador</v>
      </c>
      <c r="BU411" s="77">
        <f t="shared" si="774"/>
        <v>409</v>
      </c>
      <c r="BV411" s="77" t="str">
        <f t="shared" si="773"/>
        <v>A20</v>
      </c>
      <c r="BW411" s="77">
        <f t="shared" si="770"/>
        <v>18</v>
      </c>
      <c r="BX411" s="77" t="str">
        <f t="shared" ca="1" si="768"/>
        <v>Ó. Bagüí</v>
      </c>
      <c r="BY411" s="77">
        <f ca="1">COUNTIF('Group Stages'!$L$14:$S$110,BX411)+COUNTIF('Knock Out Stages'!$N$41:$U$84,BX411)</f>
        <v>0</v>
      </c>
      <c r="BZ411" s="77" t="str">
        <f t="shared" si="771"/>
        <v>'Player Database'!A20</v>
      </c>
      <c r="CA411" s="77" t="str">
        <f t="shared" ca="1" si="772"/>
        <v>Óscar Bagüí</v>
      </c>
      <c r="CS411" s="77">
        <f t="shared" si="776"/>
        <v>408</v>
      </c>
      <c r="CT411" s="77">
        <f t="shared" si="769"/>
        <v>10</v>
      </c>
      <c r="CU411" s="77" t="str">
        <f t="shared" si="778"/>
        <v>CR33</v>
      </c>
      <c r="CV411" s="77" t="str">
        <f t="shared" ca="1" si="777"/>
        <v/>
      </c>
      <c r="CW411" s="77">
        <f t="shared" ca="1" si="775"/>
        <v>0</v>
      </c>
    </row>
    <row r="412" spans="72:101">
      <c r="BT412" s="77" t="str">
        <f t="shared" ca="1" si="779"/>
        <v>Ecuador</v>
      </c>
      <c r="BU412" s="77">
        <f t="shared" si="774"/>
        <v>410</v>
      </c>
      <c r="BV412" s="77" t="str">
        <f t="shared" si="773"/>
        <v>A21</v>
      </c>
      <c r="BW412" s="77">
        <f t="shared" si="770"/>
        <v>18</v>
      </c>
      <c r="BX412" s="77" t="str">
        <f t="shared" ca="1" si="768"/>
        <v>L. Saritama</v>
      </c>
      <c r="BY412" s="77">
        <f ca="1">COUNTIF('Group Stages'!$L$14:$S$110,BX412)+COUNTIF('Knock Out Stages'!$N$41:$U$84,BX412)</f>
        <v>0</v>
      </c>
      <c r="BZ412" s="77" t="str">
        <f t="shared" si="771"/>
        <v>'Player Database'!A21</v>
      </c>
      <c r="CA412" s="77" t="str">
        <f t="shared" ca="1" si="772"/>
        <v>Luis Saritama</v>
      </c>
      <c r="CS412" s="77">
        <f t="shared" si="776"/>
        <v>409</v>
      </c>
      <c r="CT412" s="77">
        <f t="shared" si="769"/>
        <v>10</v>
      </c>
      <c r="CU412" s="77" t="str">
        <f t="shared" si="778"/>
        <v>CR34</v>
      </c>
      <c r="CV412" s="77" t="str">
        <f t="shared" ca="1" si="777"/>
        <v/>
      </c>
      <c r="CW412" s="77">
        <f t="shared" ca="1" si="775"/>
        <v>0</v>
      </c>
    </row>
    <row r="413" spans="72:101">
      <c r="BT413" s="77" t="str">
        <f t="shared" ca="1" si="779"/>
        <v>Ecuador</v>
      </c>
      <c r="BU413" s="77">
        <f t="shared" si="774"/>
        <v>411</v>
      </c>
      <c r="BV413" s="77" t="str">
        <f t="shared" si="773"/>
        <v>A22</v>
      </c>
      <c r="BW413" s="77">
        <f t="shared" si="770"/>
        <v>18</v>
      </c>
      <c r="BX413" s="77" t="str">
        <f t="shared" ca="1" si="768"/>
        <v>F. Martínez</v>
      </c>
      <c r="BY413" s="77">
        <f ca="1">COUNTIF('Group Stages'!$L$14:$S$110,BX413)+COUNTIF('Knock Out Stages'!$N$41:$U$84,BX413)</f>
        <v>0</v>
      </c>
      <c r="BZ413" s="77" t="str">
        <f t="shared" si="771"/>
        <v>'Player Database'!A22</v>
      </c>
      <c r="CA413" s="77" t="str">
        <f t="shared" ca="1" si="772"/>
        <v>Fidel Martínez</v>
      </c>
      <c r="CS413" s="77">
        <f t="shared" si="776"/>
        <v>410</v>
      </c>
      <c r="CT413" s="77">
        <f t="shared" si="769"/>
        <v>10</v>
      </c>
      <c r="CU413" s="77" t="str">
        <f t="shared" si="778"/>
        <v>CR35</v>
      </c>
      <c r="CV413" s="77" t="str">
        <f t="shared" ca="1" si="777"/>
        <v/>
      </c>
      <c r="CW413" s="77">
        <f t="shared" ca="1" si="775"/>
        <v>0</v>
      </c>
    </row>
    <row r="414" spans="72:101">
      <c r="BT414" s="77" t="str">
        <f t="shared" ca="1" si="779"/>
        <v>Ecuador</v>
      </c>
      <c r="BU414" s="77">
        <f t="shared" si="774"/>
        <v>412</v>
      </c>
      <c r="BV414" s="77" t="str">
        <f t="shared" si="773"/>
        <v>A23</v>
      </c>
      <c r="BW414" s="77">
        <f t="shared" si="770"/>
        <v>18</v>
      </c>
      <c r="BX414" s="77" t="str">
        <f t="shared" ca="1" si="768"/>
        <v>G. Achilier</v>
      </c>
      <c r="BY414" s="77">
        <f ca="1">COUNTIF('Group Stages'!$L$14:$S$110,BX414)+COUNTIF('Knock Out Stages'!$N$41:$U$84,BX414)</f>
        <v>0</v>
      </c>
      <c r="BZ414" s="77" t="str">
        <f t="shared" si="771"/>
        <v>'Player Database'!A23</v>
      </c>
      <c r="CA414" s="77" t="str">
        <f t="shared" ca="1" si="772"/>
        <v>Gabriel Achilier</v>
      </c>
      <c r="CS414" s="77">
        <f t="shared" si="776"/>
        <v>411</v>
      </c>
      <c r="CT414" s="77">
        <f t="shared" si="769"/>
        <v>10</v>
      </c>
      <c r="CU414" s="77" t="str">
        <f t="shared" si="778"/>
        <v>CR36</v>
      </c>
      <c r="CV414" s="77" t="str">
        <f t="shared" ca="1" si="777"/>
        <v/>
      </c>
      <c r="CW414" s="77">
        <f t="shared" ca="1" si="775"/>
        <v>0</v>
      </c>
    </row>
    <row r="415" spans="72:101">
      <c r="BT415" s="77" t="str">
        <f t="shared" ca="1" si="779"/>
        <v>Ecuador</v>
      </c>
      <c r="BU415" s="77">
        <f t="shared" si="774"/>
        <v>413</v>
      </c>
      <c r="BV415" s="77" t="str">
        <f t="shared" si="773"/>
        <v>A24</v>
      </c>
      <c r="BW415" s="77">
        <f t="shared" si="770"/>
        <v>18</v>
      </c>
      <c r="BX415" s="77" t="str">
        <f t="shared" ca="1" si="768"/>
        <v>A. Domínguez</v>
      </c>
      <c r="BY415" s="77">
        <f ca="1">COUNTIF('Group Stages'!$L$14:$S$110,BX415)+COUNTIF('Knock Out Stages'!$N$41:$U$84,BX415)</f>
        <v>0</v>
      </c>
      <c r="BZ415" s="77" t="str">
        <f t="shared" si="771"/>
        <v>'Player Database'!A24</v>
      </c>
      <c r="CA415" s="77" t="str">
        <f t="shared" ca="1" si="772"/>
        <v>Alexander Domínguez</v>
      </c>
      <c r="CS415" s="77">
        <f t="shared" si="776"/>
        <v>412</v>
      </c>
      <c r="CT415" s="77">
        <f t="shared" si="769"/>
        <v>10</v>
      </c>
      <c r="CU415" s="77" t="str">
        <f t="shared" si="778"/>
        <v>CR37</v>
      </c>
      <c r="CV415" s="77" t="str">
        <f t="shared" ca="1" si="777"/>
        <v/>
      </c>
      <c r="CW415" s="77">
        <f t="shared" ca="1" si="775"/>
        <v>0</v>
      </c>
    </row>
    <row r="416" spans="72:101">
      <c r="BT416" s="77" t="str">
        <f t="shared" ca="1" si="779"/>
        <v>Ecuador</v>
      </c>
      <c r="BU416" s="77">
        <f t="shared" si="774"/>
        <v>414</v>
      </c>
      <c r="BV416" s="77" t="str">
        <f t="shared" si="773"/>
        <v>A25</v>
      </c>
      <c r="BW416" s="77">
        <f t="shared" si="770"/>
        <v>18</v>
      </c>
      <c r="BX416" s="77" t="str">
        <f t="shared" ca="1" si="768"/>
        <v>C. Gruezo</v>
      </c>
      <c r="BY416" s="77">
        <f ca="1">COUNTIF('Group Stages'!$L$14:$S$110,BX416)+COUNTIF('Knock Out Stages'!$N$41:$U$84,BX416)</f>
        <v>0</v>
      </c>
      <c r="BZ416" s="77" t="str">
        <f t="shared" si="771"/>
        <v>'Player Database'!A25</v>
      </c>
      <c r="CA416" s="77" t="str">
        <f t="shared" ca="1" si="772"/>
        <v>Carlos Gruezo</v>
      </c>
      <c r="CS416" s="77">
        <f t="shared" si="776"/>
        <v>413</v>
      </c>
      <c r="CT416" s="77">
        <f t="shared" si="769"/>
        <v>10</v>
      </c>
      <c r="CU416" s="77" t="str">
        <f t="shared" si="778"/>
        <v>CR38</v>
      </c>
      <c r="CV416" s="77" t="str">
        <f t="shared" ca="1" si="777"/>
        <v/>
      </c>
      <c r="CW416" s="77">
        <f t="shared" ca="1" si="775"/>
        <v>0</v>
      </c>
    </row>
    <row r="417" spans="72:101">
      <c r="BT417" s="77" t="str">
        <f t="shared" ca="1" si="779"/>
        <v>France</v>
      </c>
      <c r="BU417" s="77">
        <f t="shared" si="774"/>
        <v>415</v>
      </c>
      <c r="BV417" s="77" t="str">
        <f t="shared" si="773"/>
        <v>A3</v>
      </c>
      <c r="BW417" s="77">
        <f t="shared" si="770"/>
        <v>19</v>
      </c>
      <c r="BX417" s="77" t="str">
        <f t="shared" ca="1" si="768"/>
        <v xml:space="preserve">H. Lloris </v>
      </c>
      <c r="BY417" s="77">
        <f ca="1">COUNTIF('Group Stages'!$L$14:$S$110,BX417)+COUNTIF('Knock Out Stages'!$N$41:$U$84,BX417)</f>
        <v>0</v>
      </c>
      <c r="BZ417" s="77" t="str">
        <f t="shared" si="771"/>
        <v>'Player Database'!A3</v>
      </c>
      <c r="CA417" s="77" t="str">
        <f t="shared" ca="1" si="772"/>
        <v xml:space="preserve">Hugo Lloris </v>
      </c>
      <c r="CS417" s="77">
        <f t="shared" si="776"/>
        <v>414</v>
      </c>
      <c r="CT417" s="77">
        <f t="shared" si="769"/>
        <v>10</v>
      </c>
      <c r="CU417" s="77" t="str">
        <f t="shared" si="778"/>
        <v>CR39</v>
      </c>
      <c r="CV417" s="77" t="str">
        <f t="shared" ca="1" si="777"/>
        <v/>
      </c>
      <c r="CW417" s="77">
        <f t="shared" ca="1" si="775"/>
        <v>0</v>
      </c>
    </row>
    <row r="418" spans="72:101">
      <c r="BT418" s="77" t="str">
        <f t="shared" ca="1" si="779"/>
        <v>France</v>
      </c>
      <c r="BU418" s="77">
        <f t="shared" si="774"/>
        <v>416</v>
      </c>
      <c r="BV418" s="77" t="str">
        <f t="shared" si="773"/>
        <v>A4</v>
      </c>
      <c r="BW418" s="77">
        <f t="shared" si="770"/>
        <v>19</v>
      </c>
      <c r="BX418" s="77" t="str">
        <f t="shared" ca="1" si="768"/>
        <v>M. Debuchy</v>
      </c>
      <c r="BY418" s="77">
        <f ca="1">COUNTIF('Group Stages'!$L$14:$S$110,BX418)+COUNTIF('Knock Out Stages'!$N$41:$U$84,BX418)</f>
        <v>0</v>
      </c>
      <c r="BZ418" s="77" t="str">
        <f t="shared" si="771"/>
        <v>'Player Database'!A4</v>
      </c>
      <c r="CA418" s="77" t="str">
        <f t="shared" ca="1" si="772"/>
        <v>Mathieu Debuchy</v>
      </c>
      <c r="CS418" s="77">
        <f t="shared" si="776"/>
        <v>415</v>
      </c>
      <c r="CT418" s="77">
        <f t="shared" si="769"/>
        <v>10</v>
      </c>
      <c r="CU418" s="77" t="str">
        <f t="shared" si="778"/>
        <v>CR40</v>
      </c>
      <c r="CV418" s="77" t="str">
        <f t="shared" ca="1" si="777"/>
        <v/>
      </c>
      <c r="CW418" s="77">
        <f t="shared" ca="1" si="775"/>
        <v>0</v>
      </c>
    </row>
    <row r="419" spans="72:101">
      <c r="BT419" s="77" t="str">
        <f t="shared" ca="1" si="779"/>
        <v>France</v>
      </c>
      <c r="BU419" s="77">
        <f t="shared" si="774"/>
        <v>417</v>
      </c>
      <c r="BV419" s="77" t="str">
        <f t="shared" si="773"/>
        <v>A5</v>
      </c>
      <c r="BW419" s="77">
        <f t="shared" si="770"/>
        <v>19</v>
      </c>
      <c r="BX419" s="77" t="str">
        <f t="shared" ca="1" si="768"/>
        <v>P. Evra</v>
      </c>
      <c r="BY419" s="77">
        <f ca="1">COUNTIF('Group Stages'!$L$14:$S$110,BX419)+COUNTIF('Knock Out Stages'!$N$41:$U$84,BX419)</f>
        <v>0</v>
      </c>
      <c r="BZ419" s="77" t="str">
        <f t="shared" si="771"/>
        <v>'Player Database'!A5</v>
      </c>
      <c r="CA419" s="77" t="str">
        <f t="shared" ca="1" si="772"/>
        <v>Patrice Evra</v>
      </c>
      <c r="CS419" s="77">
        <f t="shared" si="776"/>
        <v>416</v>
      </c>
      <c r="CT419" s="77">
        <f t="shared" si="769"/>
        <v>10</v>
      </c>
      <c r="CU419" s="77" t="str">
        <f t="shared" si="778"/>
        <v>CR41</v>
      </c>
      <c r="CV419" s="77" t="str">
        <f t="shared" ca="1" si="777"/>
        <v/>
      </c>
      <c r="CW419" s="77">
        <f t="shared" ca="1" si="775"/>
        <v>0</v>
      </c>
    </row>
    <row r="420" spans="72:101">
      <c r="BT420" s="77" t="str">
        <f t="shared" ca="1" si="779"/>
        <v>France</v>
      </c>
      <c r="BU420" s="77">
        <f t="shared" si="774"/>
        <v>418</v>
      </c>
      <c r="BV420" s="77" t="str">
        <f t="shared" si="773"/>
        <v>A6</v>
      </c>
      <c r="BW420" s="77">
        <f t="shared" si="770"/>
        <v>19</v>
      </c>
      <c r="BX420" s="77" t="str">
        <f t="shared" ca="1" si="768"/>
        <v>R. Varane</v>
      </c>
      <c r="BY420" s="77">
        <f ca="1">COUNTIF('Group Stages'!$L$14:$S$110,BX420)+COUNTIF('Knock Out Stages'!$N$41:$U$84,BX420)</f>
        <v>0</v>
      </c>
      <c r="BZ420" s="77" t="str">
        <f t="shared" si="771"/>
        <v>'Player Database'!A6</v>
      </c>
      <c r="CA420" s="77" t="str">
        <f t="shared" ca="1" si="772"/>
        <v>Raphaël Varane</v>
      </c>
      <c r="CS420" s="77">
        <f t="shared" si="776"/>
        <v>417</v>
      </c>
      <c r="CT420" s="77">
        <f t="shared" si="769"/>
        <v>10</v>
      </c>
      <c r="CU420" s="77" t="str">
        <f t="shared" si="778"/>
        <v>CR42</v>
      </c>
      <c r="CV420" s="77" t="str">
        <f t="shared" ca="1" si="777"/>
        <v/>
      </c>
      <c r="CW420" s="77">
        <f t="shared" ca="1" si="775"/>
        <v>0</v>
      </c>
    </row>
    <row r="421" spans="72:101">
      <c r="BT421" s="77" t="str">
        <f t="shared" ca="1" si="779"/>
        <v>France</v>
      </c>
      <c r="BU421" s="77">
        <f t="shared" si="774"/>
        <v>419</v>
      </c>
      <c r="BV421" s="77" t="str">
        <f t="shared" si="773"/>
        <v>A7</v>
      </c>
      <c r="BW421" s="77">
        <f t="shared" si="770"/>
        <v>19</v>
      </c>
      <c r="BX421" s="77" t="str">
        <f t="shared" ca="1" si="768"/>
        <v>M. Sakho</v>
      </c>
      <c r="BY421" s="77">
        <f ca="1">COUNTIF('Group Stages'!$L$14:$S$110,BX421)+COUNTIF('Knock Out Stages'!$N$41:$U$84,BX421)</f>
        <v>0</v>
      </c>
      <c r="BZ421" s="77" t="str">
        <f t="shared" si="771"/>
        <v>'Player Database'!A7</v>
      </c>
      <c r="CA421" s="77" t="str">
        <f t="shared" ca="1" si="772"/>
        <v>Mamadou Sakho</v>
      </c>
      <c r="CS421" s="77">
        <f t="shared" si="776"/>
        <v>418</v>
      </c>
      <c r="CT421" s="77">
        <f t="shared" si="769"/>
        <v>10</v>
      </c>
      <c r="CU421" s="77" t="str">
        <f t="shared" si="778"/>
        <v>CR43</v>
      </c>
      <c r="CV421" s="77" t="str">
        <f t="shared" ca="1" si="777"/>
        <v/>
      </c>
      <c r="CW421" s="77">
        <f t="shared" ca="1" si="775"/>
        <v>0</v>
      </c>
    </row>
    <row r="422" spans="72:101">
      <c r="BT422" s="77" t="str">
        <f t="shared" ca="1" si="779"/>
        <v>France</v>
      </c>
      <c r="BU422" s="77">
        <f t="shared" si="774"/>
        <v>420</v>
      </c>
      <c r="BV422" s="77" t="str">
        <f t="shared" si="773"/>
        <v>A8</v>
      </c>
      <c r="BW422" s="77">
        <f t="shared" si="770"/>
        <v>19</v>
      </c>
      <c r="BX422" s="77" t="str">
        <f t="shared" ca="1" si="768"/>
        <v>Y. Cabaye</v>
      </c>
      <c r="BY422" s="77">
        <f ca="1">COUNTIF('Group Stages'!$L$14:$S$110,BX422)+COUNTIF('Knock Out Stages'!$N$41:$U$84,BX422)</f>
        <v>0</v>
      </c>
      <c r="BZ422" s="77" t="str">
        <f t="shared" si="771"/>
        <v>'Player Database'!A8</v>
      </c>
      <c r="CA422" s="77" t="str">
        <f t="shared" ca="1" si="772"/>
        <v>Yohan Cabaye</v>
      </c>
      <c r="CS422" s="77">
        <f t="shared" si="776"/>
        <v>419</v>
      </c>
      <c r="CT422" s="77">
        <f t="shared" si="769"/>
        <v>10</v>
      </c>
      <c r="CU422" s="77" t="str">
        <f t="shared" si="778"/>
        <v>CR44</v>
      </c>
      <c r="CV422" s="77" t="str">
        <f t="shared" ca="1" si="777"/>
        <v/>
      </c>
      <c r="CW422" s="77">
        <f t="shared" ca="1" si="775"/>
        <v>0</v>
      </c>
    </row>
    <row r="423" spans="72:101">
      <c r="BT423" s="77" t="str">
        <f t="shared" ca="1" si="779"/>
        <v>France</v>
      </c>
      <c r="BU423" s="77">
        <f t="shared" si="774"/>
        <v>421</v>
      </c>
      <c r="BV423" s="77" t="str">
        <f t="shared" si="773"/>
        <v>A9</v>
      </c>
      <c r="BW423" s="77">
        <f t="shared" si="770"/>
        <v>19</v>
      </c>
      <c r="BX423" s="77" t="str">
        <f t="shared" ca="1" si="768"/>
        <v>R. Cabella[38]</v>
      </c>
      <c r="BY423" s="77">
        <f ca="1">COUNTIF('Group Stages'!$L$14:$S$110,BX423)+COUNTIF('Knock Out Stages'!$N$41:$U$84,BX423)</f>
        <v>0</v>
      </c>
      <c r="BZ423" s="77" t="str">
        <f t="shared" si="771"/>
        <v>'Player Database'!A9</v>
      </c>
      <c r="CA423" s="77" t="str">
        <f t="shared" ca="1" si="772"/>
        <v>Rémy Cabella[38]</v>
      </c>
      <c r="CS423" s="77">
        <f t="shared" si="776"/>
        <v>420</v>
      </c>
      <c r="CT423" s="77">
        <f t="shared" si="769"/>
        <v>10</v>
      </c>
      <c r="CU423" s="77" t="str">
        <f t="shared" si="778"/>
        <v>CR45</v>
      </c>
      <c r="CV423" s="77" t="str">
        <f t="shared" ca="1" si="777"/>
        <v/>
      </c>
      <c r="CW423" s="77">
        <f t="shared" ca="1" si="775"/>
        <v>0</v>
      </c>
    </row>
    <row r="424" spans="72:101">
      <c r="BT424" s="77" t="str">
        <f t="shared" ca="1" si="779"/>
        <v>France</v>
      </c>
      <c r="BU424" s="77">
        <f t="shared" si="774"/>
        <v>422</v>
      </c>
      <c r="BV424" s="77" t="str">
        <f t="shared" si="773"/>
        <v>A10</v>
      </c>
      <c r="BW424" s="77">
        <f t="shared" si="770"/>
        <v>19</v>
      </c>
      <c r="BX424" s="77" t="str">
        <f t="shared" ca="1" si="768"/>
        <v>M. Valbuena</v>
      </c>
      <c r="BY424" s="77">
        <f ca="1">COUNTIF('Group Stages'!$L$14:$S$110,BX424)+COUNTIF('Knock Out Stages'!$N$41:$U$84,BX424)</f>
        <v>0</v>
      </c>
      <c r="BZ424" s="77" t="str">
        <f t="shared" si="771"/>
        <v>'Player Database'!A10</v>
      </c>
      <c r="CA424" s="77" t="str">
        <f t="shared" ca="1" si="772"/>
        <v>Mathieu Valbuena</v>
      </c>
      <c r="CS424" s="77">
        <f t="shared" si="776"/>
        <v>421</v>
      </c>
      <c r="CT424" s="77">
        <f t="shared" si="769"/>
        <v>11</v>
      </c>
      <c r="CU424" s="77" t="str">
        <f t="shared" si="778"/>
        <v>CR4</v>
      </c>
      <c r="CV424" s="77" t="str">
        <f t="shared" ca="1" si="777"/>
        <v/>
      </c>
      <c r="CW424" s="77">
        <f t="shared" ca="1" si="775"/>
        <v>0</v>
      </c>
    </row>
    <row r="425" spans="72:101">
      <c r="BT425" s="77" t="str">
        <f t="shared" ca="1" si="779"/>
        <v>France</v>
      </c>
      <c r="BU425" s="77">
        <f t="shared" si="774"/>
        <v>423</v>
      </c>
      <c r="BV425" s="77" t="str">
        <f t="shared" si="773"/>
        <v>A11</v>
      </c>
      <c r="BW425" s="77">
        <f t="shared" si="770"/>
        <v>19</v>
      </c>
      <c r="BX425" s="77" t="str">
        <f t="shared" ca="1" si="768"/>
        <v>O. Giroud</v>
      </c>
      <c r="BY425" s="77">
        <f ca="1">COUNTIF('Group Stages'!$L$14:$S$110,BX425)+COUNTIF('Knock Out Stages'!$N$41:$U$84,BX425)</f>
        <v>0</v>
      </c>
      <c r="BZ425" s="77" t="str">
        <f t="shared" si="771"/>
        <v>'Player Database'!A11</v>
      </c>
      <c r="CA425" s="77" t="str">
        <f t="shared" ca="1" si="772"/>
        <v>Olivier Giroud</v>
      </c>
      <c r="CS425" s="77">
        <f t="shared" si="776"/>
        <v>422</v>
      </c>
      <c r="CT425" s="77">
        <f t="shared" si="769"/>
        <v>11</v>
      </c>
      <c r="CU425" s="77" t="str">
        <f t="shared" si="778"/>
        <v>CR5</v>
      </c>
      <c r="CV425" s="77" t="str">
        <f t="shared" ca="1" si="777"/>
        <v/>
      </c>
      <c r="CW425" s="77">
        <f t="shared" ca="1" si="775"/>
        <v>0</v>
      </c>
    </row>
    <row r="426" spans="72:101">
      <c r="BT426" s="77" t="str">
        <f t="shared" ca="1" si="779"/>
        <v>France</v>
      </c>
      <c r="BU426" s="77">
        <f t="shared" si="774"/>
        <v>424</v>
      </c>
      <c r="BV426" s="77" t="str">
        <f t="shared" si="773"/>
        <v>A12</v>
      </c>
      <c r="BW426" s="77">
        <f t="shared" si="770"/>
        <v>19</v>
      </c>
      <c r="BX426" s="77" t="str">
        <f t="shared" ca="1" si="768"/>
        <v>K. Benzema</v>
      </c>
      <c r="BY426" s="77">
        <f ca="1">COUNTIF('Group Stages'!$L$14:$S$110,BX426)+COUNTIF('Knock Out Stages'!$N$41:$U$84,BX426)</f>
        <v>0</v>
      </c>
      <c r="BZ426" s="77" t="str">
        <f t="shared" si="771"/>
        <v>'Player Database'!A12</v>
      </c>
      <c r="CA426" s="77" t="str">
        <f t="shared" ca="1" si="772"/>
        <v>Karim Benzema</v>
      </c>
      <c r="CS426" s="77">
        <f t="shared" si="776"/>
        <v>423</v>
      </c>
      <c r="CT426" s="77">
        <f t="shared" si="769"/>
        <v>11</v>
      </c>
      <c r="CU426" s="77" t="str">
        <f t="shared" si="778"/>
        <v>CR6</v>
      </c>
      <c r="CV426" s="77" t="str">
        <f t="shared" ca="1" si="777"/>
        <v/>
      </c>
      <c r="CW426" s="77">
        <f t="shared" ca="1" si="775"/>
        <v>0</v>
      </c>
    </row>
    <row r="427" spans="72:101">
      <c r="BT427" s="77" t="str">
        <f t="shared" ca="1" si="779"/>
        <v>France</v>
      </c>
      <c r="BU427" s="77">
        <f t="shared" si="774"/>
        <v>425</v>
      </c>
      <c r="BV427" s="77" t="str">
        <f t="shared" si="773"/>
        <v>A13</v>
      </c>
      <c r="BW427" s="77">
        <f t="shared" si="770"/>
        <v>19</v>
      </c>
      <c r="BX427" s="77" t="str">
        <f t="shared" ca="1" si="768"/>
        <v>A. Griezmann</v>
      </c>
      <c r="BY427" s="77">
        <f ca="1">COUNTIF('Group Stages'!$L$14:$S$110,BX427)+COUNTIF('Knock Out Stages'!$N$41:$U$84,BX427)</f>
        <v>0</v>
      </c>
      <c r="BZ427" s="77" t="str">
        <f t="shared" si="771"/>
        <v>'Player Database'!A13</v>
      </c>
      <c r="CA427" s="77" t="str">
        <f t="shared" ca="1" si="772"/>
        <v>Antoine Griezmann</v>
      </c>
      <c r="CS427" s="77">
        <f t="shared" si="776"/>
        <v>424</v>
      </c>
      <c r="CT427" s="77">
        <f t="shared" si="769"/>
        <v>11</v>
      </c>
      <c r="CU427" s="77" t="str">
        <f t="shared" si="778"/>
        <v>CR7</v>
      </c>
      <c r="CV427" s="77" t="str">
        <f t="shared" ca="1" si="777"/>
        <v/>
      </c>
      <c r="CW427" s="77">
        <f t="shared" ca="1" si="775"/>
        <v>0</v>
      </c>
    </row>
    <row r="428" spans="72:101">
      <c r="BT428" s="77" t="str">
        <f t="shared" ca="1" si="779"/>
        <v>France</v>
      </c>
      <c r="BU428" s="77">
        <f t="shared" si="774"/>
        <v>426</v>
      </c>
      <c r="BV428" s="77" t="str">
        <f t="shared" si="773"/>
        <v>A14</v>
      </c>
      <c r="BW428" s="77">
        <f t="shared" si="770"/>
        <v>19</v>
      </c>
      <c r="BX428" s="77" t="str">
        <f t="shared" ca="1" si="768"/>
        <v>R. Mavuba</v>
      </c>
      <c r="BY428" s="77">
        <f ca="1">COUNTIF('Group Stages'!$L$14:$S$110,BX428)+COUNTIF('Knock Out Stages'!$N$41:$U$84,BX428)</f>
        <v>0</v>
      </c>
      <c r="BZ428" s="77" t="str">
        <f t="shared" si="771"/>
        <v>'Player Database'!A14</v>
      </c>
      <c r="CA428" s="77" t="str">
        <f t="shared" ca="1" si="772"/>
        <v>Rio Mavuba</v>
      </c>
      <c r="CS428" s="77">
        <f t="shared" si="776"/>
        <v>425</v>
      </c>
      <c r="CT428" s="77">
        <f t="shared" si="769"/>
        <v>11</v>
      </c>
      <c r="CU428" s="77" t="str">
        <f t="shared" si="778"/>
        <v>CR8</v>
      </c>
      <c r="CV428" s="77" t="str">
        <f t="shared" ca="1" si="777"/>
        <v/>
      </c>
      <c r="CW428" s="77">
        <f t="shared" ca="1" si="775"/>
        <v>0</v>
      </c>
    </row>
    <row r="429" spans="72:101">
      <c r="BT429" s="77" t="str">
        <f t="shared" ca="1" si="779"/>
        <v>France</v>
      </c>
      <c r="BU429" s="77">
        <f t="shared" si="774"/>
        <v>427</v>
      </c>
      <c r="BV429" s="77" t="str">
        <f t="shared" si="773"/>
        <v>A15</v>
      </c>
      <c r="BW429" s="77">
        <f t="shared" si="770"/>
        <v>19</v>
      </c>
      <c r="BX429" s="77" t="str">
        <f t="shared" ca="1" si="768"/>
        <v>E. Mangala</v>
      </c>
      <c r="BY429" s="77">
        <f ca="1">COUNTIF('Group Stages'!$L$14:$S$110,BX429)+COUNTIF('Knock Out Stages'!$N$41:$U$84,BX429)</f>
        <v>0</v>
      </c>
      <c r="BZ429" s="77" t="str">
        <f t="shared" si="771"/>
        <v>'Player Database'!A15</v>
      </c>
      <c r="CA429" s="77" t="str">
        <f t="shared" ca="1" si="772"/>
        <v>Eliaquim Mangala</v>
      </c>
      <c r="CS429" s="77">
        <f t="shared" si="776"/>
        <v>426</v>
      </c>
      <c r="CT429" s="77">
        <f t="shared" si="769"/>
        <v>11</v>
      </c>
      <c r="CU429" s="77" t="str">
        <f t="shared" si="778"/>
        <v>CR9</v>
      </c>
      <c r="CV429" s="77" t="str">
        <f t="shared" ca="1" si="777"/>
        <v/>
      </c>
      <c r="CW429" s="77">
        <f t="shared" ca="1" si="775"/>
        <v>0</v>
      </c>
    </row>
    <row r="430" spans="72:101">
      <c r="BT430" s="77" t="str">
        <f t="shared" ca="1" si="779"/>
        <v>France</v>
      </c>
      <c r="BU430" s="77">
        <f t="shared" si="774"/>
        <v>428</v>
      </c>
      <c r="BV430" s="77" t="str">
        <f t="shared" si="773"/>
        <v>A16</v>
      </c>
      <c r="BW430" s="77">
        <f t="shared" si="770"/>
        <v>19</v>
      </c>
      <c r="BX430" s="77" t="str">
        <f t="shared" ca="1" si="768"/>
        <v>B. Matuidi</v>
      </c>
      <c r="BY430" s="77">
        <f ca="1">COUNTIF('Group Stages'!$L$14:$S$110,BX430)+COUNTIF('Knock Out Stages'!$N$41:$U$84,BX430)</f>
        <v>0</v>
      </c>
      <c r="BZ430" s="77" t="str">
        <f t="shared" si="771"/>
        <v>'Player Database'!A16</v>
      </c>
      <c r="CA430" s="77" t="str">
        <f t="shared" ca="1" si="772"/>
        <v>Blaise Matuidi</v>
      </c>
      <c r="CS430" s="77">
        <f t="shared" si="776"/>
        <v>427</v>
      </c>
      <c r="CT430" s="77">
        <f t="shared" si="769"/>
        <v>11</v>
      </c>
      <c r="CU430" s="77" t="str">
        <f t="shared" si="778"/>
        <v>CR10</v>
      </c>
      <c r="CV430" s="77" t="str">
        <f t="shared" ca="1" si="777"/>
        <v/>
      </c>
      <c r="CW430" s="77">
        <f t="shared" ca="1" si="775"/>
        <v>0</v>
      </c>
    </row>
    <row r="431" spans="72:101">
      <c r="BT431" s="77" t="str">
        <f t="shared" ca="1" si="779"/>
        <v>France</v>
      </c>
      <c r="BU431" s="77">
        <f t="shared" si="774"/>
        <v>429</v>
      </c>
      <c r="BV431" s="77" t="str">
        <f t="shared" si="773"/>
        <v>A17</v>
      </c>
      <c r="BW431" s="77">
        <f t="shared" si="770"/>
        <v>19</v>
      </c>
      <c r="BX431" s="77" t="str">
        <f t="shared" ca="1" si="768"/>
        <v>B. Sagna</v>
      </c>
      <c r="BY431" s="77">
        <f ca="1">COUNTIF('Group Stages'!$L$14:$S$110,BX431)+COUNTIF('Knock Out Stages'!$N$41:$U$84,BX431)</f>
        <v>0</v>
      </c>
      <c r="BZ431" s="77" t="str">
        <f t="shared" si="771"/>
        <v>'Player Database'!A17</v>
      </c>
      <c r="CA431" s="77" t="str">
        <f t="shared" ca="1" si="772"/>
        <v>Bacary Sagna</v>
      </c>
      <c r="CS431" s="77">
        <f t="shared" si="776"/>
        <v>428</v>
      </c>
      <c r="CT431" s="77">
        <f t="shared" si="769"/>
        <v>11</v>
      </c>
      <c r="CU431" s="77" t="str">
        <f t="shared" si="778"/>
        <v>CR11</v>
      </c>
      <c r="CV431" s="77" t="str">
        <f t="shared" ca="1" si="777"/>
        <v/>
      </c>
      <c r="CW431" s="77">
        <f t="shared" ca="1" si="775"/>
        <v>0</v>
      </c>
    </row>
    <row r="432" spans="72:101">
      <c r="BT432" s="77" t="str">
        <f t="shared" ca="1" si="779"/>
        <v>France</v>
      </c>
      <c r="BU432" s="77">
        <f t="shared" si="774"/>
        <v>430</v>
      </c>
      <c r="BV432" s="77" t="str">
        <f t="shared" si="773"/>
        <v>A18</v>
      </c>
      <c r="BW432" s="77">
        <f t="shared" si="770"/>
        <v>19</v>
      </c>
      <c r="BX432" s="77" t="str">
        <f t="shared" ref="BX432:BX495" ca="1" si="780">OFFSET(INDIRECT(BV432),0,BW432)</f>
        <v>S. Ruffier[39]</v>
      </c>
      <c r="BY432" s="77">
        <f ca="1">COUNTIF('Group Stages'!$L$14:$S$110,BX432)+COUNTIF('Knock Out Stages'!$N$41:$U$84,BX432)</f>
        <v>0</v>
      </c>
      <c r="BZ432" s="77" t="str">
        <f t="shared" si="771"/>
        <v>'Player Database'!A18</v>
      </c>
      <c r="CA432" s="77" t="str">
        <f t="shared" ca="1" si="772"/>
        <v>Stéphane Ruffier[39]</v>
      </c>
      <c r="CS432" s="77">
        <f t="shared" si="776"/>
        <v>429</v>
      </c>
      <c r="CT432" s="77">
        <f t="shared" ref="CT432:CT495" si="781">CT390+1</f>
        <v>11</v>
      </c>
      <c r="CU432" s="77" t="str">
        <f t="shared" si="778"/>
        <v>CR12</v>
      </c>
      <c r="CV432" s="77" t="str">
        <f t="shared" ca="1" si="777"/>
        <v/>
      </c>
      <c r="CW432" s="77">
        <f t="shared" ca="1" si="775"/>
        <v>0</v>
      </c>
    </row>
    <row r="433" spans="72:101">
      <c r="BT433" s="77" t="str">
        <f t="shared" ca="1" si="779"/>
        <v>France</v>
      </c>
      <c r="BU433" s="77">
        <f t="shared" si="774"/>
        <v>431</v>
      </c>
      <c r="BV433" s="77" t="str">
        <f t="shared" si="773"/>
        <v>A19</v>
      </c>
      <c r="BW433" s="77">
        <f t="shared" si="770"/>
        <v>19</v>
      </c>
      <c r="BX433" s="77" t="str">
        <f t="shared" ca="1" si="780"/>
        <v>L. Digne</v>
      </c>
      <c r="BY433" s="77">
        <f ca="1">COUNTIF('Group Stages'!$L$14:$S$110,BX433)+COUNTIF('Knock Out Stages'!$N$41:$U$84,BX433)</f>
        <v>0</v>
      </c>
      <c r="BZ433" s="77" t="str">
        <f t="shared" si="771"/>
        <v>'Player Database'!A19</v>
      </c>
      <c r="CA433" s="77" t="str">
        <f t="shared" ca="1" si="772"/>
        <v>Lucas Digne</v>
      </c>
      <c r="CS433" s="77">
        <f t="shared" si="776"/>
        <v>430</v>
      </c>
      <c r="CT433" s="77">
        <f t="shared" si="781"/>
        <v>11</v>
      </c>
      <c r="CU433" s="77" t="str">
        <f t="shared" si="778"/>
        <v>CR13</v>
      </c>
      <c r="CV433" s="77" t="str">
        <f t="shared" ca="1" si="777"/>
        <v/>
      </c>
      <c r="CW433" s="77">
        <f t="shared" ca="1" si="775"/>
        <v>0</v>
      </c>
    </row>
    <row r="434" spans="72:101">
      <c r="BT434" s="77" t="str">
        <f t="shared" ca="1" si="779"/>
        <v>France</v>
      </c>
      <c r="BU434" s="77">
        <f t="shared" si="774"/>
        <v>432</v>
      </c>
      <c r="BV434" s="77" t="str">
        <f t="shared" si="773"/>
        <v>A20</v>
      </c>
      <c r="BW434" s="77">
        <f t="shared" ref="BW434:BW497" si="782">BW411+1</f>
        <v>19</v>
      </c>
      <c r="BX434" s="77" t="str">
        <f t="shared" ca="1" si="780"/>
        <v>M. Sissoko</v>
      </c>
      <c r="BY434" s="77">
        <f ca="1">COUNTIF('Group Stages'!$L$14:$S$110,BX434)+COUNTIF('Knock Out Stages'!$N$41:$U$84,BX434)</f>
        <v>0</v>
      </c>
      <c r="BZ434" s="77" t="str">
        <f t="shared" ref="BZ434:BZ497" si="783">BZ411</f>
        <v>'Player Database'!A20</v>
      </c>
      <c r="CA434" s="77" t="str">
        <f t="shared" ref="CA434:CA497" ca="1" si="784">OFFSET(INDIRECT(BZ434),0,BW434)</f>
        <v>Moussa Sissoko</v>
      </c>
      <c r="CS434" s="77">
        <f t="shared" si="776"/>
        <v>431</v>
      </c>
      <c r="CT434" s="77">
        <f t="shared" si="781"/>
        <v>11</v>
      </c>
      <c r="CU434" s="77" t="str">
        <f t="shared" si="778"/>
        <v>CR14</v>
      </c>
      <c r="CV434" s="77" t="str">
        <f t="shared" ca="1" si="777"/>
        <v/>
      </c>
      <c r="CW434" s="77">
        <f t="shared" ca="1" si="775"/>
        <v>0</v>
      </c>
    </row>
    <row r="435" spans="72:101">
      <c r="BT435" s="77" t="str">
        <f t="shared" ca="1" si="779"/>
        <v>France</v>
      </c>
      <c r="BU435" s="77">
        <f t="shared" si="774"/>
        <v>433</v>
      </c>
      <c r="BV435" s="77" t="str">
        <f t="shared" ref="BV435:BV498" si="785">BV412</f>
        <v>A21</v>
      </c>
      <c r="BW435" s="77">
        <f t="shared" si="782"/>
        <v>19</v>
      </c>
      <c r="BX435" s="77" t="str">
        <f t="shared" ca="1" si="780"/>
        <v>P. Pogba</v>
      </c>
      <c r="BY435" s="77">
        <f ca="1">COUNTIF('Group Stages'!$L$14:$S$110,BX435)+COUNTIF('Knock Out Stages'!$N$41:$U$84,BX435)</f>
        <v>0</v>
      </c>
      <c r="BZ435" s="77" t="str">
        <f t="shared" si="783"/>
        <v>'Player Database'!A21</v>
      </c>
      <c r="CA435" s="77" t="str">
        <f t="shared" ca="1" si="784"/>
        <v>Paul Pogba</v>
      </c>
      <c r="CS435" s="77">
        <f t="shared" si="776"/>
        <v>432</v>
      </c>
      <c r="CT435" s="77">
        <f t="shared" si="781"/>
        <v>11</v>
      </c>
      <c r="CU435" s="77" t="str">
        <f t="shared" si="778"/>
        <v>CR15</v>
      </c>
      <c r="CV435" s="77" t="str">
        <f t="shared" ca="1" si="777"/>
        <v/>
      </c>
      <c r="CW435" s="77">
        <f t="shared" ca="1" si="775"/>
        <v>0</v>
      </c>
    </row>
    <row r="436" spans="72:101">
      <c r="BT436" s="77" t="str">
        <f t="shared" ca="1" si="779"/>
        <v>France</v>
      </c>
      <c r="BU436" s="77">
        <f t="shared" si="774"/>
        <v>434</v>
      </c>
      <c r="BV436" s="77" t="str">
        <f t="shared" si="785"/>
        <v>A22</v>
      </c>
      <c r="BW436" s="77">
        <f t="shared" si="782"/>
        <v>19</v>
      </c>
      <c r="BX436" s="77" t="str">
        <f t="shared" ca="1" si="780"/>
        <v>L. Rémy</v>
      </c>
      <c r="BY436" s="77">
        <f ca="1">COUNTIF('Group Stages'!$L$14:$S$110,BX436)+COUNTIF('Knock Out Stages'!$N$41:$U$84,BX436)</f>
        <v>0</v>
      </c>
      <c r="BZ436" s="77" t="str">
        <f t="shared" si="783"/>
        <v>'Player Database'!A22</v>
      </c>
      <c r="CA436" s="77" t="str">
        <f t="shared" ca="1" si="784"/>
        <v>Loïc Rémy</v>
      </c>
      <c r="CS436" s="77">
        <f t="shared" si="776"/>
        <v>433</v>
      </c>
      <c r="CT436" s="77">
        <f t="shared" si="781"/>
        <v>11</v>
      </c>
      <c r="CU436" s="77" t="str">
        <f t="shared" si="778"/>
        <v>CR16</v>
      </c>
      <c r="CV436" s="77" t="str">
        <f t="shared" ca="1" si="777"/>
        <v/>
      </c>
      <c r="CW436" s="77">
        <f t="shared" ca="1" si="775"/>
        <v>0</v>
      </c>
    </row>
    <row r="437" spans="72:101">
      <c r="BT437" s="77" t="str">
        <f t="shared" ca="1" si="779"/>
        <v>France</v>
      </c>
      <c r="BU437" s="77">
        <f t="shared" si="774"/>
        <v>435</v>
      </c>
      <c r="BV437" s="77" t="str">
        <f t="shared" si="785"/>
        <v>A23</v>
      </c>
      <c r="BW437" s="77">
        <f t="shared" si="782"/>
        <v>19</v>
      </c>
      <c r="BX437" s="77" t="str">
        <f t="shared" ca="1" si="780"/>
        <v>L. Koscielny</v>
      </c>
      <c r="BY437" s="77">
        <f ca="1">COUNTIF('Group Stages'!$L$14:$S$110,BX437)+COUNTIF('Knock Out Stages'!$N$41:$U$84,BX437)</f>
        <v>0</v>
      </c>
      <c r="BZ437" s="77" t="str">
        <f t="shared" si="783"/>
        <v>'Player Database'!A23</v>
      </c>
      <c r="CA437" s="77" t="str">
        <f t="shared" ca="1" si="784"/>
        <v>Laurent Koscielny</v>
      </c>
      <c r="CS437" s="77">
        <f t="shared" si="776"/>
        <v>434</v>
      </c>
      <c r="CT437" s="77">
        <f t="shared" si="781"/>
        <v>11</v>
      </c>
      <c r="CU437" s="77" t="str">
        <f t="shared" si="778"/>
        <v>CR17</v>
      </c>
      <c r="CV437" s="77" t="str">
        <f t="shared" ca="1" si="777"/>
        <v/>
      </c>
      <c r="CW437" s="77">
        <f t="shared" ca="1" si="775"/>
        <v>0</v>
      </c>
    </row>
    <row r="438" spans="72:101">
      <c r="BT438" s="77" t="str">
        <f t="shared" ca="1" si="779"/>
        <v>France</v>
      </c>
      <c r="BU438" s="77">
        <f t="shared" si="774"/>
        <v>436</v>
      </c>
      <c r="BV438" s="77" t="str">
        <f t="shared" si="785"/>
        <v>A24</v>
      </c>
      <c r="BW438" s="77">
        <f t="shared" si="782"/>
        <v>19</v>
      </c>
      <c r="BX438" s="77" t="str">
        <f t="shared" ca="1" si="780"/>
        <v>M. Schneiderlin[40]</v>
      </c>
      <c r="BY438" s="77">
        <f ca="1">COUNTIF('Group Stages'!$L$14:$S$110,BX438)+COUNTIF('Knock Out Stages'!$N$41:$U$84,BX438)</f>
        <v>0</v>
      </c>
      <c r="BZ438" s="77" t="str">
        <f t="shared" si="783"/>
        <v>'Player Database'!A24</v>
      </c>
      <c r="CA438" s="77" t="str">
        <f t="shared" ca="1" si="784"/>
        <v>Morgan Schneiderlin[40]</v>
      </c>
      <c r="CS438" s="77">
        <f t="shared" si="776"/>
        <v>435</v>
      </c>
      <c r="CT438" s="77">
        <f t="shared" si="781"/>
        <v>11</v>
      </c>
      <c r="CU438" s="77" t="str">
        <f t="shared" si="778"/>
        <v>CR18</v>
      </c>
      <c r="CV438" s="77" t="str">
        <f t="shared" ca="1" si="777"/>
        <v/>
      </c>
      <c r="CW438" s="77">
        <f t="shared" ca="1" si="775"/>
        <v>0</v>
      </c>
    </row>
    <row r="439" spans="72:101">
      <c r="BT439" s="77" t="str">
        <f t="shared" ca="1" si="779"/>
        <v>France</v>
      </c>
      <c r="BU439" s="77">
        <f t="shared" si="774"/>
        <v>437</v>
      </c>
      <c r="BV439" s="77" t="str">
        <f t="shared" si="785"/>
        <v>A25</v>
      </c>
      <c r="BW439" s="77">
        <f t="shared" si="782"/>
        <v>19</v>
      </c>
      <c r="BX439" s="77" t="str">
        <f t="shared" ca="1" si="780"/>
        <v>M. Landreau</v>
      </c>
      <c r="BY439" s="77">
        <f ca="1">COUNTIF('Group Stages'!$L$14:$S$110,BX439)+COUNTIF('Knock Out Stages'!$N$41:$U$84,BX439)</f>
        <v>0</v>
      </c>
      <c r="BZ439" s="77" t="str">
        <f t="shared" si="783"/>
        <v>'Player Database'!A25</v>
      </c>
      <c r="CA439" s="77" t="str">
        <f t="shared" ca="1" si="784"/>
        <v>Mickaël Landreau</v>
      </c>
      <c r="CS439" s="77">
        <f t="shared" si="776"/>
        <v>436</v>
      </c>
      <c r="CT439" s="77">
        <f t="shared" si="781"/>
        <v>11</v>
      </c>
      <c r="CU439" s="77" t="str">
        <f t="shared" si="778"/>
        <v>CR19</v>
      </c>
      <c r="CV439" s="77" t="str">
        <f t="shared" ca="1" si="777"/>
        <v/>
      </c>
      <c r="CW439" s="77">
        <f t="shared" ca="1" si="775"/>
        <v>0</v>
      </c>
    </row>
    <row r="440" spans="72:101">
      <c r="BT440" s="77" t="str">
        <f t="shared" ca="1" si="779"/>
        <v>Honduras</v>
      </c>
      <c r="BU440" s="77">
        <f t="shared" si="774"/>
        <v>438</v>
      </c>
      <c r="BV440" s="77" t="str">
        <f t="shared" si="785"/>
        <v>A3</v>
      </c>
      <c r="BW440" s="77">
        <f t="shared" si="782"/>
        <v>20</v>
      </c>
      <c r="BX440" s="77" t="str">
        <f t="shared" ca="1" si="780"/>
        <v>L. López</v>
      </c>
      <c r="BY440" s="77">
        <f ca="1">COUNTIF('Group Stages'!$L$14:$S$110,BX440)+COUNTIF('Knock Out Stages'!$N$41:$U$84,BX440)</f>
        <v>0</v>
      </c>
      <c r="BZ440" s="77" t="str">
        <f t="shared" si="783"/>
        <v>'Player Database'!A3</v>
      </c>
      <c r="CA440" s="77" t="str">
        <f t="shared" ca="1" si="784"/>
        <v>Luis López</v>
      </c>
      <c r="CS440" s="77">
        <f t="shared" si="776"/>
        <v>437</v>
      </c>
      <c r="CT440" s="77">
        <f t="shared" si="781"/>
        <v>11</v>
      </c>
      <c r="CU440" s="77" t="str">
        <f t="shared" si="778"/>
        <v>CR20</v>
      </c>
      <c r="CV440" s="77" t="str">
        <f t="shared" ca="1" si="777"/>
        <v/>
      </c>
      <c r="CW440" s="77">
        <f t="shared" ca="1" si="775"/>
        <v>0</v>
      </c>
    </row>
    <row r="441" spans="72:101">
      <c r="BT441" s="77" t="str">
        <f t="shared" ca="1" si="779"/>
        <v>Honduras</v>
      </c>
      <c r="BU441" s="77">
        <f t="shared" si="774"/>
        <v>439</v>
      </c>
      <c r="BV441" s="77" t="str">
        <f t="shared" si="785"/>
        <v>A4</v>
      </c>
      <c r="BW441" s="77">
        <f t="shared" si="782"/>
        <v>20</v>
      </c>
      <c r="BX441" s="77" t="str">
        <f t="shared" ca="1" si="780"/>
        <v>O. Chávez</v>
      </c>
      <c r="BY441" s="77">
        <f ca="1">COUNTIF('Group Stages'!$L$14:$S$110,BX441)+COUNTIF('Knock Out Stages'!$N$41:$U$84,BX441)</f>
        <v>0</v>
      </c>
      <c r="BZ441" s="77" t="str">
        <f t="shared" si="783"/>
        <v>'Player Database'!A4</v>
      </c>
      <c r="CA441" s="77" t="str">
        <f t="shared" ca="1" si="784"/>
        <v>Osman Chávez</v>
      </c>
      <c r="CS441" s="77">
        <f t="shared" si="776"/>
        <v>438</v>
      </c>
      <c r="CT441" s="77">
        <f t="shared" si="781"/>
        <v>11</v>
      </c>
      <c r="CU441" s="77" t="str">
        <f t="shared" si="778"/>
        <v>CR21</v>
      </c>
      <c r="CV441" s="77" t="str">
        <f t="shared" ca="1" si="777"/>
        <v/>
      </c>
      <c r="CW441" s="77">
        <f t="shared" ca="1" si="775"/>
        <v>0</v>
      </c>
    </row>
    <row r="442" spans="72:101">
      <c r="BT442" s="77" t="str">
        <f t="shared" ca="1" si="779"/>
        <v>Honduras</v>
      </c>
      <c r="BU442" s="77">
        <f t="shared" si="774"/>
        <v>440</v>
      </c>
      <c r="BV442" s="77" t="str">
        <f t="shared" si="785"/>
        <v>A5</v>
      </c>
      <c r="BW442" s="77">
        <f t="shared" si="782"/>
        <v>20</v>
      </c>
      <c r="BX442" s="77" t="str">
        <f t="shared" ca="1" si="780"/>
        <v>M. Figueroa</v>
      </c>
      <c r="BY442" s="77">
        <f ca="1">COUNTIF('Group Stages'!$L$14:$S$110,BX442)+COUNTIF('Knock Out Stages'!$N$41:$U$84,BX442)</f>
        <v>0</v>
      </c>
      <c r="BZ442" s="77" t="str">
        <f t="shared" si="783"/>
        <v>'Player Database'!A5</v>
      </c>
      <c r="CA442" s="77" t="str">
        <f t="shared" ca="1" si="784"/>
        <v>Maynor Figueroa</v>
      </c>
      <c r="CS442" s="77">
        <f t="shared" si="776"/>
        <v>439</v>
      </c>
      <c r="CT442" s="77">
        <f t="shared" si="781"/>
        <v>11</v>
      </c>
      <c r="CU442" s="77" t="str">
        <f t="shared" si="778"/>
        <v>CR22</v>
      </c>
      <c r="CV442" s="77" t="str">
        <f t="shared" ca="1" si="777"/>
        <v/>
      </c>
      <c r="CW442" s="77">
        <f t="shared" ca="1" si="775"/>
        <v>0</v>
      </c>
    </row>
    <row r="443" spans="72:101">
      <c r="BT443" s="77" t="str">
        <f t="shared" ca="1" si="779"/>
        <v>Honduras</v>
      </c>
      <c r="BU443" s="77">
        <f t="shared" si="774"/>
        <v>441</v>
      </c>
      <c r="BV443" s="77" t="str">
        <f t="shared" si="785"/>
        <v>A6</v>
      </c>
      <c r="BW443" s="77">
        <f t="shared" si="782"/>
        <v>20</v>
      </c>
      <c r="BX443" s="77" t="str">
        <f t="shared" ca="1" si="780"/>
        <v>J. Pablo Montes</v>
      </c>
      <c r="BY443" s="77">
        <f ca="1">COUNTIF('Group Stages'!$L$14:$S$110,BX443)+COUNTIF('Knock Out Stages'!$N$41:$U$84,BX443)</f>
        <v>0</v>
      </c>
      <c r="BZ443" s="77" t="str">
        <f t="shared" si="783"/>
        <v>'Player Database'!A6</v>
      </c>
      <c r="CA443" s="77" t="str">
        <f t="shared" ca="1" si="784"/>
        <v>Juan Pablo Montes</v>
      </c>
      <c r="CS443" s="77">
        <f t="shared" si="776"/>
        <v>440</v>
      </c>
      <c r="CT443" s="77">
        <f t="shared" si="781"/>
        <v>11</v>
      </c>
      <c r="CU443" s="77" t="str">
        <f t="shared" si="778"/>
        <v>CR23</v>
      </c>
      <c r="CV443" s="77" t="str">
        <f t="shared" ca="1" si="777"/>
        <v/>
      </c>
      <c r="CW443" s="77">
        <f t="shared" ca="1" si="775"/>
        <v>0</v>
      </c>
    </row>
    <row r="444" spans="72:101">
      <c r="BT444" s="77" t="str">
        <f t="shared" ca="1" si="779"/>
        <v>Honduras</v>
      </c>
      <c r="BU444" s="77">
        <f t="shared" si="774"/>
        <v>442</v>
      </c>
      <c r="BV444" s="77" t="str">
        <f t="shared" si="785"/>
        <v>A7</v>
      </c>
      <c r="BW444" s="77">
        <f t="shared" si="782"/>
        <v>20</v>
      </c>
      <c r="BX444" s="77" t="str">
        <f t="shared" ca="1" si="780"/>
        <v>V. Bernárdez</v>
      </c>
      <c r="BY444" s="77">
        <f ca="1">COUNTIF('Group Stages'!$L$14:$S$110,BX444)+COUNTIF('Knock Out Stages'!$N$41:$U$84,BX444)</f>
        <v>0</v>
      </c>
      <c r="BZ444" s="77" t="str">
        <f t="shared" si="783"/>
        <v>'Player Database'!A7</v>
      </c>
      <c r="CA444" s="77" t="str">
        <f t="shared" ca="1" si="784"/>
        <v>Víctor Bernárdez</v>
      </c>
      <c r="CS444" s="77">
        <f t="shared" si="776"/>
        <v>441</v>
      </c>
      <c r="CT444" s="77">
        <f t="shared" si="781"/>
        <v>11</v>
      </c>
      <c r="CU444" s="77" t="str">
        <f t="shared" si="778"/>
        <v>CR24</v>
      </c>
      <c r="CV444" s="77" t="str">
        <f t="shared" ca="1" si="777"/>
        <v/>
      </c>
      <c r="CW444" s="77">
        <f t="shared" ca="1" si="775"/>
        <v>0</v>
      </c>
    </row>
    <row r="445" spans="72:101">
      <c r="BT445" s="77" t="str">
        <f t="shared" ca="1" si="779"/>
        <v>Honduras</v>
      </c>
      <c r="BU445" s="77">
        <f t="shared" si="774"/>
        <v>443</v>
      </c>
      <c r="BV445" s="77" t="str">
        <f t="shared" si="785"/>
        <v>A8</v>
      </c>
      <c r="BW445" s="77">
        <f t="shared" si="782"/>
        <v>20</v>
      </c>
      <c r="BX445" s="77" t="str">
        <f t="shared" ca="1" si="780"/>
        <v>J. Carlos García</v>
      </c>
      <c r="BY445" s="77">
        <f ca="1">COUNTIF('Group Stages'!$L$14:$S$110,BX445)+COUNTIF('Knock Out Stages'!$N$41:$U$84,BX445)</f>
        <v>0</v>
      </c>
      <c r="BZ445" s="77" t="str">
        <f t="shared" si="783"/>
        <v>'Player Database'!A8</v>
      </c>
      <c r="CA445" s="77" t="str">
        <f t="shared" ca="1" si="784"/>
        <v>Juan Carlos García</v>
      </c>
      <c r="CS445" s="77">
        <f t="shared" si="776"/>
        <v>442</v>
      </c>
      <c r="CT445" s="77">
        <f t="shared" si="781"/>
        <v>11</v>
      </c>
      <c r="CU445" s="77" t="str">
        <f t="shared" si="778"/>
        <v>CR25</v>
      </c>
      <c r="CV445" s="77" t="str">
        <f t="shared" ca="1" si="777"/>
        <v/>
      </c>
      <c r="CW445" s="77">
        <f t="shared" ca="1" si="775"/>
        <v>0</v>
      </c>
    </row>
    <row r="446" spans="72:101">
      <c r="BT446" s="77" t="str">
        <f t="shared" ca="1" si="779"/>
        <v>Honduras</v>
      </c>
      <c r="BU446" s="77">
        <f t="shared" si="774"/>
        <v>444</v>
      </c>
      <c r="BV446" s="77" t="str">
        <f t="shared" si="785"/>
        <v>A9</v>
      </c>
      <c r="BW446" s="77">
        <f t="shared" si="782"/>
        <v>20</v>
      </c>
      <c r="BX446" s="77" t="str">
        <f t="shared" ca="1" si="780"/>
        <v>E. Izaguirre</v>
      </c>
      <c r="BY446" s="77">
        <f ca="1">COUNTIF('Group Stages'!$L$14:$S$110,BX446)+COUNTIF('Knock Out Stages'!$N$41:$U$84,BX446)</f>
        <v>0</v>
      </c>
      <c r="BZ446" s="77" t="str">
        <f t="shared" si="783"/>
        <v>'Player Database'!A9</v>
      </c>
      <c r="CA446" s="77" t="str">
        <f t="shared" ca="1" si="784"/>
        <v>Emilio Izaguirre</v>
      </c>
      <c r="CS446" s="77">
        <f t="shared" si="776"/>
        <v>443</v>
      </c>
      <c r="CT446" s="77">
        <f t="shared" si="781"/>
        <v>11</v>
      </c>
      <c r="CU446" s="77" t="str">
        <f t="shared" si="778"/>
        <v>CR26</v>
      </c>
      <c r="CV446" s="77" t="str">
        <f t="shared" ca="1" si="777"/>
        <v/>
      </c>
      <c r="CW446" s="77">
        <f t="shared" ca="1" si="775"/>
        <v>0</v>
      </c>
    </row>
    <row r="447" spans="72:101">
      <c r="BT447" s="77" t="str">
        <f t="shared" ca="1" si="779"/>
        <v>Honduras</v>
      </c>
      <c r="BU447" s="77">
        <f t="shared" si="774"/>
        <v>445</v>
      </c>
      <c r="BV447" s="77" t="str">
        <f t="shared" si="785"/>
        <v>A10</v>
      </c>
      <c r="BW447" s="77">
        <f t="shared" si="782"/>
        <v>20</v>
      </c>
      <c r="BX447" s="77" t="str">
        <f t="shared" ca="1" si="780"/>
        <v>W. Palacios</v>
      </c>
      <c r="BY447" s="77">
        <f ca="1">COUNTIF('Group Stages'!$L$14:$S$110,BX447)+COUNTIF('Knock Out Stages'!$N$41:$U$84,BX447)</f>
        <v>0</v>
      </c>
      <c r="BZ447" s="77" t="str">
        <f t="shared" si="783"/>
        <v>'Player Database'!A10</v>
      </c>
      <c r="CA447" s="77" t="str">
        <f t="shared" ca="1" si="784"/>
        <v>Wilson Palacios</v>
      </c>
      <c r="CS447" s="77">
        <f t="shared" si="776"/>
        <v>444</v>
      </c>
      <c r="CT447" s="77">
        <f t="shared" si="781"/>
        <v>11</v>
      </c>
      <c r="CU447" s="77" t="str">
        <f t="shared" si="778"/>
        <v>CR27</v>
      </c>
      <c r="CV447" s="77" t="str">
        <f t="shared" ca="1" si="777"/>
        <v/>
      </c>
      <c r="CW447" s="77">
        <f t="shared" ca="1" si="775"/>
        <v>0</v>
      </c>
    </row>
    <row r="448" spans="72:101">
      <c r="BT448" s="77" t="str">
        <f t="shared" ca="1" si="779"/>
        <v>Honduras</v>
      </c>
      <c r="BU448" s="77">
        <f t="shared" si="774"/>
        <v>446</v>
      </c>
      <c r="BV448" s="77" t="str">
        <f t="shared" si="785"/>
        <v>A11</v>
      </c>
      <c r="BW448" s="77">
        <f t="shared" si="782"/>
        <v>20</v>
      </c>
      <c r="BX448" s="77" t="str">
        <f t="shared" ca="1" si="780"/>
        <v>J. Palacios</v>
      </c>
      <c r="BY448" s="77">
        <f ca="1">COUNTIF('Group Stages'!$L$14:$S$110,BX448)+COUNTIF('Knock Out Stages'!$N$41:$U$84,BX448)</f>
        <v>0</v>
      </c>
      <c r="BZ448" s="77" t="str">
        <f t="shared" si="783"/>
        <v>'Player Database'!A11</v>
      </c>
      <c r="CA448" s="77" t="str">
        <f t="shared" ca="1" si="784"/>
        <v>Jerry Palacios</v>
      </c>
      <c r="CS448" s="77">
        <f t="shared" si="776"/>
        <v>445</v>
      </c>
      <c r="CT448" s="77">
        <f t="shared" si="781"/>
        <v>11</v>
      </c>
      <c r="CU448" s="77" t="str">
        <f t="shared" si="778"/>
        <v>CR28</v>
      </c>
      <c r="CV448" s="77" t="str">
        <f t="shared" ca="1" si="777"/>
        <v/>
      </c>
      <c r="CW448" s="77">
        <f t="shared" ca="1" si="775"/>
        <v>0</v>
      </c>
    </row>
    <row r="449" spans="72:101">
      <c r="BT449" s="77" t="str">
        <f t="shared" ca="1" si="779"/>
        <v>Honduras</v>
      </c>
      <c r="BU449" s="77">
        <f t="shared" si="774"/>
        <v>447</v>
      </c>
      <c r="BV449" s="77" t="str">
        <f t="shared" si="785"/>
        <v>A12</v>
      </c>
      <c r="BW449" s="77">
        <f t="shared" si="782"/>
        <v>20</v>
      </c>
      <c r="BX449" s="77" t="str">
        <f t="shared" ca="1" si="780"/>
        <v>M. Martínez</v>
      </c>
      <c r="BY449" s="77">
        <f ca="1">COUNTIF('Group Stages'!$L$14:$S$110,BX449)+COUNTIF('Knock Out Stages'!$N$41:$U$84,BX449)</f>
        <v>0</v>
      </c>
      <c r="BZ449" s="77" t="str">
        <f t="shared" si="783"/>
        <v>'Player Database'!A12</v>
      </c>
      <c r="CA449" s="77" t="str">
        <f t="shared" ca="1" si="784"/>
        <v>Mario Martínez</v>
      </c>
      <c r="CS449" s="77">
        <f t="shared" si="776"/>
        <v>446</v>
      </c>
      <c r="CT449" s="77">
        <f t="shared" si="781"/>
        <v>11</v>
      </c>
      <c r="CU449" s="77" t="str">
        <f t="shared" si="778"/>
        <v>CR29</v>
      </c>
      <c r="CV449" s="77" t="str">
        <f t="shared" ca="1" si="777"/>
        <v/>
      </c>
      <c r="CW449" s="77">
        <f t="shared" ca="1" si="775"/>
        <v>0</v>
      </c>
    </row>
    <row r="450" spans="72:101">
      <c r="BT450" s="77" t="str">
        <f t="shared" ca="1" si="779"/>
        <v>Honduras</v>
      </c>
      <c r="BU450" s="77">
        <f t="shared" si="774"/>
        <v>448</v>
      </c>
      <c r="BV450" s="77" t="str">
        <f t="shared" si="785"/>
        <v>A13</v>
      </c>
      <c r="BW450" s="77">
        <f t="shared" si="782"/>
        <v>20</v>
      </c>
      <c r="BX450" s="77" t="str">
        <f t="shared" ca="1" si="780"/>
        <v>J. Bengtson</v>
      </c>
      <c r="BY450" s="77">
        <f ca="1">COUNTIF('Group Stages'!$L$14:$S$110,BX450)+COUNTIF('Knock Out Stages'!$N$41:$U$84,BX450)</f>
        <v>0</v>
      </c>
      <c r="BZ450" s="77" t="str">
        <f t="shared" si="783"/>
        <v>'Player Database'!A13</v>
      </c>
      <c r="CA450" s="77" t="str">
        <f t="shared" ca="1" si="784"/>
        <v>Jerry Bengtson</v>
      </c>
      <c r="CS450" s="77">
        <f t="shared" si="776"/>
        <v>447</v>
      </c>
      <c r="CT450" s="77">
        <f t="shared" si="781"/>
        <v>11</v>
      </c>
      <c r="CU450" s="77" t="str">
        <f t="shared" si="778"/>
        <v>CR30</v>
      </c>
      <c r="CV450" s="77" t="str">
        <f t="shared" ca="1" si="777"/>
        <v/>
      </c>
      <c r="CW450" s="77">
        <f t="shared" ca="1" si="775"/>
        <v>0</v>
      </c>
    </row>
    <row r="451" spans="72:101">
      <c r="BT451" s="77" t="str">
        <f t="shared" ca="1" si="779"/>
        <v>Honduras</v>
      </c>
      <c r="BU451" s="77">
        <f t="shared" si="774"/>
        <v>449</v>
      </c>
      <c r="BV451" s="77" t="str">
        <f t="shared" si="785"/>
        <v>A14</v>
      </c>
      <c r="BW451" s="77">
        <f t="shared" si="782"/>
        <v>20</v>
      </c>
      <c r="BX451" s="77" t="str">
        <f t="shared" ca="1" si="780"/>
        <v>E. Delgado[42]</v>
      </c>
      <c r="BY451" s="77">
        <f ca="1">COUNTIF('Group Stages'!$L$14:$S$110,BX451)+COUNTIF('Knock Out Stages'!$N$41:$U$84,BX451)</f>
        <v>0</v>
      </c>
      <c r="BZ451" s="77" t="str">
        <f t="shared" si="783"/>
        <v>'Player Database'!A14</v>
      </c>
      <c r="CA451" s="77" t="str">
        <f t="shared" ca="1" si="784"/>
        <v>Edder Delgado[42]</v>
      </c>
      <c r="CS451" s="77">
        <f t="shared" si="776"/>
        <v>448</v>
      </c>
      <c r="CT451" s="77">
        <f t="shared" si="781"/>
        <v>11</v>
      </c>
      <c r="CU451" s="77" t="str">
        <f t="shared" si="778"/>
        <v>CR31</v>
      </c>
      <c r="CV451" s="77" t="str">
        <f t="shared" ca="1" si="777"/>
        <v/>
      </c>
      <c r="CW451" s="77">
        <f t="shared" ca="1" si="775"/>
        <v>0</v>
      </c>
    </row>
    <row r="452" spans="72:101">
      <c r="BT452" s="77" t="str">
        <f t="shared" ca="1" si="779"/>
        <v>Honduras</v>
      </c>
      <c r="BU452" s="77">
        <f t="shared" si="774"/>
        <v>450</v>
      </c>
      <c r="BV452" s="77" t="str">
        <f t="shared" si="785"/>
        <v>A15</v>
      </c>
      <c r="BW452" s="77">
        <f t="shared" si="782"/>
        <v>20</v>
      </c>
      <c r="BX452" s="77" t="str">
        <f t="shared" ca="1" si="780"/>
        <v>C. Costly</v>
      </c>
      <c r="BY452" s="77">
        <f ca="1">COUNTIF('Group Stages'!$L$14:$S$110,BX452)+COUNTIF('Knock Out Stages'!$N$41:$U$84,BX452)</f>
        <v>0</v>
      </c>
      <c r="BZ452" s="77" t="str">
        <f t="shared" si="783"/>
        <v>'Player Database'!A15</v>
      </c>
      <c r="CA452" s="77" t="str">
        <f t="shared" ca="1" si="784"/>
        <v>Carlo Costly</v>
      </c>
      <c r="CS452" s="77">
        <f t="shared" si="776"/>
        <v>449</v>
      </c>
      <c r="CT452" s="77">
        <f t="shared" si="781"/>
        <v>11</v>
      </c>
      <c r="CU452" s="77" t="str">
        <f t="shared" si="778"/>
        <v>CR32</v>
      </c>
      <c r="CV452" s="77" t="str">
        <f t="shared" ca="1" si="777"/>
        <v/>
      </c>
      <c r="CW452" s="77">
        <f t="shared" ca="1" si="775"/>
        <v>0</v>
      </c>
    </row>
    <row r="453" spans="72:101">
      <c r="BT453" s="77" t="str">
        <f t="shared" ca="1" si="779"/>
        <v>Honduras</v>
      </c>
      <c r="BU453" s="77">
        <f t="shared" ref="BU453:BU516" si="786">BU452+1</f>
        <v>451</v>
      </c>
      <c r="BV453" s="77" t="str">
        <f t="shared" si="785"/>
        <v>A16</v>
      </c>
      <c r="BW453" s="77">
        <f t="shared" si="782"/>
        <v>20</v>
      </c>
      <c r="BX453" s="77" t="str">
        <f t="shared" ca="1" si="780"/>
        <v>Ó. García</v>
      </c>
      <c r="BY453" s="77">
        <f ca="1">COUNTIF('Group Stages'!$L$14:$S$110,BX453)+COUNTIF('Knock Out Stages'!$N$41:$U$84,BX453)</f>
        <v>0</v>
      </c>
      <c r="BZ453" s="77" t="str">
        <f t="shared" si="783"/>
        <v>'Player Database'!A16</v>
      </c>
      <c r="CA453" s="77" t="str">
        <f t="shared" ca="1" si="784"/>
        <v>Óscar García</v>
      </c>
      <c r="CS453" s="77">
        <f t="shared" si="776"/>
        <v>450</v>
      </c>
      <c r="CT453" s="77">
        <f t="shared" si="781"/>
        <v>11</v>
      </c>
      <c r="CU453" s="77" t="str">
        <f t="shared" si="778"/>
        <v>CR33</v>
      </c>
      <c r="CV453" s="77" t="str">
        <f t="shared" ca="1" si="777"/>
        <v/>
      </c>
      <c r="CW453" s="77">
        <f t="shared" ref="CW453:CW516" ca="1" si="787">IF(CV453&lt;&gt;"",CW452+1,CW452)</f>
        <v>0</v>
      </c>
    </row>
    <row r="454" spans="72:101">
      <c r="BT454" s="77" t="str">
        <f t="shared" ca="1" si="779"/>
        <v>Honduras</v>
      </c>
      <c r="BU454" s="77">
        <f t="shared" si="786"/>
        <v>452</v>
      </c>
      <c r="BV454" s="77" t="str">
        <f t="shared" si="785"/>
        <v>A17</v>
      </c>
      <c r="BW454" s="77">
        <f t="shared" si="782"/>
        <v>20</v>
      </c>
      <c r="BX454" s="77" t="str">
        <f t="shared" ca="1" si="780"/>
        <v>R. Espinoza</v>
      </c>
      <c r="BY454" s="77">
        <f ca="1">COUNTIF('Group Stages'!$L$14:$S$110,BX454)+COUNTIF('Knock Out Stages'!$N$41:$U$84,BX454)</f>
        <v>0</v>
      </c>
      <c r="BZ454" s="77" t="str">
        <f t="shared" si="783"/>
        <v>'Player Database'!A17</v>
      </c>
      <c r="CA454" s="77" t="str">
        <f t="shared" ca="1" si="784"/>
        <v>Roger Espinoza</v>
      </c>
      <c r="CS454" s="77">
        <f t="shared" si="776"/>
        <v>451</v>
      </c>
      <c r="CT454" s="77">
        <f t="shared" si="781"/>
        <v>11</v>
      </c>
      <c r="CU454" s="77" t="str">
        <f t="shared" si="778"/>
        <v>CR34</v>
      </c>
      <c r="CV454" s="77" t="str">
        <f t="shared" ca="1" si="777"/>
        <v/>
      </c>
      <c r="CW454" s="77">
        <f t="shared" ca="1" si="787"/>
        <v>0</v>
      </c>
    </row>
    <row r="455" spans="72:101">
      <c r="BT455" s="77" t="str">
        <f t="shared" ca="1" si="779"/>
        <v>Honduras</v>
      </c>
      <c r="BU455" s="77">
        <f t="shared" si="786"/>
        <v>453</v>
      </c>
      <c r="BV455" s="77" t="str">
        <f t="shared" si="785"/>
        <v>A18</v>
      </c>
      <c r="BW455" s="77">
        <f t="shared" si="782"/>
        <v>20</v>
      </c>
      <c r="BX455" s="77" t="str">
        <f t="shared" ca="1" si="780"/>
        <v>R. Martínez</v>
      </c>
      <c r="BY455" s="77">
        <f ca="1">COUNTIF('Group Stages'!$L$14:$S$110,BX455)+COUNTIF('Knock Out Stages'!$N$41:$U$84,BX455)</f>
        <v>0</v>
      </c>
      <c r="BZ455" s="77" t="str">
        <f t="shared" si="783"/>
        <v>'Player Database'!A18</v>
      </c>
      <c r="CA455" s="77" t="str">
        <f t="shared" ca="1" si="784"/>
        <v>Rony Martínez</v>
      </c>
      <c r="CS455" s="77">
        <f t="shared" si="776"/>
        <v>452</v>
      </c>
      <c r="CT455" s="77">
        <f t="shared" si="781"/>
        <v>11</v>
      </c>
      <c r="CU455" s="77" t="str">
        <f t="shared" si="778"/>
        <v>CR35</v>
      </c>
      <c r="CV455" s="77" t="str">
        <f t="shared" ca="1" si="777"/>
        <v/>
      </c>
      <c r="CW455" s="77">
        <f t="shared" ca="1" si="787"/>
        <v>0</v>
      </c>
    </row>
    <row r="456" spans="72:101">
      <c r="BT456" s="77" t="str">
        <f t="shared" ca="1" si="779"/>
        <v>Honduras</v>
      </c>
      <c r="BU456" s="77">
        <f t="shared" si="786"/>
        <v>454</v>
      </c>
      <c r="BV456" s="77" t="str">
        <f t="shared" si="785"/>
        <v>A19</v>
      </c>
      <c r="BW456" s="77">
        <f t="shared" si="782"/>
        <v>20</v>
      </c>
      <c r="BX456" s="77" t="str">
        <f t="shared" ca="1" si="780"/>
        <v>M. Chávez</v>
      </c>
      <c r="BY456" s="77">
        <f ca="1">COUNTIF('Group Stages'!$L$14:$S$110,BX456)+COUNTIF('Knock Out Stages'!$N$41:$U$84,BX456)</f>
        <v>0</v>
      </c>
      <c r="BZ456" s="77" t="str">
        <f t="shared" si="783"/>
        <v>'Player Database'!A19</v>
      </c>
      <c r="CA456" s="77" t="str">
        <f t="shared" ca="1" si="784"/>
        <v>Marvin Chávez</v>
      </c>
      <c r="CS456" s="77">
        <f t="shared" si="776"/>
        <v>453</v>
      </c>
      <c r="CT456" s="77">
        <f t="shared" si="781"/>
        <v>11</v>
      </c>
      <c r="CU456" s="77" t="str">
        <f t="shared" si="778"/>
        <v>CR36</v>
      </c>
      <c r="CV456" s="77" t="str">
        <f t="shared" ca="1" si="777"/>
        <v/>
      </c>
      <c r="CW456" s="77">
        <f t="shared" ca="1" si="787"/>
        <v>0</v>
      </c>
    </row>
    <row r="457" spans="72:101">
      <c r="BT457" s="77" t="str">
        <f t="shared" ca="1" si="779"/>
        <v>Honduras</v>
      </c>
      <c r="BU457" s="77">
        <f t="shared" si="786"/>
        <v>455</v>
      </c>
      <c r="BV457" s="77" t="str">
        <f t="shared" si="785"/>
        <v>A20</v>
      </c>
      <c r="BW457" s="77">
        <f t="shared" si="782"/>
        <v>20</v>
      </c>
      <c r="BX457" s="77" t="str">
        <f t="shared" ca="1" si="780"/>
        <v xml:space="preserve">N. Valladares </v>
      </c>
      <c r="BY457" s="77">
        <f ca="1">COUNTIF('Group Stages'!$L$14:$S$110,BX457)+COUNTIF('Knock Out Stages'!$N$41:$U$84,BX457)</f>
        <v>0</v>
      </c>
      <c r="BZ457" s="77" t="str">
        <f t="shared" si="783"/>
        <v>'Player Database'!A20</v>
      </c>
      <c r="CA457" s="77" t="str">
        <f t="shared" ca="1" si="784"/>
        <v xml:space="preserve">Noel Valladares </v>
      </c>
      <c r="CS457" s="77">
        <f t="shared" ref="CS457:CS510" si="788">CS456+1</f>
        <v>454</v>
      </c>
      <c r="CT457" s="77">
        <f t="shared" si="781"/>
        <v>11</v>
      </c>
      <c r="CU457" s="77" t="str">
        <f t="shared" si="778"/>
        <v>CR37</v>
      </c>
      <c r="CV457" s="77" t="str">
        <f t="shared" ref="CV457:CV510" ca="1" si="789">OFFSET(INDIRECT(CU457),0,-CT457)</f>
        <v/>
      </c>
      <c r="CW457" s="77">
        <f t="shared" ca="1" si="787"/>
        <v>0</v>
      </c>
    </row>
    <row r="458" spans="72:101">
      <c r="BT458" s="77" t="str">
        <f t="shared" ca="1" si="779"/>
        <v>Honduras</v>
      </c>
      <c r="BU458" s="77">
        <f t="shared" si="786"/>
        <v>456</v>
      </c>
      <c r="BV458" s="77" t="str">
        <f t="shared" si="785"/>
        <v>A21</v>
      </c>
      <c r="BW458" s="77">
        <f t="shared" si="782"/>
        <v>20</v>
      </c>
      <c r="BX458" s="77" t="str">
        <f t="shared" ca="1" si="780"/>
        <v>L. Garrido</v>
      </c>
      <c r="BY458" s="77">
        <f ca="1">COUNTIF('Group Stages'!$L$14:$S$110,BX458)+COUNTIF('Knock Out Stages'!$N$41:$U$84,BX458)</f>
        <v>0</v>
      </c>
      <c r="BZ458" s="77" t="str">
        <f t="shared" si="783"/>
        <v>'Player Database'!A21</v>
      </c>
      <c r="CA458" s="77" t="str">
        <f t="shared" ca="1" si="784"/>
        <v>Luis Garrido</v>
      </c>
      <c r="CS458" s="77">
        <f t="shared" si="788"/>
        <v>455</v>
      </c>
      <c r="CT458" s="77">
        <f t="shared" si="781"/>
        <v>11</v>
      </c>
      <c r="CU458" s="77" t="str">
        <f t="shared" si="778"/>
        <v>CR38</v>
      </c>
      <c r="CV458" s="77" t="str">
        <f t="shared" ca="1" si="789"/>
        <v/>
      </c>
      <c r="CW458" s="77">
        <f t="shared" ca="1" si="787"/>
        <v>0</v>
      </c>
    </row>
    <row r="459" spans="72:101">
      <c r="BT459" s="77" t="str">
        <f t="shared" ca="1" si="779"/>
        <v>Honduras</v>
      </c>
      <c r="BU459" s="77">
        <f t="shared" si="786"/>
        <v>457</v>
      </c>
      <c r="BV459" s="77" t="str">
        <f t="shared" si="785"/>
        <v>A22</v>
      </c>
      <c r="BW459" s="77">
        <f t="shared" si="782"/>
        <v>20</v>
      </c>
      <c r="BX459" s="77" t="str">
        <f t="shared" ca="1" si="780"/>
        <v>J. Claros</v>
      </c>
      <c r="BY459" s="77">
        <f ca="1">COUNTIF('Group Stages'!$L$14:$S$110,BX459)+COUNTIF('Knock Out Stages'!$N$41:$U$84,BX459)</f>
        <v>0</v>
      </c>
      <c r="BZ459" s="77" t="str">
        <f t="shared" si="783"/>
        <v>'Player Database'!A22</v>
      </c>
      <c r="CA459" s="77" t="str">
        <f t="shared" ca="1" si="784"/>
        <v>Jorge Claros</v>
      </c>
      <c r="CS459" s="77">
        <f t="shared" si="788"/>
        <v>456</v>
      </c>
      <c r="CT459" s="77">
        <f t="shared" si="781"/>
        <v>11</v>
      </c>
      <c r="CU459" s="77" t="str">
        <f t="shared" si="778"/>
        <v>CR39</v>
      </c>
      <c r="CV459" s="77" t="str">
        <f t="shared" ca="1" si="789"/>
        <v/>
      </c>
      <c r="CW459" s="77">
        <f t="shared" ca="1" si="787"/>
        <v>0</v>
      </c>
    </row>
    <row r="460" spans="72:101">
      <c r="BT460" s="77" t="str">
        <f t="shared" ca="1" si="779"/>
        <v>Honduras</v>
      </c>
      <c r="BU460" s="77">
        <f t="shared" si="786"/>
        <v>458</v>
      </c>
      <c r="BV460" s="77" t="str">
        <f t="shared" si="785"/>
        <v>A23</v>
      </c>
      <c r="BW460" s="77">
        <f t="shared" si="782"/>
        <v>20</v>
      </c>
      <c r="BX460" s="77" t="str">
        <f t="shared" ca="1" si="780"/>
        <v>A. Najar</v>
      </c>
      <c r="BY460" s="77">
        <f ca="1">COUNTIF('Group Stages'!$L$14:$S$110,BX460)+COUNTIF('Knock Out Stages'!$N$41:$U$84,BX460)</f>
        <v>0</v>
      </c>
      <c r="BZ460" s="77" t="str">
        <f t="shared" si="783"/>
        <v>'Player Database'!A23</v>
      </c>
      <c r="CA460" s="77" t="str">
        <f t="shared" ca="1" si="784"/>
        <v>Andy Najar</v>
      </c>
      <c r="CS460" s="77">
        <f t="shared" si="788"/>
        <v>457</v>
      </c>
      <c r="CT460" s="77">
        <f t="shared" si="781"/>
        <v>11</v>
      </c>
      <c r="CU460" s="77" t="str">
        <f t="shared" si="778"/>
        <v>CR40</v>
      </c>
      <c r="CV460" s="77" t="str">
        <f t="shared" ca="1" si="789"/>
        <v/>
      </c>
      <c r="CW460" s="77">
        <f t="shared" ca="1" si="787"/>
        <v>0</v>
      </c>
    </row>
    <row r="461" spans="72:101">
      <c r="BT461" s="77" t="str">
        <f t="shared" ca="1" si="779"/>
        <v>Honduras</v>
      </c>
      <c r="BU461" s="77">
        <f t="shared" si="786"/>
        <v>459</v>
      </c>
      <c r="BV461" s="77" t="str">
        <f t="shared" si="785"/>
        <v>A24</v>
      </c>
      <c r="BW461" s="77">
        <f t="shared" si="782"/>
        <v>20</v>
      </c>
      <c r="BX461" s="77" t="str">
        <f t="shared" ca="1" si="780"/>
        <v>D. Escober</v>
      </c>
      <c r="BY461" s="77">
        <f ca="1">COUNTIF('Group Stages'!$L$14:$S$110,BX461)+COUNTIF('Knock Out Stages'!$N$41:$U$84,BX461)</f>
        <v>0</v>
      </c>
      <c r="BZ461" s="77" t="str">
        <f t="shared" si="783"/>
        <v>'Player Database'!A24</v>
      </c>
      <c r="CA461" s="77" t="str">
        <f t="shared" ca="1" si="784"/>
        <v>Donis Escober</v>
      </c>
      <c r="CS461" s="77">
        <f t="shared" si="788"/>
        <v>458</v>
      </c>
      <c r="CT461" s="77">
        <f t="shared" si="781"/>
        <v>11</v>
      </c>
      <c r="CU461" s="77" t="str">
        <f t="shared" si="778"/>
        <v>CR41</v>
      </c>
      <c r="CV461" s="77" t="str">
        <f t="shared" ca="1" si="789"/>
        <v/>
      </c>
      <c r="CW461" s="77">
        <f t="shared" ca="1" si="787"/>
        <v>0</v>
      </c>
    </row>
    <row r="462" spans="72:101">
      <c r="BT462" s="77" t="str">
        <f t="shared" ca="1" si="779"/>
        <v>Honduras</v>
      </c>
      <c r="BU462" s="77">
        <f t="shared" si="786"/>
        <v>460</v>
      </c>
      <c r="BV462" s="77" t="str">
        <f t="shared" si="785"/>
        <v>A25</v>
      </c>
      <c r="BW462" s="77">
        <f t="shared" si="782"/>
        <v>20</v>
      </c>
      <c r="BX462" s="77" t="str">
        <f t="shared" ca="1" si="780"/>
        <v>B. Beckeles</v>
      </c>
      <c r="BY462" s="77">
        <f ca="1">COUNTIF('Group Stages'!$L$14:$S$110,BX462)+COUNTIF('Knock Out Stages'!$N$41:$U$84,BX462)</f>
        <v>0</v>
      </c>
      <c r="BZ462" s="77" t="str">
        <f t="shared" si="783"/>
        <v>'Player Database'!A25</v>
      </c>
      <c r="CA462" s="77" t="str">
        <f t="shared" ca="1" si="784"/>
        <v>Brayan Beckeles</v>
      </c>
      <c r="CS462" s="77">
        <f t="shared" si="788"/>
        <v>459</v>
      </c>
      <c r="CT462" s="77">
        <f t="shared" si="781"/>
        <v>11</v>
      </c>
      <c r="CU462" s="77" t="str">
        <f t="shared" si="778"/>
        <v>CR42</v>
      </c>
      <c r="CV462" s="77" t="str">
        <f t="shared" ca="1" si="789"/>
        <v/>
      </c>
      <c r="CW462" s="77">
        <f t="shared" ca="1" si="787"/>
        <v>0</v>
      </c>
    </row>
    <row r="463" spans="72:101">
      <c r="BT463" s="77" t="str">
        <f t="shared" ca="1" si="779"/>
        <v>Argentina</v>
      </c>
      <c r="BU463" s="77">
        <f t="shared" si="786"/>
        <v>461</v>
      </c>
      <c r="BV463" s="77" t="str">
        <f t="shared" si="785"/>
        <v>A3</v>
      </c>
      <c r="BW463" s="77">
        <f t="shared" si="782"/>
        <v>21</v>
      </c>
      <c r="BX463" s="77" t="str">
        <f t="shared" ca="1" si="780"/>
        <v>S. Romero</v>
      </c>
      <c r="BY463" s="77">
        <f ca="1">COUNTIF('Group Stages'!$L$14:$S$110,BX463)+COUNTIF('Knock Out Stages'!$N$41:$U$84,BX463)</f>
        <v>0</v>
      </c>
      <c r="BZ463" s="77" t="str">
        <f t="shared" si="783"/>
        <v>'Player Database'!A3</v>
      </c>
      <c r="CA463" s="77" t="str">
        <f t="shared" ca="1" si="784"/>
        <v>Sergio Romero</v>
      </c>
      <c r="CS463" s="77">
        <f t="shared" si="788"/>
        <v>460</v>
      </c>
      <c r="CT463" s="77">
        <f t="shared" si="781"/>
        <v>11</v>
      </c>
      <c r="CU463" s="77" t="str">
        <f t="shared" si="778"/>
        <v>CR43</v>
      </c>
      <c r="CV463" s="77" t="str">
        <f t="shared" ca="1" si="789"/>
        <v/>
      </c>
      <c r="CW463" s="77">
        <f t="shared" ca="1" si="787"/>
        <v>0</v>
      </c>
    </row>
    <row r="464" spans="72:101">
      <c r="BT464" s="77" t="str">
        <f t="shared" ca="1" si="779"/>
        <v>Argentina</v>
      </c>
      <c r="BU464" s="77">
        <f t="shared" si="786"/>
        <v>462</v>
      </c>
      <c r="BV464" s="77" t="str">
        <f t="shared" si="785"/>
        <v>A4</v>
      </c>
      <c r="BW464" s="77">
        <f t="shared" si="782"/>
        <v>21</v>
      </c>
      <c r="BX464" s="77" t="str">
        <f t="shared" ca="1" si="780"/>
        <v>E. Garay</v>
      </c>
      <c r="BY464" s="77">
        <f ca="1">COUNTIF('Group Stages'!$L$14:$S$110,BX464)+COUNTIF('Knock Out Stages'!$N$41:$U$84,BX464)</f>
        <v>0</v>
      </c>
      <c r="BZ464" s="77" t="str">
        <f t="shared" si="783"/>
        <v>'Player Database'!A4</v>
      </c>
      <c r="CA464" s="77" t="str">
        <f t="shared" ca="1" si="784"/>
        <v>Ezequiel Garay</v>
      </c>
      <c r="CS464" s="77">
        <f t="shared" si="788"/>
        <v>461</v>
      </c>
      <c r="CT464" s="77">
        <f t="shared" si="781"/>
        <v>11</v>
      </c>
      <c r="CU464" s="77" t="str">
        <f t="shared" si="778"/>
        <v>CR44</v>
      </c>
      <c r="CV464" s="77" t="str">
        <f t="shared" ca="1" si="789"/>
        <v/>
      </c>
      <c r="CW464" s="77">
        <f t="shared" ca="1" si="787"/>
        <v>0</v>
      </c>
    </row>
    <row r="465" spans="72:101">
      <c r="BT465" s="77" t="str">
        <f t="shared" ca="1" si="779"/>
        <v>Argentina</v>
      </c>
      <c r="BU465" s="77">
        <f t="shared" si="786"/>
        <v>463</v>
      </c>
      <c r="BV465" s="77" t="str">
        <f t="shared" si="785"/>
        <v>A5</v>
      </c>
      <c r="BW465" s="77">
        <f t="shared" si="782"/>
        <v>21</v>
      </c>
      <c r="BX465" s="77" t="str">
        <f t="shared" ca="1" si="780"/>
        <v>H. Campagnaro</v>
      </c>
      <c r="BY465" s="77">
        <f ca="1">COUNTIF('Group Stages'!$L$14:$S$110,BX465)+COUNTIF('Knock Out Stages'!$N$41:$U$84,BX465)</f>
        <v>0</v>
      </c>
      <c r="BZ465" s="77" t="str">
        <f t="shared" si="783"/>
        <v>'Player Database'!A5</v>
      </c>
      <c r="CA465" s="77" t="str">
        <f t="shared" ca="1" si="784"/>
        <v>Hugo Campagnaro</v>
      </c>
      <c r="CS465" s="77">
        <f t="shared" si="788"/>
        <v>462</v>
      </c>
      <c r="CT465" s="77">
        <f t="shared" si="781"/>
        <v>11</v>
      </c>
      <c r="CU465" s="77" t="str">
        <f t="shared" si="778"/>
        <v>CR45</v>
      </c>
      <c r="CV465" s="77" t="str">
        <f t="shared" ca="1" si="789"/>
        <v/>
      </c>
      <c r="CW465" s="77">
        <f t="shared" ca="1" si="787"/>
        <v>0</v>
      </c>
    </row>
    <row r="466" spans="72:101">
      <c r="BT466" s="77" t="str">
        <f t="shared" ca="1" si="779"/>
        <v>Argentina</v>
      </c>
      <c r="BU466" s="77">
        <f t="shared" si="786"/>
        <v>464</v>
      </c>
      <c r="BV466" s="77" t="str">
        <f t="shared" si="785"/>
        <v>A6</v>
      </c>
      <c r="BW466" s="77">
        <f t="shared" si="782"/>
        <v>21</v>
      </c>
      <c r="BX466" s="77" t="str">
        <f t="shared" ca="1" si="780"/>
        <v>P. Zabaleta</v>
      </c>
      <c r="BY466" s="77">
        <f ca="1">COUNTIF('Group Stages'!$L$14:$S$110,BX466)+COUNTIF('Knock Out Stages'!$N$41:$U$84,BX466)</f>
        <v>0</v>
      </c>
      <c r="BZ466" s="77" t="str">
        <f t="shared" si="783"/>
        <v>'Player Database'!A6</v>
      </c>
      <c r="CA466" s="77" t="str">
        <f t="shared" ca="1" si="784"/>
        <v>Pablo Zabaleta</v>
      </c>
      <c r="CS466" s="77">
        <f t="shared" si="788"/>
        <v>463</v>
      </c>
      <c r="CT466" s="77">
        <f t="shared" si="781"/>
        <v>12</v>
      </c>
      <c r="CU466" s="77" t="str">
        <f t="shared" si="778"/>
        <v>CR4</v>
      </c>
      <c r="CV466" s="77" t="str">
        <f t="shared" ca="1" si="789"/>
        <v/>
      </c>
      <c r="CW466" s="77">
        <f t="shared" ca="1" si="787"/>
        <v>0</v>
      </c>
    </row>
    <row r="467" spans="72:101">
      <c r="BT467" s="77" t="str">
        <f t="shared" ca="1" si="779"/>
        <v>Argentina</v>
      </c>
      <c r="BU467" s="77">
        <f t="shared" si="786"/>
        <v>465</v>
      </c>
      <c r="BV467" s="77" t="str">
        <f t="shared" si="785"/>
        <v>A7</v>
      </c>
      <c r="BW467" s="77">
        <f t="shared" si="782"/>
        <v>21</v>
      </c>
      <c r="BX467" s="77" t="str">
        <f t="shared" ca="1" si="780"/>
        <v>F. Gago</v>
      </c>
      <c r="BY467" s="77">
        <f ca="1">COUNTIF('Group Stages'!$L$14:$S$110,BX467)+COUNTIF('Knock Out Stages'!$N$41:$U$84,BX467)</f>
        <v>0</v>
      </c>
      <c r="BZ467" s="77" t="str">
        <f t="shared" si="783"/>
        <v>'Player Database'!A7</v>
      </c>
      <c r="CA467" s="77" t="str">
        <f t="shared" ca="1" si="784"/>
        <v>Fernando Gago</v>
      </c>
      <c r="CS467" s="77">
        <f t="shared" si="788"/>
        <v>464</v>
      </c>
      <c r="CT467" s="77">
        <f t="shared" si="781"/>
        <v>12</v>
      </c>
      <c r="CU467" s="77" t="str">
        <f t="shared" si="778"/>
        <v>CR5</v>
      </c>
      <c r="CV467" s="77" t="str">
        <f t="shared" ca="1" si="789"/>
        <v/>
      </c>
      <c r="CW467" s="77">
        <f t="shared" ca="1" si="787"/>
        <v>0</v>
      </c>
    </row>
    <row r="468" spans="72:101">
      <c r="BT468" s="77" t="str">
        <f t="shared" ca="1" si="779"/>
        <v>Argentina</v>
      </c>
      <c r="BU468" s="77">
        <f t="shared" si="786"/>
        <v>466</v>
      </c>
      <c r="BV468" s="77" t="str">
        <f t="shared" si="785"/>
        <v>A8</v>
      </c>
      <c r="BW468" s="77">
        <f t="shared" si="782"/>
        <v>21</v>
      </c>
      <c r="BX468" s="77" t="str">
        <f t="shared" ca="1" si="780"/>
        <v>L. Biglia</v>
      </c>
      <c r="BY468" s="77">
        <f ca="1">COUNTIF('Group Stages'!$L$14:$S$110,BX468)+COUNTIF('Knock Out Stages'!$N$41:$U$84,BX468)</f>
        <v>0</v>
      </c>
      <c r="BZ468" s="77" t="str">
        <f t="shared" si="783"/>
        <v>'Player Database'!A8</v>
      </c>
      <c r="CA468" s="77" t="str">
        <f t="shared" ca="1" si="784"/>
        <v>Lucas Biglia</v>
      </c>
      <c r="CS468" s="77">
        <f t="shared" si="788"/>
        <v>465</v>
      </c>
      <c r="CT468" s="77">
        <f t="shared" si="781"/>
        <v>12</v>
      </c>
      <c r="CU468" s="77" t="str">
        <f t="shared" si="778"/>
        <v>CR6</v>
      </c>
      <c r="CV468" s="77" t="str">
        <f t="shared" ca="1" si="789"/>
        <v/>
      </c>
      <c r="CW468" s="77">
        <f t="shared" ca="1" si="787"/>
        <v>0</v>
      </c>
    </row>
    <row r="469" spans="72:101">
      <c r="BT469" s="77" t="str">
        <f t="shared" ca="1" si="779"/>
        <v>Argentina</v>
      </c>
      <c r="BU469" s="77">
        <f t="shared" si="786"/>
        <v>467</v>
      </c>
      <c r="BV469" s="77" t="str">
        <f t="shared" si="785"/>
        <v>A9</v>
      </c>
      <c r="BW469" s="77">
        <f t="shared" si="782"/>
        <v>21</v>
      </c>
      <c r="BX469" s="77" t="str">
        <f t="shared" ca="1" si="780"/>
        <v>Á. di María</v>
      </c>
      <c r="BY469" s="77">
        <f ca="1">COUNTIF('Group Stages'!$L$14:$S$110,BX469)+COUNTIF('Knock Out Stages'!$N$41:$U$84,BX469)</f>
        <v>0</v>
      </c>
      <c r="BZ469" s="77" t="str">
        <f t="shared" si="783"/>
        <v>'Player Database'!A9</v>
      </c>
      <c r="CA469" s="77" t="str">
        <f t="shared" ca="1" si="784"/>
        <v>Ángel di María</v>
      </c>
      <c r="CS469" s="77">
        <f t="shared" si="788"/>
        <v>466</v>
      </c>
      <c r="CT469" s="77">
        <f t="shared" si="781"/>
        <v>12</v>
      </c>
      <c r="CU469" s="77" t="str">
        <f t="shared" si="778"/>
        <v>CR7</v>
      </c>
      <c r="CV469" s="77" t="str">
        <f t="shared" ca="1" si="789"/>
        <v/>
      </c>
      <c r="CW469" s="77">
        <f t="shared" ca="1" si="787"/>
        <v>0</v>
      </c>
    </row>
    <row r="470" spans="72:101">
      <c r="BT470" s="77" t="str">
        <f t="shared" ca="1" si="779"/>
        <v>Argentina</v>
      </c>
      <c r="BU470" s="77">
        <f t="shared" si="786"/>
        <v>468</v>
      </c>
      <c r="BV470" s="77" t="str">
        <f t="shared" si="785"/>
        <v>A10</v>
      </c>
      <c r="BW470" s="77">
        <f t="shared" si="782"/>
        <v>21</v>
      </c>
      <c r="BX470" s="77" t="str">
        <f t="shared" ca="1" si="780"/>
        <v>E. Pérez</v>
      </c>
      <c r="BY470" s="77">
        <f ca="1">COUNTIF('Group Stages'!$L$14:$S$110,BX470)+COUNTIF('Knock Out Stages'!$N$41:$U$84,BX470)</f>
        <v>0</v>
      </c>
      <c r="BZ470" s="77" t="str">
        <f t="shared" si="783"/>
        <v>'Player Database'!A10</v>
      </c>
      <c r="CA470" s="77" t="str">
        <f t="shared" ca="1" si="784"/>
        <v>Enzo Pérez</v>
      </c>
      <c r="CS470" s="77">
        <f t="shared" si="788"/>
        <v>467</v>
      </c>
      <c r="CT470" s="77">
        <f t="shared" si="781"/>
        <v>12</v>
      </c>
      <c r="CU470" s="77" t="str">
        <f t="shared" si="778"/>
        <v>CR8</v>
      </c>
      <c r="CV470" s="77" t="str">
        <f t="shared" ca="1" si="789"/>
        <v/>
      </c>
      <c r="CW470" s="77">
        <f t="shared" ca="1" si="787"/>
        <v>0</v>
      </c>
    </row>
    <row r="471" spans="72:101">
      <c r="BT471" s="77" t="str">
        <f t="shared" ca="1" si="779"/>
        <v>Argentina</v>
      </c>
      <c r="BU471" s="77">
        <f t="shared" si="786"/>
        <v>469</v>
      </c>
      <c r="BV471" s="77" t="str">
        <f t="shared" si="785"/>
        <v>A11</v>
      </c>
      <c r="BW471" s="77">
        <f t="shared" si="782"/>
        <v>21</v>
      </c>
      <c r="BX471" s="77" t="str">
        <f t="shared" ca="1" si="780"/>
        <v>G. Higuaín</v>
      </c>
      <c r="BY471" s="77">
        <f ca="1">COUNTIF('Group Stages'!$L$14:$S$110,BX471)+COUNTIF('Knock Out Stages'!$N$41:$U$84,BX471)</f>
        <v>0</v>
      </c>
      <c r="BZ471" s="77" t="str">
        <f t="shared" si="783"/>
        <v>'Player Database'!A11</v>
      </c>
      <c r="CA471" s="77" t="str">
        <f t="shared" ca="1" si="784"/>
        <v>Gonzalo Higuaín</v>
      </c>
      <c r="CS471" s="77">
        <f t="shared" si="788"/>
        <v>468</v>
      </c>
      <c r="CT471" s="77">
        <f t="shared" si="781"/>
        <v>12</v>
      </c>
      <c r="CU471" s="77" t="str">
        <f t="shared" si="778"/>
        <v>CR9</v>
      </c>
      <c r="CV471" s="77" t="str">
        <f t="shared" ca="1" si="789"/>
        <v/>
      </c>
      <c r="CW471" s="77">
        <f t="shared" ca="1" si="787"/>
        <v>0</v>
      </c>
    </row>
    <row r="472" spans="72:101">
      <c r="BT472" s="77" t="str">
        <f t="shared" ca="1" si="779"/>
        <v>Argentina</v>
      </c>
      <c r="BU472" s="77">
        <f t="shared" si="786"/>
        <v>470</v>
      </c>
      <c r="BV472" s="77" t="str">
        <f t="shared" si="785"/>
        <v>A12</v>
      </c>
      <c r="BW472" s="77">
        <f t="shared" si="782"/>
        <v>21</v>
      </c>
      <c r="BX472" s="77" t="str">
        <f t="shared" ca="1" si="780"/>
        <v xml:space="preserve">L. Messi </v>
      </c>
      <c r="BY472" s="77">
        <f ca="1">COUNTIF('Group Stages'!$L$14:$S$110,BX472)+COUNTIF('Knock Out Stages'!$N$41:$U$84,BX472)</f>
        <v>0</v>
      </c>
      <c r="BZ472" s="77" t="str">
        <f t="shared" si="783"/>
        <v>'Player Database'!A12</v>
      </c>
      <c r="CA472" s="77" t="str">
        <f t="shared" ca="1" si="784"/>
        <v xml:space="preserve">Lionel Messi </v>
      </c>
      <c r="CS472" s="77">
        <f t="shared" si="788"/>
        <v>469</v>
      </c>
      <c r="CT472" s="77">
        <f t="shared" si="781"/>
        <v>12</v>
      </c>
      <c r="CU472" s="77" t="str">
        <f t="shared" si="778"/>
        <v>CR10</v>
      </c>
      <c r="CV472" s="77" t="str">
        <f t="shared" ca="1" si="789"/>
        <v/>
      </c>
      <c r="CW472" s="77">
        <f t="shared" ca="1" si="787"/>
        <v>0</v>
      </c>
    </row>
    <row r="473" spans="72:101">
      <c r="BT473" s="77" t="str">
        <f t="shared" ca="1" si="779"/>
        <v>Argentina</v>
      </c>
      <c r="BU473" s="77">
        <f t="shared" si="786"/>
        <v>471</v>
      </c>
      <c r="BV473" s="77" t="str">
        <f t="shared" si="785"/>
        <v>A13</v>
      </c>
      <c r="BW473" s="77">
        <f t="shared" si="782"/>
        <v>21</v>
      </c>
      <c r="BX473" s="77" t="str">
        <f t="shared" ca="1" si="780"/>
        <v>M. Rodríguez</v>
      </c>
      <c r="BY473" s="77">
        <f ca="1">COUNTIF('Group Stages'!$L$14:$S$110,BX473)+COUNTIF('Knock Out Stages'!$N$41:$U$84,BX473)</f>
        <v>0</v>
      </c>
      <c r="BZ473" s="77" t="str">
        <f t="shared" si="783"/>
        <v>'Player Database'!A13</v>
      </c>
      <c r="CA473" s="77" t="str">
        <f t="shared" ca="1" si="784"/>
        <v>Maxi Rodríguez</v>
      </c>
      <c r="CS473" s="77">
        <f t="shared" si="788"/>
        <v>470</v>
      </c>
      <c r="CT473" s="77">
        <f t="shared" si="781"/>
        <v>12</v>
      </c>
      <c r="CU473" s="77" t="str">
        <f t="shared" ref="CU473:CU536" si="790">CU431</f>
        <v>CR11</v>
      </c>
      <c r="CV473" s="77" t="str">
        <f t="shared" ca="1" si="789"/>
        <v/>
      </c>
      <c r="CW473" s="77">
        <f t="shared" ca="1" si="787"/>
        <v>0</v>
      </c>
    </row>
    <row r="474" spans="72:101">
      <c r="BT474" s="77" t="str">
        <f t="shared" ca="1" si="779"/>
        <v>Argentina</v>
      </c>
      <c r="BU474" s="77">
        <f t="shared" si="786"/>
        <v>472</v>
      </c>
      <c r="BV474" s="77" t="str">
        <f t="shared" si="785"/>
        <v>A14</v>
      </c>
      <c r="BW474" s="77">
        <f t="shared" si="782"/>
        <v>21</v>
      </c>
      <c r="BX474" s="77" t="str">
        <f t="shared" ca="1" si="780"/>
        <v>A. Orión</v>
      </c>
      <c r="BY474" s="77">
        <f ca="1">COUNTIF('Group Stages'!$L$14:$S$110,BX474)+COUNTIF('Knock Out Stages'!$N$41:$U$84,BX474)</f>
        <v>0</v>
      </c>
      <c r="BZ474" s="77" t="str">
        <f t="shared" si="783"/>
        <v>'Player Database'!A14</v>
      </c>
      <c r="CA474" s="77" t="str">
        <f t="shared" ca="1" si="784"/>
        <v>Agustín Orión</v>
      </c>
      <c r="CS474" s="77">
        <f t="shared" si="788"/>
        <v>471</v>
      </c>
      <c r="CT474" s="77">
        <f t="shared" si="781"/>
        <v>12</v>
      </c>
      <c r="CU474" s="77" t="str">
        <f t="shared" si="790"/>
        <v>CR12</v>
      </c>
      <c r="CV474" s="77" t="str">
        <f t="shared" ca="1" si="789"/>
        <v/>
      </c>
      <c r="CW474" s="77">
        <f t="shared" ca="1" si="787"/>
        <v>0</v>
      </c>
    </row>
    <row r="475" spans="72:101">
      <c r="BT475" s="77" t="str">
        <f t="shared" ref="BT475:BT538" ca="1" si="791">OFFSET($A$2,0,BW475)</f>
        <v>Argentina</v>
      </c>
      <c r="BU475" s="77">
        <f t="shared" si="786"/>
        <v>473</v>
      </c>
      <c r="BV475" s="77" t="str">
        <f t="shared" si="785"/>
        <v>A15</v>
      </c>
      <c r="BW475" s="77">
        <f t="shared" si="782"/>
        <v>21</v>
      </c>
      <c r="BX475" s="77" t="str">
        <f t="shared" ca="1" si="780"/>
        <v>A. Fernández</v>
      </c>
      <c r="BY475" s="77">
        <f ca="1">COUNTIF('Group Stages'!$L$14:$S$110,BX475)+COUNTIF('Knock Out Stages'!$N$41:$U$84,BX475)</f>
        <v>0</v>
      </c>
      <c r="BZ475" s="77" t="str">
        <f t="shared" si="783"/>
        <v>'Player Database'!A15</v>
      </c>
      <c r="CA475" s="77" t="str">
        <f t="shared" ca="1" si="784"/>
        <v>Augusto Fernández</v>
      </c>
      <c r="CS475" s="77">
        <f t="shared" si="788"/>
        <v>472</v>
      </c>
      <c r="CT475" s="77">
        <f t="shared" si="781"/>
        <v>12</v>
      </c>
      <c r="CU475" s="77" t="str">
        <f t="shared" si="790"/>
        <v>CR13</v>
      </c>
      <c r="CV475" s="77" t="str">
        <f t="shared" ca="1" si="789"/>
        <v/>
      </c>
      <c r="CW475" s="77">
        <f t="shared" ca="1" si="787"/>
        <v>0</v>
      </c>
    </row>
    <row r="476" spans="72:101">
      <c r="BT476" s="77" t="str">
        <f t="shared" ca="1" si="791"/>
        <v>Argentina</v>
      </c>
      <c r="BU476" s="77">
        <f t="shared" si="786"/>
        <v>474</v>
      </c>
      <c r="BV476" s="77" t="str">
        <f t="shared" si="785"/>
        <v>A16</v>
      </c>
      <c r="BW476" s="77">
        <f t="shared" si="782"/>
        <v>21</v>
      </c>
      <c r="BX476" s="77" t="str">
        <f t="shared" ca="1" si="780"/>
        <v>J. Mascherano</v>
      </c>
      <c r="BY476" s="77">
        <f ca="1">COUNTIF('Group Stages'!$L$14:$S$110,BX476)+COUNTIF('Knock Out Stages'!$N$41:$U$84,BX476)</f>
        <v>0</v>
      </c>
      <c r="BZ476" s="77" t="str">
        <f t="shared" si="783"/>
        <v>'Player Database'!A16</v>
      </c>
      <c r="CA476" s="77" t="str">
        <f t="shared" ca="1" si="784"/>
        <v>Javier Mascherano</v>
      </c>
      <c r="CS476" s="77">
        <f t="shared" si="788"/>
        <v>473</v>
      </c>
      <c r="CT476" s="77">
        <f t="shared" si="781"/>
        <v>12</v>
      </c>
      <c r="CU476" s="77" t="str">
        <f t="shared" si="790"/>
        <v>CR14</v>
      </c>
      <c r="CV476" s="77" t="str">
        <f t="shared" ca="1" si="789"/>
        <v/>
      </c>
      <c r="CW476" s="77">
        <f t="shared" ca="1" si="787"/>
        <v>0</v>
      </c>
    </row>
    <row r="477" spans="72:101">
      <c r="BT477" s="77" t="str">
        <f t="shared" ca="1" si="791"/>
        <v>Argentina</v>
      </c>
      <c r="BU477" s="77">
        <f t="shared" si="786"/>
        <v>475</v>
      </c>
      <c r="BV477" s="77" t="str">
        <f t="shared" si="785"/>
        <v>A17</v>
      </c>
      <c r="BW477" s="77">
        <f t="shared" si="782"/>
        <v>21</v>
      </c>
      <c r="BX477" s="77" t="str">
        <f t="shared" ca="1" si="780"/>
        <v>M. Demichelis</v>
      </c>
      <c r="BY477" s="77">
        <f ca="1">COUNTIF('Group Stages'!$L$14:$S$110,BX477)+COUNTIF('Knock Out Stages'!$N$41:$U$84,BX477)</f>
        <v>0</v>
      </c>
      <c r="BZ477" s="77" t="str">
        <f t="shared" si="783"/>
        <v>'Player Database'!A17</v>
      </c>
      <c r="CA477" s="77" t="str">
        <f t="shared" ca="1" si="784"/>
        <v>Martín Demichelis</v>
      </c>
      <c r="CS477" s="77">
        <f t="shared" si="788"/>
        <v>474</v>
      </c>
      <c r="CT477" s="77">
        <f t="shared" si="781"/>
        <v>12</v>
      </c>
      <c r="CU477" s="77" t="str">
        <f t="shared" si="790"/>
        <v>CR15</v>
      </c>
      <c r="CV477" s="77" t="str">
        <f t="shared" ca="1" si="789"/>
        <v/>
      </c>
      <c r="CW477" s="77">
        <f t="shared" ca="1" si="787"/>
        <v>0</v>
      </c>
    </row>
    <row r="478" spans="72:101">
      <c r="BT478" s="77" t="str">
        <f t="shared" ca="1" si="791"/>
        <v>Argentina</v>
      </c>
      <c r="BU478" s="77">
        <f t="shared" si="786"/>
        <v>476</v>
      </c>
      <c r="BV478" s="77" t="str">
        <f t="shared" si="785"/>
        <v>A18</v>
      </c>
      <c r="BW478" s="77">
        <f t="shared" si="782"/>
        <v>21</v>
      </c>
      <c r="BX478" s="77" t="str">
        <f t="shared" ca="1" si="780"/>
        <v>M. Rojo</v>
      </c>
      <c r="BY478" s="77">
        <f ca="1">COUNTIF('Group Stages'!$L$14:$S$110,BX478)+COUNTIF('Knock Out Stages'!$N$41:$U$84,BX478)</f>
        <v>0</v>
      </c>
      <c r="BZ478" s="77" t="str">
        <f t="shared" si="783"/>
        <v>'Player Database'!A18</v>
      </c>
      <c r="CA478" s="77" t="str">
        <f t="shared" ca="1" si="784"/>
        <v>Marcos Rojo</v>
      </c>
      <c r="CS478" s="77">
        <f t="shared" si="788"/>
        <v>475</v>
      </c>
      <c r="CT478" s="77">
        <f t="shared" si="781"/>
        <v>12</v>
      </c>
      <c r="CU478" s="77" t="str">
        <f t="shared" si="790"/>
        <v>CR16</v>
      </c>
      <c r="CV478" s="77" t="str">
        <f t="shared" ca="1" si="789"/>
        <v/>
      </c>
      <c r="CW478" s="77">
        <f t="shared" ca="1" si="787"/>
        <v>0</v>
      </c>
    </row>
    <row r="479" spans="72:101">
      <c r="BT479" s="77" t="str">
        <f t="shared" ca="1" si="791"/>
        <v>Argentina</v>
      </c>
      <c r="BU479" s="77">
        <f t="shared" si="786"/>
        <v>477</v>
      </c>
      <c r="BV479" s="77" t="str">
        <f t="shared" si="785"/>
        <v>A19</v>
      </c>
      <c r="BW479" s="77">
        <f t="shared" si="782"/>
        <v>21</v>
      </c>
      <c r="BX479" s="77" t="str">
        <f t="shared" ca="1" si="780"/>
        <v>F. Fernández</v>
      </c>
      <c r="BY479" s="77">
        <f ca="1">COUNTIF('Group Stages'!$L$14:$S$110,BX479)+COUNTIF('Knock Out Stages'!$N$41:$U$84,BX479)</f>
        <v>0</v>
      </c>
      <c r="BZ479" s="77" t="str">
        <f t="shared" si="783"/>
        <v>'Player Database'!A19</v>
      </c>
      <c r="CA479" s="77" t="str">
        <f t="shared" ca="1" si="784"/>
        <v>Federico Fernández</v>
      </c>
      <c r="CS479" s="77">
        <f t="shared" si="788"/>
        <v>476</v>
      </c>
      <c r="CT479" s="77">
        <f t="shared" si="781"/>
        <v>12</v>
      </c>
      <c r="CU479" s="77" t="str">
        <f t="shared" si="790"/>
        <v>CR17</v>
      </c>
      <c r="CV479" s="77" t="str">
        <f t="shared" ca="1" si="789"/>
        <v/>
      </c>
      <c r="CW479" s="77">
        <f t="shared" ca="1" si="787"/>
        <v>0</v>
      </c>
    </row>
    <row r="480" spans="72:101">
      <c r="BT480" s="77" t="str">
        <f t="shared" ca="1" si="791"/>
        <v>Argentina</v>
      </c>
      <c r="BU480" s="77">
        <f t="shared" si="786"/>
        <v>478</v>
      </c>
      <c r="BV480" s="77" t="str">
        <f t="shared" si="785"/>
        <v>A20</v>
      </c>
      <c r="BW480" s="77">
        <f t="shared" si="782"/>
        <v>21</v>
      </c>
      <c r="BX480" s="77" t="str">
        <f t="shared" ca="1" si="780"/>
        <v>R. Palacio</v>
      </c>
      <c r="BY480" s="77">
        <f ca="1">COUNTIF('Group Stages'!$L$14:$S$110,BX480)+COUNTIF('Knock Out Stages'!$N$41:$U$84,BX480)</f>
        <v>0</v>
      </c>
      <c r="BZ480" s="77" t="str">
        <f t="shared" si="783"/>
        <v>'Player Database'!A20</v>
      </c>
      <c r="CA480" s="77" t="str">
        <f t="shared" ca="1" si="784"/>
        <v>Rodrigo Palacio</v>
      </c>
      <c r="CS480" s="77">
        <f t="shared" si="788"/>
        <v>477</v>
      </c>
      <c r="CT480" s="77">
        <f t="shared" si="781"/>
        <v>12</v>
      </c>
      <c r="CU480" s="77" t="str">
        <f t="shared" si="790"/>
        <v>CR18</v>
      </c>
      <c r="CV480" s="77" t="str">
        <f t="shared" ca="1" si="789"/>
        <v/>
      </c>
      <c r="CW480" s="77">
        <f t="shared" ca="1" si="787"/>
        <v>0</v>
      </c>
    </row>
    <row r="481" spans="72:101">
      <c r="BT481" s="77" t="str">
        <f t="shared" ca="1" si="791"/>
        <v>Argentina</v>
      </c>
      <c r="BU481" s="77">
        <f t="shared" si="786"/>
        <v>479</v>
      </c>
      <c r="BV481" s="77" t="str">
        <f t="shared" si="785"/>
        <v>A21</v>
      </c>
      <c r="BW481" s="77">
        <f t="shared" si="782"/>
        <v>21</v>
      </c>
      <c r="BX481" s="77" t="str">
        <f t="shared" ca="1" si="780"/>
        <v>R. Álvarez</v>
      </c>
      <c r="BY481" s="77">
        <f ca="1">COUNTIF('Group Stages'!$L$14:$S$110,BX481)+COUNTIF('Knock Out Stages'!$N$41:$U$84,BX481)</f>
        <v>0</v>
      </c>
      <c r="BZ481" s="77" t="str">
        <f t="shared" si="783"/>
        <v>'Player Database'!A21</v>
      </c>
      <c r="CA481" s="77" t="str">
        <f t="shared" ca="1" si="784"/>
        <v>Ricardo Álvarez</v>
      </c>
      <c r="CS481" s="77">
        <f t="shared" si="788"/>
        <v>478</v>
      </c>
      <c r="CT481" s="77">
        <f t="shared" si="781"/>
        <v>12</v>
      </c>
      <c r="CU481" s="77" t="str">
        <f t="shared" si="790"/>
        <v>CR19</v>
      </c>
      <c r="CV481" s="77" t="str">
        <f t="shared" ca="1" si="789"/>
        <v/>
      </c>
      <c r="CW481" s="77">
        <f t="shared" ca="1" si="787"/>
        <v>0</v>
      </c>
    </row>
    <row r="482" spans="72:101">
      <c r="BT482" s="77" t="str">
        <f t="shared" ca="1" si="791"/>
        <v>Argentina</v>
      </c>
      <c r="BU482" s="77">
        <f t="shared" si="786"/>
        <v>480</v>
      </c>
      <c r="BV482" s="77" t="str">
        <f t="shared" si="785"/>
        <v>A22</v>
      </c>
      <c r="BW482" s="77">
        <f t="shared" si="782"/>
        <v>21</v>
      </c>
      <c r="BX482" s="77" t="str">
        <f t="shared" ca="1" si="780"/>
        <v>S. Agüero</v>
      </c>
      <c r="BY482" s="77">
        <f ca="1">COUNTIF('Group Stages'!$L$14:$S$110,BX482)+COUNTIF('Knock Out Stages'!$N$41:$U$84,BX482)</f>
        <v>0</v>
      </c>
      <c r="BZ482" s="77" t="str">
        <f t="shared" si="783"/>
        <v>'Player Database'!A22</v>
      </c>
      <c r="CA482" s="77" t="str">
        <f t="shared" ca="1" si="784"/>
        <v>Sergio Agüero</v>
      </c>
      <c r="CS482" s="77">
        <f t="shared" si="788"/>
        <v>479</v>
      </c>
      <c r="CT482" s="77">
        <f t="shared" si="781"/>
        <v>12</v>
      </c>
      <c r="CU482" s="77" t="str">
        <f t="shared" si="790"/>
        <v>CR20</v>
      </c>
      <c r="CV482" s="77" t="str">
        <f t="shared" ca="1" si="789"/>
        <v/>
      </c>
      <c r="CW482" s="77">
        <f t="shared" ca="1" si="787"/>
        <v>0</v>
      </c>
    </row>
    <row r="483" spans="72:101">
      <c r="BT483" s="77" t="str">
        <f t="shared" ca="1" si="791"/>
        <v>Argentina</v>
      </c>
      <c r="BU483" s="77">
        <f t="shared" si="786"/>
        <v>481</v>
      </c>
      <c r="BV483" s="77" t="str">
        <f t="shared" si="785"/>
        <v>A23</v>
      </c>
      <c r="BW483" s="77">
        <f t="shared" si="782"/>
        <v>21</v>
      </c>
      <c r="BX483" s="77" t="str">
        <f t="shared" ca="1" si="780"/>
        <v>M. Andújar</v>
      </c>
      <c r="BY483" s="77">
        <f ca="1">COUNTIF('Group Stages'!$L$14:$S$110,BX483)+COUNTIF('Knock Out Stages'!$N$41:$U$84,BX483)</f>
        <v>0</v>
      </c>
      <c r="BZ483" s="77" t="str">
        <f t="shared" si="783"/>
        <v>'Player Database'!A23</v>
      </c>
      <c r="CA483" s="77" t="str">
        <f t="shared" ca="1" si="784"/>
        <v>Mariano Andújar</v>
      </c>
      <c r="CS483" s="77">
        <f t="shared" si="788"/>
        <v>480</v>
      </c>
      <c r="CT483" s="77">
        <f t="shared" si="781"/>
        <v>12</v>
      </c>
      <c r="CU483" s="77" t="str">
        <f t="shared" si="790"/>
        <v>CR21</v>
      </c>
      <c r="CV483" s="77" t="str">
        <f t="shared" ca="1" si="789"/>
        <v/>
      </c>
      <c r="CW483" s="77">
        <f t="shared" ca="1" si="787"/>
        <v>0</v>
      </c>
    </row>
    <row r="484" spans="72:101">
      <c r="BT484" s="77" t="str">
        <f t="shared" ca="1" si="791"/>
        <v>Argentina</v>
      </c>
      <c r="BU484" s="77">
        <f t="shared" si="786"/>
        <v>482</v>
      </c>
      <c r="BV484" s="77" t="str">
        <f t="shared" si="785"/>
        <v>A24</v>
      </c>
      <c r="BW484" s="77">
        <f t="shared" si="782"/>
        <v>21</v>
      </c>
      <c r="BX484" s="77" t="str">
        <f t="shared" ca="1" si="780"/>
        <v>E. Lavezzi</v>
      </c>
      <c r="BY484" s="77">
        <f ca="1">COUNTIF('Group Stages'!$L$14:$S$110,BX484)+COUNTIF('Knock Out Stages'!$N$41:$U$84,BX484)</f>
        <v>0</v>
      </c>
      <c r="BZ484" s="77" t="str">
        <f t="shared" si="783"/>
        <v>'Player Database'!A24</v>
      </c>
      <c r="CA484" s="77" t="str">
        <f t="shared" ca="1" si="784"/>
        <v>Ezequiel Lavezzi</v>
      </c>
      <c r="CS484" s="77">
        <f t="shared" si="788"/>
        <v>481</v>
      </c>
      <c r="CT484" s="77">
        <f t="shared" si="781"/>
        <v>12</v>
      </c>
      <c r="CU484" s="77" t="str">
        <f t="shared" si="790"/>
        <v>CR22</v>
      </c>
      <c r="CV484" s="77" t="str">
        <f t="shared" ca="1" si="789"/>
        <v/>
      </c>
      <c r="CW484" s="77">
        <f t="shared" ca="1" si="787"/>
        <v>0</v>
      </c>
    </row>
    <row r="485" spans="72:101">
      <c r="BT485" s="77" t="str">
        <f t="shared" ca="1" si="791"/>
        <v>Argentina</v>
      </c>
      <c r="BU485" s="77">
        <f t="shared" si="786"/>
        <v>483</v>
      </c>
      <c r="BV485" s="77" t="str">
        <f t="shared" si="785"/>
        <v>A25</v>
      </c>
      <c r="BW485" s="77">
        <f t="shared" si="782"/>
        <v>21</v>
      </c>
      <c r="BX485" s="77" t="str">
        <f t="shared" ca="1" si="780"/>
        <v>J. María Basanta</v>
      </c>
      <c r="BY485" s="77">
        <f ca="1">COUNTIF('Group Stages'!$L$14:$S$110,BX485)+COUNTIF('Knock Out Stages'!$N$41:$U$84,BX485)</f>
        <v>0</v>
      </c>
      <c r="BZ485" s="77" t="str">
        <f t="shared" si="783"/>
        <v>'Player Database'!A25</v>
      </c>
      <c r="CA485" s="77" t="str">
        <f t="shared" ca="1" si="784"/>
        <v>José María Basanta</v>
      </c>
      <c r="CS485" s="77">
        <f t="shared" si="788"/>
        <v>482</v>
      </c>
      <c r="CT485" s="77">
        <f t="shared" si="781"/>
        <v>12</v>
      </c>
      <c r="CU485" s="77" t="str">
        <f t="shared" si="790"/>
        <v>CR23</v>
      </c>
      <c r="CV485" s="77" t="str">
        <f t="shared" ca="1" si="789"/>
        <v/>
      </c>
      <c r="CW485" s="77">
        <f t="shared" ca="1" si="787"/>
        <v>0</v>
      </c>
    </row>
    <row r="486" spans="72:101">
      <c r="BT486" s="77" t="str">
        <f t="shared" ca="1" si="791"/>
        <v>Bosnia-Herzegovina</v>
      </c>
      <c r="BU486" s="77">
        <f t="shared" si="786"/>
        <v>484</v>
      </c>
      <c r="BV486" s="77" t="str">
        <f t="shared" si="785"/>
        <v>A3</v>
      </c>
      <c r="BW486" s="77">
        <f t="shared" si="782"/>
        <v>22</v>
      </c>
      <c r="BX486" s="77" t="str">
        <f t="shared" ca="1" si="780"/>
        <v>A. Begović</v>
      </c>
      <c r="BY486" s="77">
        <f ca="1">COUNTIF('Group Stages'!$L$14:$S$110,BX486)+COUNTIF('Knock Out Stages'!$N$41:$U$84,BX486)</f>
        <v>0</v>
      </c>
      <c r="BZ486" s="77" t="str">
        <f t="shared" si="783"/>
        <v>'Player Database'!A3</v>
      </c>
      <c r="CA486" s="77" t="str">
        <f t="shared" ca="1" si="784"/>
        <v>Asmir Begović</v>
      </c>
      <c r="CS486" s="77">
        <f t="shared" si="788"/>
        <v>483</v>
      </c>
      <c r="CT486" s="77">
        <f t="shared" si="781"/>
        <v>12</v>
      </c>
      <c r="CU486" s="77" t="str">
        <f t="shared" si="790"/>
        <v>CR24</v>
      </c>
      <c r="CV486" s="77" t="str">
        <f t="shared" ca="1" si="789"/>
        <v/>
      </c>
      <c r="CW486" s="77">
        <f t="shared" ca="1" si="787"/>
        <v>0</v>
      </c>
    </row>
    <row r="487" spans="72:101">
      <c r="BT487" s="77" t="str">
        <f t="shared" ca="1" si="791"/>
        <v>Bosnia-Herzegovina</v>
      </c>
      <c r="BU487" s="77">
        <f t="shared" si="786"/>
        <v>485</v>
      </c>
      <c r="BV487" s="77" t="str">
        <f t="shared" si="785"/>
        <v>A4</v>
      </c>
      <c r="BW487" s="77">
        <f t="shared" si="782"/>
        <v>22</v>
      </c>
      <c r="BX487" s="77" t="str">
        <f t="shared" ca="1" si="780"/>
        <v>A. Vršajević</v>
      </c>
      <c r="BY487" s="77">
        <f ca="1">COUNTIF('Group Stages'!$L$14:$S$110,BX487)+COUNTIF('Knock Out Stages'!$N$41:$U$84,BX487)</f>
        <v>0</v>
      </c>
      <c r="BZ487" s="77" t="str">
        <f t="shared" si="783"/>
        <v>'Player Database'!A4</v>
      </c>
      <c r="CA487" s="77" t="str">
        <f t="shared" ca="1" si="784"/>
        <v>Avdija Vršajević</v>
      </c>
      <c r="CS487" s="77">
        <f t="shared" si="788"/>
        <v>484</v>
      </c>
      <c r="CT487" s="77">
        <f t="shared" si="781"/>
        <v>12</v>
      </c>
      <c r="CU487" s="77" t="str">
        <f t="shared" si="790"/>
        <v>CR25</v>
      </c>
      <c r="CV487" s="77" t="str">
        <f t="shared" ca="1" si="789"/>
        <v/>
      </c>
      <c r="CW487" s="77">
        <f t="shared" ca="1" si="787"/>
        <v>0</v>
      </c>
    </row>
    <row r="488" spans="72:101">
      <c r="BT488" s="77" t="str">
        <f t="shared" ca="1" si="791"/>
        <v>Bosnia-Herzegovina</v>
      </c>
      <c r="BU488" s="77">
        <f t="shared" si="786"/>
        <v>486</v>
      </c>
      <c r="BV488" s="77" t="str">
        <f t="shared" si="785"/>
        <v>A5</v>
      </c>
      <c r="BW488" s="77">
        <f t="shared" si="782"/>
        <v>22</v>
      </c>
      <c r="BX488" s="77" t="str">
        <f t="shared" ca="1" si="780"/>
        <v>E. Bičakčić</v>
      </c>
      <c r="BY488" s="77">
        <f ca="1">COUNTIF('Group Stages'!$L$14:$S$110,BX488)+COUNTIF('Knock Out Stages'!$N$41:$U$84,BX488)</f>
        <v>0</v>
      </c>
      <c r="BZ488" s="77" t="str">
        <f t="shared" si="783"/>
        <v>'Player Database'!A5</v>
      </c>
      <c r="CA488" s="77" t="str">
        <f t="shared" ca="1" si="784"/>
        <v>Ermin Bičakčić</v>
      </c>
      <c r="CS488" s="77">
        <f t="shared" si="788"/>
        <v>485</v>
      </c>
      <c r="CT488" s="77">
        <f t="shared" si="781"/>
        <v>12</v>
      </c>
      <c r="CU488" s="77" t="str">
        <f t="shared" si="790"/>
        <v>CR26</v>
      </c>
      <c r="CV488" s="77" t="str">
        <f t="shared" ca="1" si="789"/>
        <v/>
      </c>
      <c r="CW488" s="77">
        <f t="shared" ca="1" si="787"/>
        <v>0</v>
      </c>
    </row>
    <row r="489" spans="72:101">
      <c r="BT489" s="77" t="str">
        <f t="shared" ca="1" si="791"/>
        <v>Bosnia-Herzegovina</v>
      </c>
      <c r="BU489" s="77">
        <f t="shared" si="786"/>
        <v>487</v>
      </c>
      <c r="BV489" s="77" t="str">
        <f t="shared" si="785"/>
        <v>A6</v>
      </c>
      <c r="BW489" s="77">
        <f t="shared" si="782"/>
        <v>22</v>
      </c>
      <c r="BX489" s="77" t="str">
        <f t="shared" ca="1" si="780"/>
        <v xml:space="preserve">E. Spahić </v>
      </c>
      <c r="BY489" s="77">
        <f ca="1">COUNTIF('Group Stages'!$L$14:$S$110,BX489)+COUNTIF('Knock Out Stages'!$N$41:$U$84,BX489)</f>
        <v>0</v>
      </c>
      <c r="BZ489" s="77" t="str">
        <f t="shared" si="783"/>
        <v>'Player Database'!A6</v>
      </c>
      <c r="CA489" s="77" t="str">
        <f t="shared" ca="1" si="784"/>
        <v xml:space="preserve">Emir Spahić </v>
      </c>
      <c r="CS489" s="77">
        <f t="shared" si="788"/>
        <v>486</v>
      </c>
      <c r="CT489" s="77">
        <f t="shared" si="781"/>
        <v>12</v>
      </c>
      <c r="CU489" s="77" t="str">
        <f t="shared" si="790"/>
        <v>CR27</v>
      </c>
      <c r="CV489" s="77" t="str">
        <f t="shared" ca="1" si="789"/>
        <v/>
      </c>
      <c r="CW489" s="77">
        <f t="shared" ca="1" si="787"/>
        <v>0</v>
      </c>
    </row>
    <row r="490" spans="72:101">
      <c r="BT490" s="77" t="str">
        <f t="shared" ca="1" si="791"/>
        <v>Bosnia-Herzegovina</v>
      </c>
      <c r="BU490" s="77">
        <f t="shared" si="786"/>
        <v>488</v>
      </c>
      <c r="BV490" s="77" t="str">
        <f t="shared" si="785"/>
        <v>A7</v>
      </c>
      <c r="BW490" s="77">
        <f t="shared" si="782"/>
        <v>22</v>
      </c>
      <c r="BX490" s="77" t="str">
        <f t="shared" ca="1" si="780"/>
        <v>S. Kolašinac</v>
      </c>
      <c r="BY490" s="77">
        <f ca="1">COUNTIF('Group Stages'!$L$14:$S$110,BX490)+COUNTIF('Knock Out Stages'!$N$41:$U$84,BX490)</f>
        <v>0</v>
      </c>
      <c r="BZ490" s="77" t="str">
        <f t="shared" si="783"/>
        <v>'Player Database'!A7</v>
      </c>
      <c r="CA490" s="77" t="str">
        <f t="shared" ca="1" si="784"/>
        <v>Sead Kolašinac</v>
      </c>
      <c r="CS490" s="77">
        <f t="shared" si="788"/>
        <v>487</v>
      </c>
      <c r="CT490" s="77">
        <f t="shared" si="781"/>
        <v>12</v>
      </c>
      <c r="CU490" s="77" t="str">
        <f t="shared" si="790"/>
        <v>CR28</v>
      </c>
      <c r="CV490" s="77" t="str">
        <f t="shared" ca="1" si="789"/>
        <v/>
      </c>
      <c r="CW490" s="77">
        <f t="shared" ca="1" si="787"/>
        <v>0</v>
      </c>
    </row>
    <row r="491" spans="72:101">
      <c r="BT491" s="77" t="str">
        <f t="shared" ca="1" si="791"/>
        <v>Bosnia-Herzegovina</v>
      </c>
      <c r="BU491" s="77">
        <f t="shared" si="786"/>
        <v>489</v>
      </c>
      <c r="BV491" s="77" t="str">
        <f t="shared" si="785"/>
        <v>A8</v>
      </c>
      <c r="BW491" s="77">
        <f t="shared" si="782"/>
        <v>22</v>
      </c>
      <c r="BX491" s="77" t="str">
        <f t="shared" ca="1" si="780"/>
        <v>O. Vranješ</v>
      </c>
      <c r="BY491" s="77">
        <f ca="1">COUNTIF('Group Stages'!$L$14:$S$110,BX491)+COUNTIF('Knock Out Stages'!$N$41:$U$84,BX491)</f>
        <v>0</v>
      </c>
      <c r="BZ491" s="77" t="str">
        <f t="shared" si="783"/>
        <v>'Player Database'!A8</v>
      </c>
      <c r="CA491" s="77" t="str">
        <f t="shared" ca="1" si="784"/>
        <v>Ognjen Vranješ</v>
      </c>
      <c r="CS491" s="77">
        <f t="shared" si="788"/>
        <v>488</v>
      </c>
      <c r="CT491" s="77">
        <f t="shared" si="781"/>
        <v>12</v>
      </c>
      <c r="CU491" s="77" t="str">
        <f t="shared" si="790"/>
        <v>CR29</v>
      </c>
      <c r="CV491" s="77" t="str">
        <f t="shared" ca="1" si="789"/>
        <v/>
      </c>
      <c r="CW491" s="77">
        <f t="shared" ca="1" si="787"/>
        <v>0</v>
      </c>
    </row>
    <row r="492" spans="72:101">
      <c r="BT492" s="77" t="str">
        <f t="shared" ca="1" si="791"/>
        <v>Bosnia-Herzegovina</v>
      </c>
      <c r="BU492" s="77">
        <f t="shared" si="786"/>
        <v>490</v>
      </c>
      <c r="BV492" s="77" t="str">
        <f t="shared" si="785"/>
        <v>A9</v>
      </c>
      <c r="BW492" s="77">
        <f t="shared" si="782"/>
        <v>22</v>
      </c>
      <c r="BX492" s="77" t="str">
        <f t="shared" ca="1" si="780"/>
        <v>M. Bešić</v>
      </c>
      <c r="BY492" s="77">
        <f ca="1">COUNTIF('Group Stages'!$L$14:$S$110,BX492)+COUNTIF('Knock Out Stages'!$N$41:$U$84,BX492)</f>
        <v>0</v>
      </c>
      <c r="BZ492" s="77" t="str">
        <f t="shared" si="783"/>
        <v>'Player Database'!A9</v>
      </c>
      <c r="CA492" s="77" t="str">
        <f t="shared" ca="1" si="784"/>
        <v>Muhamed Bešić</v>
      </c>
      <c r="CS492" s="77">
        <f t="shared" si="788"/>
        <v>489</v>
      </c>
      <c r="CT492" s="77">
        <f t="shared" si="781"/>
        <v>12</v>
      </c>
      <c r="CU492" s="77" t="str">
        <f t="shared" si="790"/>
        <v>CR30</v>
      </c>
      <c r="CV492" s="77" t="str">
        <f t="shared" ca="1" si="789"/>
        <v/>
      </c>
      <c r="CW492" s="77">
        <f t="shared" ca="1" si="787"/>
        <v>0</v>
      </c>
    </row>
    <row r="493" spans="72:101">
      <c r="BT493" s="77" t="str">
        <f t="shared" ca="1" si="791"/>
        <v>Bosnia-Herzegovina</v>
      </c>
      <c r="BU493" s="77">
        <f t="shared" si="786"/>
        <v>491</v>
      </c>
      <c r="BV493" s="77" t="str">
        <f t="shared" si="785"/>
        <v>A10</v>
      </c>
      <c r="BW493" s="77">
        <f t="shared" si="782"/>
        <v>22</v>
      </c>
      <c r="BX493" s="77" t="str">
        <f t="shared" ca="1" si="780"/>
        <v>M. Pjanić</v>
      </c>
      <c r="BY493" s="77">
        <f ca="1">COUNTIF('Group Stages'!$L$14:$S$110,BX493)+COUNTIF('Knock Out Stages'!$N$41:$U$84,BX493)</f>
        <v>0</v>
      </c>
      <c r="BZ493" s="77" t="str">
        <f t="shared" si="783"/>
        <v>'Player Database'!A10</v>
      </c>
      <c r="CA493" s="77" t="str">
        <f t="shared" ca="1" si="784"/>
        <v>Miralem Pjanić</v>
      </c>
      <c r="CS493" s="77">
        <f t="shared" si="788"/>
        <v>490</v>
      </c>
      <c r="CT493" s="77">
        <f t="shared" si="781"/>
        <v>12</v>
      </c>
      <c r="CU493" s="77" t="str">
        <f t="shared" si="790"/>
        <v>CR31</v>
      </c>
      <c r="CV493" s="77" t="str">
        <f t="shared" ca="1" si="789"/>
        <v/>
      </c>
      <c r="CW493" s="77">
        <f t="shared" ca="1" si="787"/>
        <v>0</v>
      </c>
    </row>
    <row r="494" spans="72:101">
      <c r="BT494" s="77" t="str">
        <f t="shared" ca="1" si="791"/>
        <v>Bosnia-Herzegovina</v>
      </c>
      <c r="BU494" s="77">
        <f t="shared" si="786"/>
        <v>492</v>
      </c>
      <c r="BV494" s="77" t="str">
        <f t="shared" si="785"/>
        <v>A11</v>
      </c>
      <c r="BW494" s="77">
        <f t="shared" si="782"/>
        <v>22</v>
      </c>
      <c r="BX494" s="77" t="str">
        <f t="shared" ca="1" si="780"/>
        <v>V. Ibišević</v>
      </c>
      <c r="BY494" s="77">
        <f ca="1">COUNTIF('Group Stages'!$L$14:$S$110,BX494)+COUNTIF('Knock Out Stages'!$N$41:$U$84,BX494)</f>
        <v>0</v>
      </c>
      <c r="BZ494" s="77" t="str">
        <f t="shared" si="783"/>
        <v>'Player Database'!A11</v>
      </c>
      <c r="CA494" s="77" t="str">
        <f t="shared" ca="1" si="784"/>
        <v>Vedad Ibišević</v>
      </c>
      <c r="CS494" s="77">
        <f t="shared" si="788"/>
        <v>491</v>
      </c>
      <c r="CT494" s="77">
        <f t="shared" si="781"/>
        <v>12</v>
      </c>
      <c r="CU494" s="77" t="str">
        <f t="shared" si="790"/>
        <v>CR32</v>
      </c>
      <c r="CV494" s="77" t="str">
        <f t="shared" ca="1" si="789"/>
        <v/>
      </c>
      <c r="CW494" s="77">
        <f t="shared" ca="1" si="787"/>
        <v>0</v>
      </c>
    </row>
    <row r="495" spans="72:101">
      <c r="BT495" s="77" t="str">
        <f t="shared" ca="1" si="791"/>
        <v>Bosnia-Herzegovina</v>
      </c>
      <c r="BU495" s="77">
        <f t="shared" si="786"/>
        <v>493</v>
      </c>
      <c r="BV495" s="77" t="str">
        <f t="shared" si="785"/>
        <v>A12</v>
      </c>
      <c r="BW495" s="77">
        <f t="shared" si="782"/>
        <v>22</v>
      </c>
      <c r="BX495" s="77" t="str">
        <f t="shared" ca="1" si="780"/>
        <v>Z. Misimović</v>
      </c>
      <c r="BY495" s="77">
        <f ca="1">COUNTIF('Group Stages'!$L$14:$S$110,BX495)+COUNTIF('Knock Out Stages'!$N$41:$U$84,BX495)</f>
        <v>0</v>
      </c>
      <c r="BZ495" s="77" t="str">
        <f t="shared" si="783"/>
        <v>'Player Database'!A12</v>
      </c>
      <c r="CA495" s="77" t="str">
        <f t="shared" ca="1" si="784"/>
        <v>Zvjezdan Misimović</v>
      </c>
      <c r="CS495" s="77">
        <f t="shared" si="788"/>
        <v>492</v>
      </c>
      <c r="CT495" s="77">
        <f t="shared" si="781"/>
        <v>12</v>
      </c>
      <c r="CU495" s="77" t="str">
        <f t="shared" si="790"/>
        <v>CR33</v>
      </c>
      <c r="CV495" s="77" t="str">
        <f t="shared" ca="1" si="789"/>
        <v/>
      </c>
      <c r="CW495" s="77">
        <f t="shared" ca="1" si="787"/>
        <v>0</v>
      </c>
    </row>
    <row r="496" spans="72:101">
      <c r="BT496" s="77" t="str">
        <f t="shared" ca="1" si="791"/>
        <v>Bosnia-Herzegovina</v>
      </c>
      <c r="BU496" s="77">
        <f t="shared" si="786"/>
        <v>494</v>
      </c>
      <c r="BV496" s="77" t="str">
        <f t="shared" si="785"/>
        <v>A13</v>
      </c>
      <c r="BW496" s="77">
        <f t="shared" si="782"/>
        <v>22</v>
      </c>
      <c r="BX496" s="77" t="str">
        <f t="shared" ref="BX496:BX559" ca="1" si="792">OFFSET(INDIRECT(BV496),0,BW496)</f>
        <v>E. Džeko</v>
      </c>
      <c r="BY496" s="77">
        <f ca="1">COUNTIF('Group Stages'!$L$14:$S$110,BX496)+COUNTIF('Knock Out Stages'!$N$41:$U$84,BX496)</f>
        <v>0</v>
      </c>
      <c r="BZ496" s="77" t="str">
        <f t="shared" si="783"/>
        <v>'Player Database'!A13</v>
      </c>
      <c r="CA496" s="77" t="str">
        <f t="shared" ca="1" si="784"/>
        <v>Edin Džeko</v>
      </c>
      <c r="CS496" s="77">
        <f t="shared" si="788"/>
        <v>493</v>
      </c>
      <c r="CT496" s="77">
        <f t="shared" ref="CT496:CT559" si="793">CT454+1</f>
        <v>12</v>
      </c>
      <c r="CU496" s="77" t="str">
        <f t="shared" si="790"/>
        <v>CR34</v>
      </c>
      <c r="CV496" s="77" t="str">
        <f t="shared" ca="1" si="789"/>
        <v/>
      </c>
      <c r="CW496" s="77">
        <f t="shared" ca="1" si="787"/>
        <v>0</v>
      </c>
    </row>
    <row r="497" spans="72:101">
      <c r="BT497" s="77" t="str">
        <f t="shared" ca="1" si="791"/>
        <v>Bosnia-Herzegovina</v>
      </c>
      <c r="BU497" s="77">
        <f t="shared" si="786"/>
        <v>495</v>
      </c>
      <c r="BV497" s="77" t="str">
        <f t="shared" si="785"/>
        <v>A14</v>
      </c>
      <c r="BW497" s="77">
        <f t="shared" si="782"/>
        <v>22</v>
      </c>
      <c r="BX497" s="77" t="str">
        <f t="shared" ca="1" si="792"/>
        <v>J. Fejzić</v>
      </c>
      <c r="BY497" s="77">
        <f ca="1">COUNTIF('Group Stages'!$L$14:$S$110,BX497)+COUNTIF('Knock Out Stages'!$N$41:$U$84,BX497)</f>
        <v>0</v>
      </c>
      <c r="BZ497" s="77" t="str">
        <f t="shared" si="783"/>
        <v>'Player Database'!A14</v>
      </c>
      <c r="CA497" s="77" t="str">
        <f t="shared" ca="1" si="784"/>
        <v>Jasmin Fejzić</v>
      </c>
      <c r="CS497" s="77">
        <f t="shared" si="788"/>
        <v>494</v>
      </c>
      <c r="CT497" s="77">
        <f t="shared" si="793"/>
        <v>12</v>
      </c>
      <c r="CU497" s="77" t="str">
        <f t="shared" si="790"/>
        <v>CR35</v>
      </c>
      <c r="CV497" s="77" t="str">
        <f t="shared" ca="1" si="789"/>
        <v/>
      </c>
      <c r="CW497" s="77">
        <f t="shared" ca="1" si="787"/>
        <v>0</v>
      </c>
    </row>
    <row r="498" spans="72:101">
      <c r="BT498" s="77" t="str">
        <f t="shared" ca="1" si="791"/>
        <v>Bosnia-Herzegovina</v>
      </c>
      <c r="BU498" s="77">
        <f t="shared" si="786"/>
        <v>496</v>
      </c>
      <c r="BV498" s="77" t="str">
        <f t="shared" si="785"/>
        <v>A15</v>
      </c>
      <c r="BW498" s="77">
        <f t="shared" ref="BW498:BW561" si="794">BW475+1</f>
        <v>22</v>
      </c>
      <c r="BX498" s="77" t="str">
        <f t="shared" ca="1" si="792"/>
        <v>M. Mujdža</v>
      </c>
      <c r="BY498" s="77">
        <f ca="1">COUNTIF('Group Stages'!$L$14:$S$110,BX498)+COUNTIF('Knock Out Stages'!$N$41:$U$84,BX498)</f>
        <v>0</v>
      </c>
      <c r="BZ498" s="77" t="str">
        <f t="shared" ref="BZ498:BZ561" si="795">BZ475</f>
        <v>'Player Database'!A15</v>
      </c>
      <c r="CA498" s="77" t="str">
        <f t="shared" ref="CA498:CA561" ca="1" si="796">OFFSET(INDIRECT(BZ498),0,BW498)</f>
        <v>Mensur Mujdža</v>
      </c>
      <c r="CS498" s="77">
        <f t="shared" si="788"/>
        <v>495</v>
      </c>
      <c r="CT498" s="77">
        <f t="shared" si="793"/>
        <v>12</v>
      </c>
      <c r="CU498" s="77" t="str">
        <f t="shared" si="790"/>
        <v>CR36</v>
      </c>
      <c r="CV498" s="77" t="str">
        <f t="shared" ca="1" si="789"/>
        <v/>
      </c>
      <c r="CW498" s="77">
        <f t="shared" ca="1" si="787"/>
        <v>0</v>
      </c>
    </row>
    <row r="499" spans="72:101">
      <c r="BT499" s="77" t="str">
        <f t="shared" ca="1" si="791"/>
        <v>Bosnia-Herzegovina</v>
      </c>
      <c r="BU499" s="77">
        <f t="shared" si="786"/>
        <v>497</v>
      </c>
      <c r="BV499" s="77" t="str">
        <f t="shared" ref="BV499:BV562" si="797">BV476</f>
        <v>A16</v>
      </c>
      <c r="BW499" s="77">
        <f t="shared" si="794"/>
        <v>22</v>
      </c>
      <c r="BX499" s="77" t="str">
        <f t="shared" ca="1" si="792"/>
        <v>I. Hajrović</v>
      </c>
      <c r="BY499" s="77">
        <f ca="1">COUNTIF('Group Stages'!$L$14:$S$110,BX499)+COUNTIF('Knock Out Stages'!$N$41:$U$84,BX499)</f>
        <v>0</v>
      </c>
      <c r="BZ499" s="77" t="str">
        <f t="shared" si="795"/>
        <v>'Player Database'!A16</v>
      </c>
      <c r="CA499" s="77" t="str">
        <f t="shared" ca="1" si="796"/>
        <v>Izet Hajrović</v>
      </c>
      <c r="CS499" s="77">
        <f t="shared" si="788"/>
        <v>496</v>
      </c>
      <c r="CT499" s="77">
        <f t="shared" si="793"/>
        <v>12</v>
      </c>
      <c r="CU499" s="77" t="str">
        <f t="shared" si="790"/>
        <v>CR37</v>
      </c>
      <c r="CV499" s="77" t="str">
        <f t="shared" ca="1" si="789"/>
        <v/>
      </c>
      <c r="CW499" s="77">
        <f t="shared" ca="1" si="787"/>
        <v>0</v>
      </c>
    </row>
    <row r="500" spans="72:101">
      <c r="BT500" s="77" t="str">
        <f t="shared" ca="1" si="791"/>
        <v>Bosnia-Herzegovina</v>
      </c>
      <c r="BU500" s="77">
        <f t="shared" si="786"/>
        <v>498</v>
      </c>
      <c r="BV500" s="77" t="str">
        <f t="shared" si="797"/>
        <v>A17</v>
      </c>
      <c r="BW500" s="77">
        <f t="shared" si="794"/>
        <v>22</v>
      </c>
      <c r="BX500" s="77" t="str">
        <f t="shared" ca="1" si="792"/>
        <v>T. Šunjić</v>
      </c>
      <c r="BY500" s="77">
        <f ca="1">COUNTIF('Group Stages'!$L$14:$S$110,BX500)+COUNTIF('Knock Out Stages'!$N$41:$U$84,BX500)</f>
        <v>0</v>
      </c>
      <c r="BZ500" s="77" t="str">
        <f t="shared" si="795"/>
        <v>'Player Database'!A17</v>
      </c>
      <c r="CA500" s="77" t="str">
        <f t="shared" ca="1" si="796"/>
        <v>Toni Šunjić</v>
      </c>
      <c r="CS500" s="77">
        <f t="shared" si="788"/>
        <v>497</v>
      </c>
      <c r="CT500" s="77">
        <f t="shared" si="793"/>
        <v>12</v>
      </c>
      <c r="CU500" s="77" t="str">
        <f t="shared" si="790"/>
        <v>CR38</v>
      </c>
      <c r="CV500" s="77" t="str">
        <f t="shared" ca="1" si="789"/>
        <v/>
      </c>
      <c r="CW500" s="77">
        <f t="shared" ca="1" si="787"/>
        <v>0</v>
      </c>
    </row>
    <row r="501" spans="72:101">
      <c r="BT501" s="77" t="str">
        <f t="shared" ca="1" si="791"/>
        <v>Bosnia-Herzegovina</v>
      </c>
      <c r="BU501" s="77">
        <f t="shared" si="786"/>
        <v>499</v>
      </c>
      <c r="BV501" s="77" t="str">
        <f t="shared" si="797"/>
        <v>A18</v>
      </c>
      <c r="BW501" s="77">
        <f t="shared" si="794"/>
        <v>22</v>
      </c>
      <c r="BX501" s="77" t="str">
        <f t="shared" ca="1" si="792"/>
        <v>S. Lulić</v>
      </c>
      <c r="BY501" s="77">
        <f ca="1">COUNTIF('Group Stages'!$L$14:$S$110,BX501)+COUNTIF('Knock Out Stages'!$N$41:$U$84,BX501)</f>
        <v>0</v>
      </c>
      <c r="BZ501" s="77" t="str">
        <f t="shared" si="795"/>
        <v>'Player Database'!A18</v>
      </c>
      <c r="CA501" s="77" t="str">
        <f t="shared" ca="1" si="796"/>
        <v>Senad Lulić</v>
      </c>
      <c r="CS501" s="77">
        <f t="shared" si="788"/>
        <v>498</v>
      </c>
      <c r="CT501" s="77">
        <f t="shared" si="793"/>
        <v>12</v>
      </c>
      <c r="CU501" s="77" t="str">
        <f t="shared" si="790"/>
        <v>CR39</v>
      </c>
      <c r="CV501" s="77" t="str">
        <f t="shared" ca="1" si="789"/>
        <v/>
      </c>
      <c r="CW501" s="77">
        <f t="shared" ca="1" si="787"/>
        <v>0</v>
      </c>
    </row>
    <row r="502" spans="72:101">
      <c r="BT502" s="77" t="str">
        <f t="shared" ca="1" si="791"/>
        <v>Bosnia-Herzegovina</v>
      </c>
      <c r="BU502" s="77">
        <f t="shared" si="786"/>
        <v>500</v>
      </c>
      <c r="BV502" s="77" t="str">
        <f t="shared" si="797"/>
        <v>A19</v>
      </c>
      <c r="BW502" s="77">
        <f t="shared" si="794"/>
        <v>22</v>
      </c>
      <c r="BX502" s="77" t="str">
        <f t="shared" ca="1" si="792"/>
        <v>S. Ibričić</v>
      </c>
      <c r="BY502" s="77">
        <f ca="1">COUNTIF('Group Stages'!$L$14:$S$110,BX502)+COUNTIF('Knock Out Stages'!$N$41:$U$84,BX502)</f>
        <v>0</v>
      </c>
      <c r="BZ502" s="77" t="str">
        <f t="shared" si="795"/>
        <v>'Player Database'!A19</v>
      </c>
      <c r="CA502" s="77" t="str">
        <f t="shared" ca="1" si="796"/>
        <v>Senijad Ibričić</v>
      </c>
      <c r="CS502" s="77">
        <f t="shared" si="788"/>
        <v>499</v>
      </c>
      <c r="CT502" s="77">
        <f t="shared" si="793"/>
        <v>12</v>
      </c>
      <c r="CU502" s="77" t="str">
        <f t="shared" si="790"/>
        <v>CR40</v>
      </c>
      <c r="CV502" s="77" t="str">
        <f t="shared" ca="1" si="789"/>
        <v/>
      </c>
      <c r="CW502" s="77">
        <f t="shared" ca="1" si="787"/>
        <v>0</v>
      </c>
    </row>
    <row r="503" spans="72:101">
      <c r="BT503" s="77" t="str">
        <f t="shared" ca="1" si="791"/>
        <v>Bosnia-Herzegovina</v>
      </c>
      <c r="BU503" s="77">
        <f t="shared" si="786"/>
        <v>501</v>
      </c>
      <c r="BV503" s="77" t="str">
        <f t="shared" si="797"/>
        <v>A20</v>
      </c>
      <c r="BW503" s="77">
        <f t="shared" si="794"/>
        <v>22</v>
      </c>
      <c r="BX503" s="77" t="str">
        <f t="shared" ca="1" si="792"/>
        <v>H. Medunjanin</v>
      </c>
      <c r="BY503" s="77">
        <f ca="1">COUNTIF('Group Stages'!$L$14:$S$110,BX503)+COUNTIF('Knock Out Stages'!$N$41:$U$84,BX503)</f>
        <v>0</v>
      </c>
      <c r="BZ503" s="77" t="str">
        <f t="shared" si="795"/>
        <v>'Player Database'!A20</v>
      </c>
      <c r="CA503" s="77" t="str">
        <f t="shared" ca="1" si="796"/>
        <v>Haris Medunjanin</v>
      </c>
      <c r="CS503" s="77">
        <f t="shared" si="788"/>
        <v>500</v>
      </c>
      <c r="CT503" s="77">
        <f t="shared" si="793"/>
        <v>12</v>
      </c>
      <c r="CU503" s="77" t="str">
        <f t="shared" si="790"/>
        <v>CR41</v>
      </c>
      <c r="CV503" s="77" t="str">
        <f t="shared" ca="1" si="789"/>
        <v/>
      </c>
      <c r="CW503" s="77">
        <f t="shared" ca="1" si="787"/>
        <v>0</v>
      </c>
    </row>
    <row r="504" spans="72:101">
      <c r="BT504" s="77" t="str">
        <f t="shared" ca="1" si="791"/>
        <v>Bosnia-Herzegovina</v>
      </c>
      <c r="BU504" s="77">
        <f t="shared" si="786"/>
        <v>502</v>
      </c>
      <c r="BV504" s="77" t="str">
        <f t="shared" si="797"/>
        <v>A21</v>
      </c>
      <c r="BW504" s="77">
        <f t="shared" si="794"/>
        <v>22</v>
      </c>
      <c r="BX504" s="77" t="str">
        <f t="shared" ca="1" si="792"/>
        <v>E. Višća</v>
      </c>
      <c r="BY504" s="77">
        <f ca="1">COUNTIF('Group Stages'!$L$14:$S$110,BX504)+COUNTIF('Knock Out Stages'!$N$41:$U$84,BX504)</f>
        <v>0</v>
      </c>
      <c r="BZ504" s="77" t="str">
        <f t="shared" si="795"/>
        <v>'Player Database'!A21</v>
      </c>
      <c r="CA504" s="77" t="str">
        <f t="shared" ca="1" si="796"/>
        <v>Edin Višća</v>
      </c>
      <c r="CS504" s="77">
        <f t="shared" si="788"/>
        <v>501</v>
      </c>
      <c r="CT504" s="77">
        <f t="shared" si="793"/>
        <v>12</v>
      </c>
      <c r="CU504" s="77" t="str">
        <f t="shared" si="790"/>
        <v>CR42</v>
      </c>
      <c r="CV504" s="77" t="str">
        <f t="shared" ca="1" si="789"/>
        <v/>
      </c>
      <c r="CW504" s="77">
        <f t="shared" ca="1" si="787"/>
        <v>0</v>
      </c>
    </row>
    <row r="505" spans="72:101">
      <c r="BT505" s="77" t="str">
        <f t="shared" ca="1" si="791"/>
        <v>Bosnia-Herzegovina</v>
      </c>
      <c r="BU505" s="77">
        <f t="shared" si="786"/>
        <v>503</v>
      </c>
      <c r="BV505" s="77" t="str">
        <f t="shared" si="797"/>
        <v>A22</v>
      </c>
      <c r="BW505" s="77">
        <f t="shared" si="794"/>
        <v>22</v>
      </c>
      <c r="BX505" s="77" t="str">
        <f t="shared" ca="1" si="792"/>
        <v>A. Hadžić</v>
      </c>
      <c r="BY505" s="77">
        <f ca="1">COUNTIF('Group Stages'!$L$14:$S$110,BX505)+COUNTIF('Knock Out Stages'!$N$41:$U$84,BX505)</f>
        <v>0</v>
      </c>
      <c r="BZ505" s="77" t="str">
        <f t="shared" si="795"/>
        <v>'Player Database'!A22</v>
      </c>
      <c r="CA505" s="77" t="str">
        <f t="shared" ca="1" si="796"/>
        <v>Anel Hadžić</v>
      </c>
      <c r="CS505" s="77">
        <f t="shared" si="788"/>
        <v>502</v>
      </c>
      <c r="CT505" s="77">
        <f t="shared" si="793"/>
        <v>12</v>
      </c>
      <c r="CU505" s="77" t="str">
        <f t="shared" si="790"/>
        <v>CR43</v>
      </c>
      <c r="CV505" s="77" t="str">
        <f t="shared" ca="1" si="789"/>
        <v/>
      </c>
      <c r="CW505" s="77">
        <f t="shared" ca="1" si="787"/>
        <v>0</v>
      </c>
    </row>
    <row r="506" spans="72:101">
      <c r="BT506" s="77" t="str">
        <f t="shared" ca="1" si="791"/>
        <v>Bosnia-Herzegovina</v>
      </c>
      <c r="BU506" s="77">
        <f t="shared" si="786"/>
        <v>504</v>
      </c>
      <c r="BV506" s="77" t="str">
        <f t="shared" si="797"/>
        <v>A23</v>
      </c>
      <c r="BW506" s="77">
        <f t="shared" si="794"/>
        <v>22</v>
      </c>
      <c r="BX506" s="77" t="str">
        <f t="shared" ca="1" si="792"/>
        <v>T. Sušić</v>
      </c>
      <c r="BY506" s="77">
        <f ca="1">COUNTIF('Group Stages'!$L$14:$S$110,BX506)+COUNTIF('Knock Out Stages'!$N$41:$U$84,BX506)</f>
        <v>0</v>
      </c>
      <c r="BZ506" s="77" t="str">
        <f t="shared" si="795"/>
        <v>'Player Database'!A23</v>
      </c>
      <c r="CA506" s="77" t="str">
        <f t="shared" ca="1" si="796"/>
        <v>Tino-Sven Sušić</v>
      </c>
      <c r="CS506" s="77">
        <f t="shared" si="788"/>
        <v>503</v>
      </c>
      <c r="CT506" s="77">
        <f t="shared" si="793"/>
        <v>12</v>
      </c>
      <c r="CU506" s="77" t="str">
        <f t="shared" si="790"/>
        <v>CR44</v>
      </c>
      <c r="CV506" s="77" t="str">
        <f t="shared" ca="1" si="789"/>
        <v/>
      </c>
      <c r="CW506" s="77">
        <f t="shared" ca="1" si="787"/>
        <v>0</v>
      </c>
    </row>
    <row r="507" spans="72:101">
      <c r="BT507" s="77" t="str">
        <f t="shared" ca="1" si="791"/>
        <v>Bosnia-Herzegovina</v>
      </c>
      <c r="BU507" s="77">
        <f t="shared" si="786"/>
        <v>505</v>
      </c>
      <c r="BV507" s="77" t="str">
        <f t="shared" si="797"/>
        <v>A24</v>
      </c>
      <c r="BW507" s="77">
        <f t="shared" si="794"/>
        <v>22</v>
      </c>
      <c r="BX507" s="77" t="str">
        <f t="shared" ca="1" si="792"/>
        <v>A. Avdukić</v>
      </c>
      <c r="BY507" s="77">
        <f ca="1">COUNTIF('Group Stages'!$L$14:$S$110,BX507)+COUNTIF('Knock Out Stages'!$N$41:$U$84,BX507)</f>
        <v>0</v>
      </c>
      <c r="BZ507" s="77" t="str">
        <f t="shared" si="795"/>
        <v>'Player Database'!A24</v>
      </c>
      <c r="CA507" s="77" t="str">
        <f t="shared" ca="1" si="796"/>
        <v>Asmir Avdukić</v>
      </c>
      <c r="CS507" s="77">
        <f t="shared" si="788"/>
        <v>504</v>
      </c>
      <c r="CT507" s="77">
        <f t="shared" si="793"/>
        <v>12</v>
      </c>
      <c r="CU507" s="77" t="str">
        <f t="shared" si="790"/>
        <v>CR45</v>
      </c>
      <c r="CV507" s="77" t="str">
        <f t="shared" ca="1" si="789"/>
        <v/>
      </c>
      <c r="CW507" s="77">
        <f t="shared" ca="1" si="787"/>
        <v>0</v>
      </c>
    </row>
    <row r="508" spans="72:101">
      <c r="BT508" s="77" t="str">
        <f t="shared" ca="1" si="791"/>
        <v>Bosnia-Herzegovina</v>
      </c>
      <c r="BU508" s="77">
        <f t="shared" si="786"/>
        <v>506</v>
      </c>
      <c r="BV508" s="77" t="str">
        <f t="shared" si="797"/>
        <v>A25</v>
      </c>
      <c r="BW508" s="77">
        <f t="shared" si="794"/>
        <v>22</v>
      </c>
      <c r="BX508" s="77" t="str">
        <f t="shared" ca="1" si="792"/>
        <v>S. Salihović</v>
      </c>
      <c r="BY508" s="77">
        <f ca="1">COUNTIF('Group Stages'!$L$14:$S$110,BX508)+COUNTIF('Knock Out Stages'!$N$41:$U$84,BX508)</f>
        <v>0</v>
      </c>
      <c r="BZ508" s="77" t="str">
        <f t="shared" si="795"/>
        <v>'Player Database'!A25</v>
      </c>
      <c r="CA508" s="77" t="str">
        <f t="shared" ca="1" si="796"/>
        <v>Sejad Salihović</v>
      </c>
      <c r="CS508" s="77">
        <f t="shared" si="788"/>
        <v>505</v>
      </c>
      <c r="CT508" s="77">
        <f t="shared" si="793"/>
        <v>13</v>
      </c>
      <c r="CU508" s="77" t="str">
        <f t="shared" si="790"/>
        <v>CR4</v>
      </c>
      <c r="CV508" s="77" t="str">
        <f t="shared" ca="1" si="789"/>
        <v/>
      </c>
      <c r="CW508" s="77">
        <f t="shared" ca="1" si="787"/>
        <v>0</v>
      </c>
    </row>
    <row r="509" spans="72:101">
      <c r="BT509" s="77" t="str">
        <f t="shared" ca="1" si="791"/>
        <v>Iran</v>
      </c>
      <c r="BU509" s="77">
        <f t="shared" si="786"/>
        <v>507</v>
      </c>
      <c r="BV509" s="77" t="str">
        <f t="shared" si="797"/>
        <v>A3</v>
      </c>
      <c r="BW509" s="77">
        <f t="shared" si="794"/>
        <v>23</v>
      </c>
      <c r="BX509" s="77" t="str">
        <f t="shared" ca="1" si="792"/>
        <v>R. Ahmadi</v>
      </c>
      <c r="BY509" s="77">
        <f ca="1">COUNTIF('Group Stages'!$L$14:$S$110,BX509)+COUNTIF('Knock Out Stages'!$N$41:$U$84,BX509)</f>
        <v>0</v>
      </c>
      <c r="BZ509" s="77" t="str">
        <f t="shared" si="795"/>
        <v>'Player Database'!A3</v>
      </c>
      <c r="CA509" s="77" t="str">
        <f t="shared" ca="1" si="796"/>
        <v>Rahman Ahmadi</v>
      </c>
      <c r="CS509" s="77">
        <f t="shared" si="788"/>
        <v>506</v>
      </c>
      <c r="CT509" s="77">
        <f t="shared" si="793"/>
        <v>13</v>
      </c>
      <c r="CU509" s="77" t="str">
        <f t="shared" si="790"/>
        <v>CR5</v>
      </c>
      <c r="CV509" s="77" t="str">
        <f t="shared" ca="1" si="789"/>
        <v/>
      </c>
      <c r="CW509" s="77">
        <f t="shared" ca="1" si="787"/>
        <v>0</v>
      </c>
    </row>
    <row r="510" spans="72:101">
      <c r="BT510" s="77" t="str">
        <f t="shared" ca="1" si="791"/>
        <v>Iran</v>
      </c>
      <c r="BU510" s="77">
        <f t="shared" si="786"/>
        <v>508</v>
      </c>
      <c r="BV510" s="77" t="str">
        <f t="shared" si="797"/>
        <v>A4</v>
      </c>
      <c r="BW510" s="77">
        <f t="shared" si="794"/>
        <v>23</v>
      </c>
      <c r="BX510" s="77" t="str">
        <f t="shared" ca="1" si="792"/>
        <v>K. Heydari</v>
      </c>
      <c r="BY510" s="77">
        <f ca="1">COUNTIF('Group Stages'!$L$14:$S$110,BX510)+COUNTIF('Knock Out Stages'!$N$41:$U$84,BX510)</f>
        <v>0</v>
      </c>
      <c r="BZ510" s="77" t="str">
        <f t="shared" si="795"/>
        <v>'Player Database'!A4</v>
      </c>
      <c r="CA510" s="77" t="str">
        <f t="shared" ca="1" si="796"/>
        <v>Khosro Heydari</v>
      </c>
      <c r="CS510" s="77">
        <f t="shared" si="788"/>
        <v>507</v>
      </c>
      <c r="CT510" s="77">
        <f t="shared" si="793"/>
        <v>13</v>
      </c>
      <c r="CU510" s="77" t="str">
        <f t="shared" si="790"/>
        <v>CR6</v>
      </c>
      <c r="CV510" s="77" t="str">
        <f t="shared" ca="1" si="789"/>
        <v/>
      </c>
      <c r="CW510" s="77">
        <f t="shared" ca="1" si="787"/>
        <v>0</v>
      </c>
    </row>
    <row r="511" spans="72:101">
      <c r="BT511" s="77" t="str">
        <f t="shared" ca="1" si="791"/>
        <v>Iran</v>
      </c>
      <c r="BU511" s="77">
        <f t="shared" si="786"/>
        <v>509</v>
      </c>
      <c r="BV511" s="77" t="str">
        <f t="shared" si="797"/>
        <v>A5</v>
      </c>
      <c r="BW511" s="77">
        <f t="shared" si="794"/>
        <v>23</v>
      </c>
      <c r="BX511" s="77" t="str">
        <f t="shared" ca="1" si="792"/>
        <v>E. Hajsafi</v>
      </c>
      <c r="BY511" s="77">
        <f ca="1">COUNTIF('Group Stages'!$L$14:$S$110,BX511)+COUNTIF('Knock Out Stages'!$N$41:$U$84,BX511)</f>
        <v>0</v>
      </c>
      <c r="BZ511" s="77" t="str">
        <f t="shared" si="795"/>
        <v>'Player Database'!A5</v>
      </c>
      <c r="CA511" s="77" t="str">
        <f t="shared" ca="1" si="796"/>
        <v>Ehsan Hajsafi</v>
      </c>
      <c r="CS511" s="77">
        <f t="shared" ref="CS511:CS574" si="798">CS510+1</f>
        <v>508</v>
      </c>
      <c r="CT511" s="77">
        <f t="shared" si="793"/>
        <v>13</v>
      </c>
      <c r="CU511" s="77" t="str">
        <f t="shared" si="790"/>
        <v>CR7</v>
      </c>
      <c r="CV511" s="77" t="str">
        <f t="shared" ref="CV511:CV574" ca="1" si="799">OFFSET(INDIRECT(CU511),0,-CT511)</f>
        <v/>
      </c>
      <c r="CW511" s="77">
        <f t="shared" ca="1" si="787"/>
        <v>0</v>
      </c>
    </row>
    <row r="512" spans="72:101">
      <c r="BT512" s="77" t="str">
        <f t="shared" ca="1" si="791"/>
        <v>Iran</v>
      </c>
      <c r="BU512" s="77">
        <f t="shared" si="786"/>
        <v>510</v>
      </c>
      <c r="BV512" s="77" t="str">
        <f t="shared" si="797"/>
        <v>A6</v>
      </c>
      <c r="BW512" s="77">
        <f t="shared" si="794"/>
        <v>23</v>
      </c>
      <c r="BX512" s="77" t="str">
        <f t="shared" ca="1" si="792"/>
        <v>J. Hosseini</v>
      </c>
      <c r="BY512" s="77">
        <f ca="1">COUNTIF('Group Stages'!$L$14:$S$110,BX512)+COUNTIF('Knock Out Stages'!$N$41:$U$84,BX512)</f>
        <v>0</v>
      </c>
      <c r="BZ512" s="77" t="str">
        <f t="shared" si="795"/>
        <v>'Player Database'!A6</v>
      </c>
      <c r="CA512" s="77" t="str">
        <f t="shared" ca="1" si="796"/>
        <v>Jalal Hosseini</v>
      </c>
      <c r="CS512" s="77">
        <f t="shared" si="798"/>
        <v>509</v>
      </c>
      <c r="CT512" s="77">
        <f t="shared" si="793"/>
        <v>13</v>
      </c>
      <c r="CU512" s="77" t="str">
        <f t="shared" si="790"/>
        <v>CR8</v>
      </c>
      <c r="CV512" s="77" t="str">
        <f t="shared" ca="1" si="799"/>
        <v/>
      </c>
      <c r="CW512" s="77">
        <f t="shared" ca="1" si="787"/>
        <v>0</v>
      </c>
    </row>
    <row r="513" spans="72:101">
      <c r="BT513" s="77" t="str">
        <f t="shared" ca="1" si="791"/>
        <v>Iran</v>
      </c>
      <c r="BU513" s="77">
        <f t="shared" si="786"/>
        <v>511</v>
      </c>
      <c r="BV513" s="77" t="str">
        <f t="shared" si="797"/>
        <v>A7</v>
      </c>
      <c r="BW513" s="77">
        <f t="shared" si="794"/>
        <v>23</v>
      </c>
      <c r="BX513" s="77" t="str">
        <f t="shared" ca="1" si="792"/>
        <v>A. Hossein Sadeghi</v>
      </c>
      <c r="BY513" s="77">
        <f ca="1">COUNTIF('Group Stages'!$L$14:$S$110,BX513)+COUNTIF('Knock Out Stages'!$N$41:$U$84,BX513)</f>
        <v>0</v>
      </c>
      <c r="BZ513" s="77" t="str">
        <f t="shared" si="795"/>
        <v>'Player Database'!A7</v>
      </c>
      <c r="CA513" s="77" t="str">
        <f t="shared" ca="1" si="796"/>
        <v>Amir Hossein Sadeghi</v>
      </c>
      <c r="CS513" s="77">
        <f t="shared" si="798"/>
        <v>510</v>
      </c>
      <c r="CT513" s="77">
        <f t="shared" si="793"/>
        <v>13</v>
      </c>
      <c r="CU513" s="77" t="str">
        <f t="shared" si="790"/>
        <v>CR9</v>
      </c>
      <c r="CV513" s="77" t="str">
        <f t="shared" ca="1" si="799"/>
        <v/>
      </c>
      <c r="CW513" s="77">
        <f t="shared" ca="1" si="787"/>
        <v>0</v>
      </c>
    </row>
    <row r="514" spans="72:101">
      <c r="BT514" s="77" t="str">
        <f t="shared" ca="1" si="791"/>
        <v>Iran</v>
      </c>
      <c r="BU514" s="77">
        <f t="shared" si="786"/>
        <v>512</v>
      </c>
      <c r="BV514" s="77" t="str">
        <f t="shared" si="797"/>
        <v>A8</v>
      </c>
      <c r="BW514" s="77">
        <f t="shared" si="794"/>
        <v>23</v>
      </c>
      <c r="BX514" s="77" t="str">
        <f t="shared" ca="1" si="792"/>
        <v xml:space="preserve">J. Nekounam </v>
      </c>
      <c r="BY514" s="77">
        <f ca="1">COUNTIF('Group Stages'!$L$14:$S$110,BX514)+COUNTIF('Knock Out Stages'!$N$41:$U$84,BX514)</f>
        <v>0</v>
      </c>
      <c r="BZ514" s="77" t="str">
        <f t="shared" si="795"/>
        <v>'Player Database'!A8</v>
      </c>
      <c r="CA514" s="77" t="str">
        <f t="shared" ca="1" si="796"/>
        <v xml:space="preserve">Javad Nekounam </v>
      </c>
      <c r="CS514" s="77">
        <f t="shared" si="798"/>
        <v>511</v>
      </c>
      <c r="CT514" s="77">
        <f t="shared" si="793"/>
        <v>13</v>
      </c>
      <c r="CU514" s="77" t="str">
        <f t="shared" si="790"/>
        <v>CR10</v>
      </c>
      <c r="CV514" s="77" t="str">
        <f t="shared" ca="1" si="799"/>
        <v/>
      </c>
      <c r="CW514" s="77">
        <f t="shared" ca="1" si="787"/>
        <v>0</v>
      </c>
    </row>
    <row r="515" spans="72:101">
      <c r="BT515" s="77" t="str">
        <f t="shared" ca="1" si="791"/>
        <v>Iran</v>
      </c>
      <c r="BU515" s="77">
        <f t="shared" si="786"/>
        <v>513</v>
      </c>
      <c r="BV515" s="77" t="str">
        <f t="shared" si="797"/>
        <v>A9</v>
      </c>
      <c r="BW515" s="77">
        <f t="shared" si="794"/>
        <v>23</v>
      </c>
      <c r="BX515" s="77" t="str">
        <f t="shared" ca="1" si="792"/>
        <v>M. Shojaei</v>
      </c>
      <c r="BY515" s="77">
        <f ca="1">COUNTIF('Group Stages'!$L$14:$S$110,BX515)+COUNTIF('Knock Out Stages'!$N$41:$U$84,BX515)</f>
        <v>0</v>
      </c>
      <c r="BZ515" s="77" t="str">
        <f t="shared" si="795"/>
        <v>'Player Database'!A9</v>
      </c>
      <c r="CA515" s="77" t="str">
        <f t="shared" ca="1" si="796"/>
        <v>Masoud Shojaei</v>
      </c>
      <c r="CS515" s="77">
        <f t="shared" si="798"/>
        <v>512</v>
      </c>
      <c r="CT515" s="77">
        <f t="shared" si="793"/>
        <v>13</v>
      </c>
      <c r="CU515" s="77" t="str">
        <f t="shared" si="790"/>
        <v>CR11</v>
      </c>
      <c r="CV515" s="77" t="str">
        <f t="shared" ca="1" si="799"/>
        <v/>
      </c>
      <c r="CW515" s="77">
        <f t="shared" ca="1" si="787"/>
        <v>0</v>
      </c>
    </row>
    <row r="516" spans="72:101">
      <c r="BT516" s="77" t="str">
        <f t="shared" ca="1" si="791"/>
        <v>Iran</v>
      </c>
      <c r="BU516" s="77">
        <f t="shared" si="786"/>
        <v>514</v>
      </c>
      <c r="BV516" s="77" t="str">
        <f t="shared" si="797"/>
        <v>A10</v>
      </c>
      <c r="BW516" s="77">
        <f t="shared" si="794"/>
        <v>23</v>
      </c>
      <c r="BX516" s="77" t="str">
        <f t="shared" ca="1" si="792"/>
        <v>R. Haghighi</v>
      </c>
      <c r="BY516" s="77">
        <f ca="1">COUNTIF('Group Stages'!$L$14:$S$110,BX516)+COUNTIF('Knock Out Stages'!$N$41:$U$84,BX516)</f>
        <v>0</v>
      </c>
      <c r="BZ516" s="77" t="str">
        <f t="shared" si="795"/>
        <v>'Player Database'!A10</v>
      </c>
      <c r="CA516" s="77" t="str">
        <f t="shared" ca="1" si="796"/>
        <v>Reza Haghighi</v>
      </c>
      <c r="CS516" s="77">
        <f t="shared" si="798"/>
        <v>513</v>
      </c>
      <c r="CT516" s="77">
        <f t="shared" si="793"/>
        <v>13</v>
      </c>
      <c r="CU516" s="77" t="str">
        <f t="shared" si="790"/>
        <v>CR12</v>
      </c>
      <c r="CV516" s="77" t="str">
        <f t="shared" ca="1" si="799"/>
        <v/>
      </c>
      <c r="CW516" s="77">
        <f t="shared" ca="1" si="787"/>
        <v>0</v>
      </c>
    </row>
    <row r="517" spans="72:101">
      <c r="BT517" s="77" t="str">
        <f t="shared" ca="1" si="791"/>
        <v>Iran</v>
      </c>
      <c r="BU517" s="77">
        <f t="shared" ref="BU517:BU580" si="800">BU516+1</f>
        <v>515</v>
      </c>
      <c r="BV517" s="77" t="str">
        <f t="shared" si="797"/>
        <v>A11</v>
      </c>
      <c r="BW517" s="77">
        <f t="shared" si="794"/>
        <v>23</v>
      </c>
      <c r="BX517" s="77" t="str">
        <f t="shared" ca="1" si="792"/>
        <v>A. Jahanbakhsh</v>
      </c>
      <c r="BY517" s="77">
        <f ca="1">COUNTIF('Group Stages'!$L$14:$S$110,BX517)+COUNTIF('Knock Out Stages'!$N$41:$U$84,BX517)</f>
        <v>0</v>
      </c>
      <c r="BZ517" s="77" t="str">
        <f t="shared" si="795"/>
        <v>'Player Database'!A11</v>
      </c>
      <c r="CA517" s="77" t="str">
        <f t="shared" ca="1" si="796"/>
        <v>Alireza Jahanbakhsh</v>
      </c>
      <c r="CS517" s="77">
        <f t="shared" si="798"/>
        <v>514</v>
      </c>
      <c r="CT517" s="77">
        <f t="shared" si="793"/>
        <v>13</v>
      </c>
      <c r="CU517" s="77" t="str">
        <f t="shared" si="790"/>
        <v>CR13</v>
      </c>
      <c r="CV517" s="77" t="str">
        <f t="shared" ca="1" si="799"/>
        <v/>
      </c>
      <c r="CW517" s="77">
        <f t="shared" ref="CW517:CW580" ca="1" si="801">IF(CV517&lt;&gt;"",CW516+1,CW516)</f>
        <v>0</v>
      </c>
    </row>
    <row r="518" spans="72:101">
      <c r="BT518" s="77" t="str">
        <f t="shared" ca="1" si="791"/>
        <v>Iran</v>
      </c>
      <c r="BU518" s="77">
        <f t="shared" si="800"/>
        <v>516</v>
      </c>
      <c r="BV518" s="77" t="str">
        <f t="shared" si="797"/>
        <v>A12</v>
      </c>
      <c r="BW518" s="77">
        <f t="shared" si="794"/>
        <v>23</v>
      </c>
      <c r="BX518" s="77" t="str">
        <f t="shared" ca="1" si="792"/>
        <v>K. Ansarifard</v>
      </c>
      <c r="BY518" s="77">
        <f ca="1">COUNTIF('Group Stages'!$L$14:$S$110,BX518)+COUNTIF('Knock Out Stages'!$N$41:$U$84,BX518)</f>
        <v>0</v>
      </c>
      <c r="BZ518" s="77" t="str">
        <f t="shared" si="795"/>
        <v>'Player Database'!A12</v>
      </c>
      <c r="CA518" s="77" t="str">
        <f t="shared" ca="1" si="796"/>
        <v>Karim Ansarifard</v>
      </c>
      <c r="CS518" s="77">
        <f t="shared" si="798"/>
        <v>515</v>
      </c>
      <c r="CT518" s="77">
        <f t="shared" si="793"/>
        <v>13</v>
      </c>
      <c r="CU518" s="77" t="str">
        <f t="shared" si="790"/>
        <v>CR14</v>
      </c>
      <c r="CV518" s="77" t="str">
        <f t="shared" ca="1" si="799"/>
        <v/>
      </c>
      <c r="CW518" s="77">
        <f t="shared" ca="1" si="801"/>
        <v>0</v>
      </c>
    </row>
    <row r="519" spans="72:101">
      <c r="BT519" s="77" t="str">
        <f t="shared" ca="1" si="791"/>
        <v>Iran</v>
      </c>
      <c r="BU519" s="77">
        <f t="shared" si="800"/>
        <v>517</v>
      </c>
      <c r="BV519" s="77" t="str">
        <f t="shared" si="797"/>
        <v>A13</v>
      </c>
      <c r="BW519" s="77">
        <f t="shared" si="794"/>
        <v>23</v>
      </c>
      <c r="BX519" s="77" t="str">
        <f t="shared" ca="1" si="792"/>
        <v>G. Haddadifar</v>
      </c>
      <c r="BY519" s="77">
        <f ca="1">COUNTIF('Group Stages'!$L$14:$S$110,BX519)+COUNTIF('Knock Out Stages'!$N$41:$U$84,BX519)</f>
        <v>0</v>
      </c>
      <c r="BZ519" s="77" t="str">
        <f t="shared" si="795"/>
        <v>'Player Database'!A13</v>
      </c>
      <c r="CA519" s="77" t="str">
        <f t="shared" ca="1" si="796"/>
        <v>Ghasem Haddadifar</v>
      </c>
      <c r="CS519" s="77">
        <f t="shared" si="798"/>
        <v>516</v>
      </c>
      <c r="CT519" s="77">
        <f t="shared" si="793"/>
        <v>13</v>
      </c>
      <c r="CU519" s="77" t="str">
        <f t="shared" si="790"/>
        <v>CR15</v>
      </c>
      <c r="CV519" s="77" t="str">
        <f t="shared" ca="1" si="799"/>
        <v/>
      </c>
      <c r="CW519" s="77">
        <f t="shared" ca="1" si="801"/>
        <v>0</v>
      </c>
    </row>
    <row r="520" spans="72:101">
      <c r="BT520" s="77" t="str">
        <f t="shared" ca="1" si="791"/>
        <v>Iran</v>
      </c>
      <c r="BU520" s="77">
        <f t="shared" si="800"/>
        <v>518</v>
      </c>
      <c r="BV520" s="77" t="str">
        <f t="shared" si="797"/>
        <v>A14</v>
      </c>
      <c r="BW520" s="77">
        <f t="shared" si="794"/>
        <v>23</v>
      </c>
      <c r="BX520" s="77" t="str">
        <f t="shared" ca="1" si="792"/>
        <v>A. Haghighi</v>
      </c>
      <c r="BY520" s="77">
        <f ca="1">COUNTIF('Group Stages'!$L$14:$S$110,BX520)+COUNTIF('Knock Out Stages'!$N$41:$U$84,BX520)</f>
        <v>0</v>
      </c>
      <c r="BZ520" s="77" t="str">
        <f t="shared" si="795"/>
        <v>'Player Database'!A14</v>
      </c>
      <c r="CA520" s="77" t="str">
        <f t="shared" ca="1" si="796"/>
        <v>Alireza Haghighi</v>
      </c>
      <c r="CS520" s="77">
        <f t="shared" si="798"/>
        <v>517</v>
      </c>
      <c r="CT520" s="77">
        <f t="shared" si="793"/>
        <v>13</v>
      </c>
      <c r="CU520" s="77" t="str">
        <f t="shared" si="790"/>
        <v>CR16</v>
      </c>
      <c r="CV520" s="77" t="str">
        <f t="shared" ca="1" si="799"/>
        <v/>
      </c>
      <c r="CW520" s="77">
        <f t="shared" ca="1" si="801"/>
        <v>0</v>
      </c>
    </row>
    <row r="521" spans="72:101">
      <c r="BT521" s="77" t="str">
        <f t="shared" ca="1" si="791"/>
        <v>Iran</v>
      </c>
      <c r="BU521" s="77">
        <f t="shared" si="800"/>
        <v>519</v>
      </c>
      <c r="BV521" s="77" t="str">
        <f t="shared" si="797"/>
        <v>A15</v>
      </c>
      <c r="BW521" s="77">
        <f t="shared" si="794"/>
        <v>23</v>
      </c>
      <c r="BX521" s="77" t="str">
        <f t="shared" ca="1" si="792"/>
        <v>H. Mahini</v>
      </c>
      <c r="BY521" s="77">
        <f ca="1">COUNTIF('Group Stages'!$L$14:$S$110,BX521)+COUNTIF('Knock Out Stages'!$N$41:$U$84,BX521)</f>
        <v>0</v>
      </c>
      <c r="BZ521" s="77" t="str">
        <f t="shared" si="795"/>
        <v>'Player Database'!A15</v>
      </c>
      <c r="CA521" s="77" t="str">
        <f t="shared" ca="1" si="796"/>
        <v>Hossein Mahini</v>
      </c>
      <c r="CS521" s="77">
        <f t="shared" si="798"/>
        <v>518</v>
      </c>
      <c r="CT521" s="77">
        <f t="shared" si="793"/>
        <v>13</v>
      </c>
      <c r="CU521" s="77" t="str">
        <f t="shared" si="790"/>
        <v>CR17</v>
      </c>
      <c r="CV521" s="77" t="str">
        <f t="shared" ca="1" si="799"/>
        <v/>
      </c>
      <c r="CW521" s="77">
        <f t="shared" ca="1" si="801"/>
        <v>0</v>
      </c>
    </row>
    <row r="522" spans="72:101">
      <c r="BT522" s="77" t="str">
        <f t="shared" ca="1" si="791"/>
        <v>Iran</v>
      </c>
      <c r="BU522" s="77">
        <f t="shared" si="800"/>
        <v>520</v>
      </c>
      <c r="BV522" s="77" t="str">
        <f t="shared" si="797"/>
        <v>A16</v>
      </c>
      <c r="BW522" s="77">
        <f t="shared" si="794"/>
        <v>23</v>
      </c>
      <c r="BX522" s="77" t="str">
        <f t="shared" ca="1" si="792"/>
        <v>A. Teymourian</v>
      </c>
      <c r="BY522" s="77">
        <f ca="1">COUNTIF('Group Stages'!$L$14:$S$110,BX522)+COUNTIF('Knock Out Stages'!$N$41:$U$84,BX522)</f>
        <v>0</v>
      </c>
      <c r="BZ522" s="77" t="str">
        <f t="shared" si="795"/>
        <v>'Player Database'!A16</v>
      </c>
      <c r="CA522" s="77" t="str">
        <f t="shared" ca="1" si="796"/>
        <v>Andranik Teymourian</v>
      </c>
      <c r="CS522" s="77">
        <f t="shared" si="798"/>
        <v>519</v>
      </c>
      <c r="CT522" s="77">
        <f t="shared" si="793"/>
        <v>13</v>
      </c>
      <c r="CU522" s="77" t="str">
        <f t="shared" si="790"/>
        <v>CR18</v>
      </c>
      <c r="CV522" s="77" t="str">
        <f t="shared" ca="1" si="799"/>
        <v/>
      </c>
      <c r="CW522" s="77">
        <f t="shared" ca="1" si="801"/>
        <v>0</v>
      </c>
    </row>
    <row r="523" spans="72:101">
      <c r="BT523" s="77" t="str">
        <f t="shared" ca="1" si="791"/>
        <v>Iran</v>
      </c>
      <c r="BU523" s="77">
        <f t="shared" si="800"/>
        <v>521</v>
      </c>
      <c r="BV523" s="77" t="str">
        <f t="shared" si="797"/>
        <v>A17</v>
      </c>
      <c r="BW523" s="77">
        <f t="shared" si="794"/>
        <v>23</v>
      </c>
      <c r="BX523" s="77" t="str">
        <f t="shared" ca="1" si="792"/>
        <v>P. Montazeri</v>
      </c>
      <c r="BY523" s="77">
        <f ca="1">COUNTIF('Group Stages'!$L$14:$S$110,BX523)+COUNTIF('Knock Out Stages'!$N$41:$U$84,BX523)</f>
        <v>0</v>
      </c>
      <c r="BZ523" s="77" t="str">
        <f t="shared" si="795"/>
        <v>'Player Database'!A17</v>
      </c>
      <c r="CA523" s="77" t="str">
        <f t="shared" ca="1" si="796"/>
        <v>Pejman Montazeri</v>
      </c>
      <c r="CS523" s="77">
        <f t="shared" si="798"/>
        <v>520</v>
      </c>
      <c r="CT523" s="77">
        <f t="shared" si="793"/>
        <v>13</v>
      </c>
      <c r="CU523" s="77" t="str">
        <f t="shared" si="790"/>
        <v>CR19</v>
      </c>
      <c r="CV523" s="77" t="str">
        <f t="shared" ca="1" si="799"/>
        <v/>
      </c>
      <c r="CW523" s="77">
        <f t="shared" ca="1" si="801"/>
        <v>0</v>
      </c>
    </row>
    <row r="524" spans="72:101">
      <c r="BT524" s="77" t="str">
        <f t="shared" ca="1" si="791"/>
        <v>Iran</v>
      </c>
      <c r="BU524" s="77">
        <f t="shared" si="800"/>
        <v>522</v>
      </c>
      <c r="BV524" s="77" t="str">
        <f t="shared" si="797"/>
        <v>A18</v>
      </c>
      <c r="BW524" s="77">
        <f t="shared" si="794"/>
        <v>23</v>
      </c>
      <c r="BX524" s="77" t="str">
        <f t="shared" ca="1" si="792"/>
        <v>R. Ghoochannejhad</v>
      </c>
      <c r="BY524" s="77">
        <f ca="1">COUNTIF('Group Stages'!$L$14:$S$110,BX524)+COUNTIF('Knock Out Stages'!$N$41:$U$84,BX524)</f>
        <v>0</v>
      </c>
      <c r="BZ524" s="77" t="str">
        <f t="shared" si="795"/>
        <v>'Player Database'!A18</v>
      </c>
      <c r="CA524" s="77" t="str">
        <f t="shared" ca="1" si="796"/>
        <v>Reza Ghoochannejhad</v>
      </c>
      <c r="CS524" s="77">
        <f t="shared" si="798"/>
        <v>521</v>
      </c>
      <c r="CT524" s="77">
        <f t="shared" si="793"/>
        <v>13</v>
      </c>
      <c r="CU524" s="77" t="str">
        <f t="shared" si="790"/>
        <v>CR20</v>
      </c>
      <c r="CV524" s="77" t="str">
        <f t="shared" ca="1" si="799"/>
        <v/>
      </c>
      <c r="CW524" s="77">
        <f t="shared" ca="1" si="801"/>
        <v>0</v>
      </c>
    </row>
    <row r="525" spans="72:101">
      <c r="BT525" s="77" t="str">
        <f t="shared" ca="1" si="791"/>
        <v>Iran</v>
      </c>
      <c r="BU525" s="77">
        <f t="shared" si="800"/>
        <v>523</v>
      </c>
      <c r="BV525" s="77" t="str">
        <f t="shared" si="797"/>
        <v>A19</v>
      </c>
      <c r="BW525" s="77">
        <f t="shared" si="794"/>
        <v>23</v>
      </c>
      <c r="BX525" s="77" t="str">
        <f t="shared" ca="1" si="792"/>
        <v>A. Alenemeh</v>
      </c>
      <c r="BY525" s="77">
        <f ca="1">COUNTIF('Group Stages'!$L$14:$S$110,BX525)+COUNTIF('Knock Out Stages'!$N$41:$U$84,BX525)</f>
        <v>0</v>
      </c>
      <c r="BZ525" s="77" t="str">
        <f t="shared" si="795"/>
        <v>'Player Database'!A19</v>
      </c>
      <c r="CA525" s="77" t="str">
        <f t="shared" ca="1" si="796"/>
        <v>Ahmad Alenemeh</v>
      </c>
      <c r="CS525" s="77">
        <f t="shared" si="798"/>
        <v>522</v>
      </c>
      <c r="CT525" s="77">
        <f t="shared" si="793"/>
        <v>13</v>
      </c>
      <c r="CU525" s="77" t="str">
        <f t="shared" si="790"/>
        <v>CR21</v>
      </c>
      <c r="CV525" s="77" t="str">
        <f t="shared" ca="1" si="799"/>
        <v/>
      </c>
      <c r="CW525" s="77">
        <f t="shared" ca="1" si="801"/>
        <v>0</v>
      </c>
    </row>
    <row r="526" spans="72:101">
      <c r="BT526" s="77" t="str">
        <f t="shared" ca="1" si="791"/>
        <v>Iran</v>
      </c>
      <c r="BU526" s="77">
        <f t="shared" si="800"/>
        <v>524</v>
      </c>
      <c r="BV526" s="77" t="str">
        <f t="shared" si="797"/>
        <v>A20</v>
      </c>
      <c r="BW526" s="77">
        <f t="shared" si="794"/>
        <v>23</v>
      </c>
      <c r="BX526" s="77" t="str">
        <f t="shared" ca="1" si="792"/>
        <v>B. Rahmani</v>
      </c>
      <c r="BY526" s="77">
        <f ca="1">COUNTIF('Group Stages'!$L$14:$S$110,BX526)+COUNTIF('Knock Out Stages'!$N$41:$U$84,BX526)</f>
        <v>0</v>
      </c>
      <c r="BZ526" s="77" t="str">
        <f t="shared" si="795"/>
        <v>'Player Database'!A20</v>
      </c>
      <c r="CA526" s="77" t="str">
        <f t="shared" ca="1" si="796"/>
        <v>Bakhtiar Rahmani</v>
      </c>
      <c r="CS526" s="77">
        <f t="shared" si="798"/>
        <v>523</v>
      </c>
      <c r="CT526" s="77">
        <f t="shared" si="793"/>
        <v>13</v>
      </c>
      <c r="CU526" s="77" t="str">
        <f t="shared" si="790"/>
        <v>CR22</v>
      </c>
      <c r="CV526" s="77" t="str">
        <f t="shared" ca="1" si="799"/>
        <v/>
      </c>
      <c r="CW526" s="77">
        <f t="shared" ca="1" si="801"/>
        <v>0</v>
      </c>
    </row>
    <row r="527" spans="72:101">
      <c r="BT527" s="77" t="str">
        <f t="shared" ca="1" si="791"/>
        <v>Iran</v>
      </c>
      <c r="BU527" s="77">
        <f t="shared" si="800"/>
        <v>525</v>
      </c>
      <c r="BV527" s="77" t="str">
        <f t="shared" si="797"/>
        <v>A21</v>
      </c>
      <c r="BW527" s="77">
        <f t="shared" si="794"/>
        <v>23</v>
      </c>
      <c r="BX527" s="77" t="str">
        <f t="shared" ca="1" si="792"/>
        <v>H. Beikzadeh</v>
      </c>
      <c r="BY527" s="77">
        <f ca="1">COUNTIF('Group Stages'!$L$14:$S$110,BX527)+COUNTIF('Knock Out Stages'!$N$41:$U$84,BX527)</f>
        <v>0</v>
      </c>
      <c r="BZ527" s="77" t="str">
        <f t="shared" si="795"/>
        <v>'Player Database'!A21</v>
      </c>
      <c r="CA527" s="77" t="str">
        <f t="shared" ca="1" si="796"/>
        <v>Hashem Beikzadeh</v>
      </c>
      <c r="CS527" s="77">
        <f t="shared" si="798"/>
        <v>524</v>
      </c>
      <c r="CT527" s="77">
        <f t="shared" si="793"/>
        <v>13</v>
      </c>
      <c r="CU527" s="77" t="str">
        <f t="shared" si="790"/>
        <v>CR23</v>
      </c>
      <c r="CV527" s="77" t="str">
        <f t="shared" ca="1" si="799"/>
        <v/>
      </c>
      <c r="CW527" s="77">
        <f t="shared" ca="1" si="801"/>
        <v>0</v>
      </c>
    </row>
    <row r="528" spans="72:101">
      <c r="BT528" s="77" t="str">
        <f t="shared" ca="1" si="791"/>
        <v>Iran</v>
      </c>
      <c r="BU528" s="77">
        <f t="shared" si="800"/>
        <v>526</v>
      </c>
      <c r="BV528" s="77" t="str">
        <f t="shared" si="797"/>
        <v>A22</v>
      </c>
      <c r="BW528" s="77">
        <f t="shared" si="794"/>
        <v>23</v>
      </c>
      <c r="BX528" s="77" t="str">
        <f t="shared" ca="1" si="792"/>
        <v>S. Beitashour</v>
      </c>
      <c r="BY528" s="77">
        <f ca="1">COUNTIF('Group Stages'!$L$14:$S$110,BX528)+COUNTIF('Knock Out Stages'!$N$41:$U$84,BX528)</f>
        <v>0</v>
      </c>
      <c r="BZ528" s="77" t="str">
        <f t="shared" si="795"/>
        <v>'Player Database'!A22</v>
      </c>
      <c r="CA528" s="77" t="str">
        <f t="shared" ca="1" si="796"/>
        <v>Steven Beitashour</v>
      </c>
      <c r="CS528" s="77">
        <f t="shared" si="798"/>
        <v>525</v>
      </c>
      <c r="CT528" s="77">
        <f t="shared" si="793"/>
        <v>13</v>
      </c>
      <c r="CU528" s="77" t="str">
        <f t="shared" si="790"/>
        <v>CR24</v>
      </c>
      <c r="CV528" s="77" t="str">
        <f t="shared" ca="1" si="799"/>
        <v/>
      </c>
      <c r="CW528" s="77">
        <f t="shared" ca="1" si="801"/>
        <v>0</v>
      </c>
    </row>
    <row r="529" spans="72:101">
      <c r="BT529" s="77" t="str">
        <f t="shared" ca="1" si="791"/>
        <v>Iran</v>
      </c>
      <c r="BU529" s="77">
        <f t="shared" si="800"/>
        <v>527</v>
      </c>
      <c r="BV529" s="77" t="str">
        <f t="shared" si="797"/>
        <v>A23</v>
      </c>
      <c r="BW529" s="77">
        <f t="shared" si="794"/>
        <v>23</v>
      </c>
      <c r="BX529" s="77" t="str">
        <f t="shared" ca="1" si="792"/>
        <v>A. Dejagah</v>
      </c>
      <c r="BY529" s="77">
        <f ca="1">COUNTIF('Group Stages'!$L$14:$S$110,BX529)+COUNTIF('Knock Out Stages'!$N$41:$U$84,BX529)</f>
        <v>0</v>
      </c>
      <c r="BZ529" s="77" t="str">
        <f t="shared" si="795"/>
        <v>'Player Database'!A23</v>
      </c>
      <c r="CA529" s="77" t="str">
        <f t="shared" ca="1" si="796"/>
        <v>Ashkan Dejagah</v>
      </c>
      <c r="CS529" s="77">
        <f t="shared" si="798"/>
        <v>526</v>
      </c>
      <c r="CT529" s="77">
        <f t="shared" si="793"/>
        <v>13</v>
      </c>
      <c r="CU529" s="77" t="str">
        <f t="shared" si="790"/>
        <v>CR25</v>
      </c>
      <c r="CV529" s="77" t="str">
        <f t="shared" ca="1" si="799"/>
        <v/>
      </c>
      <c r="CW529" s="77">
        <f t="shared" ca="1" si="801"/>
        <v>0</v>
      </c>
    </row>
    <row r="530" spans="72:101">
      <c r="BT530" s="77" t="str">
        <f t="shared" ca="1" si="791"/>
        <v>Iran</v>
      </c>
      <c r="BU530" s="77">
        <f t="shared" si="800"/>
        <v>528</v>
      </c>
      <c r="BV530" s="77" t="str">
        <f t="shared" si="797"/>
        <v>A24</v>
      </c>
      <c r="BW530" s="77">
        <f t="shared" si="794"/>
        <v>23</v>
      </c>
      <c r="BX530" s="77" t="str">
        <f t="shared" ca="1" si="792"/>
        <v>D. Davari</v>
      </c>
      <c r="BY530" s="77">
        <f ca="1">COUNTIF('Group Stages'!$L$14:$S$110,BX530)+COUNTIF('Knock Out Stages'!$N$41:$U$84,BX530)</f>
        <v>0</v>
      </c>
      <c r="BZ530" s="77" t="str">
        <f t="shared" si="795"/>
        <v>'Player Database'!A24</v>
      </c>
      <c r="CA530" s="77" t="str">
        <f t="shared" ca="1" si="796"/>
        <v>Daniel Davari</v>
      </c>
      <c r="CS530" s="77">
        <f t="shared" si="798"/>
        <v>527</v>
      </c>
      <c r="CT530" s="77">
        <f t="shared" si="793"/>
        <v>13</v>
      </c>
      <c r="CU530" s="77" t="str">
        <f t="shared" si="790"/>
        <v>CR26</v>
      </c>
      <c r="CV530" s="77" t="str">
        <f t="shared" ca="1" si="799"/>
        <v/>
      </c>
      <c r="CW530" s="77">
        <f t="shared" ca="1" si="801"/>
        <v>0</v>
      </c>
    </row>
    <row r="531" spans="72:101">
      <c r="BT531" s="77" t="str">
        <f t="shared" ca="1" si="791"/>
        <v>Iran</v>
      </c>
      <c r="BU531" s="77">
        <f t="shared" si="800"/>
        <v>529</v>
      </c>
      <c r="BV531" s="77" t="str">
        <f t="shared" si="797"/>
        <v>A25</v>
      </c>
      <c r="BW531" s="77">
        <f t="shared" si="794"/>
        <v>23</v>
      </c>
      <c r="BX531" s="77" t="str">
        <f t="shared" ca="1" si="792"/>
        <v>M. Pouladi</v>
      </c>
      <c r="BY531" s="77">
        <f ca="1">COUNTIF('Group Stages'!$L$14:$S$110,BX531)+COUNTIF('Knock Out Stages'!$N$41:$U$84,BX531)</f>
        <v>0</v>
      </c>
      <c r="BZ531" s="77" t="str">
        <f t="shared" si="795"/>
        <v>'Player Database'!A25</v>
      </c>
      <c r="CA531" s="77" t="str">
        <f t="shared" ca="1" si="796"/>
        <v>Mehrdad Pouladi</v>
      </c>
      <c r="CS531" s="77">
        <f t="shared" si="798"/>
        <v>528</v>
      </c>
      <c r="CT531" s="77">
        <f t="shared" si="793"/>
        <v>13</v>
      </c>
      <c r="CU531" s="77" t="str">
        <f t="shared" si="790"/>
        <v>CR27</v>
      </c>
      <c r="CV531" s="77" t="str">
        <f t="shared" ca="1" si="799"/>
        <v/>
      </c>
      <c r="CW531" s="77">
        <f t="shared" ca="1" si="801"/>
        <v>0</v>
      </c>
    </row>
    <row r="532" spans="72:101">
      <c r="BT532" s="77" t="str">
        <f t="shared" ca="1" si="791"/>
        <v>Nigeria</v>
      </c>
      <c r="BU532" s="77">
        <f t="shared" si="800"/>
        <v>530</v>
      </c>
      <c r="BV532" s="77" t="str">
        <f t="shared" si="797"/>
        <v>A3</v>
      </c>
      <c r="BW532" s="77">
        <f t="shared" si="794"/>
        <v>24</v>
      </c>
      <c r="BX532" s="77" t="str">
        <f t="shared" ca="1" si="792"/>
        <v xml:space="preserve">V. Enyeama </v>
      </c>
      <c r="BY532" s="77">
        <f ca="1">COUNTIF('Group Stages'!$L$14:$S$110,BX532)+COUNTIF('Knock Out Stages'!$N$41:$U$84,BX532)</f>
        <v>0</v>
      </c>
      <c r="BZ532" s="77" t="str">
        <f t="shared" si="795"/>
        <v>'Player Database'!A3</v>
      </c>
      <c r="CA532" s="77" t="str">
        <f t="shared" ca="1" si="796"/>
        <v xml:space="preserve">Vincent Enyeama </v>
      </c>
      <c r="CS532" s="77">
        <f t="shared" si="798"/>
        <v>529</v>
      </c>
      <c r="CT532" s="77">
        <f t="shared" si="793"/>
        <v>13</v>
      </c>
      <c r="CU532" s="77" t="str">
        <f t="shared" si="790"/>
        <v>CR28</v>
      </c>
      <c r="CV532" s="77" t="str">
        <f t="shared" ca="1" si="799"/>
        <v/>
      </c>
      <c r="CW532" s="77">
        <f t="shared" ca="1" si="801"/>
        <v>0</v>
      </c>
    </row>
    <row r="533" spans="72:101">
      <c r="BT533" s="77" t="str">
        <f t="shared" ca="1" si="791"/>
        <v>Nigeria</v>
      </c>
      <c r="BU533" s="77">
        <f t="shared" si="800"/>
        <v>531</v>
      </c>
      <c r="BV533" s="77" t="str">
        <f t="shared" si="797"/>
        <v>A4</v>
      </c>
      <c r="BW533" s="77">
        <f t="shared" si="794"/>
        <v>24</v>
      </c>
      <c r="BX533" s="77" t="str">
        <f t="shared" ca="1" si="792"/>
        <v>J. Yobo</v>
      </c>
      <c r="BY533" s="77">
        <f ca="1">COUNTIF('Group Stages'!$L$14:$S$110,BX533)+COUNTIF('Knock Out Stages'!$N$41:$U$84,BX533)</f>
        <v>0</v>
      </c>
      <c r="BZ533" s="77" t="str">
        <f t="shared" si="795"/>
        <v>'Player Database'!A4</v>
      </c>
      <c r="CA533" s="77" t="str">
        <f t="shared" ca="1" si="796"/>
        <v>Joseph Yobo</v>
      </c>
      <c r="CS533" s="77">
        <f t="shared" si="798"/>
        <v>530</v>
      </c>
      <c r="CT533" s="77">
        <f t="shared" si="793"/>
        <v>13</v>
      </c>
      <c r="CU533" s="77" t="str">
        <f t="shared" si="790"/>
        <v>CR29</v>
      </c>
      <c r="CV533" s="77" t="str">
        <f t="shared" ca="1" si="799"/>
        <v/>
      </c>
      <c r="CW533" s="77">
        <f t="shared" ca="1" si="801"/>
        <v>0</v>
      </c>
    </row>
    <row r="534" spans="72:101">
      <c r="BT534" s="77" t="str">
        <f t="shared" ca="1" si="791"/>
        <v>Nigeria</v>
      </c>
      <c r="BU534" s="77">
        <f t="shared" si="800"/>
        <v>532</v>
      </c>
      <c r="BV534" s="77" t="str">
        <f t="shared" si="797"/>
        <v>A5</v>
      </c>
      <c r="BW534" s="77">
        <f t="shared" si="794"/>
        <v>24</v>
      </c>
      <c r="BX534" s="77" t="str">
        <f t="shared" ca="1" si="792"/>
        <v>E. Uzoenyi</v>
      </c>
      <c r="BY534" s="77">
        <f ca="1">COUNTIF('Group Stages'!$L$14:$S$110,BX534)+COUNTIF('Knock Out Stages'!$N$41:$U$84,BX534)</f>
        <v>0</v>
      </c>
      <c r="BZ534" s="77" t="str">
        <f t="shared" si="795"/>
        <v>'Player Database'!A5</v>
      </c>
      <c r="CA534" s="77" t="str">
        <f t="shared" ca="1" si="796"/>
        <v>Ejike Uzoenyi</v>
      </c>
      <c r="CS534" s="77">
        <f t="shared" si="798"/>
        <v>531</v>
      </c>
      <c r="CT534" s="77">
        <f t="shared" si="793"/>
        <v>13</v>
      </c>
      <c r="CU534" s="77" t="str">
        <f t="shared" si="790"/>
        <v>CR30</v>
      </c>
      <c r="CV534" s="77" t="str">
        <f t="shared" ca="1" si="799"/>
        <v/>
      </c>
      <c r="CW534" s="77">
        <f t="shared" ca="1" si="801"/>
        <v>0</v>
      </c>
    </row>
    <row r="535" spans="72:101">
      <c r="BT535" s="77" t="str">
        <f t="shared" ca="1" si="791"/>
        <v>Nigeria</v>
      </c>
      <c r="BU535" s="77">
        <f t="shared" si="800"/>
        <v>533</v>
      </c>
      <c r="BV535" s="77" t="str">
        <f t="shared" si="797"/>
        <v>A6</v>
      </c>
      <c r="BW535" s="77">
        <f t="shared" si="794"/>
        <v>24</v>
      </c>
      <c r="BX535" s="77" t="str">
        <f t="shared" ca="1" si="792"/>
        <v>R. Gabriel</v>
      </c>
      <c r="BY535" s="77">
        <f ca="1">COUNTIF('Group Stages'!$L$14:$S$110,BX535)+COUNTIF('Knock Out Stages'!$N$41:$U$84,BX535)</f>
        <v>0</v>
      </c>
      <c r="BZ535" s="77" t="str">
        <f t="shared" si="795"/>
        <v>'Player Database'!A6</v>
      </c>
      <c r="CA535" s="77" t="str">
        <f t="shared" ca="1" si="796"/>
        <v>Reuben Gabriel</v>
      </c>
      <c r="CS535" s="77">
        <f t="shared" si="798"/>
        <v>532</v>
      </c>
      <c r="CT535" s="77">
        <f t="shared" si="793"/>
        <v>13</v>
      </c>
      <c r="CU535" s="77" t="str">
        <f t="shared" si="790"/>
        <v>CR31</v>
      </c>
      <c r="CV535" s="77" t="str">
        <f t="shared" ca="1" si="799"/>
        <v/>
      </c>
      <c r="CW535" s="77">
        <f t="shared" ca="1" si="801"/>
        <v>0</v>
      </c>
    </row>
    <row r="536" spans="72:101">
      <c r="BT536" s="77" t="str">
        <f t="shared" ca="1" si="791"/>
        <v>Nigeria</v>
      </c>
      <c r="BU536" s="77">
        <f t="shared" si="800"/>
        <v>534</v>
      </c>
      <c r="BV536" s="77" t="str">
        <f t="shared" si="797"/>
        <v>A7</v>
      </c>
      <c r="BW536" s="77">
        <f t="shared" si="794"/>
        <v>24</v>
      </c>
      <c r="BX536" s="77" t="str">
        <f t="shared" ca="1" si="792"/>
        <v>E. Ambrose</v>
      </c>
      <c r="BY536" s="77">
        <f ca="1">COUNTIF('Group Stages'!$L$14:$S$110,BX536)+COUNTIF('Knock Out Stages'!$N$41:$U$84,BX536)</f>
        <v>0</v>
      </c>
      <c r="BZ536" s="77" t="str">
        <f t="shared" si="795"/>
        <v>'Player Database'!A7</v>
      </c>
      <c r="CA536" s="77" t="str">
        <f t="shared" ca="1" si="796"/>
        <v>Efe Ambrose</v>
      </c>
      <c r="CS536" s="77">
        <f t="shared" si="798"/>
        <v>533</v>
      </c>
      <c r="CT536" s="77">
        <f t="shared" si="793"/>
        <v>13</v>
      </c>
      <c r="CU536" s="77" t="str">
        <f t="shared" si="790"/>
        <v>CR32</v>
      </c>
      <c r="CV536" s="77" t="str">
        <f t="shared" ca="1" si="799"/>
        <v/>
      </c>
      <c r="CW536" s="77">
        <f t="shared" ca="1" si="801"/>
        <v>0</v>
      </c>
    </row>
    <row r="537" spans="72:101">
      <c r="BT537" s="77" t="str">
        <f t="shared" ca="1" si="791"/>
        <v>Nigeria</v>
      </c>
      <c r="BU537" s="77">
        <f t="shared" si="800"/>
        <v>535</v>
      </c>
      <c r="BV537" s="77" t="str">
        <f t="shared" si="797"/>
        <v>A8</v>
      </c>
      <c r="BW537" s="77">
        <f t="shared" si="794"/>
        <v>24</v>
      </c>
      <c r="BX537" s="77" t="str">
        <f t="shared" ca="1" si="792"/>
        <v>A. Egwuekwe</v>
      </c>
      <c r="BY537" s="77">
        <f ca="1">COUNTIF('Group Stages'!$L$14:$S$110,BX537)+COUNTIF('Knock Out Stages'!$N$41:$U$84,BX537)</f>
        <v>0</v>
      </c>
      <c r="BZ537" s="77" t="str">
        <f t="shared" si="795"/>
        <v>'Player Database'!A8</v>
      </c>
      <c r="CA537" s="77" t="str">
        <f t="shared" ca="1" si="796"/>
        <v>Azubuike Egwuekwe</v>
      </c>
      <c r="CS537" s="77">
        <f t="shared" si="798"/>
        <v>534</v>
      </c>
      <c r="CT537" s="77">
        <f t="shared" si="793"/>
        <v>13</v>
      </c>
      <c r="CU537" s="77" t="str">
        <f t="shared" ref="CU537:CU600" si="802">CU495</f>
        <v>CR33</v>
      </c>
      <c r="CV537" s="77" t="str">
        <f t="shared" ca="1" si="799"/>
        <v/>
      </c>
      <c r="CW537" s="77">
        <f t="shared" ca="1" si="801"/>
        <v>0</v>
      </c>
    </row>
    <row r="538" spans="72:101">
      <c r="BT538" s="77" t="str">
        <f t="shared" ca="1" si="791"/>
        <v>Nigeria</v>
      </c>
      <c r="BU538" s="77">
        <f t="shared" si="800"/>
        <v>536</v>
      </c>
      <c r="BV538" s="77" t="str">
        <f t="shared" si="797"/>
        <v>A9</v>
      </c>
      <c r="BW538" s="77">
        <f t="shared" si="794"/>
        <v>24</v>
      </c>
      <c r="BX538" s="77" t="str">
        <f t="shared" ca="1" si="792"/>
        <v>A. Musa</v>
      </c>
      <c r="BY538" s="77">
        <f ca="1">COUNTIF('Group Stages'!$L$14:$S$110,BX538)+COUNTIF('Knock Out Stages'!$N$41:$U$84,BX538)</f>
        <v>0</v>
      </c>
      <c r="BZ538" s="77" t="str">
        <f t="shared" si="795"/>
        <v>'Player Database'!A9</v>
      </c>
      <c r="CA538" s="77" t="str">
        <f t="shared" ca="1" si="796"/>
        <v>Ahmed Musa</v>
      </c>
      <c r="CS538" s="77">
        <f t="shared" si="798"/>
        <v>535</v>
      </c>
      <c r="CT538" s="77">
        <f t="shared" si="793"/>
        <v>13</v>
      </c>
      <c r="CU538" s="77" t="str">
        <f t="shared" si="802"/>
        <v>CR34</v>
      </c>
      <c r="CV538" s="77" t="str">
        <f t="shared" ca="1" si="799"/>
        <v/>
      </c>
      <c r="CW538" s="77">
        <f t="shared" ca="1" si="801"/>
        <v>0</v>
      </c>
    </row>
    <row r="539" spans="72:101">
      <c r="BT539" s="77" t="str">
        <f t="shared" ref="BT539:BT602" ca="1" si="803">OFFSET($A$2,0,BW539)</f>
        <v>Nigeria</v>
      </c>
      <c r="BU539" s="77">
        <f t="shared" si="800"/>
        <v>537</v>
      </c>
      <c r="BV539" s="77" t="str">
        <f t="shared" si="797"/>
        <v>A10</v>
      </c>
      <c r="BW539" s="77">
        <f t="shared" si="794"/>
        <v>24</v>
      </c>
      <c r="BX539" s="77" t="str">
        <f t="shared" ca="1" si="792"/>
        <v>P. Odemwingie</v>
      </c>
      <c r="BY539" s="77">
        <f ca="1">COUNTIF('Group Stages'!$L$14:$S$110,BX539)+COUNTIF('Knock Out Stages'!$N$41:$U$84,BX539)</f>
        <v>0</v>
      </c>
      <c r="BZ539" s="77" t="str">
        <f t="shared" si="795"/>
        <v>'Player Database'!A10</v>
      </c>
      <c r="CA539" s="77" t="str">
        <f t="shared" ca="1" si="796"/>
        <v>Peter Odemwingie</v>
      </c>
      <c r="CS539" s="77">
        <f t="shared" si="798"/>
        <v>536</v>
      </c>
      <c r="CT539" s="77">
        <f t="shared" si="793"/>
        <v>13</v>
      </c>
      <c r="CU539" s="77" t="str">
        <f t="shared" si="802"/>
        <v>CR35</v>
      </c>
      <c r="CV539" s="77" t="str">
        <f t="shared" ca="1" si="799"/>
        <v/>
      </c>
      <c r="CW539" s="77">
        <f t="shared" ca="1" si="801"/>
        <v>0</v>
      </c>
    </row>
    <row r="540" spans="72:101">
      <c r="BT540" s="77" t="str">
        <f t="shared" ca="1" si="803"/>
        <v>Nigeria</v>
      </c>
      <c r="BU540" s="77">
        <f t="shared" si="800"/>
        <v>538</v>
      </c>
      <c r="BV540" s="77" t="str">
        <f t="shared" si="797"/>
        <v>A11</v>
      </c>
      <c r="BW540" s="77">
        <f t="shared" si="794"/>
        <v>24</v>
      </c>
      <c r="BX540" s="77" t="str">
        <f t="shared" ca="1" si="792"/>
        <v>E. Emenike</v>
      </c>
      <c r="BY540" s="77">
        <f ca="1">COUNTIF('Group Stages'!$L$14:$S$110,BX540)+COUNTIF('Knock Out Stages'!$N$41:$U$84,BX540)</f>
        <v>0</v>
      </c>
      <c r="BZ540" s="77" t="str">
        <f t="shared" si="795"/>
        <v>'Player Database'!A11</v>
      </c>
      <c r="CA540" s="77" t="str">
        <f t="shared" ca="1" si="796"/>
        <v>Emmanuel Emenike</v>
      </c>
      <c r="CS540" s="77">
        <f t="shared" si="798"/>
        <v>537</v>
      </c>
      <c r="CT540" s="77">
        <f t="shared" si="793"/>
        <v>13</v>
      </c>
      <c r="CU540" s="77" t="str">
        <f t="shared" si="802"/>
        <v>CR36</v>
      </c>
      <c r="CV540" s="77" t="str">
        <f t="shared" ca="1" si="799"/>
        <v/>
      </c>
      <c r="CW540" s="77">
        <f t="shared" ca="1" si="801"/>
        <v>0</v>
      </c>
    </row>
    <row r="541" spans="72:101">
      <c r="BT541" s="77" t="str">
        <f t="shared" ca="1" si="803"/>
        <v>Nigeria</v>
      </c>
      <c r="BU541" s="77">
        <f t="shared" si="800"/>
        <v>539</v>
      </c>
      <c r="BV541" s="77" t="str">
        <f t="shared" si="797"/>
        <v>A12</v>
      </c>
      <c r="BW541" s="77">
        <f t="shared" si="794"/>
        <v>24</v>
      </c>
      <c r="BX541" s="77" t="str">
        <f t="shared" ca="1" si="792"/>
        <v>J. Obi Mikel</v>
      </c>
      <c r="BY541" s="77">
        <f ca="1">COUNTIF('Group Stages'!$L$14:$S$110,BX541)+COUNTIF('Knock Out Stages'!$N$41:$U$84,BX541)</f>
        <v>0</v>
      </c>
      <c r="BZ541" s="77" t="str">
        <f t="shared" si="795"/>
        <v>'Player Database'!A12</v>
      </c>
      <c r="CA541" s="77" t="str">
        <f t="shared" ca="1" si="796"/>
        <v>John Obi Mikel</v>
      </c>
      <c r="CS541" s="77">
        <f t="shared" si="798"/>
        <v>538</v>
      </c>
      <c r="CT541" s="77">
        <f t="shared" si="793"/>
        <v>13</v>
      </c>
      <c r="CU541" s="77" t="str">
        <f t="shared" si="802"/>
        <v>CR37</v>
      </c>
      <c r="CV541" s="77" t="str">
        <f t="shared" ca="1" si="799"/>
        <v/>
      </c>
      <c r="CW541" s="77">
        <f t="shared" ca="1" si="801"/>
        <v>0</v>
      </c>
    </row>
    <row r="542" spans="72:101">
      <c r="BT542" s="77" t="str">
        <f t="shared" ca="1" si="803"/>
        <v>Nigeria</v>
      </c>
      <c r="BU542" s="77">
        <f t="shared" si="800"/>
        <v>540</v>
      </c>
      <c r="BV542" s="77" t="str">
        <f t="shared" si="797"/>
        <v>A13</v>
      </c>
      <c r="BW542" s="77">
        <f t="shared" si="794"/>
        <v>24</v>
      </c>
      <c r="BX542" s="77" t="str">
        <f t="shared" ca="1" si="792"/>
        <v>V. Moses</v>
      </c>
      <c r="BY542" s="77">
        <f ca="1">COUNTIF('Group Stages'!$L$14:$S$110,BX542)+COUNTIF('Knock Out Stages'!$N$41:$U$84,BX542)</f>
        <v>0</v>
      </c>
      <c r="BZ542" s="77" t="str">
        <f t="shared" si="795"/>
        <v>'Player Database'!A13</v>
      </c>
      <c r="CA542" s="77" t="str">
        <f t="shared" ca="1" si="796"/>
        <v>Victor Moses</v>
      </c>
      <c r="CS542" s="77">
        <f t="shared" si="798"/>
        <v>539</v>
      </c>
      <c r="CT542" s="77">
        <f t="shared" si="793"/>
        <v>13</v>
      </c>
      <c r="CU542" s="77" t="str">
        <f t="shared" si="802"/>
        <v>CR38</v>
      </c>
      <c r="CV542" s="77" t="str">
        <f t="shared" ca="1" si="799"/>
        <v/>
      </c>
      <c r="CW542" s="77">
        <f t="shared" ca="1" si="801"/>
        <v>0</v>
      </c>
    </row>
    <row r="543" spans="72:101">
      <c r="BT543" s="77" t="str">
        <f t="shared" ca="1" si="803"/>
        <v>Nigeria</v>
      </c>
      <c r="BU543" s="77">
        <f t="shared" si="800"/>
        <v>541</v>
      </c>
      <c r="BV543" s="77" t="str">
        <f t="shared" si="797"/>
        <v>A14</v>
      </c>
      <c r="BW543" s="77">
        <f t="shared" si="794"/>
        <v>24</v>
      </c>
      <c r="BX543" s="77" t="str">
        <f t="shared" ca="1" si="792"/>
        <v>K. Odunlami</v>
      </c>
      <c r="BY543" s="77">
        <f ca="1">COUNTIF('Group Stages'!$L$14:$S$110,BX543)+COUNTIF('Knock Out Stages'!$N$41:$U$84,BX543)</f>
        <v>0</v>
      </c>
      <c r="BZ543" s="77" t="str">
        <f t="shared" si="795"/>
        <v>'Player Database'!A14</v>
      </c>
      <c r="CA543" s="77" t="str">
        <f t="shared" ca="1" si="796"/>
        <v>Kunle Odunlami</v>
      </c>
      <c r="CS543" s="77">
        <f t="shared" si="798"/>
        <v>540</v>
      </c>
      <c r="CT543" s="77">
        <f t="shared" si="793"/>
        <v>13</v>
      </c>
      <c r="CU543" s="77" t="str">
        <f t="shared" si="802"/>
        <v>CR39</v>
      </c>
      <c r="CV543" s="77" t="str">
        <f t="shared" ca="1" si="799"/>
        <v/>
      </c>
      <c r="CW543" s="77">
        <f t="shared" ca="1" si="801"/>
        <v>0</v>
      </c>
    </row>
    <row r="544" spans="72:101">
      <c r="BT544" s="77" t="str">
        <f t="shared" ca="1" si="803"/>
        <v>Nigeria</v>
      </c>
      <c r="BU544" s="77">
        <f t="shared" si="800"/>
        <v>542</v>
      </c>
      <c r="BV544" s="77" t="str">
        <f t="shared" si="797"/>
        <v>A15</v>
      </c>
      <c r="BW544" s="77">
        <f t="shared" si="794"/>
        <v>24</v>
      </c>
      <c r="BX544" s="77" t="str">
        <f t="shared" ca="1" si="792"/>
        <v>J. Oshaniwa</v>
      </c>
      <c r="BY544" s="77">
        <f ca="1">COUNTIF('Group Stages'!$L$14:$S$110,BX544)+COUNTIF('Knock Out Stages'!$N$41:$U$84,BX544)</f>
        <v>0</v>
      </c>
      <c r="BZ544" s="77" t="str">
        <f t="shared" si="795"/>
        <v>'Player Database'!A15</v>
      </c>
      <c r="CA544" s="77" t="str">
        <f t="shared" ca="1" si="796"/>
        <v>Juwon Oshaniwa</v>
      </c>
      <c r="CS544" s="77">
        <f t="shared" si="798"/>
        <v>541</v>
      </c>
      <c r="CT544" s="77">
        <f t="shared" si="793"/>
        <v>13</v>
      </c>
      <c r="CU544" s="77" t="str">
        <f t="shared" si="802"/>
        <v>CR40</v>
      </c>
      <c r="CV544" s="77" t="str">
        <f t="shared" ca="1" si="799"/>
        <v/>
      </c>
      <c r="CW544" s="77">
        <f t="shared" ca="1" si="801"/>
        <v>0</v>
      </c>
    </row>
    <row r="545" spans="72:101">
      <c r="BT545" s="77" t="str">
        <f t="shared" ca="1" si="803"/>
        <v>Nigeria</v>
      </c>
      <c r="BU545" s="77">
        <f t="shared" si="800"/>
        <v>543</v>
      </c>
      <c r="BV545" s="77" t="str">
        <f t="shared" si="797"/>
        <v>A16</v>
      </c>
      <c r="BW545" s="77">
        <f t="shared" si="794"/>
        <v>24</v>
      </c>
      <c r="BX545" s="77" t="str">
        <f t="shared" ca="1" si="792"/>
        <v>G. Oboabona</v>
      </c>
      <c r="BY545" s="77">
        <f ca="1">COUNTIF('Group Stages'!$L$14:$S$110,BX545)+COUNTIF('Knock Out Stages'!$N$41:$U$84,BX545)</f>
        <v>0</v>
      </c>
      <c r="BZ545" s="77" t="str">
        <f t="shared" si="795"/>
        <v>'Player Database'!A16</v>
      </c>
      <c r="CA545" s="77" t="str">
        <f t="shared" ca="1" si="796"/>
        <v>Godfrey Oboabona</v>
      </c>
      <c r="CS545" s="77">
        <f t="shared" si="798"/>
        <v>542</v>
      </c>
      <c r="CT545" s="77">
        <f t="shared" si="793"/>
        <v>13</v>
      </c>
      <c r="CU545" s="77" t="str">
        <f t="shared" si="802"/>
        <v>CR41</v>
      </c>
      <c r="CV545" s="77" t="str">
        <f t="shared" ca="1" si="799"/>
        <v/>
      </c>
      <c r="CW545" s="77">
        <f t="shared" ca="1" si="801"/>
        <v>0</v>
      </c>
    </row>
    <row r="546" spans="72:101">
      <c r="BT546" s="77" t="str">
        <f t="shared" ca="1" si="803"/>
        <v>Nigeria</v>
      </c>
      <c r="BU546" s="77">
        <f t="shared" si="800"/>
        <v>544</v>
      </c>
      <c r="BV546" s="77" t="str">
        <f t="shared" si="797"/>
        <v>A17</v>
      </c>
      <c r="BW546" s="77">
        <f t="shared" si="794"/>
        <v>24</v>
      </c>
      <c r="BX546" s="77" t="str">
        <f t="shared" ca="1" si="792"/>
        <v>R. Azeez</v>
      </c>
      <c r="BY546" s="77">
        <f ca="1">COUNTIF('Group Stages'!$L$14:$S$110,BX546)+COUNTIF('Knock Out Stages'!$N$41:$U$84,BX546)</f>
        <v>0</v>
      </c>
      <c r="BZ546" s="77" t="str">
        <f t="shared" si="795"/>
        <v>'Player Database'!A17</v>
      </c>
      <c r="CA546" s="77" t="str">
        <f t="shared" ca="1" si="796"/>
        <v>Ramon Azeez</v>
      </c>
      <c r="CS546" s="77">
        <f t="shared" si="798"/>
        <v>543</v>
      </c>
      <c r="CT546" s="77">
        <f t="shared" si="793"/>
        <v>13</v>
      </c>
      <c r="CU546" s="77" t="str">
        <f t="shared" si="802"/>
        <v>CR42</v>
      </c>
      <c r="CV546" s="77" t="str">
        <f t="shared" ca="1" si="799"/>
        <v/>
      </c>
      <c r="CW546" s="77">
        <f t="shared" ca="1" si="801"/>
        <v>0</v>
      </c>
    </row>
    <row r="547" spans="72:101">
      <c r="BT547" s="77" t="str">
        <f t="shared" ca="1" si="803"/>
        <v>Nigeria</v>
      </c>
      <c r="BU547" s="77">
        <f t="shared" si="800"/>
        <v>545</v>
      </c>
      <c r="BV547" s="77" t="str">
        <f t="shared" si="797"/>
        <v>A18</v>
      </c>
      <c r="BW547" s="77">
        <f t="shared" si="794"/>
        <v>24</v>
      </c>
      <c r="BX547" s="77" t="str">
        <f t="shared" ca="1" si="792"/>
        <v>A. Ejide</v>
      </c>
      <c r="BY547" s="77">
        <f ca="1">COUNTIF('Group Stages'!$L$14:$S$110,BX547)+COUNTIF('Knock Out Stages'!$N$41:$U$84,BX547)</f>
        <v>0</v>
      </c>
      <c r="BZ547" s="77" t="str">
        <f t="shared" si="795"/>
        <v>'Player Database'!A18</v>
      </c>
      <c r="CA547" s="77" t="str">
        <f t="shared" ca="1" si="796"/>
        <v>Austin Ejide</v>
      </c>
      <c r="CS547" s="77">
        <f t="shared" si="798"/>
        <v>544</v>
      </c>
      <c r="CT547" s="77">
        <f t="shared" si="793"/>
        <v>13</v>
      </c>
      <c r="CU547" s="77" t="str">
        <f t="shared" si="802"/>
        <v>CR43</v>
      </c>
      <c r="CV547" s="77" t="str">
        <f t="shared" ca="1" si="799"/>
        <v/>
      </c>
      <c r="CW547" s="77">
        <f t="shared" ca="1" si="801"/>
        <v>0</v>
      </c>
    </row>
    <row r="548" spans="72:101">
      <c r="BT548" s="77" t="str">
        <f t="shared" ca="1" si="803"/>
        <v>Nigeria</v>
      </c>
      <c r="BU548" s="77">
        <f t="shared" si="800"/>
        <v>546</v>
      </c>
      <c r="BV548" s="77" t="str">
        <f t="shared" si="797"/>
        <v>A19</v>
      </c>
      <c r="BW548" s="77">
        <f t="shared" si="794"/>
        <v>24</v>
      </c>
      <c r="BX548" s="77" t="str">
        <f t="shared" ca="1" si="792"/>
        <v>O. Onazi</v>
      </c>
      <c r="BY548" s="77">
        <f ca="1">COUNTIF('Group Stages'!$L$14:$S$110,BX548)+COUNTIF('Knock Out Stages'!$N$41:$U$84,BX548)</f>
        <v>0</v>
      </c>
      <c r="BZ548" s="77" t="str">
        <f t="shared" si="795"/>
        <v>'Player Database'!A19</v>
      </c>
      <c r="CA548" s="77" t="str">
        <f t="shared" ca="1" si="796"/>
        <v>Ogenyi Onazi</v>
      </c>
      <c r="CS548" s="77">
        <f t="shared" si="798"/>
        <v>545</v>
      </c>
      <c r="CT548" s="77">
        <f t="shared" si="793"/>
        <v>13</v>
      </c>
      <c r="CU548" s="77" t="str">
        <f t="shared" si="802"/>
        <v>CR44</v>
      </c>
      <c r="CV548" s="77" t="str">
        <f t="shared" ca="1" si="799"/>
        <v/>
      </c>
      <c r="CW548" s="77">
        <f t="shared" ca="1" si="801"/>
        <v>0</v>
      </c>
    </row>
    <row r="549" spans="72:101">
      <c r="BT549" s="77" t="str">
        <f t="shared" ca="1" si="803"/>
        <v>Nigeria</v>
      </c>
      <c r="BU549" s="77">
        <f t="shared" si="800"/>
        <v>547</v>
      </c>
      <c r="BV549" s="77" t="str">
        <f t="shared" si="797"/>
        <v>A20</v>
      </c>
      <c r="BW549" s="77">
        <f t="shared" si="794"/>
        <v>24</v>
      </c>
      <c r="BX549" s="77" t="str">
        <f t="shared" ca="1" si="792"/>
        <v>M. Babatunde</v>
      </c>
      <c r="BY549" s="77">
        <f ca="1">COUNTIF('Group Stages'!$L$14:$S$110,BX549)+COUNTIF('Knock Out Stages'!$N$41:$U$84,BX549)</f>
        <v>0</v>
      </c>
      <c r="BZ549" s="77" t="str">
        <f t="shared" si="795"/>
        <v>'Player Database'!A20</v>
      </c>
      <c r="CA549" s="77" t="str">
        <f t="shared" ca="1" si="796"/>
        <v>Michael Babatunde</v>
      </c>
      <c r="CS549" s="77">
        <f t="shared" si="798"/>
        <v>546</v>
      </c>
      <c r="CT549" s="77">
        <f t="shared" si="793"/>
        <v>13</v>
      </c>
      <c r="CU549" s="77" t="str">
        <f t="shared" si="802"/>
        <v>CR45</v>
      </c>
      <c r="CV549" s="77" t="str">
        <f t="shared" ca="1" si="799"/>
        <v/>
      </c>
      <c r="CW549" s="77">
        <f t="shared" ca="1" si="801"/>
        <v>0</v>
      </c>
    </row>
    <row r="550" spans="72:101">
      <c r="BT550" s="77" t="str">
        <f t="shared" ca="1" si="803"/>
        <v>Nigeria</v>
      </c>
      <c r="BU550" s="77">
        <f t="shared" si="800"/>
        <v>548</v>
      </c>
      <c r="BV550" s="77" t="str">
        <f t="shared" si="797"/>
        <v>A21</v>
      </c>
      <c r="BW550" s="77">
        <f t="shared" si="794"/>
        <v>24</v>
      </c>
      <c r="BX550" s="77" t="str">
        <f t="shared" ca="1" si="792"/>
        <v>U. Nwofor</v>
      </c>
      <c r="BY550" s="77">
        <f ca="1">COUNTIF('Group Stages'!$L$14:$S$110,BX550)+COUNTIF('Knock Out Stages'!$N$41:$U$84,BX550)</f>
        <v>0</v>
      </c>
      <c r="BZ550" s="77" t="str">
        <f t="shared" si="795"/>
        <v>'Player Database'!A21</v>
      </c>
      <c r="CA550" s="77" t="str">
        <f t="shared" ca="1" si="796"/>
        <v>Uche Nwofor</v>
      </c>
      <c r="CS550" s="77">
        <f t="shared" si="798"/>
        <v>547</v>
      </c>
      <c r="CT550" s="77">
        <f t="shared" si="793"/>
        <v>14</v>
      </c>
      <c r="CU550" s="77" t="str">
        <f t="shared" si="802"/>
        <v>CR4</v>
      </c>
      <c r="CV550" s="77" t="str">
        <f t="shared" ca="1" si="799"/>
        <v/>
      </c>
      <c r="CW550" s="77">
        <f t="shared" ca="1" si="801"/>
        <v>0</v>
      </c>
    </row>
    <row r="551" spans="72:101">
      <c r="BT551" s="77" t="str">
        <f t="shared" ca="1" si="803"/>
        <v>Nigeria</v>
      </c>
      <c r="BU551" s="77">
        <f t="shared" si="800"/>
        <v>549</v>
      </c>
      <c r="BV551" s="77" t="str">
        <f t="shared" si="797"/>
        <v>A22</v>
      </c>
      <c r="BW551" s="77">
        <f t="shared" si="794"/>
        <v>24</v>
      </c>
      <c r="BX551" s="77" t="str">
        <f t="shared" ca="1" si="792"/>
        <v>M. Uchebo</v>
      </c>
      <c r="BY551" s="77">
        <f ca="1">COUNTIF('Group Stages'!$L$14:$S$110,BX551)+COUNTIF('Knock Out Stages'!$N$41:$U$84,BX551)</f>
        <v>0</v>
      </c>
      <c r="BZ551" s="77" t="str">
        <f t="shared" si="795"/>
        <v>'Player Database'!A22</v>
      </c>
      <c r="CA551" s="77" t="str">
        <f t="shared" ca="1" si="796"/>
        <v>Michael Uchebo</v>
      </c>
      <c r="CS551" s="77">
        <f t="shared" si="798"/>
        <v>548</v>
      </c>
      <c r="CT551" s="77">
        <f t="shared" si="793"/>
        <v>14</v>
      </c>
      <c r="CU551" s="77" t="str">
        <f t="shared" si="802"/>
        <v>CR5</v>
      </c>
      <c r="CV551" s="77" t="str">
        <f t="shared" ca="1" si="799"/>
        <v/>
      </c>
      <c r="CW551" s="77">
        <f t="shared" ca="1" si="801"/>
        <v>0</v>
      </c>
    </row>
    <row r="552" spans="72:101">
      <c r="BT552" s="77" t="str">
        <f t="shared" ca="1" si="803"/>
        <v>Nigeria</v>
      </c>
      <c r="BU552" s="77">
        <f t="shared" si="800"/>
        <v>550</v>
      </c>
      <c r="BV552" s="77" t="str">
        <f t="shared" si="797"/>
        <v>A23</v>
      </c>
      <c r="BW552" s="77">
        <f t="shared" si="794"/>
        <v>24</v>
      </c>
      <c r="BX552" s="77" t="str">
        <f t="shared" ca="1" si="792"/>
        <v>C. Agbim</v>
      </c>
      <c r="BY552" s="77">
        <f ca="1">COUNTIF('Group Stages'!$L$14:$S$110,BX552)+COUNTIF('Knock Out Stages'!$N$41:$U$84,BX552)</f>
        <v>0</v>
      </c>
      <c r="BZ552" s="77" t="str">
        <f t="shared" si="795"/>
        <v>'Player Database'!A23</v>
      </c>
      <c r="CA552" s="77" t="str">
        <f t="shared" ca="1" si="796"/>
        <v>Chigozie Agbim</v>
      </c>
      <c r="CS552" s="77">
        <f t="shared" si="798"/>
        <v>549</v>
      </c>
      <c r="CT552" s="77">
        <f t="shared" si="793"/>
        <v>14</v>
      </c>
      <c r="CU552" s="77" t="str">
        <f t="shared" si="802"/>
        <v>CR6</v>
      </c>
      <c r="CV552" s="77" t="str">
        <f t="shared" ca="1" si="799"/>
        <v/>
      </c>
      <c r="CW552" s="77">
        <f t="shared" ca="1" si="801"/>
        <v>0</v>
      </c>
    </row>
    <row r="553" spans="72:101">
      <c r="BT553" s="77" t="str">
        <f t="shared" ca="1" si="803"/>
        <v>Nigeria</v>
      </c>
      <c r="BU553" s="77">
        <f t="shared" si="800"/>
        <v>551</v>
      </c>
      <c r="BV553" s="77" t="str">
        <f t="shared" si="797"/>
        <v>A24</v>
      </c>
      <c r="BW553" s="77">
        <f t="shared" si="794"/>
        <v>24</v>
      </c>
      <c r="BX553" s="77" t="str">
        <f t="shared" ca="1" si="792"/>
        <v>K. Omeruo</v>
      </c>
      <c r="BY553" s="77">
        <f ca="1">COUNTIF('Group Stages'!$L$14:$S$110,BX553)+COUNTIF('Knock Out Stages'!$N$41:$U$84,BX553)</f>
        <v>0</v>
      </c>
      <c r="BZ553" s="77" t="str">
        <f t="shared" si="795"/>
        <v>'Player Database'!A24</v>
      </c>
      <c r="CA553" s="77" t="str">
        <f t="shared" ca="1" si="796"/>
        <v>Kenneth Omeruo</v>
      </c>
      <c r="CS553" s="77">
        <f t="shared" si="798"/>
        <v>550</v>
      </c>
      <c r="CT553" s="77">
        <f t="shared" si="793"/>
        <v>14</v>
      </c>
      <c r="CU553" s="77" t="str">
        <f t="shared" si="802"/>
        <v>CR7</v>
      </c>
      <c r="CV553" s="77" t="str">
        <f t="shared" ca="1" si="799"/>
        <v/>
      </c>
      <c r="CW553" s="77">
        <f t="shared" ca="1" si="801"/>
        <v>0</v>
      </c>
    </row>
    <row r="554" spans="72:101">
      <c r="BT554" s="77" t="str">
        <f t="shared" ca="1" si="803"/>
        <v>Nigeria</v>
      </c>
      <c r="BU554" s="77">
        <f t="shared" si="800"/>
        <v>552</v>
      </c>
      <c r="BV554" s="77" t="str">
        <f t="shared" si="797"/>
        <v>A25</v>
      </c>
      <c r="BW554" s="77">
        <f t="shared" si="794"/>
        <v>24</v>
      </c>
      <c r="BX554" s="77" t="str">
        <f t="shared" ca="1" si="792"/>
        <v>S. Ameobi</v>
      </c>
      <c r="BY554" s="77">
        <f ca="1">COUNTIF('Group Stages'!$L$14:$S$110,BX554)+COUNTIF('Knock Out Stages'!$N$41:$U$84,BX554)</f>
        <v>0</v>
      </c>
      <c r="BZ554" s="77" t="str">
        <f t="shared" si="795"/>
        <v>'Player Database'!A25</v>
      </c>
      <c r="CA554" s="77" t="str">
        <f t="shared" ca="1" si="796"/>
        <v>Shola Ameobi</v>
      </c>
      <c r="CS554" s="77">
        <f t="shared" si="798"/>
        <v>551</v>
      </c>
      <c r="CT554" s="77">
        <f t="shared" si="793"/>
        <v>14</v>
      </c>
      <c r="CU554" s="77" t="str">
        <f t="shared" si="802"/>
        <v>CR8</v>
      </c>
      <c r="CV554" s="77" t="str">
        <f t="shared" ca="1" si="799"/>
        <v/>
      </c>
      <c r="CW554" s="77">
        <f t="shared" ca="1" si="801"/>
        <v>0</v>
      </c>
    </row>
    <row r="555" spans="72:101">
      <c r="BT555" s="77" t="str">
        <f t="shared" ca="1" si="803"/>
        <v>Germany</v>
      </c>
      <c r="BU555" s="77">
        <f t="shared" si="800"/>
        <v>553</v>
      </c>
      <c r="BV555" s="77" t="str">
        <f t="shared" si="797"/>
        <v>A3</v>
      </c>
      <c r="BW555" s="77">
        <f t="shared" si="794"/>
        <v>25</v>
      </c>
      <c r="BX555" s="77" t="str">
        <f t="shared" ca="1" si="792"/>
        <v>M. Neuer</v>
      </c>
      <c r="BY555" s="77">
        <f ca="1">COUNTIF('Group Stages'!$L$14:$S$110,BX555)+COUNTIF('Knock Out Stages'!$N$41:$U$84,BX555)</f>
        <v>0</v>
      </c>
      <c r="BZ555" s="77" t="str">
        <f t="shared" si="795"/>
        <v>'Player Database'!A3</v>
      </c>
      <c r="CA555" s="77" t="str">
        <f t="shared" ca="1" si="796"/>
        <v>Manuel Neuer</v>
      </c>
      <c r="CS555" s="77">
        <f t="shared" si="798"/>
        <v>552</v>
      </c>
      <c r="CT555" s="77">
        <f t="shared" si="793"/>
        <v>14</v>
      </c>
      <c r="CU555" s="77" t="str">
        <f t="shared" si="802"/>
        <v>CR9</v>
      </c>
      <c r="CV555" s="77" t="str">
        <f t="shared" ca="1" si="799"/>
        <v/>
      </c>
      <c r="CW555" s="77">
        <f t="shared" ca="1" si="801"/>
        <v>0</v>
      </c>
    </row>
    <row r="556" spans="72:101">
      <c r="BT556" s="77" t="str">
        <f t="shared" ca="1" si="803"/>
        <v>Germany</v>
      </c>
      <c r="BU556" s="77">
        <f t="shared" si="800"/>
        <v>554</v>
      </c>
      <c r="BV556" s="77" t="str">
        <f t="shared" si="797"/>
        <v>A4</v>
      </c>
      <c r="BW556" s="77">
        <f t="shared" si="794"/>
        <v>25</v>
      </c>
      <c r="BX556" s="77" t="str">
        <f t="shared" ca="1" si="792"/>
        <v>K. Großkreutz</v>
      </c>
      <c r="BY556" s="77">
        <f ca="1">COUNTIF('Group Stages'!$L$14:$S$110,BX556)+COUNTIF('Knock Out Stages'!$N$41:$U$84,BX556)</f>
        <v>0</v>
      </c>
      <c r="BZ556" s="77" t="str">
        <f t="shared" si="795"/>
        <v>'Player Database'!A4</v>
      </c>
      <c r="CA556" s="77" t="str">
        <f t="shared" ca="1" si="796"/>
        <v>Kevin Großkreutz</v>
      </c>
      <c r="CS556" s="77">
        <f t="shared" si="798"/>
        <v>553</v>
      </c>
      <c r="CT556" s="77">
        <f t="shared" si="793"/>
        <v>14</v>
      </c>
      <c r="CU556" s="77" t="str">
        <f t="shared" si="802"/>
        <v>CR10</v>
      </c>
      <c r="CV556" s="77" t="str">
        <f t="shared" ca="1" si="799"/>
        <v/>
      </c>
      <c r="CW556" s="77">
        <f t="shared" ca="1" si="801"/>
        <v>0</v>
      </c>
    </row>
    <row r="557" spans="72:101">
      <c r="BT557" s="77" t="str">
        <f t="shared" ca="1" si="803"/>
        <v>Germany</v>
      </c>
      <c r="BU557" s="77">
        <f t="shared" si="800"/>
        <v>555</v>
      </c>
      <c r="BV557" s="77" t="str">
        <f t="shared" si="797"/>
        <v>A5</v>
      </c>
      <c r="BW557" s="77">
        <f t="shared" si="794"/>
        <v>25</v>
      </c>
      <c r="BX557" s="77" t="str">
        <f t="shared" ca="1" si="792"/>
        <v>M. Ginter</v>
      </c>
      <c r="BY557" s="77">
        <f ca="1">COUNTIF('Group Stages'!$L$14:$S$110,BX557)+COUNTIF('Knock Out Stages'!$N$41:$U$84,BX557)</f>
        <v>0</v>
      </c>
      <c r="BZ557" s="77" t="str">
        <f t="shared" si="795"/>
        <v>'Player Database'!A5</v>
      </c>
      <c r="CA557" s="77" t="str">
        <f t="shared" ca="1" si="796"/>
        <v>Matthias Ginter</v>
      </c>
      <c r="CS557" s="77">
        <f t="shared" si="798"/>
        <v>554</v>
      </c>
      <c r="CT557" s="77">
        <f t="shared" si="793"/>
        <v>14</v>
      </c>
      <c r="CU557" s="77" t="str">
        <f t="shared" si="802"/>
        <v>CR11</v>
      </c>
      <c r="CV557" s="77" t="str">
        <f t="shared" ca="1" si="799"/>
        <v/>
      </c>
      <c r="CW557" s="77">
        <f t="shared" ca="1" si="801"/>
        <v>0</v>
      </c>
    </row>
    <row r="558" spans="72:101">
      <c r="BT558" s="77" t="str">
        <f t="shared" ca="1" si="803"/>
        <v>Germany</v>
      </c>
      <c r="BU558" s="77">
        <f t="shared" si="800"/>
        <v>556</v>
      </c>
      <c r="BV558" s="77" t="str">
        <f t="shared" si="797"/>
        <v>A6</v>
      </c>
      <c r="BW558" s="77">
        <f t="shared" si="794"/>
        <v>25</v>
      </c>
      <c r="BX558" s="77" t="str">
        <f t="shared" ca="1" si="792"/>
        <v>B. Höwedes</v>
      </c>
      <c r="BY558" s="77">
        <f ca="1">COUNTIF('Group Stages'!$L$14:$S$110,BX558)+COUNTIF('Knock Out Stages'!$N$41:$U$84,BX558)</f>
        <v>0</v>
      </c>
      <c r="BZ558" s="77" t="str">
        <f t="shared" si="795"/>
        <v>'Player Database'!A6</v>
      </c>
      <c r="CA558" s="77" t="str">
        <f t="shared" ca="1" si="796"/>
        <v>Benedikt Höwedes</v>
      </c>
      <c r="CS558" s="77">
        <f t="shared" si="798"/>
        <v>555</v>
      </c>
      <c r="CT558" s="77">
        <f t="shared" si="793"/>
        <v>14</v>
      </c>
      <c r="CU558" s="77" t="str">
        <f t="shared" si="802"/>
        <v>CR12</v>
      </c>
      <c r="CV558" s="77" t="str">
        <f t="shared" ca="1" si="799"/>
        <v/>
      </c>
      <c r="CW558" s="77">
        <f t="shared" ca="1" si="801"/>
        <v>0</v>
      </c>
    </row>
    <row r="559" spans="72:101">
      <c r="BT559" s="77" t="str">
        <f t="shared" ca="1" si="803"/>
        <v>Germany</v>
      </c>
      <c r="BU559" s="77">
        <f t="shared" si="800"/>
        <v>557</v>
      </c>
      <c r="BV559" s="77" t="str">
        <f t="shared" si="797"/>
        <v>A7</v>
      </c>
      <c r="BW559" s="77">
        <f t="shared" si="794"/>
        <v>25</v>
      </c>
      <c r="BX559" s="77" t="str">
        <f t="shared" ca="1" si="792"/>
        <v>M. Hummels</v>
      </c>
      <c r="BY559" s="77">
        <f ca="1">COUNTIF('Group Stages'!$L$14:$S$110,BX559)+COUNTIF('Knock Out Stages'!$N$41:$U$84,BX559)</f>
        <v>0</v>
      </c>
      <c r="BZ559" s="77" t="str">
        <f t="shared" si="795"/>
        <v>'Player Database'!A7</v>
      </c>
      <c r="CA559" s="77" t="str">
        <f t="shared" ca="1" si="796"/>
        <v>Mats Hummels</v>
      </c>
      <c r="CS559" s="77">
        <f t="shared" si="798"/>
        <v>556</v>
      </c>
      <c r="CT559" s="77">
        <f t="shared" si="793"/>
        <v>14</v>
      </c>
      <c r="CU559" s="77" t="str">
        <f t="shared" si="802"/>
        <v>CR13</v>
      </c>
      <c r="CV559" s="77" t="str">
        <f t="shared" ca="1" si="799"/>
        <v/>
      </c>
      <c r="CW559" s="77">
        <f t="shared" ca="1" si="801"/>
        <v>0</v>
      </c>
    </row>
    <row r="560" spans="72:101">
      <c r="BT560" s="77" t="str">
        <f t="shared" ca="1" si="803"/>
        <v>Germany</v>
      </c>
      <c r="BU560" s="77">
        <f t="shared" si="800"/>
        <v>558</v>
      </c>
      <c r="BV560" s="77" t="str">
        <f t="shared" si="797"/>
        <v>A8</v>
      </c>
      <c r="BW560" s="77">
        <f t="shared" si="794"/>
        <v>25</v>
      </c>
      <c r="BX560" s="77" t="str">
        <f t="shared" ref="BX560:BX623" ca="1" si="804">OFFSET(INDIRECT(BV560),0,BW560)</f>
        <v>S. Khedira</v>
      </c>
      <c r="BY560" s="77">
        <f ca="1">COUNTIF('Group Stages'!$L$14:$S$110,BX560)+COUNTIF('Knock Out Stages'!$N$41:$U$84,BX560)</f>
        <v>0</v>
      </c>
      <c r="BZ560" s="77" t="str">
        <f t="shared" si="795"/>
        <v>'Player Database'!A8</v>
      </c>
      <c r="CA560" s="77" t="str">
        <f t="shared" ca="1" si="796"/>
        <v>Sami Khedira</v>
      </c>
      <c r="CS560" s="77">
        <f t="shared" si="798"/>
        <v>557</v>
      </c>
      <c r="CT560" s="77">
        <f t="shared" ref="CT560:CT624" si="805">CT518+1</f>
        <v>14</v>
      </c>
      <c r="CU560" s="77" t="str">
        <f t="shared" si="802"/>
        <v>CR14</v>
      </c>
      <c r="CV560" s="77" t="str">
        <f t="shared" ca="1" si="799"/>
        <v/>
      </c>
      <c r="CW560" s="77">
        <f t="shared" ca="1" si="801"/>
        <v>0</v>
      </c>
    </row>
    <row r="561" spans="72:101">
      <c r="BT561" s="77" t="str">
        <f t="shared" ca="1" si="803"/>
        <v>Germany</v>
      </c>
      <c r="BU561" s="77">
        <f t="shared" si="800"/>
        <v>559</v>
      </c>
      <c r="BV561" s="77" t="str">
        <f t="shared" si="797"/>
        <v>A9</v>
      </c>
      <c r="BW561" s="77">
        <f t="shared" si="794"/>
        <v>25</v>
      </c>
      <c r="BX561" s="77" t="str">
        <f t="shared" ca="1" si="804"/>
        <v>B. Schweinsteiger</v>
      </c>
      <c r="BY561" s="77">
        <f ca="1">COUNTIF('Group Stages'!$L$14:$S$110,BX561)+COUNTIF('Knock Out Stages'!$N$41:$U$84,BX561)</f>
        <v>0</v>
      </c>
      <c r="BZ561" s="77" t="str">
        <f t="shared" si="795"/>
        <v>'Player Database'!A9</v>
      </c>
      <c r="CA561" s="77" t="str">
        <f t="shared" ca="1" si="796"/>
        <v>Bastian Schweinsteiger</v>
      </c>
      <c r="CS561" s="77">
        <f t="shared" si="798"/>
        <v>558</v>
      </c>
      <c r="CT561" s="77">
        <f t="shared" si="805"/>
        <v>14</v>
      </c>
      <c r="CU561" s="77" t="str">
        <f t="shared" si="802"/>
        <v>CR15</v>
      </c>
      <c r="CV561" s="77" t="str">
        <f t="shared" ca="1" si="799"/>
        <v/>
      </c>
      <c r="CW561" s="77">
        <f t="shared" ca="1" si="801"/>
        <v>0</v>
      </c>
    </row>
    <row r="562" spans="72:101">
      <c r="BT562" s="77" t="str">
        <f t="shared" ca="1" si="803"/>
        <v>Germany</v>
      </c>
      <c r="BU562" s="77">
        <f t="shared" si="800"/>
        <v>560</v>
      </c>
      <c r="BV562" s="77" t="str">
        <f t="shared" si="797"/>
        <v>A10</v>
      </c>
      <c r="BW562" s="77">
        <f t="shared" ref="BW562:BW625" si="806">BW539+1</f>
        <v>25</v>
      </c>
      <c r="BX562" s="77" t="str">
        <f t="shared" ca="1" si="804"/>
        <v>M. Özil</v>
      </c>
      <c r="BY562" s="77">
        <f ca="1">COUNTIF('Group Stages'!$L$14:$S$110,BX562)+COUNTIF('Knock Out Stages'!$N$41:$U$84,BX562)</f>
        <v>0</v>
      </c>
      <c r="BZ562" s="77" t="str">
        <f t="shared" ref="BZ562:BZ625" si="807">BZ539</f>
        <v>'Player Database'!A10</v>
      </c>
      <c r="CA562" s="77" t="str">
        <f t="shared" ref="CA562:CA625" ca="1" si="808">OFFSET(INDIRECT(BZ562),0,BW562)</f>
        <v>Mesut Özil</v>
      </c>
      <c r="CS562" s="77">
        <f t="shared" si="798"/>
        <v>559</v>
      </c>
      <c r="CT562" s="77">
        <f t="shared" si="805"/>
        <v>14</v>
      </c>
      <c r="CU562" s="77" t="str">
        <f t="shared" si="802"/>
        <v>CR16</v>
      </c>
      <c r="CV562" s="77" t="str">
        <f t="shared" ca="1" si="799"/>
        <v/>
      </c>
      <c r="CW562" s="77">
        <f t="shared" ca="1" si="801"/>
        <v>0</v>
      </c>
    </row>
    <row r="563" spans="72:101">
      <c r="BT563" s="77" t="str">
        <f t="shared" ca="1" si="803"/>
        <v>Germany</v>
      </c>
      <c r="BU563" s="77">
        <f t="shared" si="800"/>
        <v>561</v>
      </c>
      <c r="BV563" s="77" t="str">
        <f t="shared" ref="BV563:BV626" si="809">BV540</f>
        <v>A11</v>
      </c>
      <c r="BW563" s="77">
        <f t="shared" si="806"/>
        <v>25</v>
      </c>
      <c r="BX563" s="77" t="str">
        <f t="shared" ca="1" si="804"/>
        <v>A. Schürrle</v>
      </c>
      <c r="BY563" s="77">
        <f ca="1">COUNTIF('Group Stages'!$L$14:$S$110,BX563)+COUNTIF('Knock Out Stages'!$N$41:$U$84,BX563)</f>
        <v>0</v>
      </c>
      <c r="BZ563" s="77" t="str">
        <f t="shared" si="807"/>
        <v>'Player Database'!A11</v>
      </c>
      <c r="CA563" s="77" t="str">
        <f t="shared" ca="1" si="808"/>
        <v>André Schürrle</v>
      </c>
      <c r="CS563" s="77">
        <f t="shared" si="798"/>
        <v>560</v>
      </c>
      <c r="CT563" s="77">
        <f t="shared" si="805"/>
        <v>14</v>
      </c>
      <c r="CU563" s="77" t="str">
        <f t="shared" si="802"/>
        <v>CR17</v>
      </c>
      <c r="CV563" s="77" t="str">
        <f t="shared" ca="1" si="799"/>
        <v/>
      </c>
      <c r="CW563" s="77">
        <f t="shared" ca="1" si="801"/>
        <v>0</v>
      </c>
    </row>
    <row r="564" spans="72:101">
      <c r="BT564" s="77" t="str">
        <f t="shared" ca="1" si="803"/>
        <v>Germany</v>
      </c>
      <c r="BU564" s="77">
        <f t="shared" si="800"/>
        <v>562</v>
      </c>
      <c r="BV564" s="77" t="str">
        <f t="shared" si="809"/>
        <v>A12</v>
      </c>
      <c r="BW564" s="77">
        <f t="shared" si="806"/>
        <v>25</v>
      </c>
      <c r="BX564" s="77" t="str">
        <f t="shared" ca="1" si="804"/>
        <v>L. Podolski</v>
      </c>
      <c r="BY564" s="77">
        <f ca="1">COUNTIF('Group Stages'!$L$14:$S$110,BX564)+COUNTIF('Knock Out Stages'!$N$41:$U$84,BX564)</f>
        <v>0</v>
      </c>
      <c r="BZ564" s="77" t="str">
        <f t="shared" si="807"/>
        <v>'Player Database'!A12</v>
      </c>
      <c r="CA564" s="77" t="str">
        <f t="shared" ca="1" si="808"/>
        <v>Lukas Podolski</v>
      </c>
      <c r="CS564" s="77">
        <f t="shared" si="798"/>
        <v>561</v>
      </c>
      <c r="CT564" s="77">
        <f t="shared" si="805"/>
        <v>14</v>
      </c>
      <c r="CU564" s="77" t="str">
        <f t="shared" si="802"/>
        <v>CR18</v>
      </c>
      <c r="CV564" s="77" t="str">
        <f t="shared" ca="1" si="799"/>
        <v/>
      </c>
      <c r="CW564" s="77">
        <f t="shared" ca="1" si="801"/>
        <v>0</v>
      </c>
    </row>
    <row r="565" spans="72:101">
      <c r="BT565" s="77" t="str">
        <f t="shared" ca="1" si="803"/>
        <v>Germany</v>
      </c>
      <c r="BU565" s="77">
        <f t="shared" si="800"/>
        <v>563</v>
      </c>
      <c r="BV565" s="77" t="str">
        <f t="shared" si="809"/>
        <v>A13</v>
      </c>
      <c r="BW565" s="77">
        <f t="shared" si="806"/>
        <v>25</v>
      </c>
      <c r="BX565" s="77" t="str">
        <f t="shared" ca="1" si="804"/>
        <v>M. Klose</v>
      </c>
      <c r="BY565" s="77">
        <f ca="1">COUNTIF('Group Stages'!$L$14:$S$110,BX565)+COUNTIF('Knock Out Stages'!$N$41:$U$84,BX565)</f>
        <v>0</v>
      </c>
      <c r="BZ565" s="77" t="str">
        <f t="shared" si="807"/>
        <v>'Player Database'!A13</v>
      </c>
      <c r="CA565" s="77" t="str">
        <f t="shared" ca="1" si="808"/>
        <v>Miroslav Klose</v>
      </c>
      <c r="CS565" s="77">
        <f t="shared" si="798"/>
        <v>562</v>
      </c>
      <c r="CT565" s="77">
        <f t="shared" si="805"/>
        <v>14</v>
      </c>
      <c r="CU565" s="77" t="str">
        <f t="shared" si="802"/>
        <v>CR19</v>
      </c>
      <c r="CV565" s="77" t="str">
        <f t="shared" ca="1" si="799"/>
        <v/>
      </c>
      <c r="CW565" s="77">
        <f t="shared" ca="1" si="801"/>
        <v>0</v>
      </c>
    </row>
    <row r="566" spans="72:101">
      <c r="BT566" s="77" t="str">
        <f t="shared" ca="1" si="803"/>
        <v>Germany</v>
      </c>
      <c r="BU566" s="77">
        <f t="shared" si="800"/>
        <v>564</v>
      </c>
      <c r="BV566" s="77" t="str">
        <f t="shared" si="809"/>
        <v>A14</v>
      </c>
      <c r="BW566" s="77">
        <f t="shared" si="806"/>
        <v>25</v>
      </c>
      <c r="BX566" s="77" t="str">
        <f t="shared" ca="1" si="804"/>
        <v>R. Zieler</v>
      </c>
      <c r="BY566" s="77">
        <f ca="1">COUNTIF('Group Stages'!$L$14:$S$110,BX566)+COUNTIF('Knock Out Stages'!$N$41:$U$84,BX566)</f>
        <v>0</v>
      </c>
      <c r="BZ566" s="77" t="str">
        <f t="shared" si="807"/>
        <v>'Player Database'!A14</v>
      </c>
      <c r="CA566" s="77" t="str">
        <f t="shared" ca="1" si="808"/>
        <v>Ron-Robert Zieler</v>
      </c>
      <c r="CS566" s="77">
        <f t="shared" si="798"/>
        <v>563</v>
      </c>
      <c r="CT566" s="77">
        <f t="shared" si="805"/>
        <v>14</v>
      </c>
      <c r="CU566" s="77" t="str">
        <f t="shared" si="802"/>
        <v>CR20</v>
      </c>
      <c r="CV566" s="77" t="str">
        <f t="shared" ca="1" si="799"/>
        <v/>
      </c>
      <c r="CW566" s="77">
        <f t="shared" ca="1" si="801"/>
        <v>0</v>
      </c>
    </row>
    <row r="567" spans="72:101">
      <c r="BT567" s="77" t="str">
        <f t="shared" ca="1" si="803"/>
        <v>Germany</v>
      </c>
      <c r="BU567" s="77">
        <f t="shared" si="800"/>
        <v>565</v>
      </c>
      <c r="BV567" s="77" t="str">
        <f t="shared" si="809"/>
        <v>A15</v>
      </c>
      <c r="BW567" s="77">
        <f t="shared" si="806"/>
        <v>25</v>
      </c>
      <c r="BX567" s="77" t="str">
        <f t="shared" ca="1" si="804"/>
        <v>T. Müller</v>
      </c>
      <c r="BY567" s="77">
        <f ca="1">COUNTIF('Group Stages'!$L$14:$S$110,BX567)+COUNTIF('Knock Out Stages'!$N$41:$U$84,BX567)</f>
        <v>0</v>
      </c>
      <c r="BZ567" s="77" t="str">
        <f t="shared" si="807"/>
        <v>'Player Database'!A15</v>
      </c>
      <c r="CA567" s="77" t="str">
        <f t="shared" ca="1" si="808"/>
        <v>Thomas Müller</v>
      </c>
      <c r="CS567" s="77">
        <f t="shared" si="798"/>
        <v>564</v>
      </c>
      <c r="CT567" s="77">
        <f t="shared" si="805"/>
        <v>14</v>
      </c>
      <c r="CU567" s="77" t="str">
        <f t="shared" si="802"/>
        <v>CR21</v>
      </c>
      <c r="CV567" s="77" t="str">
        <f t="shared" ca="1" si="799"/>
        <v/>
      </c>
      <c r="CW567" s="77">
        <f t="shared" ca="1" si="801"/>
        <v>0</v>
      </c>
    </row>
    <row r="568" spans="72:101">
      <c r="BT568" s="77" t="str">
        <f t="shared" ca="1" si="803"/>
        <v>Germany</v>
      </c>
      <c r="BU568" s="77">
        <f t="shared" si="800"/>
        <v>566</v>
      </c>
      <c r="BV568" s="77" t="str">
        <f t="shared" si="809"/>
        <v>A16</v>
      </c>
      <c r="BW568" s="77">
        <f t="shared" si="806"/>
        <v>25</v>
      </c>
      <c r="BX568" s="77" t="str">
        <f t="shared" ca="1" si="804"/>
        <v>J. Draxler</v>
      </c>
      <c r="BY568" s="77">
        <f ca="1">COUNTIF('Group Stages'!$L$14:$S$110,BX568)+COUNTIF('Knock Out Stages'!$N$41:$U$84,BX568)</f>
        <v>0</v>
      </c>
      <c r="BZ568" s="77" t="str">
        <f t="shared" si="807"/>
        <v>'Player Database'!A16</v>
      </c>
      <c r="CA568" s="77" t="str">
        <f t="shared" ca="1" si="808"/>
        <v>Julian Draxler</v>
      </c>
      <c r="CS568" s="77">
        <f t="shared" si="798"/>
        <v>565</v>
      </c>
      <c r="CT568" s="77">
        <f t="shared" si="805"/>
        <v>14</v>
      </c>
      <c r="CU568" s="77" t="str">
        <f t="shared" si="802"/>
        <v>CR22</v>
      </c>
      <c r="CV568" s="77" t="str">
        <f t="shared" ca="1" si="799"/>
        <v/>
      </c>
      <c r="CW568" s="77">
        <f t="shared" ca="1" si="801"/>
        <v>0</v>
      </c>
    </row>
    <row r="569" spans="72:101">
      <c r="BT569" s="77" t="str">
        <f t="shared" ca="1" si="803"/>
        <v>Germany</v>
      </c>
      <c r="BU569" s="77">
        <f t="shared" si="800"/>
        <v>567</v>
      </c>
      <c r="BV569" s="77" t="str">
        <f t="shared" si="809"/>
        <v>A17</v>
      </c>
      <c r="BW569" s="77">
        <f t="shared" si="806"/>
        <v>25</v>
      </c>
      <c r="BX569" s="77" t="str">
        <f t="shared" ca="1" si="804"/>
        <v>E. Durm</v>
      </c>
      <c r="BY569" s="77">
        <f ca="1">COUNTIF('Group Stages'!$L$14:$S$110,BX569)+COUNTIF('Knock Out Stages'!$N$41:$U$84,BX569)</f>
        <v>0</v>
      </c>
      <c r="BZ569" s="77" t="str">
        <f t="shared" si="807"/>
        <v>'Player Database'!A17</v>
      </c>
      <c r="CA569" s="77" t="str">
        <f t="shared" ca="1" si="808"/>
        <v>Erik Durm</v>
      </c>
      <c r="CS569" s="77">
        <f t="shared" si="798"/>
        <v>566</v>
      </c>
      <c r="CT569" s="77">
        <f t="shared" si="805"/>
        <v>14</v>
      </c>
      <c r="CU569" s="77" t="str">
        <f t="shared" si="802"/>
        <v>CR23</v>
      </c>
      <c r="CV569" s="77" t="str">
        <f t="shared" ca="1" si="799"/>
        <v/>
      </c>
      <c r="CW569" s="77">
        <f t="shared" ca="1" si="801"/>
        <v>0</v>
      </c>
    </row>
    <row r="570" spans="72:101">
      <c r="BT570" s="77" t="str">
        <f t="shared" ca="1" si="803"/>
        <v>Germany</v>
      </c>
      <c r="BU570" s="77">
        <f t="shared" si="800"/>
        <v>568</v>
      </c>
      <c r="BV570" s="77" t="str">
        <f t="shared" si="809"/>
        <v>A18</v>
      </c>
      <c r="BW570" s="77">
        <f t="shared" si="806"/>
        <v>25</v>
      </c>
      <c r="BX570" s="77" t="str">
        <f t="shared" ca="1" si="804"/>
        <v xml:space="preserve">P. Lahm </v>
      </c>
      <c r="BY570" s="77">
        <f ca="1">COUNTIF('Group Stages'!$L$14:$S$110,BX570)+COUNTIF('Knock Out Stages'!$N$41:$U$84,BX570)</f>
        <v>0</v>
      </c>
      <c r="BZ570" s="77" t="str">
        <f t="shared" si="807"/>
        <v>'Player Database'!A18</v>
      </c>
      <c r="CA570" s="77" t="str">
        <f t="shared" ca="1" si="808"/>
        <v xml:space="preserve">Philipp Lahm </v>
      </c>
      <c r="CS570" s="77">
        <f t="shared" si="798"/>
        <v>567</v>
      </c>
      <c r="CT570" s="77">
        <f t="shared" si="805"/>
        <v>14</v>
      </c>
      <c r="CU570" s="77" t="str">
        <f t="shared" si="802"/>
        <v>CR24</v>
      </c>
      <c r="CV570" s="77" t="str">
        <f t="shared" ca="1" si="799"/>
        <v/>
      </c>
      <c r="CW570" s="77">
        <f t="shared" ca="1" si="801"/>
        <v>0</v>
      </c>
    </row>
    <row r="571" spans="72:101">
      <c r="BT571" s="77" t="str">
        <f t="shared" ca="1" si="803"/>
        <v>Germany</v>
      </c>
      <c r="BU571" s="77">
        <f t="shared" si="800"/>
        <v>569</v>
      </c>
      <c r="BV571" s="77" t="str">
        <f t="shared" si="809"/>
        <v>A19</v>
      </c>
      <c r="BW571" s="77">
        <f t="shared" si="806"/>
        <v>25</v>
      </c>
      <c r="BX571" s="77" t="str">
        <f t="shared" ca="1" si="804"/>
        <v>P. Mertesacker</v>
      </c>
      <c r="BY571" s="77">
        <f ca="1">COUNTIF('Group Stages'!$L$14:$S$110,BX571)+COUNTIF('Knock Out Stages'!$N$41:$U$84,BX571)</f>
        <v>0</v>
      </c>
      <c r="BZ571" s="77" t="str">
        <f t="shared" si="807"/>
        <v>'Player Database'!A19</v>
      </c>
      <c r="CA571" s="77" t="str">
        <f t="shared" ca="1" si="808"/>
        <v>Per Mertesacker</v>
      </c>
      <c r="CS571" s="77">
        <f t="shared" si="798"/>
        <v>568</v>
      </c>
      <c r="CT571" s="77">
        <f t="shared" si="805"/>
        <v>14</v>
      </c>
      <c r="CU571" s="77" t="str">
        <f t="shared" si="802"/>
        <v>CR25</v>
      </c>
      <c r="CV571" s="77" t="str">
        <f t="shared" ca="1" si="799"/>
        <v/>
      </c>
      <c r="CW571" s="77">
        <f t="shared" ca="1" si="801"/>
        <v>0</v>
      </c>
    </row>
    <row r="572" spans="72:101">
      <c r="BT572" s="77" t="str">
        <f t="shared" ca="1" si="803"/>
        <v>Germany</v>
      </c>
      <c r="BU572" s="77">
        <f t="shared" si="800"/>
        <v>570</v>
      </c>
      <c r="BV572" s="77" t="str">
        <f t="shared" si="809"/>
        <v>A20</v>
      </c>
      <c r="BW572" s="77">
        <f t="shared" si="806"/>
        <v>25</v>
      </c>
      <c r="BX572" s="77" t="str">
        <f t="shared" ca="1" si="804"/>
        <v>T. Kroos</v>
      </c>
      <c r="BY572" s="77">
        <f ca="1">COUNTIF('Group Stages'!$L$14:$S$110,BX572)+COUNTIF('Knock Out Stages'!$N$41:$U$84,BX572)</f>
        <v>0</v>
      </c>
      <c r="BZ572" s="77" t="str">
        <f t="shared" si="807"/>
        <v>'Player Database'!A20</v>
      </c>
      <c r="CA572" s="77" t="str">
        <f t="shared" ca="1" si="808"/>
        <v>Toni Kroos</v>
      </c>
      <c r="CS572" s="77">
        <f t="shared" si="798"/>
        <v>569</v>
      </c>
      <c r="CT572" s="77">
        <f t="shared" si="805"/>
        <v>14</v>
      </c>
      <c r="CU572" s="77" t="str">
        <f t="shared" si="802"/>
        <v>CR26</v>
      </c>
      <c r="CV572" s="77" t="str">
        <f t="shared" ca="1" si="799"/>
        <v/>
      </c>
      <c r="CW572" s="77">
        <f t="shared" ca="1" si="801"/>
        <v>0</v>
      </c>
    </row>
    <row r="573" spans="72:101">
      <c r="BT573" s="77" t="str">
        <f t="shared" ca="1" si="803"/>
        <v>Germany</v>
      </c>
      <c r="BU573" s="77">
        <f t="shared" si="800"/>
        <v>571</v>
      </c>
      <c r="BV573" s="77" t="str">
        <f t="shared" si="809"/>
        <v>A21</v>
      </c>
      <c r="BW573" s="77">
        <f t="shared" si="806"/>
        <v>25</v>
      </c>
      <c r="BX573" s="77" t="str">
        <f t="shared" ca="1" si="804"/>
        <v>M. Götze</v>
      </c>
      <c r="BY573" s="77">
        <f ca="1">COUNTIF('Group Stages'!$L$14:$S$110,BX573)+COUNTIF('Knock Out Stages'!$N$41:$U$84,BX573)</f>
        <v>0</v>
      </c>
      <c r="BZ573" s="77" t="str">
        <f t="shared" si="807"/>
        <v>'Player Database'!A21</v>
      </c>
      <c r="CA573" s="77" t="str">
        <f t="shared" ca="1" si="808"/>
        <v>Mario Götze</v>
      </c>
      <c r="CS573" s="77">
        <f t="shared" si="798"/>
        <v>570</v>
      </c>
      <c r="CT573" s="77">
        <f t="shared" si="805"/>
        <v>14</v>
      </c>
      <c r="CU573" s="77" t="str">
        <f t="shared" si="802"/>
        <v>CR27</v>
      </c>
      <c r="CV573" s="77" t="str">
        <f t="shared" ca="1" si="799"/>
        <v/>
      </c>
      <c r="CW573" s="77">
        <f t="shared" ca="1" si="801"/>
        <v>0</v>
      </c>
    </row>
    <row r="574" spans="72:101">
      <c r="BT574" s="77" t="str">
        <f t="shared" ca="1" si="803"/>
        <v>Germany</v>
      </c>
      <c r="BU574" s="77">
        <f t="shared" si="800"/>
        <v>572</v>
      </c>
      <c r="BV574" s="77" t="str">
        <f t="shared" si="809"/>
        <v>A22</v>
      </c>
      <c r="BW574" s="77">
        <f t="shared" si="806"/>
        <v>25</v>
      </c>
      <c r="BX574" s="77" t="str">
        <f t="shared" ca="1" si="804"/>
        <v>J. Boateng</v>
      </c>
      <c r="BY574" s="77">
        <f ca="1">COUNTIF('Group Stages'!$L$14:$S$110,BX574)+COUNTIF('Knock Out Stages'!$N$41:$U$84,BX574)</f>
        <v>0</v>
      </c>
      <c r="BZ574" s="77" t="str">
        <f t="shared" si="807"/>
        <v>'Player Database'!A22</v>
      </c>
      <c r="CA574" s="77" t="str">
        <f t="shared" ca="1" si="808"/>
        <v>Jérôme Boateng</v>
      </c>
      <c r="CS574" s="77">
        <f t="shared" si="798"/>
        <v>571</v>
      </c>
      <c r="CT574" s="77">
        <f t="shared" si="805"/>
        <v>14</v>
      </c>
      <c r="CU574" s="77" t="str">
        <f t="shared" si="802"/>
        <v>CR28</v>
      </c>
      <c r="CV574" s="77" t="str">
        <f t="shared" ca="1" si="799"/>
        <v/>
      </c>
      <c r="CW574" s="77">
        <f t="shared" ca="1" si="801"/>
        <v>0</v>
      </c>
    </row>
    <row r="575" spans="72:101">
      <c r="BT575" s="77" t="str">
        <f t="shared" ca="1" si="803"/>
        <v>Germany</v>
      </c>
      <c r="BU575" s="77">
        <f t="shared" si="800"/>
        <v>573</v>
      </c>
      <c r="BV575" s="77" t="str">
        <f t="shared" si="809"/>
        <v>A23</v>
      </c>
      <c r="BW575" s="77">
        <f t="shared" si="806"/>
        <v>25</v>
      </c>
      <c r="BX575" s="77" t="str">
        <f t="shared" ca="1" si="804"/>
        <v>S. Mustafi</v>
      </c>
      <c r="BY575" s="77">
        <f ca="1">COUNTIF('Group Stages'!$L$14:$S$110,BX575)+COUNTIF('Knock Out Stages'!$N$41:$U$84,BX575)</f>
        <v>0</v>
      </c>
      <c r="BZ575" s="77" t="str">
        <f t="shared" si="807"/>
        <v>'Player Database'!A23</v>
      </c>
      <c r="CA575" s="77" t="str">
        <f t="shared" ca="1" si="808"/>
        <v>Shkodran Mustafi</v>
      </c>
      <c r="CS575" s="77">
        <f t="shared" ref="CS575:CS616" si="810">CS574+1</f>
        <v>572</v>
      </c>
      <c r="CT575" s="77">
        <f t="shared" si="805"/>
        <v>14</v>
      </c>
      <c r="CU575" s="77" t="str">
        <f t="shared" si="802"/>
        <v>CR29</v>
      </c>
      <c r="CV575" s="77" t="str">
        <f t="shared" ref="CV575:CV616" ca="1" si="811">OFFSET(INDIRECT(CU575),0,-CT575)</f>
        <v/>
      </c>
      <c r="CW575" s="77">
        <f t="shared" ca="1" si="801"/>
        <v>0</v>
      </c>
    </row>
    <row r="576" spans="72:101">
      <c r="BT576" s="77" t="str">
        <f t="shared" ca="1" si="803"/>
        <v>Germany</v>
      </c>
      <c r="BU576" s="77">
        <f t="shared" si="800"/>
        <v>574</v>
      </c>
      <c r="BV576" s="77" t="str">
        <f t="shared" si="809"/>
        <v>A24</v>
      </c>
      <c r="BW576" s="77">
        <f t="shared" si="806"/>
        <v>25</v>
      </c>
      <c r="BX576" s="77" t="str">
        <f t="shared" ca="1" si="804"/>
        <v>R. Weidenfeller</v>
      </c>
      <c r="BY576" s="77">
        <f ca="1">COUNTIF('Group Stages'!$L$14:$S$110,BX576)+COUNTIF('Knock Out Stages'!$N$41:$U$84,BX576)</f>
        <v>0</v>
      </c>
      <c r="BZ576" s="77" t="str">
        <f t="shared" si="807"/>
        <v>'Player Database'!A24</v>
      </c>
      <c r="CA576" s="77" t="str">
        <f t="shared" ca="1" si="808"/>
        <v>Roman Weidenfeller</v>
      </c>
      <c r="CS576" s="77">
        <f t="shared" si="810"/>
        <v>573</v>
      </c>
      <c r="CT576" s="77">
        <f t="shared" si="805"/>
        <v>14</v>
      </c>
      <c r="CU576" s="77" t="str">
        <f t="shared" si="802"/>
        <v>CR30</v>
      </c>
      <c r="CV576" s="77" t="str">
        <f t="shared" ca="1" si="811"/>
        <v/>
      </c>
      <c r="CW576" s="77">
        <f t="shared" ca="1" si="801"/>
        <v>0</v>
      </c>
    </row>
    <row r="577" spans="72:101">
      <c r="BT577" s="77" t="str">
        <f t="shared" ca="1" si="803"/>
        <v>Germany</v>
      </c>
      <c r="BU577" s="77">
        <f t="shared" si="800"/>
        <v>575</v>
      </c>
      <c r="BV577" s="77" t="str">
        <f t="shared" si="809"/>
        <v>A25</v>
      </c>
      <c r="BW577" s="77">
        <f t="shared" si="806"/>
        <v>25</v>
      </c>
      <c r="BX577" s="77" t="str">
        <f t="shared" ca="1" si="804"/>
        <v>C. Kramer</v>
      </c>
      <c r="BY577" s="77">
        <f ca="1">COUNTIF('Group Stages'!$L$14:$S$110,BX577)+COUNTIF('Knock Out Stages'!$N$41:$U$84,BX577)</f>
        <v>0</v>
      </c>
      <c r="BZ577" s="77" t="str">
        <f t="shared" si="807"/>
        <v>'Player Database'!A25</v>
      </c>
      <c r="CA577" s="77" t="str">
        <f t="shared" ca="1" si="808"/>
        <v>Christoph Kramer</v>
      </c>
      <c r="CS577" s="77">
        <f t="shared" si="810"/>
        <v>574</v>
      </c>
      <c r="CT577" s="77">
        <f t="shared" si="805"/>
        <v>14</v>
      </c>
      <c r="CU577" s="77" t="str">
        <f t="shared" si="802"/>
        <v>CR31</v>
      </c>
      <c r="CV577" s="77" t="str">
        <f t="shared" ca="1" si="811"/>
        <v/>
      </c>
      <c r="CW577" s="77">
        <f t="shared" ca="1" si="801"/>
        <v>0</v>
      </c>
    </row>
    <row r="578" spans="72:101">
      <c r="BT578" s="77" t="str">
        <f t="shared" ca="1" si="803"/>
        <v>Portugal</v>
      </c>
      <c r="BU578" s="77">
        <f t="shared" si="800"/>
        <v>576</v>
      </c>
      <c r="BV578" s="77" t="str">
        <f t="shared" si="809"/>
        <v>A3</v>
      </c>
      <c r="BW578" s="77">
        <f t="shared" si="806"/>
        <v>26</v>
      </c>
      <c r="BX578" s="77" t="str">
        <f t="shared" ca="1" si="804"/>
        <v>Eduardo</v>
      </c>
      <c r="BY578" s="77">
        <f ca="1">COUNTIF('Group Stages'!$L$14:$S$110,BX578)+COUNTIF('Knock Out Stages'!$N$41:$U$84,BX578)</f>
        <v>0</v>
      </c>
      <c r="BZ578" s="77" t="str">
        <f t="shared" si="807"/>
        <v>'Player Database'!A3</v>
      </c>
      <c r="CA578" s="77" t="str">
        <f t="shared" ca="1" si="808"/>
        <v>Eduardo</v>
      </c>
      <c r="CS578" s="77">
        <f t="shared" si="810"/>
        <v>575</v>
      </c>
      <c r="CT578" s="77">
        <f t="shared" si="805"/>
        <v>14</v>
      </c>
      <c r="CU578" s="77" t="str">
        <f t="shared" si="802"/>
        <v>CR32</v>
      </c>
      <c r="CV578" s="77" t="str">
        <f t="shared" ca="1" si="811"/>
        <v/>
      </c>
      <c r="CW578" s="77">
        <f t="shared" ca="1" si="801"/>
        <v>0</v>
      </c>
    </row>
    <row r="579" spans="72:101">
      <c r="BT579" s="77" t="str">
        <f t="shared" ca="1" si="803"/>
        <v>Portugal</v>
      </c>
      <c r="BU579" s="77">
        <f t="shared" si="800"/>
        <v>577</v>
      </c>
      <c r="BV579" s="77" t="str">
        <f t="shared" si="809"/>
        <v>A4</v>
      </c>
      <c r="BW579" s="77">
        <f t="shared" si="806"/>
        <v>26</v>
      </c>
      <c r="BX579" s="77" t="str">
        <f t="shared" ca="1" si="804"/>
        <v>B. Alves</v>
      </c>
      <c r="BY579" s="77">
        <f ca="1">COUNTIF('Group Stages'!$L$14:$S$110,BX579)+COUNTIF('Knock Out Stages'!$N$41:$U$84,BX579)</f>
        <v>0</v>
      </c>
      <c r="BZ579" s="77" t="str">
        <f t="shared" si="807"/>
        <v>'Player Database'!A4</v>
      </c>
      <c r="CA579" s="77" t="str">
        <f t="shared" ca="1" si="808"/>
        <v>Bruno Alves</v>
      </c>
      <c r="CS579" s="77">
        <f t="shared" si="810"/>
        <v>576</v>
      </c>
      <c r="CT579" s="77">
        <f t="shared" si="805"/>
        <v>14</v>
      </c>
      <c r="CU579" s="77" t="str">
        <f t="shared" si="802"/>
        <v>CR33</v>
      </c>
      <c r="CV579" s="77" t="str">
        <f t="shared" ca="1" si="811"/>
        <v/>
      </c>
      <c r="CW579" s="77">
        <f t="shared" ca="1" si="801"/>
        <v>0</v>
      </c>
    </row>
    <row r="580" spans="72:101">
      <c r="BT580" s="77" t="str">
        <f t="shared" ca="1" si="803"/>
        <v>Portugal</v>
      </c>
      <c r="BU580" s="77">
        <f t="shared" si="800"/>
        <v>578</v>
      </c>
      <c r="BV580" s="77" t="str">
        <f t="shared" si="809"/>
        <v>A5</v>
      </c>
      <c r="BW580" s="77">
        <f t="shared" si="806"/>
        <v>26</v>
      </c>
      <c r="BX580" s="77" t="str">
        <f t="shared" ca="1" si="804"/>
        <v>Pepe</v>
      </c>
      <c r="BY580" s="77">
        <f ca="1">COUNTIF('Group Stages'!$L$14:$S$110,BX580)+COUNTIF('Knock Out Stages'!$N$41:$U$84,BX580)</f>
        <v>0</v>
      </c>
      <c r="BZ580" s="77" t="str">
        <f t="shared" si="807"/>
        <v>'Player Database'!A5</v>
      </c>
      <c r="CA580" s="77" t="str">
        <f t="shared" ca="1" si="808"/>
        <v>Pepe</v>
      </c>
      <c r="CS580" s="77">
        <f t="shared" si="810"/>
        <v>577</v>
      </c>
      <c r="CT580" s="77">
        <f t="shared" si="805"/>
        <v>14</v>
      </c>
      <c r="CU580" s="77" t="str">
        <f t="shared" si="802"/>
        <v>CR34</v>
      </c>
      <c r="CV580" s="77" t="str">
        <f t="shared" ca="1" si="811"/>
        <v/>
      </c>
      <c r="CW580" s="77">
        <f t="shared" ca="1" si="801"/>
        <v>0</v>
      </c>
    </row>
    <row r="581" spans="72:101">
      <c r="BT581" s="77" t="str">
        <f t="shared" ca="1" si="803"/>
        <v>Portugal</v>
      </c>
      <c r="BU581" s="77">
        <f t="shared" ref="BU581:BU644" si="812">BU580+1</f>
        <v>579</v>
      </c>
      <c r="BV581" s="77" t="str">
        <f t="shared" si="809"/>
        <v>A6</v>
      </c>
      <c r="BW581" s="77">
        <f t="shared" si="806"/>
        <v>26</v>
      </c>
      <c r="BX581" s="77" t="str">
        <f t="shared" ca="1" si="804"/>
        <v>M. Veloso</v>
      </c>
      <c r="BY581" s="77">
        <f ca="1">COUNTIF('Group Stages'!$L$14:$S$110,BX581)+COUNTIF('Knock Out Stages'!$N$41:$U$84,BX581)</f>
        <v>0</v>
      </c>
      <c r="BZ581" s="77" t="str">
        <f t="shared" si="807"/>
        <v>'Player Database'!A6</v>
      </c>
      <c r="CA581" s="77" t="str">
        <f t="shared" ca="1" si="808"/>
        <v>Miguel Veloso</v>
      </c>
      <c r="CS581" s="77">
        <f t="shared" si="810"/>
        <v>578</v>
      </c>
      <c r="CT581" s="77">
        <f t="shared" si="805"/>
        <v>14</v>
      </c>
      <c r="CU581" s="77" t="str">
        <f t="shared" si="802"/>
        <v>CR35</v>
      </c>
      <c r="CV581" s="77" t="str">
        <f t="shared" ca="1" si="811"/>
        <v/>
      </c>
      <c r="CW581" s="77">
        <f t="shared" ref="CW581:CW633" ca="1" si="813">IF(CV581&lt;&gt;"",CW580+1,CW580)</f>
        <v>0</v>
      </c>
    </row>
    <row r="582" spans="72:101">
      <c r="BT582" s="77" t="str">
        <f t="shared" ca="1" si="803"/>
        <v>Portugal</v>
      </c>
      <c r="BU582" s="77">
        <f t="shared" si="812"/>
        <v>580</v>
      </c>
      <c r="BV582" s="77" t="str">
        <f t="shared" si="809"/>
        <v>A7</v>
      </c>
      <c r="BW582" s="77">
        <f t="shared" si="806"/>
        <v>26</v>
      </c>
      <c r="BX582" s="77" t="str">
        <f t="shared" ca="1" si="804"/>
        <v>F. Coentrão</v>
      </c>
      <c r="BY582" s="77">
        <f ca="1">COUNTIF('Group Stages'!$L$14:$S$110,BX582)+COUNTIF('Knock Out Stages'!$N$41:$U$84,BX582)</f>
        <v>0</v>
      </c>
      <c r="BZ582" s="77" t="str">
        <f t="shared" si="807"/>
        <v>'Player Database'!A7</v>
      </c>
      <c r="CA582" s="77" t="str">
        <f t="shared" ca="1" si="808"/>
        <v>Fábio Coentrão</v>
      </c>
      <c r="CS582" s="77">
        <f t="shared" si="810"/>
        <v>579</v>
      </c>
      <c r="CT582" s="77">
        <f t="shared" si="805"/>
        <v>14</v>
      </c>
      <c r="CU582" s="77" t="str">
        <f t="shared" si="802"/>
        <v>CR36</v>
      </c>
      <c r="CV582" s="77" t="str">
        <f t="shared" ca="1" si="811"/>
        <v/>
      </c>
      <c r="CW582" s="77">
        <f t="shared" ca="1" si="813"/>
        <v>0</v>
      </c>
    </row>
    <row r="583" spans="72:101">
      <c r="BT583" s="77" t="str">
        <f t="shared" ca="1" si="803"/>
        <v>Portugal</v>
      </c>
      <c r="BU583" s="77">
        <f t="shared" si="812"/>
        <v>581</v>
      </c>
      <c r="BV583" s="77" t="str">
        <f t="shared" si="809"/>
        <v>A8</v>
      </c>
      <c r="BW583" s="77">
        <f t="shared" si="806"/>
        <v>26</v>
      </c>
      <c r="BX583" s="77" t="str">
        <f t="shared" ca="1" si="804"/>
        <v>W. Carvalho</v>
      </c>
      <c r="BY583" s="77">
        <f ca="1">COUNTIF('Group Stages'!$L$14:$S$110,BX583)+COUNTIF('Knock Out Stages'!$N$41:$U$84,BX583)</f>
        <v>0</v>
      </c>
      <c r="BZ583" s="77" t="str">
        <f t="shared" si="807"/>
        <v>'Player Database'!A8</v>
      </c>
      <c r="CA583" s="77" t="str">
        <f t="shared" ca="1" si="808"/>
        <v>William Carvalho</v>
      </c>
      <c r="CS583" s="77">
        <f t="shared" si="810"/>
        <v>580</v>
      </c>
      <c r="CT583" s="77">
        <f t="shared" si="805"/>
        <v>14</v>
      </c>
      <c r="CU583" s="77" t="str">
        <f t="shared" si="802"/>
        <v>CR37</v>
      </c>
      <c r="CV583" s="77" t="str">
        <f t="shared" ca="1" si="811"/>
        <v/>
      </c>
      <c r="CW583" s="77">
        <f t="shared" ca="1" si="813"/>
        <v>0</v>
      </c>
    </row>
    <row r="584" spans="72:101">
      <c r="BT584" s="77" t="str">
        <f t="shared" ca="1" si="803"/>
        <v>Portugal</v>
      </c>
      <c r="BU584" s="77">
        <f t="shared" si="812"/>
        <v>582</v>
      </c>
      <c r="BV584" s="77" t="str">
        <f t="shared" si="809"/>
        <v>A9</v>
      </c>
      <c r="BW584" s="77">
        <f t="shared" si="806"/>
        <v>26</v>
      </c>
      <c r="BX584" s="77" t="str">
        <f t="shared" ca="1" si="804"/>
        <v xml:space="preserve">C. Ronaldo </v>
      </c>
      <c r="BY584" s="77">
        <f ca="1">COUNTIF('Group Stages'!$L$14:$S$110,BX584)+COUNTIF('Knock Out Stages'!$N$41:$U$84,BX584)</f>
        <v>0</v>
      </c>
      <c r="BZ584" s="77" t="str">
        <f t="shared" si="807"/>
        <v>'Player Database'!A9</v>
      </c>
      <c r="CA584" s="77" t="str">
        <f t="shared" ca="1" si="808"/>
        <v xml:space="preserve">Cristiano Ronaldo </v>
      </c>
      <c r="CS584" s="77">
        <f t="shared" si="810"/>
        <v>581</v>
      </c>
      <c r="CT584" s="77">
        <f t="shared" si="805"/>
        <v>14</v>
      </c>
      <c r="CU584" s="77" t="str">
        <f t="shared" si="802"/>
        <v>CR38</v>
      </c>
      <c r="CV584" s="77" t="str">
        <f t="shared" ca="1" si="811"/>
        <v/>
      </c>
      <c r="CW584" s="77">
        <f t="shared" ca="1" si="813"/>
        <v>0</v>
      </c>
    </row>
    <row r="585" spans="72:101">
      <c r="BT585" s="77" t="str">
        <f t="shared" ca="1" si="803"/>
        <v>Portugal</v>
      </c>
      <c r="BU585" s="77">
        <f t="shared" si="812"/>
        <v>583</v>
      </c>
      <c r="BV585" s="77" t="str">
        <f t="shared" si="809"/>
        <v>A10</v>
      </c>
      <c r="BW585" s="77">
        <f t="shared" si="806"/>
        <v>26</v>
      </c>
      <c r="BX585" s="77" t="str">
        <f t="shared" ca="1" si="804"/>
        <v>J. Moutinho</v>
      </c>
      <c r="BY585" s="77">
        <f ca="1">COUNTIF('Group Stages'!$L$14:$S$110,BX585)+COUNTIF('Knock Out Stages'!$N$41:$U$84,BX585)</f>
        <v>0</v>
      </c>
      <c r="BZ585" s="77" t="str">
        <f t="shared" si="807"/>
        <v>'Player Database'!A10</v>
      </c>
      <c r="CA585" s="77" t="str">
        <f t="shared" ca="1" si="808"/>
        <v>João Moutinho</v>
      </c>
      <c r="CS585" s="77">
        <f t="shared" si="810"/>
        <v>582</v>
      </c>
      <c r="CT585" s="77">
        <f t="shared" si="805"/>
        <v>14</v>
      </c>
      <c r="CU585" s="77" t="str">
        <f t="shared" si="802"/>
        <v>CR39</v>
      </c>
      <c r="CV585" s="77" t="str">
        <f t="shared" ca="1" si="811"/>
        <v/>
      </c>
      <c r="CW585" s="77">
        <f t="shared" ca="1" si="813"/>
        <v>0</v>
      </c>
    </row>
    <row r="586" spans="72:101">
      <c r="BT586" s="77" t="str">
        <f t="shared" ca="1" si="803"/>
        <v>Portugal</v>
      </c>
      <c r="BU586" s="77">
        <f t="shared" si="812"/>
        <v>584</v>
      </c>
      <c r="BV586" s="77" t="str">
        <f t="shared" si="809"/>
        <v>A11</v>
      </c>
      <c r="BW586" s="77">
        <f t="shared" si="806"/>
        <v>26</v>
      </c>
      <c r="BX586" s="77" t="str">
        <f t="shared" ca="1" si="804"/>
        <v>H. Almeida</v>
      </c>
      <c r="BY586" s="77">
        <f ca="1">COUNTIF('Group Stages'!$L$14:$S$110,BX586)+COUNTIF('Knock Out Stages'!$N$41:$U$84,BX586)</f>
        <v>0</v>
      </c>
      <c r="BZ586" s="77" t="str">
        <f t="shared" si="807"/>
        <v>'Player Database'!A11</v>
      </c>
      <c r="CA586" s="77" t="str">
        <f t="shared" ca="1" si="808"/>
        <v>Hugo Almeida</v>
      </c>
      <c r="CS586" s="77">
        <f t="shared" si="810"/>
        <v>583</v>
      </c>
      <c r="CT586" s="77">
        <f t="shared" si="805"/>
        <v>14</v>
      </c>
      <c r="CU586" s="77" t="str">
        <f t="shared" si="802"/>
        <v>CR40</v>
      </c>
      <c r="CV586" s="77" t="str">
        <f t="shared" ca="1" si="811"/>
        <v/>
      </c>
      <c r="CW586" s="77">
        <f t="shared" ca="1" si="813"/>
        <v>0</v>
      </c>
    </row>
    <row r="587" spans="72:101">
      <c r="BT587" s="77" t="str">
        <f t="shared" ca="1" si="803"/>
        <v>Portugal</v>
      </c>
      <c r="BU587" s="77">
        <f t="shared" si="812"/>
        <v>585</v>
      </c>
      <c r="BV587" s="77" t="str">
        <f t="shared" si="809"/>
        <v>A12</v>
      </c>
      <c r="BW587" s="77">
        <f t="shared" si="806"/>
        <v>26</v>
      </c>
      <c r="BX587" s="77" t="str">
        <f t="shared" ca="1" si="804"/>
        <v>Vieirinha</v>
      </c>
      <c r="BY587" s="77">
        <f ca="1">COUNTIF('Group Stages'!$L$14:$S$110,BX587)+COUNTIF('Knock Out Stages'!$N$41:$U$84,BX587)</f>
        <v>0</v>
      </c>
      <c r="BZ587" s="77" t="str">
        <f t="shared" si="807"/>
        <v>'Player Database'!A12</v>
      </c>
      <c r="CA587" s="77" t="str">
        <f t="shared" ca="1" si="808"/>
        <v>Vieirinha</v>
      </c>
      <c r="CS587" s="77">
        <f t="shared" si="810"/>
        <v>584</v>
      </c>
      <c r="CT587" s="77">
        <f t="shared" si="805"/>
        <v>14</v>
      </c>
      <c r="CU587" s="77" t="str">
        <f t="shared" si="802"/>
        <v>CR41</v>
      </c>
      <c r="CV587" s="77" t="str">
        <f t="shared" ca="1" si="811"/>
        <v/>
      </c>
      <c r="CW587" s="77">
        <f t="shared" ca="1" si="813"/>
        <v>0</v>
      </c>
    </row>
    <row r="588" spans="72:101">
      <c r="BT588" s="77" t="str">
        <f t="shared" ca="1" si="803"/>
        <v>Portugal</v>
      </c>
      <c r="BU588" s="77">
        <f t="shared" si="812"/>
        <v>586</v>
      </c>
      <c r="BV588" s="77" t="str">
        <f t="shared" si="809"/>
        <v>A13</v>
      </c>
      <c r="BW588" s="77">
        <f t="shared" si="806"/>
        <v>26</v>
      </c>
      <c r="BX588" s="77" t="str">
        <f t="shared" ca="1" si="804"/>
        <v>Éder</v>
      </c>
      <c r="BY588" s="77">
        <f ca="1">COUNTIF('Group Stages'!$L$14:$S$110,BX588)+COUNTIF('Knock Out Stages'!$N$41:$U$84,BX588)</f>
        <v>0</v>
      </c>
      <c r="BZ588" s="77" t="str">
        <f t="shared" si="807"/>
        <v>'Player Database'!A13</v>
      </c>
      <c r="CA588" s="77" t="str">
        <f t="shared" ca="1" si="808"/>
        <v>Éder</v>
      </c>
      <c r="CS588" s="77">
        <f t="shared" si="810"/>
        <v>585</v>
      </c>
      <c r="CT588" s="77">
        <f t="shared" si="805"/>
        <v>14</v>
      </c>
      <c r="CU588" s="77" t="str">
        <f t="shared" si="802"/>
        <v>CR42</v>
      </c>
      <c r="CV588" s="77" t="str">
        <f t="shared" ca="1" si="811"/>
        <v/>
      </c>
      <c r="CW588" s="77">
        <f t="shared" ca="1" si="813"/>
        <v>0</v>
      </c>
    </row>
    <row r="589" spans="72:101">
      <c r="BT589" s="77" t="str">
        <f t="shared" ca="1" si="803"/>
        <v>Portugal</v>
      </c>
      <c r="BU589" s="77">
        <f t="shared" si="812"/>
        <v>587</v>
      </c>
      <c r="BV589" s="77" t="str">
        <f t="shared" si="809"/>
        <v>A14</v>
      </c>
      <c r="BW589" s="77">
        <f t="shared" si="806"/>
        <v>26</v>
      </c>
      <c r="BX589" s="77" t="str">
        <f t="shared" ca="1" si="804"/>
        <v>R. Patrício</v>
      </c>
      <c r="BY589" s="77">
        <f ca="1">COUNTIF('Group Stages'!$L$14:$S$110,BX589)+COUNTIF('Knock Out Stages'!$N$41:$U$84,BX589)</f>
        <v>0</v>
      </c>
      <c r="BZ589" s="77" t="str">
        <f t="shared" si="807"/>
        <v>'Player Database'!A14</v>
      </c>
      <c r="CA589" s="77" t="str">
        <f t="shared" ca="1" si="808"/>
        <v>Rui Patrício</v>
      </c>
      <c r="CS589" s="77">
        <f t="shared" si="810"/>
        <v>586</v>
      </c>
      <c r="CT589" s="77">
        <f t="shared" si="805"/>
        <v>14</v>
      </c>
      <c r="CU589" s="77" t="str">
        <f t="shared" si="802"/>
        <v>CR43</v>
      </c>
      <c r="CV589" s="77" t="str">
        <f t="shared" ca="1" si="811"/>
        <v/>
      </c>
      <c r="CW589" s="77">
        <f t="shared" ca="1" si="813"/>
        <v>0</v>
      </c>
    </row>
    <row r="590" spans="72:101">
      <c r="BT590" s="77" t="str">
        <f t="shared" ca="1" si="803"/>
        <v>Portugal</v>
      </c>
      <c r="BU590" s="77">
        <f t="shared" si="812"/>
        <v>588</v>
      </c>
      <c r="BV590" s="77" t="str">
        <f t="shared" si="809"/>
        <v>A15</v>
      </c>
      <c r="BW590" s="77">
        <f t="shared" si="806"/>
        <v>26</v>
      </c>
      <c r="BX590" s="77" t="str">
        <f t="shared" ca="1" si="804"/>
        <v>R. Costa</v>
      </c>
      <c r="BY590" s="77">
        <f ca="1">COUNTIF('Group Stages'!$L$14:$S$110,BX590)+COUNTIF('Knock Out Stages'!$N$41:$U$84,BX590)</f>
        <v>0</v>
      </c>
      <c r="BZ590" s="77" t="str">
        <f t="shared" si="807"/>
        <v>'Player Database'!A15</v>
      </c>
      <c r="CA590" s="77" t="str">
        <f t="shared" ca="1" si="808"/>
        <v>Ricardo Costa</v>
      </c>
      <c r="CS590" s="77">
        <f t="shared" si="810"/>
        <v>587</v>
      </c>
      <c r="CT590" s="77">
        <f t="shared" si="805"/>
        <v>14</v>
      </c>
      <c r="CU590" s="77" t="str">
        <f t="shared" si="802"/>
        <v>CR44</v>
      </c>
      <c r="CV590" s="77" t="str">
        <f t="shared" ca="1" si="811"/>
        <v/>
      </c>
      <c r="CW590" s="77">
        <f t="shared" ca="1" si="813"/>
        <v>0</v>
      </c>
    </row>
    <row r="591" spans="72:101">
      <c r="BT591" s="77" t="str">
        <f t="shared" ca="1" si="803"/>
        <v>Portugal</v>
      </c>
      <c r="BU591" s="77">
        <f t="shared" si="812"/>
        <v>589</v>
      </c>
      <c r="BV591" s="77" t="str">
        <f t="shared" si="809"/>
        <v>A16</v>
      </c>
      <c r="BW591" s="77">
        <f t="shared" si="806"/>
        <v>26</v>
      </c>
      <c r="BX591" s="77" t="str">
        <f t="shared" ca="1" si="804"/>
        <v>L. Neto</v>
      </c>
      <c r="BY591" s="77">
        <f ca="1">COUNTIF('Group Stages'!$L$14:$S$110,BX591)+COUNTIF('Knock Out Stages'!$N$41:$U$84,BX591)</f>
        <v>0</v>
      </c>
      <c r="BZ591" s="77" t="str">
        <f t="shared" si="807"/>
        <v>'Player Database'!A16</v>
      </c>
      <c r="CA591" s="77" t="str">
        <f t="shared" ca="1" si="808"/>
        <v>Luís Neto</v>
      </c>
      <c r="CS591" s="77">
        <f t="shared" si="810"/>
        <v>588</v>
      </c>
      <c r="CT591" s="77">
        <f t="shared" si="805"/>
        <v>14</v>
      </c>
      <c r="CU591" s="77" t="str">
        <f t="shared" si="802"/>
        <v>CR45</v>
      </c>
      <c r="CV591" s="77" t="str">
        <f t="shared" ca="1" si="811"/>
        <v/>
      </c>
      <c r="CW591" s="77">
        <f t="shared" ca="1" si="813"/>
        <v>0</v>
      </c>
    </row>
    <row r="592" spans="72:101">
      <c r="BT592" s="77" t="str">
        <f t="shared" ca="1" si="803"/>
        <v>Portugal</v>
      </c>
      <c r="BU592" s="77">
        <f t="shared" si="812"/>
        <v>590</v>
      </c>
      <c r="BV592" s="77" t="str">
        <f t="shared" si="809"/>
        <v>A17</v>
      </c>
      <c r="BW592" s="77">
        <f t="shared" si="806"/>
        <v>26</v>
      </c>
      <c r="BX592" s="77" t="str">
        <f t="shared" ca="1" si="804"/>
        <v>R. Silva</v>
      </c>
      <c r="BY592" s="77">
        <f ca="1">COUNTIF('Group Stages'!$L$14:$S$110,BX592)+COUNTIF('Knock Out Stages'!$N$41:$U$84,BX592)</f>
        <v>0</v>
      </c>
      <c r="BZ592" s="77" t="str">
        <f t="shared" si="807"/>
        <v>'Player Database'!A17</v>
      </c>
      <c r="CA592" s="77" t="str">
        <f t="shared" ca="1" si="808"/>
        <v>Rafa Silva</v>
      </c>
      <c r="CS592" s="77">
        <f t="shared" si="810"/>
        <v>589</v>
      </c>
      <c r="CT592" s="77">
        <f t="shared" si="805"/>
        <v>15</v>
      </c>
      <c r="CU592" s="77" t="str">
        <f t="shared" si="802"/>
        <v>CR4</v>
      </c>
      <c r="CV592" s="77" t="str">
        <f t="shared" ca="1" si="811"/>
        <v/>
      </c>
      <c r="CW592" s="77">
        <f t="shared" ca="1" si="813"/>
        <v>0</v>
      </c>
    </row>
    <row r="593" spans="72:101">
      <c r="BT593" s="77" t="str">
        <f t="shared" ca="1" si="803"/>
        <v>Portugal</v>
      </c>
      <c r="BU593" s="77">
        <f t="shared" si="812"/>
        <v>591</v>
      </c>
      <c r="BV593" s="77" t="str">
        <f t="shared" si="809"/>
        <v>A18</v>
      </c>
      <c r="BW593" s="77">
        <f t="shared" si="806"/>
        <v>26</v>
      </c>
      <c r="BX593" s="77" t="str">
        <f t="shared" ca="1" si="804"/>
        <v>R. Meireles</v>
      </c>
      <c r="BY593" s="77">
        <f ca="1">COUNTIF('Group Stages'!$L$14:$S$110,BX593)+COUNTIF('Knock Out Stages'!$N$41:$U$84,BX593)</f>
        <v>0</v>
      </c>
      <c r="BZ593" s="77" t="str">
        <f t="shared" si="807"/>
        <v>'Player Database'!A18</v>
      </c>
      <c r="CA593" s="77" t="str">
        <f t="shared" ca="1" si="808"/>
        <v>Raul Meireles</v>
      </c>
      <c r="CS593" s="77">
        <f t="shared" si="810"/>
        <v>590</v>
      </c>
      <c r="CT593" s="77">
        <f t="shared" si="805"/>
        <v>15</v>
      </c>
      <c r="CU593" s="77" t="str">
        <f t="shared" si="802"/>
        <v>CR5</v>
      </c>
      <c r="CV593" s="77" t="str">
        <f t="shared" ca="1" si="811"/>
        <v/>
      </c>
      <c r="CW593" s="77">
        <f t="shared" ca="1" si="813"/>
        <v>0</v>
      </c>
    </row>
    <row r="594" spans="72:101">
      <c r="BT594" s="77" t="str">
        <f t="shared" ca="1" si="803"/>
        <v>Portugal</v>
      </c>
      <c r="BU594" s="77">
        <f t="shared" si="812"/>
        <v>592</v>
      </c>
      <c r="BV594" s="77" t="str">
        <f t="shared" si="809"/>
        <v>A19</v>
      </c>
      <c r="BW594" s="77">
        <f t="shared" si="806"/>
        <v>26</v>
      </c>
      <c r="BX594" s="77" t="str">
        <f t="shared" ca="1" si="804"/>
        <v>Nani</v>
      </c>
      <c r="BY594" s="77">
        <f ca="1">COUNTIF('Group Stages'!$L$14:$S$110,BX594)+COUNTIF('Knock Out Stages'!$N$41:$U$84,BX594)</f>
        <v>0</v>
      </c>
      <c r="BZ594" s="77" t="str">
        <f t="shared" si="807"/>
        <v>'Player Database'!A19</v>
      </c>
      <c r="CA594" s="77" t="str">
        <f t="shared" ca="1" si="808"/>
        <v>Nani</v>
      </c>
      <c r="CS594" s="77">
        <f t="shared" si="810"/>
        <v>591</v>
      </c>
      <c r="CT594" s="77">
        <f t="shared" si="805"/>
        <v>15</v>
      </c>
      <c r="CU594" s="77" t="str">
        <f t="shared" si="802"/>
        <v>CR6</v>
      </c>
      <c r="CV594" s="77" t="str">
        <f t="shared" ca="1" si="811"/>
        <v/>
      </c>
      <c r="CW594" s="77">
        <f t="shared" ca="1" si="813"/>
        <v>0</v>
      </c>
    </row>
    <row r="595" spans="72:101">
      <c r="BT595" s="77" t="str">
        <f t="shared" ca="1" si="803"/>
        <v>Portugal</v>
      </c>
      <c r="BU595" s="77">
        <f t="shared" si="812"/>
        <v>593</v>
      </c>
      <c r="BV595" s="77" t="str">
        <f t="shared" si="809"/>
        <v>A20</v>
      </c>
      <c r="BW595" s="77">
        <f t="shared" si="806"/>
        <v>26</v>
      </c>
      <c r="BX595" s="77" t="str">
        <f t="shared" ca="1" si="804"/>
        <v>S. Varela</v>
      </c>
      <c r="BY595" s="77">
        <f ca="1">COUNTIF('Group Stages'!$L$14:$S$110,BX595)+COUNTIF('Knock Out Stages'!$N$41:$U$84,BX595)</f>
        <v>0</v>
      </c>
      <c r="BZ595" s="77" t="str">
        <f t="shared" si="807"/>
        <v>'Player Database'!A20</v>
      </c>
      <c r="CA595" s="77" t="str">
        <f t="shared" ca="1" si="808"/>
        <v>Silvestre Varela</v>
      </c>
      <c r="CS595" s="77">
        <f t="shared" si="810"/>
        <v>592</v>
      </c>
      <c r="CT595" s="77">
        <f t="shared" si="805"/>
        <v>15</v>
      </c>
      <c r="CU595" s="77" t="str">
        <f t="shared" si="802"/>
        <v>CR7</v>
      </c>
      <c r="CV595" s="77" t="str">
        <f t="shared" ca="1" si="811"/>
        <v/>
      </c>
      <c r="CW595" s="77">
        <f t="shared" ca="1" si="813"/>
        <v>0</v>
      </c>
    </row>
    <row r="596" spans="72:101">
      <c r="BT596" s="77" t="str">
        <f t="shared" ca="1" si="803"/>
        <v>Portugal</v>
      </c>
      <c r="BU596" s="77">
        <f t="shared" si="812"/>
        <v>594</v>
      </c>
      <c r="BV596" s="77" t="str">
        <f t="shared" si="809"/>
        <v>A21</v>
      </c>
      <c r="BW596" s="77">
        <f t="shared" si="806"/>
        <v>26</v>
      </c>
      <c r="BX596" s="77" t="str">
        <f t="shared" ca="1" si="804"/>
        <v>A. Almeida</v>
      </c>
      <c r="BY596" s="77">
        <f ca="1">COUNTIF('Group Stages'!$L$14:$S$110,BX596)+COUNTIF('Knock Out Stages'!$N$41:$U$84,BX596)</f>
        <v>0</v>
      </c>
      <c r="BZ596" s="77" t="str">
        <f t="shared" si="807"/>
        <v>'Player Database'!A21</v>
      </c>
      <c r="CA596" s="77" t="str">
        <f t="shared" ca="1" si="808"/>
        <v>André Almeida</v>
      </c>
      <c r="CS596" s="77">
        <f t="shared" si="810"/>
        <v>593</v>
      </c>
      <c r="CT596" s="77">
        <f t="shared" si="805"/>
        <v>15</v>
      </c>
      <c r="CU596" s="77" t="str">
        <f t="shared" si="802"/>
        <v>CR8</v>
      </c>
      <c r="CV596" s="77" t="str">
        <f t="shared" ca="1" si="811"/>
        <v/>
      </c>
      <c r="CW596" s="77">
        <f t="shared" ca="1" si="813"/>
        <v>0</v>
      </c>
    </row>
    <row r="597" spans="72:101">
      <c r="BT597" s="77" t="str">
        <f t="shared" ca="1" si="803"/>
        <v>Portugal</v>
      </c>
      <c r="BU597" s="77">
        <f t="shared" si="812"/>
        <v>595</v>
      </c>
      <c r="BV597" s="77" t="str">
        <f t="shared" si="809"/>
        <v>A22</v>
      </c>
      <c r="BW597" s="77">
        <f t="shared" si="806"/>
        <v>26</v>
      </c>
      <c r="BX597" s="77" t="str">
        <f t="shared" ca="1" si="804"/>
        <v>R. Amorim</v>
      </c>
      <c r="BY597" s="77">
        <f ca="1">COUNTIF('Group Stages'!$L$14:$S$110,BX597)+COUNTIF('Knock Out Stages'!$N$41:$U$84,BX597)</f>
        <v>0</v>
      </c>
      <c r="BZ597" s="77" t="str">
        <f t="shared" si="807"/>
        <v>'Player Database'!A22</v>
      </c>
      <c r="CA597" s="77" t="str">
        <f t="shared" ca="1" si="808"/>
        <v>Rúben Amorim</v>
      </c>
      <c r="CS597" s="77">
        <f t="shared" si="810"/>
        <v>594</v>
      </c>
      <c r="CT597" s="77">
        <f t="shared" si="805"/>
        <v>15</v>
      </c>
      <c r="CU597" s="77" t="str">
        <f t="shared" si="802"/>
        <v>CR9</v>
      </c>
      <c r="CV597" s="77" t="str">
        <f t="shared" ca="1" si="811"/>
        <v/>
      </c>
      <c r="CW597" s="77">
        <f t="shared" ca="1" si="813"/>
        <v>0</v>
      </c>
    </row>
    <row r="598" spans="72:101">
      <c r="BT598" s="77" t="str">
        <f t="shared" ca="1" si="803"/>
        <v>Portugal</v>
      </c>
      <c r="BU598" s="77">
        <f t="shared" si="812"/>
        <v>596</v>
      </c>
      <c r="BV598" s="77" t="str">
        <f t="shared" si="809"/>
        <v>A23</v>
      </c>
      <c r="BW598" s="77">
        <f t="shared" si="806"/>
        <v>26</v>
      </c>
      <c r="BX598" s="77" t="str">
        <f t="shared" ca="1" si="804"/>
        <v>J. Pereira</v>
      </c>
      <c r="BY598" s="77">
        <f ca="1">COUNTIF('Group Stages'!$L$14:$S$110,BX598)+COUNTIF('Knock Out Stages'!$N$41:$U$84,BX598)</f>
        <v>0</v>
      </c>
      <c r="BZ598" s="77" t="str">
        <f t="shared" si="807"/>
        <v>'Player Database'!A23</v>
      </c>
      <c r="CA598" s="77" t="str">
        <f t="shared" ca="1" si="808"/>
        <v>João Pereira</v>
      </c>
      <c r="CS598" s="77">
        <f t="shared" si="810"/>
        <v>595</v>
      </c>
      <c r="CT598" s="77">
        <f t="shared" si="805"/>
        <v>15</v>
      </c>
      <c r="CU598" s="77" t="str">
        <f t="shared" si="802"/>
        <v>CR10</v>
      </c>
      <c r="CV598" s="77" t="str">
        <f t="shared" ca="1" si="811"/>
        <v/>
      </c>
      <c r="CW598" s="77">
        <f t="shared" ca="1" si="813"/>
        <v>0</v>
      </c>
    </row>
    <row r="599" spans="72:101">
      <c r="BT599" s="77" t="str">
        <f t="shared" ca="1" si="803"/>
        <v>Portugal</v>
      </c>
      <c r="BU599" s="77">
        <f t="shared" si="812"/>
        <v>597</v>
      </c>
      <c r="BV599" s="77" t="str">
        <f t="shared" si="809"/>
        <v>A24</v>
      </c>
      <c r="BW599" s="77">
        <f t="shared" si="806"/>
        <v>26</v>
      </c>
      <c r="BX599" s="77" t="str">
        <f t="shared" ca="1" si="804"/>
        <v>Beto</v>
      </c>
      <c r="BY599" s="77">
        <f ca="1">COUNTIF('Group Stages'!$L$14:$S$110,BX599)+COUNTIF('Knock Out Stages'!$N$41:$U$84,BX599)</f>
        <v>0</v>
      </c>
      <c r="BZ599" s="77" t="str">
        <f t="shared" si="807"/>
        <v>'Player Database'!A24</v>
      </c>
      <c r="CA599" s="77" t="str">
        <f t="shared" ca="1" si="808"/>
        <v>Beto</v>
      </c>
      <c r="CS599" s="77">
        <f t="shared" si="810"/>
        <v>596</v>
      </c>
      <c r="CT599" s="77">
        <f t="shared" si="805"/>
        <v>15</v>
      </c>
      <c r="CU599" s="77" t="str">
        <f t="shared" si="802"/>
        <v>CR11</v>
      </c>
      <c r="CV599" s="77" t="str">
        <f t="shared" ca="1" si="811"/>
        <v/>
      </c>
      <c r="CW599" s="77">
        <f t="shared" ca="1" si="813"/>
        <v>0</v>
      </c>
    </row>
    <row r="600" spans="72:101">
      <c r="BT600" s="77" t="str">
        <f t="shared" ca="1" si="803"/>
        <v>Portugal</v>
      </c>
      <c r="BU600" s="77">
        <f t="shared" si="812"/>
        <v>598</v>
      </c>
      <c r="BV600" s="77" t="str">
        <f t="shared" si="809"/>
        <v>A25</v>
      </c>
      <c r="BW600" s="77">
        <f t="shared" si="806"/>
        <v>26</v>
      </c>
      <c r="BX600" s="77" t="str">
        <f t="shared" ca="1" si="804"/>
        <v>H. Postiga</v>
      </c>
      <c r="BY600" s="77">
        <f ca="1">COUNTIF('Group Stages'!$L$14:$S$110,BX600)+COUNTIF('Knock Out Stages'!$N$41:$U$84,BX600)</f>
        <v>0</v>
      </c>
      <c r="BZ600" s="77" t="str">
        <f t="shared" si="807"/>
        <v>'Player Database'!A25</v>
      </c>
      <c r="CA600" s="77" t="str">
        <f t="shared" ca="1" si="808"/>
        <v>Hélder Postiga</v>
      </c>
      <c r="CS600" s="77">
        <f t="shared" si="810"/>
        <v>597</v>
      </c>
      <c r="CT600" s="77">
        <f t="shared" si="805"/>
        <v>15</v>
      </c>
      <c r="CU600" s="77" t="str">
        <f t="shared" si="802"/>
        <v>CR12</v>
      </c>
      <c r="CV600" s="77" t="str">
        <f t="shared" ca="1" si="811"/>
        <v/>
      </c>
      <c r="CW600" s="77">
        <f t="shared" ca="1" si="813"/>
        <v>0</v>
      </c>
    </row>
    <row r="601" spans="72:101">
      <c r="BT601" s="77" t="str">
        <f t="shared" ca="1" si="803"/>
        <v>Ghana</v>
      </c>
      <c r="BU601" s="77">
        <f t="shared" si="812"/>
        <v>599</v>
      </c>
      <c r="BV601" s="77" t="str">
        <f t="shared" si="809"/>
        <v>A3</v>
      </c>
      <c r="BW601" s="77">
        <f t="shared" si="806"/>
        <v>27</v>
      </c>
      <c r="BX601" s="77" t="str">
        <f t="shared" ca="1" si="804"/>
        <v>S. Adams</v>
      </c>
      <c r="BY601" s="77">
        <f ca="1">COUNTIF('Group Stages'!$L$14:$S$110,BX601)+COUNTIF('Knock Out Stages'!$N$41:$U$84,BX601)</f>
        <v>0</v>
      </c>
      <c r="BZ601" s="77" t="str">
        <f t="shared" si="807"/>
        <v>'Player Database'!A3</v>
      </c>
      <c r="CA601" s="77" t="str">
        <f t="shared" ca="1" si="808"/>
        <v>Stephen Adams</v>
      </c>
      <c r="CS601" s="77">
        <f t="shared" si="810"/>
        <v>598</v>
      </c>
      <c r="CT601" s="77">
        <f t="shared" si="805"/>
        <v>15</v>
      </c>
      <c r="CU601" s="77" t="str">
        <f t="shared" ref="CU601:CU633" si="814">CU559</f>
        <v>CR13</v>
      </c>
      <c r="CV601" s="77" t="str">
        <f t="shared" ca="1" si="811"/>
        <v/>
      </c>
      <c r="CW601" s="77">
        <f t="shared" ca="1" si="813"/>
        <v>0</v>
      </c>
    </row>
    <row r="602" spans="72:101">
      <c r="BT602" s="77" t="str">
        <f t="shared" ca="1" si="803"/>
        <v>Ghana</v>
      </c>
      <c r="BU602" s="77">
        <f t="shared" si="812"/>
        <v>600</v>
      </c>
      <c r="BV602" s="77" t="str">
        <f t="shared" si="809"/>
        <v>A4</v>
      </c>
      <c r="BW602" s="77">
        <f t="shared" si="806"/>
        <v>27</v>
      </c>
      <c r="BX602" s="77" t="str">
        <f t="shared" ca="1" si="804"/>
        <v>S. Inkoom</v>
      </c>
      <c r="BY602" s="77">
        <f ca="1">COUNTIF('Group Stages'!$L$14:$S$110,BX602)+COUNTIF('Knock Out Stages'!$N$41:$U$84,BX602)</f>
        <v>0</v>
      </c>
      <c r="BZ602" s="77" t="str">
        <f t="shared" si="807"/>
        <v>'Player Database'!A4</v>
      </c>
      <c r="CA602" s="77" t="str">
        <f t="shared" ca="1" si="808"/>
        <v>Samuel Inkoom</v>
      </c>
      <c r="CS602" s="77">
        <f t="shared" si="810"/>
        <v>599</v>
      </c>
      <c r="CT602" s="77">
        <f t="shared" si="805"/>
        <v>15</v>
      </c>
      <c r="CU602" s="77" t="str">
        <f t="shared" si="814"/>
        <v>CR14</v>
      </c>
      <c r="CV602" s="77" t="str">
        <f t="shared" ca="1" si="811"/>
        <v/>
      </c>
      <c r="CW602" s="77">
        <f t="shared" ca="1" si="813"/>
        <v>0</v>
      </c>
    </row>
    <row r="603" spans="72:101">
      <c r="BT603" s="77" t="str">
        <f t="shared" ref="BT603:BT666" ca="1" si="815">OFFSET($A$2,0,BW603)</f>
        <v>Ghana</v>
      </c>
      <c r="BU603" s="77">
        <f t="shared" si="812"/>
        <v>601</v>
      </c>
      <c r="BV603" s="77" t="str">
        <f t="shared" si="809"/>
        <v>A5</v>
      </c>
      <c r="BW603" s="77">
        <f t="shared" si="806"/>
        <v>27</v>
      </c>
      <c r="BX603" s="77" t="str">
        <f t="shared" ca="1" si="804"/>
        <v xml:space="preserve">A. Gyan </v>
      </c>
      <c r="BY603" s="77">
        <f ca="1">COUNTIF('Group Stages'!$L$14:$S$110,BX603)+COUNTIF('Knock Out Stages'!$N$41:$U$84,BX603)</f>
        <v>0</v>
      </c>
      <c r="BZ603" s="77" t="str">
        <f t="shared" si="807"/>
        <v>'Player Database'!A5</v>
      </c>
      <c r="CA603" s="77" t="str">
        <f t="shared" ca="1" si="808"/>
        <v xml:space="preserve">Asamoah Gyan </v>
      </c>
      <c r="CS603" s="77">
        <f t="shared" si="810"/>
        <v>600</v>
      </c>
      <c r="CT603" s="77">
        <f t="shared" si="805"/>
        <v>15</v>
      </c>
      <c r="CU603" s="77" t="str">
        <f t="shared" si="814"/>
        <v>CR15</v>
      </c>
      <c r="CV603" s="77" t="str">
        <f t="shared" ca="1" si="811"/>
        <v/>
      </c>
      <c r="CW603" s="77">
        <f t="shared" ca="1" si="813"/>
        <v>0</v>
      </c>
    </row>
    <row r="604" spans="72:101">
      <c r="BT604" s="77" t="str">
        <f t="shared" ca="1" si="815"/>
        <v>Ghana</v>
      </c>
      <c r="BU604" s="77">
        <f t="shared" si="812"/>
        <v>602</v>
      </c>
      <c r="BV604" s="77" t="str">
        <f t="shared" si="809"/>
        <v>A6</v>
      </c>
      <c r="BW604" s="77">
        <f t="shared" si="806"/>
        <v>27</v>
      </c>
      <c r="BX604" s="77" t="str">
        <f t="shared" ca="1" si="804"/>
        <v>D. Opare</v>
      </c>
      <c r="BY604" s="77">
        <f ca="1">COUNTIF('Group Stages'!$L$14:$S$110,BX604)+COUNTIF('Knock Out Stages'!$N$41:$U$84,BX604)</f>
        <v>0</v>
      </c>
      <c r="BZ604" s="77" t="str">
        <f t="shared" si="807"/>
        <v>'Player Database'!A6</v>
      </c>
      <c r="CA604" s="77" t="str">
        <f t="shared" ca="1" si="808"/>
        <v>Daniel Opare</v>
      </c>
      <c r="CS604" s="77">
        <f t="shared" si="810"/>
        <v>601</v>
      </c>
      <c r="CT604" s="77">
        <f t="shared" si="805"/>
        <v>15</v>
      </c>
      <c r="CU604" s="77" t="str">
        <f t="shared" si="814"/>
        <v>CR16</v>
      </c>
      <c r="CV604" s="77" t="str">
        <f t="shared" ca="1" si="811"/>
        <v/>
      </c>
      <c r="CW604" s="77">
        <f t="shared" ca="1" si="813"/>
        <v>0</v>
      </c>
    </row>
    <row r="605" spans="72:101">
      <c r="BT605" s="77" t="str">
        <f t="shared" ca="1" si="815"/>
        <v>Ghana</v>
      </c>
      <c r="BU605" s="77">
        <f t="shared" si="812"/>
        <v>603</v>
      </c>
      <c r="BV605" s="77" t="str">
        <f t="shared" si="809"/>
        <v>A7</v>
      </c>
      <c r="BW605" s="77">
        <f t="shared" si="806"/>
        <v>27</v>
      </c>
      <c r="BX605" s="77" t="str">
        <f t="shared" ca="1" si="804"/>
        <v>M. Essien</v>
      </c>
      <c r="BY605" s="77">
        <f ca="1">COUNTIF('Group Stages'!$L$14:$S$110,BX605)+COUNTIF('Knock Out Stages'!$N$41:$U$84,BX605)</f>
        <v>0</v>
      </c>
      <c r="BZ605" s="77" t="str">
        <f t="shared" si="807"/>
        <v>'Player Database'!A7</v>
      </c>
      <c r="CA605" s="77" t="str">
        <f t="shared" ca="1" si="808"/>
        <v>Michael Essien</v>
      </c>
      <c r="CS605" s="77">
        <f t="shared" si="810"/>
        <v>602</v>
      </c>
      <c r="CT605" s="77">
        <f t="shared" si="805"/>
        <v>15</v>
      </c>
      <c r="CU605" s="77" t="str">
        <f t="shared" si="814"/>
        <v>CR17</v>
      </c>
      <c r="CV605" s="77" t="str">
        <f t="shared" ca="1" si="811"/>
        <v/>
      </c>
      <c r="CW605" s="77">
        <f t="shared" ca="1" si="813"/>
        <v>0</v>
      </c>
    </row>
    <row r="606" spans="72:101">
      <c r="BT606" s="77" t="str">
        <f t="shared" ca="1" si="815"/>
        <v>Ghana</v>
      </c>
      <c r="BU606" s="77">
        <f t="shared" si="812"/>
        <v>604</v>
      </c>
      <c r="BV606" s="77" t="str">
        <f t="shared" si="809"/>
        <v>A8</v>
      </c>
      <c r="BW606" s="77">
        <f t="shared" si="806"/>
        <v>27</v>
      </c>
      <c r="BX606" s="77" t="str">
        <f t="shared" ca="1" si="804"/>
        <v>A. Acquah</v>
      </c>
      <c r="BY606" s="77">
        <f ca="1">COUNTIF('Group Stages'!$L$14:$S$110,BX606)+COUNTIF('Knock Out Stages'!$N$41:$U$84,BX606)</f>
        <v>0</v>
      </c>
      <c r="BZ606" s="77" t="str">
        <f t="shared" si="807"/>
        <v>'Player Database'!A8</v>
      </c>
      <c r="CA606" s="77" t="str">
        <f t="shared" ca="1" si="808"/>
        <v>Afriyie Acquah</v>
      </c>
      <c r="CS606" s="77">
        <f t="shared" si="810"/>
        <v>603</v>
      </c>
      <c r="CT606" s="77">
        <f t="shared" si="805"/>
        <v>15</v>
      </c>
      <c r="CU606" s="77" t="str">
        <f t="shared" si="814"/>
        <v>CR18</v>
      </c>
      <c r="CV606" s="77" t="str">
        <f t="shared" ca="1" si="811"/>
        <v/>
      </c>
      <c r="CW606" s="77">
        <f t="shared" ca="1" si="813"/>
        <v>0</v>
      </c>
    </row>
    <row r="607" spans="72:101">
      <c r="BT607" s="77" t="str">
        <f t="shared" ca="1" si="815"/>
        <v>Ghana</v>
      </c>
      <c r="BU607" s="77">
        <f t="shared" si="812"/>
        <v>605</v>
      </c>
      <c r="BV607" s="77" t="str">
        <f t="shared" si="809"/>
        <v>A9</v>
      </c>
      <c r="BW607" s="77">
        <f t="shared" si="806"/>
        <v>27</v>
      </c>
      <c r="BX607" s="77" t="str">
        <f t="shared" ca="1" si="804"/>
        <v>C. Atsu</v>
      </c>
      <c r="BY607" s="77">
        <f ca="1">COUNTIF('Group Stages'!$L$14:$S$110,BX607)+COUNTIF('Knock Out Stages'!$N$41:$U$84,BX607)</f>
        <v>0</v>
      </c>
      <c r="BZ607" s="77" t="str">
        <f t="shared" si="807"/>
        <v>'Player Database'!A9</v>
      </c>
      <c r="CA607" s="77" t="str">
        <f t="shared" ca="1" si="808"/>
        <v>Christian Atsu</v>
      </c>
      <c r="CS607" s="77">
        <f t="shared" si="810"/>
        <v>604</v>
      </c>
      <c r="CT607" s="77">
        <f t="shared" si="805"/>
        <v>15</v>
      </c>
      <c r="CU607" s="77" t="str">
        <f t="shared" si="814"/>
        <v>CR19</v>
      </c>
      <c r="CV607" s="77" t="str">
        <f t="shared" ca="1" si="811"/>
        <v/>
      </c>
      <c r="CW607" s="77">
        <f t="shared" ca="1" si="813"/>
        <v>0</v>
      </c>
    </row>
    <row r="608" spans="72:101">
      <c r="BT608" s="77" t="str">
        <f t="shared" ca="1" si="815"/>
        <v>Ghana</v>
      </c>
      <c r="BU608" s="77">
        <f t="shared" si="812"/>
        <v>606</v>
      </c>
      <c r="BV608" s="77" t="str">
        <f t="shared" si="809"/>
        <v>A10</v>
      </c>
      <c r="BW608" s="77">
        <f t="shared" si="806"/>
        <v>27</v>
      </c>
      <c r="BX608" s="77" t="str">
        <f t="shared" ca="1" si="804"/>
        <v>E. Agyemang-Badu</v>
      </c>
      <c r="BY608" s="77">
        <f ca="1">COUNTIF('Group Stages'!$L$14:$S$110,BX608)+COUNTIF('Knock Out Stages'!$N$41:$U$84,BX608)</f>
        <v>0</v>
      </c>
      <c r="BZ608" s="77" t="str">
        <f t="shared" si="807"/>
        <v>'Player Database'!A10</v>
      </c>
      <c r="CA608" s="77" t="str">
        <f t="shared" ca="1" si="808"/>
        <v>Emmanuel Agyemang-Badu</v>
      </c>
      <c r="CS608" s="77">
        <f t="shared" si="810"/>
        <v>605</v>
      </c>
      <c r="CT608" s="77">
        <f t="shared" si="805"/>
        <v>15</v>
      </c>
      <c r="CU608" s="77" t="str">
        <f t="shared" si="814"/>
        <v>CR20</v>
      </c>
      <c r="CV608" s="77" t="str">
        <f t="shared" ca="1" si="811"/>
        <v/>
      </c>
      <c r="CW608" s="77">
        <f t="shared" ca="1" si="813"/>
        <v>0</v>
      </c>
    </row>
    <row r="609" spans="72:101">
      <c r="BT609" s="77" t="str">
        <f t="shared" ca="1" si="815"/>
        <v>Ghana</v>
      </c>
      <c r="BU609" s="77">
        <f t="shared" si="812"/>
        <v>607</v>
      </c>
      <c r="BV609" s="77" t="str">
        <f t="shared" si="809"/>
        <v>A11</v>
      </c>
      <c r="BW609" s="77">
        <f t="shared" si="806"/>
        <v>27</v>
      </c>
      <c r="BX609" s="77" t="str">
        <f t="shared" ca="1" si="804"/>
        <v>K. Boateng</v>
      </c>
      <c r="BY609" s="77">
        <f ca="1">COUNTIF('Group Stages'!$L$14:$S$110,BX609)+COUNTIF('Knock Out Stages'!$N$41:$U$84,BX609)</f>
        <v>0</v>
      </c>
      <c r="BZ609" s="77" t="str">
        <f t="shared" si="807"/>
        <v>'Player Database'!A11</v>
      </c>
      <c r="CA609" s="77" t="str">
        <f t="shared" ca="1" si="808"/>
        <v>Kevin-Prince Boateng</v>
      </c>
      <c r="CS609" s="77">
        <f t="shared" si="810"/>
        <v>606</v>
      </c>
      <c r="CT609" s="77">
        <f t="shared" si="805"/>
        <v>15</v>
      </c>
      <c r="CU609" s="77" t="str">
        <f t="shared" si="814"/>
        <v>CR21</v>
      </c>
      <c r="CV609" s="77" t="str">
        <f t="shared" ca="1" si="811"/>
        <v/>
      </c>
      <c r="CW609" s="77">
        <f t="shared" ca="1" si="813"/>
        <v>0</v>
      </c>
    </row>
    <row r="610" spans="72:101">
      <c r="BT610" s="77" t="str">
        <f t="shared" ca="1" si="815"/>
        <v>Ghana</v>
      </c>
      <c r="BU610" s="77">
        <f t="shared" si="812"/>
        <v>608</v>
      </c>
      <c r="BV610" s="77" t="str">
        <f t="shared" si="809"/>
        <v>A12</v>
      </c>
      <c r="BW610" s="77">
        <f t="shared" si="806"/>
        <v>27</v>
      </c>
      <c r="BX610" s="77" t="str">
        <f t="shared" ca="1" si="804"/>
        <v>A. Ayew</v>
      </c>
      <c r="BY610" s="77">
        <f ca="1">COUNTIF('Group Stages'!$L$14:$S$110,BX610)+COUNTIF('Knock Out Stages'!$N$41:$U$84,BX610)</f>
        <v>0</v>
      </c>
      <c r="BZ610" s="77" t="str">
        <f t="shared" si="807"/>
        <v>'Player Database'!A12</v>
      </c>
      <c r="CA610" s="77" t="str">
        <f t="shared" ca="1" si="808"/>
        <v>André Ayew</v>
      </c>
      <c r="CS610" s="77">
        <f t="shared" si="810"/>
        <v>607</v>
      </c>
      <c r="CT610" s="77">
        <f t="shared" si="805"/>
        <v>15</v>
      </c>
      <c r="CU610" s="77" t="str">
        <f t="shared" si="814"/>
        <v>CR22</v>
      </c>
      <c r="CV610" s="77" t="str">
        <f t="shared" ca="1" si="811"/>
        <v/>
      </c>
      <c r="CW610" s="77">
        <f t="shared" ca="1" si="813"/>
        <v>0</v>
      </c>
    </row>
    <row r="611" spans="72:101">
      <c r="BT611" s="77" t="str">
        <f t="shared" ca="1" si="815"/>
        <v>Ghana</v>
      </c>
      <c r="BU611" s="77">
        <f t="shared" si="812"/>
        <v>609</v>
      </c>
      <c r="BV611" s="77" t="str">
        <f t="shared" si="809"/>
        <v>A13</v>
      </c>
      <c r="BW611" s="77">
        <f t="shared" si="806"/>
        <v>27</v>
      </c>
      <c r="BX611" s="77" t="str">
        <f t="shared" ca="1" si="804"/>
        <v>S. Muntari</v>
      </c>
      <c r="BY611" s="77">
        <f ca="1">COUNTIF('Group Stages'!$L$14:$S$110,BX611)+COUNTIF('Knock Out Stages'!$N$41:$U$84,BX611)</f>
        <v>0</v>
      </c>
      <c r="BZ611" s="77" t="str">
        <f t="shared" si="807"/>
        <v>'Player Database'!A13</v>
      </c>
      <c r="CA611" s="77" t="str">
        <f t="shared" ca="1" si="808"/>
        <v>Sulley Muntari</v>
      </c>
      <c r="CS611" s="77">
        <f t="shared" si="810"/>
        <v>608</v>
      </c>
      <c r="CT611" s="77">
        <f t="shared" si="805"/>
        <v>15</v>
      </c>
      <c r="CU611" s="77" t="str">
        <f t="shared" si="814"/>
        <v>CR23</v>
      </c>
      <c r="CV611" s="77" t="str">
        <f t="shared" ca="1" si="811"/>
        <v/>
      </c>
      <c r="CW611" s="77">
        <f t="shared" ca="1" si="813"/>
        <v>0</v>
      </c>
    </row>
    <row r="612" spans="72:101">
      <c r="BT612" s="77" t="str">
        <f t="shared" ca="1" si="815"/>
        <v>Ghana</v>
      </c>
      <c r="BU612" s="77">
        <f t="shared" si="812"/>
        <v>610</v>
      </c>
      <c r="BV612" s="77" t="str">
        <f t="shared" si="809"/>
        <v>A14</v>
      </c>
      <c r="BW612" s="77">
        <f t="shared" si="806"/>
        <v>27</v>
      </c>
      <c r="BX612" s="77" t="str">
        <f t="shared" ca="1" si="804"/>
        <v>A. Kwarasey</v>
      </c>
      <c r="BY612" s="77">
        <f ca="1">COUNTIF('Group Stages'!$L$14:$S$110,BX612)+COUNTIF('Knock Out Stages'!$N$41:$U$84,BX612)</f>
        <v>0</v>
      </c>
      <c r="BZ612" s="77" t="str">
        <f t="shared" si="807"/>
        <v>'Player Database'!A14</v>
      </c>
      <c r="CA612" s="77" t="str">
        <f t="shared" ca="1" si="808"/>
        <v>Adam Kwarasey</v>
      </c>
      <c r="CS612" s="77">
        <f t="shared" si="810"/>
        <v>609</v>
      </c>
      <c r="CT612" s="77">
        <f t="shared" si="805"/>
        <v>15</v>
      </c>
      <c r="CU612" s="77" t="str">
        <f t="shared" si="814"/>
        <v>CR24</v>
      </c>
      <c r="CV612" s="77" t="str">
        <f t="shared" ca="1" si="811"/>
        <v/>
      </c>
      <c r="CW612" s="77">
        <f t="shared" ca="1" si="813"/>
        <v>0</v>
      </c>
    </row>
    <row r="613" spans="72:101">
      <c r="BT613" s="77" t="str">
        <f t="shared" ca="1" si="815"/>
        <v>Ghana</v>
      </c>
      <c r="BU613" s="77">
        <f t="shared" si="812"/>
        <v>611</v>
      </c>
      <c r="BV613" s="77" t="str">
        <f t="shared" si="809"/>
        <v>A15</v>
      </c>
      <c r="BW613" s="77">
        <f t="shared" si="806"/>
        <v>27</v>
      </c>
      <c r="BX613" s="77" t="str">
        <f t="shared" ca="1" si="804"/>
        <v>J. Ayew</v>
      </c>
      <c r="BY613" s="77">
        <f ca="1">COUNTIF('Group Stages'!$L$14:$S$110,BX613)+COUNTIF('Knock Out Stages'!$N$41:$U$84,BX613)</f>
        <v>0</v>
      </c>
      <c r="BZ613" s="77" t="str">
        <f t="shared" si="807"/>
        <v>'Player Database'!A15</v>
      </c>
      <c r="CA613" s="77" t="str">
        <f t="shared" ca="1" si="808"/>
        <v>Jordan Ayew</v>
      </c>
      <c r="CS613" s="77">
        <f t="shared" si="810"/>
        <v>610</v>
      </c>
      <c r="CT613" s="77">
        <f t="shared" si="805"/>
        <v>15</v>
      </c>
      <c r="CU613" s="77" t="str">
        <f t="shared" si="814"/>
        <v>CR25</v>
      </c>
      <c r="CV613" s="77" t="str">
        <f t="shared" ca="1" si="811"/>
        <v/>
      </c>
      <c r="CW613" s="77">
        <f t="shared" ca="1" si="813"/>
        <v>0</v>
      </c>
    </row>
    <row r="614" spans="72:101">
      <c r="BT614" s="77" t="str">
        <f t="shared" ca="1" si="815"/>
        <v>Ghana</v>
      </c>
      <c r="BU614" s="77">
        <f t="shared" si="812"/>
        <v>612</v>
      </c>
      <c r="BV614" s="77" t="str">
        <f t="shared" si="809"/>
        <v>A16</v>
      </c>
      <c r="BW614" s="77">
        <f t="shared" si="806"/>
        <v>27</v>
      </c>
      <c r="BX614" s="77" t="str">
        <f t="shared" ca="1" si="804"/>
        <v>A. Adomah</v>
      </c>
      <c r="BY614" s="77">
        <f ca="1">COUNTIF('Group Stages'!$L$14:$S$110,BX614)+COUNTIF('Knock Out Stages'!$N$41:$U$84,BX614)</f>
        <v>0</v>
      </c>
      <c r="BZ614" s="77" t="str">
        <f t="shared" si="807"/>
        <v>'Player Database'!A16</v>
      </c>
      <c r="CA614" s="77" t="str">
        <f t="shared" ca="1" si="808"/>
        <v>Albert Adomah</v>
      </c>
      <c r="CS614" s="77">
        <f t="shared" si="810"/>
        <v>611</v>
      </c>
      <c r="CT614" s="77">
        <f t="shared" si="805"/>
        <v>15</v>
      </c>
      <c r="CU614" s="77" t="str">
        <f t="shared" si="814"/>
        <v>CR26</v>
      </c>
      <c r="CV614" s="77" t="str">
        <f t="shared" ca="1" si="811"/>
        <v/>
      </c>
      <c r="CW614" s="77">
        <f t="shared" ca="1" si="813"/>
        <v>0</v>
      </c>
    </row>
    <row r="615" spans="72:101">
      <c r="BT615" s="77" t="str">
        <f t="shared" ca="1" si="815"/>
        <v>Ghana</v>
      </c>
      <c r="BU615" s="77">
        <f t="shared" si="812"/>
        <v>613</v>
      </c>
      <c r="BV615" s="77" t="str">
        <f t="shared" si="809"/>
        <v>A17</v>
      </c>
      <c r="BW615" s="77">
        <f t="shared" si="806"/>
        <v>27</v>
      </c>
      <c r="BX615" s="77" t="str">
        <f t="shared" ca="1" si="804"/>
        <v>R. Sumaila</v>
      </c>
      <c r="BY615" s="77">
        <f ca="1">COUNTIF('Group Stages'!$L$14:$S$110,BX615)+COUNTIF('Knock Out Stages'!$N$41:$U$84,BX615)</f>
        <v>0</v>
      </c>
      <c r="BZ615" s="77" t="str">
        <f t="shared" si="807"/>
        <v>'Player Database'!A17</v>
      </c>
      <c r="CA615" s="77" t="str">
        <f t="shared" ca="1" si="808"/>
        <v>Rashid Sumaila</v>
      </c>
      <c r="CS615" s="77">
        <f t="shared" si="810"/>
        <v>612</v>
      </c>
      <c r="CT615" s="77">
        <f t="shared" si="805"/>
        <v>15</v>
      </c>
      <c r="CU615" s="77" t="str">
        <f t="shared" si="814"/>
        <v>CR27</v>
      </c>
      <c r="CV615" s="77" t="str">
        <f t="shared" ca="1" si="811"/>
        <v/>
      </c>
      <c r="CW615" s="77">
        <f t="shared" ca="1" si="813"/>
        <v>0</v>
      </c>
    </row>
    <row r="616" spans="72:101">
      <c r="BT616" s="77" t="str">
        <f t="shared" ca="1" si="815"/>
        <v>Ghana</v>
      </c>
      <c r="BU616" s="77">
        <f t="shared" si="812"/>
        <v>614</v>
      </c>
      <c r="BV616" s="77" t="str">
        <f t="shared" si="809"/>
        <v>A18</v>
      </c>
      <c r="BW616" s="77">
        <f t="shared" si="806"/>
        <v>27</v>
      </c>
      <c r="BX616" s="77" t="str">
        <f t="shared" ca="1" si="804"/>
        <v>F. Dauda</v>
      </c>
      <c r="BY616" s="77">
        <f ca="1">COUNTIF('Group Stages'!$L$14:$S$110,BX616)+COUNTIF('Knock Out Stages'!$N$41:$U$84,BX616)</f>
        <v>0</v>
      </c>
      <c r="BZ616" s="77" t="str">
        <f t="shared" si="807"/>
        <v>'Player Database'!A18</v>
      </c>
      <c r="CA616" s="77" t="str">
        <f t="shared" ca="1" si="808"/>
        <v>Fatau Dauda</v>
      </c>
      <c r="CS616" s="77">
        <f t="shared" si="810"/>
        <v>613</v>
      </c>
      <c r="CT616" s="77">
        <f t="shared" si="805"/>
        <v>15</v>
      </c>
      <c r="CU616" s="77" t="str">
        <f t="shared" si="814"/>
        <v>CR28</v>
      </c>
      <c r="CV616" s="77" t="str">
        <f t="shared" ca="1" si="811"/>
        <v/>
      </c>
      <c r="CW616" s="77">
        <f t="shared" ca="1" si="813"/>
        <v>0</v>
      </c>
    </row>
    <row r="617" spans="72:101">
      <c r="BT617" s="77" t="str">
        <f t="shared" ca="1" si="815"/>
        <v>Ghana</v>
      </c>
      <c r="BU617" s="77">
        <f t="shared" si="812"/>
        <v>615</v>
      </c>
      <c r="BV617" s="77" t="str">
        <f t="shared" si="809"/>
        <v>A19</v>
      </c>
      <c r="BW617" s="77">
        <f t="shared" si="806"/>
        <v>27</v>
      </c>
      <c r="BX617" s="77" t="str">
        <f t="shared" ca="1" si="804"/>
        <v>M. Rabiu</v>
      </c>
      <c r="BY617" s="77">
        <f ca="1">COUNTIF('Group Stages'!$L$14:$S$110,BX617)+COUNTIF('Knock Out Stages'!$N$41:$U$84,BX617)</f>
        <v>0</v>
      </c>
      <c r="BZ617" s="77" t="str">
        <f t="shared" si="807"/>
        <v>'Player Database'!A19</v>
      </c>
      <c r="CA617" s="77" t="str">
        <f t="shared" ca="1" si="808"/>
        <v>Mohammed Rabiu</v>
      </c>
      <c r="CS617" s="77">
        <f t="shared" ref="CS617:CS623" si="816">CS616+1</f>
        <v>614</v>
      </c>
      <c r="CT617" s="77">
        <f t="shared" si="805"/>
        <v>15</v>
      </c>
      <c r="CU617" s="77" t="str">
        <f t="shared" si="814"/>
        <v>CR29</v>
      </c>
      <c r="CV617" s="77" t="str">
        <f t="shared" ref="CV617:CV623" ca="1" si="817">OFFSET(INDIRECT(CU617),0,-CT617)</f>
        <v/>
      </c>
      <c r="CW617" s="77">
        <f t="shared" ca="1" si="813"/>
        <v>0</v>
      </c>
    </row>
    <row r="618" spans="72:101">
      <c r="BT618" s="77" t="str">
        <f t="shared" ca="1" si="815"/>
        <v>Ghana</v>
      </c>
      <c r="BU618" s="77">
        <f t="shared" si="812"/>
        <v>616</v>
      </c>
      <c r="BV618" s="77" t="str">
        <f t="shared" si="809"/>
        <v>A20</v>
      </c>
      <c r="BW618" s="77">
        <f t="shared" si="806"/>
        <v>27</v>
      </c>
      <c r="BX618" s="77" t="str">
        <f t="shared" ca="1" si="804"/>
        <v>M. Waris</v>
      </c>
      <c r="BY618" s="77">
        <f ca="1">COUNTIF('Group Stages'!$L$14:$S$110,BX618)+COUNTIF('Knock Out Stages'!$N$41:$U$84,BX618)</f>
        <v>0</v>
      </c>
      <c r="BZ618" s="77" t="str">
        <f t="shared" si="807"/>
        <v>'Player Database'!A20</v>
      </c>
      <c r="CA618" s="77" t="str">
        <f t="shared" ca="1" si="808"/>
        <v>Majeed Waris</v>
      </c>
      <c r="CS618" s="77">
        <f t="shared" si="816"/>
        <v>615</v>
      </c>
      <c r="CT618" s="77">
        <f t="shared" si="805"/>
        <v>15</v>
      </c>
      <c r="CU618" s="77" t="str">
        <f t="shared" si="814"/>
        <v>CR30</v>
      </c>
      <c r="CV618" s="77" t="str">
        <f t="shared" ca="1" si="817"/>
        <v/>
      </c>
      <c r="CW618" s="77">
        <f t="shared" ca="1" si="813"/>
        <v>0</v>
      </c>
    </row>
    <row r="619" spans="72:101">
      <c r="BT619" s="77" t="str">
        <f t="shared" ca="1" si="815"/>
        <v>Ghana</v>
      </c>
      <c r="BU619" s="77">
        <f t="shared" si="812"/>
        <v>617</v>
      </c>
      <c r="BV619" s="77" t="str">
        <f t="shared" si="809"/>
        <v>A21</v>
      </c>
      <c r="BW619" s="77">
        <f t="shared" si="806"/>
        <v>27</v>
      </c>
      <c r="BX619" s="77" t="str">
        <f t="shared" ca="1" si="804"/>
        <v>J. Mensah</v>
      </c>
      <c r="BY619" s="77">
        <f ca="1">COUNTIF('Group Stages'!$L$14:$S$110,BX619)+COUNTIF('Knock Out Stages'!$N$41:$U$84,BX619)</f>
        <v>0</v>
      </c>
      <c r="BZ619" s="77" t="str">
        <f t="shared" si="807"/>
        <v>'Player Database'!A21</v>
      </c>
      <c r="CA619" s="77" t="str">
        <f t="shared" ca="1" si="808"/>
        <v>Jonathan Mensah</v>
      </c>
      <c r="CS619" s="77">
        <f t="shared" si="816"/>
        <v>616</v>
      </c>
      <c r="CT619" s="77">
        <f t="shared" si="805"/>
        <v>15</v>
      </c>
      <c r="CU619" s="77" t="str">
        <f t="shared" si="814"/>
        <v>CR31</v>
      </c>
      <c r="CV619" s="77" t="str">
        <f t="shared" ca="1" si="817"/>
        <v/>
      </c>
      <c r="CW619" s="77">
        <f t="shared" ca="1" si="813"/>
        <v>0</v>
      </c>
    </row>
    <row r="620" spans="72:101">
      <c r="BT620" s="77" t="str">
        <f t="shared" ca="1" si="815"/>
        <v>Ghana</v>
      </c>
      <c r="BU620" s="77">
        <f t="shared" si="812"/>
        <v>618</v>
      </c>
      <c r="BV620" s="77" t="str">
        <f t="shared" si="809"/>
        <v>A22</v>
      </c>
      <c r="BW620" s="77">
        <f t="shared" si="806"/>
        <v>27</v>
      </c>
      <c r="BX620" s="77" t="str">
        <f t="shared" ca="1" si="804"/>
        <v>K. Asamoah</v>
      </c>
      <c r="BY620" s="77">
        <f ca="1">COUNTIF('Group Stages'!$L$14:$S$110,BX620)+COUNTIF('Knock Out Stages'!$N$41:$U$84,BX620)</f>
        <v>0</v>
      </c>
      <c r="BZ620" s="77" t="str">
        <f t="shared" si="807"/>
        <v>'Player Database'!A22</v>
      </c>
      <c r="CA620" s="77" t="str">
        <f t="shared" ca="1" si="808"/>
        <v>Kwadwo Asamoah</v>
      </c>
      <c r="CS620" s="77">
        <f t="shared" si="816"/>
        <v>617</v>
      </c>
      <c r="CT620" s="77">
        <f t="shared" si="805"/>
        <v>15</v>
      </c>
      <c r="CU620" s="77" t="str">
        <f t="shared" si="814"/>
        <v>CR32</v>
      </c>
      <c r="CV620" s="77" t="str">
        <f t="shared" ca="1" si="817"/>
        <v/>
      </c>
      <c r="CW620" s="77">
        <f t="shared" ca="1" si="813"/>
        <v>0</v>
      </c>
    </row>
    <row r="621" spans="72:101">
      <c r="BT621" s="77" t="str">
        <f t="shared" ca="1" si="815"/>
        <v>Ghana</v>
      </c>
      <c r="BU621" s="77">
        <f t="shared" si="812"/>
        <v>619</v>
      </c>
      <c r="BV621" s="77" t="str">
        <f t="shared" si="809"/>
        <v>A23</v>
      </c>
      <c r="BW621" s="77">
        <f t="shared" si="806"/>
        <v>27</v>
      </c>
      <c r="BX621" s="77" t="str">
        <f t="shared" ca="1" si="804"/>
        <v>J. Boye</v>
      </c>
      <c r="BY621" s="77">
        <f ca="1">COUNTIF('Group Stages'!$L$14:$S$110,BX621)+COUNTIF('Knock Out Stages'!$N$41:$U$84,BX621)</f>
        <v>0</v>
      </c>
      <c r="BZ621" s="77" t="str">
        <f t="shared" si="807"/>
        <v>'Player Database'!A23</v>
      </c>
      <c r="CA621" s="77" t="str">
        <f t="shared" ca="1" si="808"/>
        <v>John Boye</v>
      </c>
      <c r="CS621" s="77">
        <f t="shared" si="816"/>
        <v>618</v>
      </c>
      <c r="CT621" s="77">
        <f t="shared" si="805"/>
        <v>15</v>
      </c>
      <c r="CU621" s="77" t="str">
        <f t="shared" si="814"/>
        <v>CR33</v>
      </c>
      <c r="CV621" s="77" t="str">
        <f t="shared" ca="1" si="817"/>
        <v/>
      </c>
      <c r="CW621" s="77">
        <f t="shared" ca="1" si="813"/>
        <v>0</v>
      </c>
    </row>
    <row r="622" spans="72:101">
      <c r="BT622" s="77" t="str">
        <f t="shared" ca="1" si="815"/>
        <v>Ghana</v>
      </c>
      <c r="BU622" s="77">
        <f t="shared" si="812"/>
        <v>620</v>
      </c>
      <c r="BV622" s="77" t="str">
        <f t="shared" si="809"/>
        <v>A24</v>
      </c>
      <c r="BW622" s="77">
        <f t="shared" si="806"/>
        <v>27</v>
      </c>
      <c r="BX622" s="77" t="str">
        <f t="shared" ca="1" si="804"/>
        <v>W. Mubarak</v>
      </c>
      <c r="BY622" s="77">
        <f ca="1">COUNTIF('Group Stages'!$L$14:$S$110,BX622)+COUNTIF('Knock Out Stages'!$N$41:$U$84,BX622)</f>
        <v>0</v>
      </c>
      <c r="BZ622" s="77" t="str">
        <f t="shared" si="807"/>
        <v>'Player Database'!A24</v>
      </c>
      <c r="CA622" s="77" t="str">
        <f t="shared" ca="1" si="808"/>
        <v>Wakaso Mubarak</v>
      </c>
      <c r="CS622" s="77">
        <f t="shared" si="816"/>
        <v>619</v>
      </c>
      <c r="CT622" s="77">
        <f t="shared" si="805"/>
        <v>15</v>
      </c>
      <c r="CU622" s="77" t="str">
        <f t="shared" si="814"/>
        <v>CR34</v>
      </c>
      <c r="CV622" s="77" t="str">
        <f t="shared" ca="1" si="817"/>
        <v/>
      </c>
      <c r="CW622" s="77">
        <f t="shared" ca="1" si="813"/>
        <v>0</v>
      </c>
    </row>
    <row r="623" spans="72:101">
      <c r="BT623" s="77" t="str">
        <f t="shared" ca="1" si="815"/>
        <v>Ghana</v>
      </c>
      <c r="BU623" s="77">
        <f t="shared" si="812"/>
        <v>621</v>
      </c>
      <c r="BV623" s="77" t="str">
        <f t="shared" si="809"/>
        <v>A25</v>
      </c>
      <c r="BW623" s="77">
        <f t="shared" si="806"/>
        <v>27</v>
      </c>
      <c r="BX623" s="77" t="str">
        <f t="shared" ca="1" si="804"/>
        <v>H. Afful</v>
      </c>
      <c r="BY623" s="77">
        <f ca="1">COUNTIF('Group Stages'!$L$14:$S$110,BX623)+COUNTIF('Knock Out Stages'!$N$41:$U$84,BX623)</f>
        <v>0</v>
      </c>
      <c r="BZ623" s="77" t="str">
        <f t="shared" si="807"/>
        <v>'Player Database'!A25</v>
      </c>
      <c r="CA623" s="77" t="str">
        <f t="shared" ca="1" si="808"/>
        <v>Harrison Afful</v>
      </c>
      <c r="CS623" s="77">
        <f t="shared" si="816"/>
        <v>620</v>
      </c>
      <c r="CT623" s="77">
        <f t="shared" si="805"/>
        <v>15</v>
      </c>
      <c r="CU623" s="77" t="str">
        <f t="shared" si="814"/>
        <v>CR35</v>
      </c>
      <c r="CV623" s="77" t="str">
        <f t="shared" ca="1" si="817"/>
        <v/>
      </c>
      <c r="CW623" s="77">
        <f t="shared" ca="1" si="813"/>
        <v>0</v>
      </c>
    </row>
    <row r="624" spans="72:101">
      <c r="BT624" s="77" t="str">
        <f t="shared" ca="1" si="815"/>
        <v>USA</v>
      </c>
      <c r="BU624" s="77">
        <f t="shared" si="812"/>
        <v>622</v>
      </c>
      <c r="BV624" s="77" t="str">
        <f t="shared" si="809"/>
        <v>A3</v>
      </c>
      <c r="BW624" s="77">
        <f t="shared" si="806"/>
        <v>28</v>
      </c>
      <c r="BX624" s="77" t="str">
        <f t="shared" ref="BX624:BX687" ca="1" si="818">OFFSET(INDIRECT(BV624),0,BW624)</f>
        <v>T. Howard</v>
      </c>
      <c r="BY624" s="77">
        <f ca="1">COUNTIF('Group Stages'!$L$14:$S$110,BX624)+COUNTIF('Knock Out Stages'!$N$41:$U$84,BX624)</f>
        <v>0</v>
      </c>
      <c r="BZ624" s="77" t="str">
        <f t="shared" si="807"/>
        <v>'Player Database'!A3</v>
      </c>
      <c r="CA624" s="77" t="str">
        <f t="shared" ca="1" si="808"/>
        <v>Tim Howard</v>
      </c>
      <c r="CS624" s="77">
        <f t="shared" ref="CS624:CS633" si="819">CS623+1</f>
        <v>621</v>
      </c>
      <c r="CT624" s="77">
        <f t="shared" si="805"/>
        <v>15</v>
      </c>
      <c r="CU624" s="77" t="str">
        <f t="shared" si="814"/>
        <v>CR36</v>
      </c>
      <c r="CV624" s="77" t="str">
        <f t="shared" ref="CV624:CV633" ca="1" si="820">OFFSET(INDIRECT(CU624),0,-CT624)</f>
        <v/>
      </c>
      <c r="CW624" s="77">
        <f t="shared" ca="1" si="813"/>
        <v>0</v>
      </c>
    </row>
    <row r="625" spans="72:101">
      <c r="BT625" s="77" t="str">
        <f t="shared" ca="1" si="815"/>
        <v>USA</v>
      </c>
      <c r="BU625" s="77">
        <f t="shared" si="812"/>
        <v>623</v>
      </c>
      <c r="BV625" s="77" t="str">
        <f t="shared" si="809"/>
        <v>A4</v>
      </c>
      <c r="BW625" s="77">
        <f t="shared" si="806"/>
        <v>28</v>
      </c>
      <c r="BX625" s="77" t="str">
        <f t="shared" ca="1" si="818"/>
        <v>D. Yedlin</v>
      </c>
      <c r="BY625" s="77">
        <f ca="1">COUNTIF('Group Stages'!$L$14:$S$110,BX625)+COUNTIF('Knock Out Stages'!$N$41:$U$84,BX625)</f>
        <v>0</v>
      </c>
      <c r="BZ625" s="77" t="str">
        <f t="shared" si="807"/>
        <v>'Player Database'!A4</v>
      </c>
      <c r="CA625" s="77" t="str">
        <f t="shared" ca="1" si="808"/>
        <v>DeAndre Yedlin</v>
      </c>
      <c r="CS625" s="77">
        <f t="shared" si="819"/>
        <v>622</v>
      </c>
      <c r="CT625" s="77">
        <f t="shared" ref="CT625:CT633" si="821">CT583+1</f>
        <v>15</v>
      </c>
      <c r="CU625" s="77" t="str">
        <f t="shared" si="814"/>
        <v>CR37</v>
      </c>
      <c r="CV625" s="77" t="str">
        <f t="shared" ca="1" si="820"/>
        <v/>
      </c>
      <c r="CW625" s="77">
        <f t="shared" ca="1" si="813"/>
        <v>0</v>
      </c>
    </row>
    <row r="626" spans="72:101">
      <c r="BT626" s="77" t="str">
        <f t="shared" ca="1" si="815"/>
        <v>USA</v>
      </c>
      <c r="BU626" s="77">
        <f t="shared" si="812"/>
        <v>624</v>
      </c>
      <c r="BV626" s="77" t="str">
        <f t="shared" si="809"/>
        <v>A5</v>
      </c>
      <c r="BW626" s="77">
        <f t="shared" ref="BW626:BW689" si="822">BW603+1</f>
        <v>28</v>
      </c>
      <c r="BX626" s="77" t="str">
        <f t="shared" ca="1" si="818"/>
        <v>O. Gonzalez</v>
      </c>
      <c r="BY626" s="77">
        <f ca="1">COUNTIF('Group Stages'!$L$14:$S$110,BX626)+COUNTIF('Knock Out Stages'!$N$41:$U$84,BX626)</f>
        <v>0</v>
      </c>
      <c r="BZ626" s="77" t="str">
        <f t="shared" ref="BZ626:BZ689" si="823">BZ603</f>
        <v>'Player Database'!A5</v>
      </c>
      <c r="CA626" s="77" t="str">
        <f t="shared" ref="CA626:CA689" ca="1" si="824">OFFSET(INDIRECT(BZ626),0,BW626)</f>
        <v>Omar Gonzalez</v>
      </c>
      <c r="CS626" s="77">
        <f t="shared" si="819"/>
        <v>623</v>
      </c>
      <c r="CT626" s="77">
        <f t="shared" si="821"/>
        <v>15</v>
      </c>
      <c r="CU626" s="77" t="str">
        <f t="shared" si="814"/>
        <v>CR38</v>
      </c>
      <c r="CV626" s="77" t="str">
        <f t="shared" ca="1" si="820"/>
        <v/>
      </c>
      <c r="CW626" s="77">
        <f t="shared" ca="1" si="813"/>
        <v>0</v>
      </c>
    </row>
    <row r="627" spans="72:101">
      <c r="BT627" s="77" t="str">
        <f t="shared" ca="1" si="815"/>
        <v>USA</v>
      </c>
      <c r="BU627" s="77">
        <f t="shared" si="812"/>
        <v>625</v>
      </c>
      <c r="BV627" s="77" t="str">
        <f t="shared" ref="BV627:BV690" si="825">BV604</f>
        <v>A6</v>
      </c>
      <c r="BW627" s="77">
        <f t="shared" si="822"/>
        <v>28</v>
      </c>
      <c r="BX627" s="77" t="str">
        <f t="shared" ca="1" si="818"/>
        <v>M. Bradley</v>
      </c>
      <c r="BY627" s="77">
        <f ca="1">COUNTIF('Group Stages'!$L$14:$S$110,BX627)+COUNTIF('Knock Out Stages'!$N$41:$U$84,BX627)</f>
        <v>0</v>
      </c>
      <c r="BZ627" s="77" t="str">
        <f t="shared" si="823"/>
        <v>'Player Database'!A6</v>
      </c>
      <c r="CA627" s="77" t="str">
        <f t="shared" ca="1" si="824"/>
        <v>Michael Bradley</v>
      </c>
      <c r="CS627" s="77">
        <f t="shared" si="819"/>
        <v>624</v>
      </c>
      <c r="CT627" s="77">
        <f t="shared" si="821"/>
        <v>15</v>
      </c>
      <c r="CU627" s="77" t="str">
        <f t="shared" si="814"/>
        <v>CR39</v>
      </c>
      <c r="CV627" s="77" t="str">
        <f t="shared" ca="1" si="820"/>
        <v/>
      </c>
      <c r="CW627" s="77">
        <f t="shared" ca="1" si="813"/>
        <v>0</v>
      </c>
    </row>
    <row r="628" spans="72:101">
      <c r="BT628" s="77" t="str">
        <f t="shared" ca="1" si="815"/>
        <v>USA</v>
      </c>
      <c r="BU628" s="77">
        <f t="shared" si="812"/>
        <v>626</v>
      </c>
      <c r="BV628" s="77" t="str">
        <f t="shared" si="825"/>
        <v>A7</v>
      </c>
      <c r="BW628" s="77">
        <f t="shared" si="822"/>
        <v>28</v>
      </c>
      <c r="BX628" s="77" t="str">
        <f t="shared" ca="1" si="818"/>
        <v>M. Besler</v>
      </c>
      <c r="BY628" s="77">
        <f ca="1">COUNTIF('Group Stages'!$L$14:$S$110,BX628)+COUNTIF('Knock Out Stages'!$N$41:$U$84,BX628)</f>
        <v>0</v>
      </c>
      <c r="BZ628" s="77" t="str">
        <f t="shared" si="823"/>
        <v>'Player Database'!A7</v>
      </c>
      <c r="CA628" s="77" t="str">
        <f t="shared" ca="1" si="824"/>
        <v>Matt Besler</v>
      </c>
      <c r="CS628" s="77">
        <f t="shared" si="819"/>
        <v>625</v>
      </c>
      <c r="CT628" s="77">
        <f t="shared" si="821"/>
        <v>15</v>
      </c>
      <c r="CU628" s="77" t="str">
        <f t="shared" si="814"/>
        <v>CR40</v>
      </c>
      <c r="CV628" s="77" t="str">
        <f t="shared" ca="1" si="820"/>
        <v/>
      </c>
      <c r="CW628" s="77">
        <f t="shared" ca="1" si="813"/>
        <v>0</v>
      </c>
    </row>
    <row r="629" spans="72:101">
      <c r="BT629" s="77" t="str">
        <f t="shared" ca="1" si="815"/>
        <v>USA</v>
      </c>
      <c r="BU629" s="77">
        <f t="shared" si="812"/>
        <v>627</v>
      </c>
      <c r="BV629" s="77" t="str">
        <f t="shared" si="825"/>
        <v>A8</v>
      </c>
      <c r="BW629" s="77">
        <f t="shared" si="822"/>
        <v>28</v>
      </c>
      <c r="BX629" s="77" t="str">
        <f t="shared" ca="1" si="818"/>
        <v>J. Brooks</v>
      </c>
      <c r="BY629" s="77">
        <f ca="1">COUNTIF('Group Stages'!$L$14:$S$110,BX629)+COUNTIF('Knock Out Stages'!$N$41:$U$84,BX629)</f>
        <v>0</v>
      </c>
      <c r="BZ629" s="77" t="str">
        <f t="shared" si="823"/>
        <v>'Player Database'!A8</v>
      </c>
      <c r="CA629" s="77" t="str">
        <f t="shared" ca="1" si="824"/>
        <v>John Brooks</v>
      </c>
      <c r="CS629" s="77">
        <f t="shared" si="819"/>
        <v>626</v>
      </c>
      <c r="CT629" s="77">
        <f t="shared" si="821"/>
        <v>15</v>
      </c>
      <c r="CU629" s="77" t="str">
        <f t="shared" si="814"/>
        <v>CR41</v>
      </c>
      <c r="CV629" s="77" t="str">
        <f t="shared" ca="1" si="820"/>
        <v/>
      </c>
      <c r="CW629" s="77">
        <f t="shared" ca="1" si="813"/>
        <v>0</v>
      </c>
    </row>
    <row r="630" spans="72:101">
      <c r="BT630" s="77" t="str">
        <f t="shared" ca="1" si="815"/>
        <v>USA</v>
      </c>
      <c r="BU630" s="77">
        <f t="shared" si="812"/>
        <v>628</v>
      </c>
      <c r="BV630" s="77" t="str">
        <f t="shared" si="825"/>
        <v>A9</v>
      </c>
      <c r="BW630" s="77">
        <f t="shared" si="822"/>
        <v>28</v>
      </c>
      <c r="BX630" s="77" t="str">
        <f t="shared" ca="1" si="818"/>
        <v>D. Beasley</v>
      </c>
      <c r="BY630" s="77">
        <f ca="1">COUNTIF('Group Stages'!$L$14:$S$110,BX630)+COUNTIF('Knock Out Stages'!$N$41:$U$84,BX630)</f>
        <v>0</v>
      </c>
      <c r="BZ630" s="77" t="str">
        <f t="shared" si="823"/>
        <v>'Player Database'!A9</v>
      </c>
      <c r="CA630" s="77" t="str">
        <f t="shared" ca="1" si="824"/>
        <v>DaMarcus Beasley</v>
      </c>
      <c r="CS630" s="77">
        <f t="shared" si="819"/>
        <v>627</v>
      </c>
      <c r="CT630" s="77">
        <f t="shared" si="821"/>
        <v>15</v>
      </c>
      <c r="CU630" s="77" t="str">
        <f t="shared" si="814"/>
        <v>CR42</v>
      </c>
      <c r="CV630" s="77" t="str">
        <f t="shared" ca="1" si="820"/>
        <v/>
      </c>
      <c r="CW630" s="77">
        <f t="shared" ca="1" si="813"/>
        <v>0</v>
      </c>
    </row>
    <row r="631" spans="72:101">
      <c r="BT631" s="77" t="str">
        <f t="shared" ca="1" si="815"/>
        <v>USA</v>
      </c>
      <c r="BU631" s="77">
        <f t="shared" si="812"/>
        <v>629</v>
      </c>
      <c r="BV631" s="77" t="str">
        <f t="shared" si="825"/>
        <v>A10</v>
      </c>
      <c r="BW631" s="77">
        <f t="shared" si="822"/>
        <v>28</v>
      </c>
      <c r="BX631" s="77" t="str">
        <f t="shared" ca="1" si="818"/>
        <v xml:space="preserve">C. Dempsey </v>
      </c>
      <c r="BY631" s="77">
        <f ca="1">COUNTIF('Group Stages'!$L$14:$S$110,BX631)+COUNTIF('Knock Out Stages'!$N$41:$U$84,BX631)</f>
        <v>0</v>
      </c>
      <c r="BZ631" s="77" t="str">
        <f t="shared" si="823"/>
        <v>'Player Database'!A10</v>
      </c>
      <c r="CA631" s="77" t="str">
        <f t="shared" ca="1" si="824"/>
        <v xml:space="preserve">Clint Dempsey </v>
      </c>
      <c r="CS631" s="77">
        <f t="shared" si="819"/>
        <v>628</v>
      </c>
      <c r="CT631" s="77">
        <f t="shared" si="821"/>
        <v>15</v>
      </c>
      <c r="CU631" s="77" t="str">
        <f t="shared" si="814"/>
        <v>CR43</v>
      </c>
      <c r="CV631" s="77" t="str">
        <f t="shared" ca="1" si="820"/>
        <v/>
      </c>
      <c r="CW631" s="77">
        <f t="shared" ca="1" si="813"/>
        <v>0</v>
      </c>
    </row>
    <row r="632" spans="72:101">
      <c r="BT632" s="77" t="str">
        <f t="shared" ca="1" si="815"/>
        <v>USA</v>
      </c>
      <c r="BU632" s="77">
        <f t="shared" si="812"/>
        <v>630</v>
      </c>
      <c r="BV632" s="77" t="str">
        <f t="shared" si="825"/>
        <v>A11</v>
      </c>
      <c r="BW632" s="77">
        <f t="shared" si="822"/>
        <v>28</v>
      </c>
      <c r="BX632" s="77" t="str">
        <f t="shared" ca="1" si="818"/>
        <v>A. Jóhannsson</v>
      </c>
      <c r="BY632" s="77">
        <f ca="1">COUNTIF('Group Stages'!$L$14:$S$110,BX632)+COUNTIF('Knock Out Stages'!$N$41:$U$84,BX632)</f>
        <v>0</v>
      </c>
      <c r="BZ632" s="77" t="str">
        <f t="shared" si="823"/>
        <v>'Player Database'!A11</v>
      </c>
      <c r="CA632" s="77" t="str">
        <f t="shared" ca="1" si="824"/>
        <v>Aron Jóhannsson</v>
      </c>
      <c r="CS632" s="77">
        <f t="shared" si="819"/>
        <v>629</v>
      </c>
      <c r="CT632" s="77">
        <f t="shared" si="821"/>
        <v>15</v>
      </c>
      <c r="CU632" s="77" t="str">
        <f t="shared" si="814"/>
        <v>CR44</v>
      </c>
      <c r="CV632" s="77" t="str">
        <f t="shared" ca="1" si="820"/>
        <v/>
      </c>
      <c r="CW632" s="77">
        <f t="shared" ca="1" si="813"/>
        <v>0</v>
      </c>
    </row>
    <row r="633" spans="72:101">
      <c r="BT633" s="77" t="str">
        <f t="shared" ca="1" si="815"/>
        <v>USA</v>
      </c>
      <c r="BU633" s="77">
        <f t="shared" si="812"/>
        <v>631</v>
      </c>
      <c r="BV633" s="77" t="str">
        <f t="shared" si="825"/>
        <v>A12</v>
      </c>
      <c r="BW633" s="77">
        <f t="shared" si="822"/>
        <v>28</v>
      </c>
      <c r="BX633" s="77" t="str">
        <f t="shared" ca="1" si="818"/>
        <v>M. Diskerud</v>
      </c>
      <c r="BY633" s="77">
        <f ca="1">COUNTIF('Group Stages'!$L$14:$S$110,BX633)+COUNTIF('Knock Out Stages'!$N$41:$U$84,BX633)</f>
        <v>0</v>
      </c>
      <c r="BZ633" s="77" t="str">
        <f t="shared" si="823"/>
        <v>'Player Database'!A12</v>
      </c>
      <c r="CA633" s="77" t="str">
        <f t="shared" ca="1" si="824"/>
        <v>Mikkel Diskerud</v>
      </c>
      <c r="CS633" s="77">
        <f t="shared" si="819"/>
        <v>630</v>
      </c>
      <c r="CT633" s="77">
        <f t="shared" si="821"/>
        <v>15</v>
      </c>
      <c r="CU633" s="77" t="str">
        <f t="shared" si="814"/>
        <v>CR45</v>
      </c>
      <c r="CV633" s="77" t="str">
        <f t="shared" ca="1" si="820"/>
        <v/>
      </c>
      <c r="CW633" s="77">
        <f t="shared" ca="1" si="813"/>
        <v>0</v>
      </c>
    </row>
    <row r="634" spans="72:101">
      <c r="BT634" s="77" t="str">
        <f t="shared" ca="1" si="815"/>
        <v>USA</v>
      </c>
      <c r="BU634" s="77">
        <f t="shared" si="812"/>
        <v>632</v>
      </c>
      <c r="BV634" s="77" t="str">
        <f t="shared" si="825"/>
        <v>A13</v>
      </c>
      <c r="BW634" s="77">
        <f t="shared" si="822"/>
        <v>28</v>
      </c>
      <c r="BX634" s="77" t="str">
        <f t="shared" ca="1" si="818"/>
        <v>A. Bedoya</v>
      </c>
      <c r="BY634" s="77">
        <f ca="1">COUNTIF('Group Stages'!$L$14:$S$110,BX634)+COUNTIF('Knock Out Stages'!$N$41:$U$84,BX634)</f>
        <v>0</v>
      </c>
      <c r="BZ634" s="77" t="str">
        <f t="shared" si="823"/>
        <v>'Player Database'!A13</v>
      </c>
      <c r="CA634" s="77" t="str">
        <f t="shared" ca="1" si="824"/>
        <v>Alejandro Bedoya</v>
      </c>
    </row>
    <row r="635" spans="72:101">
      <c r="BT635" s="77" t="str">
        <f t="shared" ca="1" si="815"/>
        <v>USA</v>
      </c>
      <c r="BU635" s="77">
        <f t="shared" si="812"/>
        <v>633</v>
      </c>
      <c r="BV635" s="77" t="str">
        <f t="shared" si="825"/>
        <v>A14</v>
      </c>
      <c r="BW635" s="77">
        <f t="shared" si="822"/>
        <v>28</v>
      </c>
      <c r="BX635" s="77" t="str">
        <f t="shared" ca="1" si="818"/>
        <v>B. Guzan</v>
      </c>
      <c r="BY635" s="77">
        <f ca="1">COUNTIF('Group Stages'!$L$14:$S$110,BX635)+COUNTIF('Knock Out Stages'!$N$41:$U$84,BX635)</f>
        <v>0</v>
      </c>
      <c r="BZ635" s="77" t="str">
        <f t="shared" si="823"/>
        <v>'Player Database'!A14</v>
      </c>
      <c r="CA635" s="77" t="str">
        <f t="shared" ca="1" si="824"/>
        <v>Brad Guzan</v>
      </c>
    </row>
    <row r="636" spans="72:101">
      <c r="BT636" s="77" t="str">
        <f t="shared" ca="1" si="815"/>
        <v>USA</v>
      </c>
      <c r="BU636" s="77">
        <f t="shared" si="812"/>
        <v>634</v>
      </c>
      <c r="BV636" s="77" t="str">
        <f t="shared" si="825"/>
        <v>A15</v>
      </c>
      <c r="BW636" s="77">
        <f t="shared" si="822"/>
        <v>28</v>
      </c>
      <c r="BX636" s="77" t="str">
        <f t="shared" ca="1" si="818"/>
        <v>J. Jones</v>
      </c>
      <c r="BY636" s="77">
        <f ca="1">COUNTIF('Group Stages'!$L$14:$S$110,BX636)+COUNTIF('Knock Out Stages'!$N$41:$U$84,BX636)</f>
        <v>0</v>
      </c>
      <c r="BZ636" s="77" t="str">
        <f t="shared" si="823"/>
        <v>'Player Database'!A15</v>
      </c>
      <c r="CA636" s="77" t="str">
        <f t="shared" ca="1" si="824"/>
        <v>Jermaine Jones</v>
      </c>
    </row>
    <row r="637" spans="72:101">
      <c r="BT637" s="77" t="str">
        <f t="shared" ca="1" si="815"/>
        <v>USA</v>
      </c>
      <c r="BU637" s="77">
        <f t="shared" si="812"/>
        <v>635</v>
      </c>
      <c r="BV637" s="77" t="str">
        <f t="shared" si="825"/>
        <v>A16</v>
      </c>
      <c r="BW637" s="77">
        <f t="shared" si="822"/>
        <v>28</v>
      </c>
      <c r="BX637" s="77" t="str">
        <f t="shared" ca="1" si="818"/>
        <v>B. Davis</v>
      </c>
      <c r="BY637" s="77">
        <f ca="1">COUNTIF('Group Stages'!$L$14:$S$110,BX637)+COUNTIF('Knock Out Stages'!$N$41:$U$84,BX637)</f>
        <v>0</v>
      </c>
      <c r="BZ637" s="77" t="str">
        <f t="shared" si="823"/>
        <v>'Player Database'!A16</v>
      </c>
      <c r="CA637" s="77" t="str">
        <f t="shared" ca="1" si="824"/>
        <v>Brad Davis</v>
      </c>
    </row>
    <row r="638" spans="72:101">
      <c r="BT638" s="77" t="str">
        <f t="shared" ca="1" si="815"/>
        <v>USA</v>
      </c>
      <c r="BU638" s="77">
        <f t="shared" si="812"/>
        <v>636</v>
      </c>
      <c r="BV638" s="77" t="str">
        <f t="shared" si="825"/>
        <v>A17</v>
      </c>
      <c r="BW638" s="77">
        <f t="shared" si="822"/>
        <v>28</v>
      </c>
      <c r="BX638" s="77" t="str">
        <f t="shared" ca="1" si="818"/>
        <v>K. Beckerman</v>
      </c>
      <c r="BY638" s="77">
        <f ca="1">COUNTIF('Group Stages'!$L$14:$S$110,BX638)+COUNTIF('Knock Out Stages'!$N$41:$U$84,BX638)</f>
        <v>0</v>
      </c>
      <c r="BZ638" s="77" t="str">
        <f t="shared" si="823"/>
        <v>'Player Database'!A17</v>
      </c>
      <c r="CA638" s="77" t="str">
        <f t="shared" ca="1" si="824"/>
        <v>Kyle Beckerman</v>
      </c>
    </row>
    <row r="639" spans="72:101">
      <c r="BT639" s="77" t="str">
        <f t="shared" ca="1" si="815"/>
        <v>USA</v>
      </c>
      <c r="BU639" s="77">
        <f t="shared" si="812"/>
        <v>637</v>
      </c>
      <c r="BV639" s="77" t="str">
        <f t="shared" si="825"/>
        <v>A18</v>
      </c>
      <c r="BW639" s="77">
        <f t="shared" si="822"/>
        <v>28</v>
      </c>
      <c r="BX639" s="77" t="str">
        <f t="shared" ca="1" si="818"/>
        <v>J. Green</v>
      </c>
      <c r="BY639" s="77">
        <f ca="1">COUNTIF('Group Stages'!$L$14:$S$110,BX639)+COUNTIF('Knock Out Stages'!$N$41:$U$84,BX639)</f>
        <v>0</v>
      </c>
      <c r="BZ639" s="77" t="str">
        <f t="shared" si="823"/>
        <v>'Player Database'!A18</v>
      </c>
      <c r="CA639" s="77" t="str">
        <f t="shared" ca="1" si="824"/>
        <v>Julian Green</v>
      </c>
    </row>
    <row r="640" spans="72:101">
      <c r="BT640" s="77" t="str">
        <f t="shared" ca="1" si="815"/>
        <v>USA</v>
      </c>
      <c r="BU640" s="77">
        <f t="shared" si="812"/>
        <v>638</v>
      </c>
      <c r="BV640" s="77" t="str">
        <f t="shared" si="825"/>
        <v>A19</v>
      </c>
      <c r="BW640" s="77">
        <f t="shared" si="822"/>
        <v>28</v>
      </c>
      <c r="BX640" s="77" t="str">
        <f t="shared" ca="1" si="818"/>
        <v>J. Altidore</v>
      </c>
      <c r="BY640" s="77">
        <f ca="1">COUNTIF('Group Stages'!$L$14:$S$110,BX640)+COUNTIF('Knock Out Stages'!$N$41:$U$84,BX640)</f>
        <v>0</v>
      </c>
      <c r="BZ640" s="77" t="str">
        <f t="shared" si="823"/>
        <v>'Player Database'!A19</v>
      </c>
      <c r="CA640" s="77" t="str">
        <f t="shared" ca="1" si="824"/>
        <v>Jozy Altidore</v>
      </c>
    </row>
    <row r="641" spans="72:79">
      <c r="BT641" s="77" t="str">
        <f t="shared" ca="1" si="815"/>
        <v>USA</v>
      </c>
      <c r="BU641" s="77">
        <f t="shared" si="812"/>
        <v>639</v>
      </c>
      <c r="BV641" s="77" t="str">
        <f t="shared" si="825"/>
        <v>A20</v>
      </c>
      <c r="BW641" s="77">
        <f t="shared" si="822"/>
        <v>28</v>
      </c>
      <c r="BX641" s="77" t="str">
        <f t="shared" ca="1" si="818"/>
        <v>C. Wondolowski</v>
      </c>
      <c r="BY641" s="77">
        <f ca="1">COUNTIF('Group Stages'!$L$14:$S$110,BX641)+COUNTIF('Knock Out Stages'!$N$41:$U$84,BX641)</f>
        <v>0</v>
      </c>
      <c r="BZ641" s="77" t="str">
        <f t="shared" si="823"/>
        <v>'Player Database'!A20</v>
      </c>
      <c r="CA641" s="77" t="str">
        <f t="shared" ca="1" si="824"/>
        <v>Chris Wondolowski</v>
      </c>
    </row>
    <row r="642" spans="72:79">
      <c r="BT642" s="77" t="str">
        <f t="shared" ca="1" si="815"/>
        <v>USA</v>
      </c>
      <c r="BU642" s="77">
        <f t="shared" si="812"/>
        <v>640</v>
      </c>
      <c r="BV642" s="77" t="str">
        <f t="shared" si="825"/>
        <v>A21</v>
      </c>
      <c r="BW642" s="77">
        <f t="shared" si="822"/>
        <v>28</v>
      </c>
      <c r="BX642" s="77" t="str">
        <f t="shared" ca="1" si="818"/>
        <v>G. Zusi</v>
      </c>
      <c r="BY642" s="77">
        <f ca="1">COUNTIF('Group Stages'!$L$14:$S$110,BX642)+COUNTIF('Knock Out Stages'!$N$41:$U$84,BX642)</f>
        <v>0</v>
      </c>
      <c r="BZ642" s="77" t="str">
        <f t="shared" si="823"/>
        <v>'Player Database'!A21</v>
      </c>
      <c r="CA642" s="77" t="str">
        <f t="shared" ca="1" si="824"/>
        <v>Graham Zusi</v>
      </c>
    </row>
    <row r="643" spans="72:79">
      <c r="BT643" s="77" t="str">
        <f t="shared" ca="1" si="815"/>
        <v>USA</v>
      </c>
      <c r="BU643" s="77">
        <f t="shared" si="812"/>
        <v>641</v>
      </c>
      <c r="BV643" s="77" t="str">
        <f t="shared" si="825"/>
        <v>A22</v>
      </c>
      <c r="BW643" s="77">
        <f t="shared" si="822"/>
        <v>28</v>
      </c>
      <c r="BX643" s="77" t="str">
        <f t="shared" ca="1" si="818"/>
        <v>G. Cameron</v>
      </c>
      <c r="BY643" s="77">
        <f ca="1">COUNTIF('Group Stages'!$L$14:$S$110,BX643)+COUNTIF('Knock Out Stages'!$N$41:$U$84,BX643)</f>
        <v>0</v>
      </c>
      <c r="BZ643" s="77" t="str">
        <f t="shared" si="823"/>
        <v>'Player Database'!A22</v>
      </c>
      <c r="CA643" s="77" t="str">
        <f t="shared" ca="1" si="824"/>
        <v>Geoff Cameron</v>
      </c>
    </row>
    <row r="644" spans="72:79">
      <c r="BT644" s="77" t="str">
        <f t="shared" ca="1" si="815"/>
        <v>USA</v>
      </c>
      <c r="BU644" s="77">
        <f t="shared" si="812"/>
        <v>642</v>
      </c>
      <c r="BV644" s="77" t="str">
        <f t="shared" si="825"/>
        <v>A23</v>
      </c>
      <c r="BW644" s="77">
        <f t="shared" si="822"/>
        <v>28</v>
      </c>
      <c r="BX644" s="77" t="str">
        <f t="shared" ca="1" si="818"/>
        <v>T. Chandler</v>
      </c>
      <c r="BY644" s="77">
        <f ca="1">COUNTIF('Group Stages'!$L$14:$S$110,BX644)+COUNTIF('Knock Out Stages'!$N$41:$U$84,BX644)</f>
        <v>0</v>
      </c>
      <c r="BZ644" s="77" t="str">
        <f t="shared" si="823"/>
        <v>'Player Database'!A23</v>
      </c>
      <c r="CA644" s="77" t="str">
        <f t="shared" ca="1" si="824"/>
        <v>Timothy Chandler</v>
      </c>
    </row>
    <row r="645" spans="72:79">
      <c r="BT645" s="77" t="str">
        <f t="shared" ca="1" si="815"/>
        <v>USA</v>
      </c>
      <c r="BU645" s="77">
        <f t="shared" ref="BU645:BU708" si="826">BU644+1</f>
        <v>643</v>
      </c>
      <c r="BV645" s="77" t="str">
        <f t="shared" si="825"/>
        <v>A24</v>
      </c>
      <c r="BW645" s="77">
        <f t="shared" si="822"/>
        <v>28</v>
      </c>
      <c r="BX645" s="77" t="str">
        <f t="shared" ca="1" si="818"/>
        <v>N. Rimando</v>
      </c>
      <c r="BY645" s="77">
        <f ca="1">COUNTIF('Group Stages'!$L$14:$S$110,BX645)+COUNTIF('Knock Out Stages'!$N$41:$U$84,BX645)</f>
        <v>0</v>
      </c>
      <c r="BZ645" s="77" t="str">
        <f t="shared" si="823"/>
        <v>'Player Database'!A24</v>
      </c>
      <c r="CA645" s="77" t="str">
        <f t="shared" ca="1" si="824"/>
        <v>Nick Rimando</v>
      </c>
    </row>
    <row r="646" spans="72:79">
      <c r="BT646" s="77" t="str">
        <f t="shared" ca="1" si="815"/>
        <v>USA</v>
      </c>
      <c r="BU646" s="77">
        <f t="shared" si="826"/>
        <v>644</v>
      </c>
      <c r="BV646" s="77" t="str">
        <f t="shared" si="825"/>
        <v>A25</v>
      </c>
      <c r="BW646" s="77">
        <f t="shared" si="822"/>
        <v>28</v>
      </c>
      <c r="BX646" s="77" t="str">
        <f t="shared" ca="1" si="818"/>
        <v>F. Johnson</v>
      </c>
      <c r="BY646" s="77">
        <f ca="1">COUNTIF('Group Stages'!$L$14:$S$110,BX646)+COUNTIF('Knock Out Stages'!$N$41:$U$84,BX646)</f>
        <v>0</v>
      </c>
      <c r="BZ646" s="77" t="str">
        <f t="shared" si="823"/>
        <v>'Player Database'!A25</v>
      </c>
      <c r="CA646" s="77" t="str">
        <f t="shared" ca="1" si="824"/>
        <v>Fabian Johnson</v>
      </c>
    </row>
    <row r="647" spans="72:79">
      <c r="BT647" s="77" t="str">
        <f t="shared" ca="1" si="815"/>
        <v>Belgium</v>
      </c>
      <c r="BU647" s="77">
        <f t="shared" si="826"/>
        <v>645</v>
      </c>
      <c r="BV647" s="77" t="str">
        <f t="shared" si="825"/>
        <v>A3</v>
      </c>
      <c r="BW647" s="77">
        <f t="shared" si="822"/>
        <v>29</v>
      </c>
      <c r="BX647" s="77" t="str">
        <f t="shared" ca="1" si="818"/>
        <v>T. Courtois</v>
      </c>
      <c r="BY647" s="77">
        <f ca="1">COUNTIF('Group Stages'!$L$14:$S$110,BX647)+COUNTIF('Knock Out Stages'!$N$41:$U$84,BX647)</f>
        <v>0</v>
      </c>
      <c r="BZ647" s="77" t="str">
        <f t="shared" si="823"/>
        <v>'Player Database'!A3</v>
      </c>
      <c r="CA647" s="77" t="str">
        <f t="shared" ca="1" si="824"/>
        <v>Thibaut Courtois</v>
      </c>
    </row>
    <row r="648" spans="72:79">
      <c r="BT648" s="77" t="str">
        <f t="shared" ca="1" si="815"/>
        <v>Belgium</v>
      </c>
      <c r="BU648" s="77">
        <f t="shared" si="826"/>
        <v>646</v>
      </c>
      <c r="BV648" s="77" t="str">
        <f t="shared" si="825"/>
        <v>A4</v>
      </c>
      <c r="BW648" s="77">
        <f t="shared" si="822"/>
        <v>29</v>
      </c>
      <c r="BX648" s="77" t="str">
        <f t="shared" ca="1" si="818"/>
        <v>T. Alderweireld</v>
      </c>
      <c r="BY648" s="77">
        <f ca="1">COUNTIF('Group Stages'!$L$14:$S$110,BX648)+COUNTIF('Knock Out Stages'!$N$41:$U$84,BX648)</f>
        <v>0</v>
      </c>
      <c r="BZ648" s="77" t="str">
        <f t="shared" si="823"/>
        <v>'Player Database'!A4</v>
      </c>
      <c r="CA648" s="77" t="str">
        <f t="shared" ca="1" si="824"/>
        <v>Toby Alderweireld</v>
      </c>
    </row>
    <row r="649" spans="72:79">
      <c r="BT649" s="77" t="str">
        <f t="shared" ca="1" si="815"/>
        <v>Belgium</v>
      </c>
      <c r="BU649" s="77">
        <f t="shared" si="826"/>
        <v>647</v>
      </c>
      <c r="BV649" s="77" t="str">
        <f t="shared" si="825"/>
        <v>A5</v>
      </c>
      <c r="BW649" s="77">
        <f t="shared" si="822"/>
        <v>29</v>
      </c>
      <c r="BX649" s="77" t="str">
        <f t="shared" ca="1" si="818"/>
        <v>T. Vermaelen</v>
      </c>
      <c r="BY649" s="77">
        <f ca="1">COUNTIF('Group Stages'!$L$14:$S$110,BX649)+COUNTIF('Knock Out Stages'!$N$41:$U$84,BX649)</f>
        <v>0</v>
      </c>
      <c r="BZ649" s="77" t="str">
        <f t="shared" si="823"/>
        <v>'Player Database'!A5</v>
      </c>
      <c r="CA649" s="77" t="str">
        <f t="shared" ca="1" si="824"/>
        <v>Thomas Vermaelen</v>
      </c>
    </row>
    <row r="650" spans="72:79">
      <c r="BT650" s="77" t="str">
        <f t="shared" ca="1" si="815"/>
        <v>Belgium</v>
      </c>
      <c r="BU650" s="77">
        <f t="shared" si="826"/>
        <v>648</v>
      </c>
      <c r="BV650" s="77" t="str">
        <f t="shared" si="825"/>
        <v>A6</v>
      </c>
      <c r="BW650" s="77">
        <f t="shared" si="822"/>
        <v>29</v>
      </c>
      <c r="BX650" s="77" t="str">
        <f t="shared" ca="1" si="818"/>
        <v xml:space="preserve">V. Kompany </v>
      </c>
      <c r="BY650" s="77">
        <f ca="1">COUNTIF('Group Stages'!$L$14:$S$110,BX650)+COUNTIF('Knock Out Stages'!$N$41:$U$84,BX650)</f>
        <v>0</v>
      </c>
      <c r="BZ650" s="77" t="str">
        <f t="shared" si="823"/>
        <v>'Player Database'!A6</v>
      </c>
      <c r="CA650" s="77" t="str">
        <f t="shared" ca="1" si="824"/>
        <v xml:space="preserve">Vincent Kompany </v>
      </c>
    </row>
    <row r="651" spans="72:79">
      <c r="BT651" s="77" t="str">
        <f t="shared" ca="1" si="815"/>
        <v>Belgium</v>
      </c>
      <c r="BU651" s="77">
        <f t="shared" si="826"/>
        <v>649</v>
      </c>
      <c r="BV651" s="77" t="str">
        <f t="shared" si="825"/>
        <v>A7</v>
      </c>
      <c r="BW651" s="77">
        <f t="shared" si="822"/>
        <v>29</v>
      </c>
      <c r="BX651" s="77" t="str">
        <f t="shared" ca="1" si="818"/>
        <v>J. Vertonghen</v>
      </c>
      <c r="BY651" s="77">
        <f ca="1">COUNTIF('Group Stages'!$L$14:$S$110,BX651)+COUNTIF('Knock Out Stages'!$N$41:$U$84,BX651)</f>
        <v>0</v>
      </c>
      <c r="BZ651" s="77" t="str">
        <f t="shared" si="823"/>
        <v>'Player Database'!A7</v>
      </c>
      <c r="CA651" s="77" t="str">
        <f t="shared" ca="1" si="824"/>
        <v>Jan Vertonghen</v>
      </c>
    </row>
    <row r="652" spans="72:79">
      <c r="BT652" s="77" t="str">
        <f t="shared" ca="1" si="815"/>
        <v>Belgium</v>
      </c>
      <c r="BU652" s="77">
        <f t="shared" si="826"/>
        <v>650</v>
      </c>
      <c r="BV652" s="77" t="str">
        <f t="shared" si="825"/>
        <v>A8</v>
      </c>
      <c r="BW652" s="77">
        <f t="shared" si="822"/>
        <v>29</v>
      </c>
      <c r="BX652" s="77" t="str">
        <f t="shared" ca="1" si="818"/>
        <v>A. Witsel</v>
      </c>
      <c r="BY652" s="77">
        <f ca="1">COUNTIF('Group Stages'!$L$14:$S$110,BX652)+COUNTIF('Knock Out Stages'!$N$41:$U$84,BX652)</f>
        <v>0</v>
      </c>
      <c r="BZ652" s="77" t="str">
        <f t="shared" si="823"/>
        <v>'Player Database'!A8</v>
      </c>
      <c r="CA652" s="77" t="str">
        <f t="shared" ca="1" si="824"/>
        <v>Axel Witsel</v>
      </c>
    </row>
    <row r="653" spans="72:79">
      <c r="BT653" s="77" t="str">
        <f t="shared" ca="1" si="815"/>
        <v>Belgium</v>
      </c>
      <c r="BU653" s="77">
        <f t="shared" si="826"/>
        <v>651</v>
      </c>
      <c r="BV653" s="77" t="str">
        <f t="shared" si="825"/>
        <v>A9</v>
      </c>
      <c r="BW653" s="77">
        <f t="shared" si="822"/>
        <v>29</v>
      </c>
      <c r="BX653" s="77" t="str">
        <f t="shared" ca="1" si="818"/>
        <v>K. De Bruyne</v>
      </c>
      <c r="BY653" s="77">
        <f ca="1">COUNTIF('Group Stages'!$L$14:$S$110,BX653)+COUNTIF('Knock Out Stages'!$N$41:$U$84,BX653)</f>
        <v>0</v>
      </c>
      <c r="BZ653" s="77" t="str">
        <f t="shared" si="823"/>
        <v>'Player Database'!A9</v>
      </c>
      <c r="CA653" s="77" t="str">
        <f t="shared" ca="1" si="824"/>
        <v>Kevin De Bruyne</v>
      </c>
    </row>
    <row r="654" spans="72:79">
      <c r="BT654" s="77" t="str">
        <f t="shared" ca="1" si="815"/>
        <v>Belgium</v>
      </c>
      <c r="BU654" s="77">
        <f t="shared" si="826"/>
        <v>652</v>
      </c>
      <c r="BV654" s="77" t="str">
        <f t="shared" si="825"/>
        <v>A10</v>
      </c>
      <c r="BW654" s="77">
        <f t="shared" si="822"/>
        <v>29</v>
      </c>
      <c r="BX654" s="77" t="str">
        <f t="shared" ca="1" si="818"/>
        <v>M. Fellaini</v>
      </c>
      <c r="BY654" s="77">
        <f ca="1">COUNTIF('Group Stages'!$L$14:$S$110,BX654)+COUNTIF('Knock Out Stages'!$N$41:$U$84,BX654)</f>
        <v>0</v>
      </c>
      <c r="BZ654" s="77" t="str">
        <f t="shared" si="823"/>
        <v>'Player Database'!A10</v>
      </c>
      <c r="CA654" s="77" t="str">
        <f t="shared" ca="1" si="824"/>
        <v>Marouane Fellaini</v>
      </c>
    </row>
    <row r="655" spans="72:79">
      <c r="BT655" s="77" t="str">
        <f t="shared" ca="1" si="815"/>
        <v>Belgium</v>
      </c>
      <c r="BU655" s="77">
        <f t="shared" si="826"/>
        <v>653</v>
      </c>
      <c r="BV655" s="77" t="str">
        <f t="shared" si="825"/>
        <v>A11</v>
      </c>
      <c r="BW655" s="77">
        <f t="shared" si="822"/>
        <v>29</v>
      </c>
      <c r="BX655" s="77" t="str">
        <f t="shared" ca="1" si="818"/>
        <v>R. Lukaku</v>
      </c>
      <c r="BY655" s="77">
        <f ca="1">COUNTIF('Group Stages'!$L$14:$S$110,BX655)+COUNTIF('Knock Out Stages'!$N$41:$U$84,BX655)</f>
        <v>0</v>
      </c>
      <c r="BZ655" s="77" t="str">
        <f t="shared" si="823"/>
        <v>'Player Database'!A11</v>
      </c>
      <c r="CA655" s="77" t="str">
        <f t="shared" ca="1" si="824"/>
        <v>Romelu Lukaku</v>
      </c>
    </row>
    <row r="656" spans="72:79">
      <c r="BT656" s="77" t="str">
        <f t="shared" ca="1" si="815"/>
        <v>Belgium</v>
      </c>
      <c r="BU656" s="77">
        <f t="shared" si="826"/>
        <v>654</v>
      </c>
      <c r="BV656" s="77" t="str">
        <f t="shared" si="825"/>
        <v>A12</v>
      </c>
      <c r="BW656" s="77">
        <f t="shared" si="822"/>
        <v>29</v>
      </c>
      <c r="BX656" s="77" t="str">
        <f t="shared" ca="1" si="818"/>
        <v>E. Hazard</v>
      </c>
      <c r="BY656" s="77">
        <f ca="1">COUNTIF('Group Stages'!$L$14:$S$110,BX656)+COUNTIF('Knock Out Stages'!$N$41:$U$84,BX656)</f>
        <v>0</v>
      </c>
      <c r="BZ656" s="77" t="str">
        <f t="shared" si="823"/>
        <v>'Player Database'!A12</v>
      </c>
      <c r="CA656" s="77" t="str">
        <f t="shared" ca="1" si="824"/>
        <v>Eden Hazard</v>
      </c>
    </row>
    <row r="657" spans="72:79">
      <c r="BT657" s="77" t="str">
        <f t="shared" ca="1" si="815"/>
        <v>Belgium</v>
      </c>
      <c r="BU657" s="77">
        <f t="shared" si="826"/>
        <v>655</v>
      </c>
      <c r="BV657" s="77" t="str">
        <f t="shared" si="825"/>
        <v>A13</v>
      </c>
      <c r="BW657" s="77">
        <f t="shared" si="822"/>
        <v>29</v>
      </c>
      <c r="BX657" s="77" t="str">
        <f t="shared" ca="1" si="818"/>
        <v>K. Mirallas</v>
      </c>
      <c r="BY657" s="77">
        <f ca="1">COUNTIF('Group Stages'!$L$14:$S$110,BX657)+COUNTIF('Knock Out Stages'!$N$41:$U$84,BX657)</f>
        <v>0</v>
      </c>
      <c r="BZ657" s="77" t="str">
        <f t="shared" si="823"/>
        <v>'Player Database'!A13</v>
      </c>
      <c r="CA657" s="77" t="str">
        <f t="shared" ca="1" si="824"/>
        <v>Kevin Mirallas</v>
      </c>
    </row>
    <row r="658" spans="72:79">
      <c r="BT658" s="77" t="str">
        <f t="shared" ca="1" si="815"/>
        <v>Belgium</v>
      </c>
      <c r="BU658" s="77">
        <f t="shared" si="826"/>
        <v>656</v>
      </c>
      <c r="BV658" s="77" t="str">
        <f t="shared" si="825"/>
        <v>A14</v>
      </c>
      <c r="BW658" s="77">
        <f t="shared" si="822"/>
        <v>29</v>
      </c>
      <c r="BX658" s="77" t="str">
        <f t="shared" ca="1" si="818"/>
        <v>S. Mignolet</v>
      </c>
      <c r="BY658" s="77">
        <f ca="1">COUNTIF('Group Stages'!$L$14:$S$110,BX658)+COUNTIF('Knock Out Stages'!$N$41:$U$84,BX658)</f>
        <v>0</v>
      </c>
      <c r="BZ658" s="77" t="str">
        <f t="shared" si="823"/>
        <v>'Player Database'!A14</v>
      </c>
      <c r="CA658" s="77" t="str">
        <f t="shared" ca="1" si="824"/>
        <v>Simon Mignolet</v>
      </c>
    </row>
    <row r="659" spans="72:79">
      <c r="BT659" s="77" t="str">
        <f t="shared" ca="1" si="815"/>
        <v>Belgium</v>
      </c>
      <c r="BU659" s="77">
        <f t="shared" si="826"/>
        <v>657</v>
      </c>
      <c r="BV659" s="77" t="str">
        <f t="shared" si="825"/>
        <v>A15</v>
      </c>
      <c r="BW659" s="77">
        <f t="shared" si="822"/>
        <v>29</v>
      </c>
      <c r="BX659" s="77" t="str">
        <f t="shared" ca="1" si="818"/>
        <v>S. Bossut</v>
      </c>
      <c r="BY659" s="77">
        <f ca="1">COUNTIF('Group Stages'!$L$14:$S$110,BX659)+COUNTIF('Knock Out Stages'!$N$41:$U$84,BX659)</f>
        <v>0</v>
      </c>
      <c r="BZ659" s="77" t="str">
        <f t="shared" si="823"/>
        <v>'Player Database'!A15</v>
      </c>
      <c r="CA659" s="77" t="str">
        <f t="shared" ca="1" si="824"/>
        <v>Sammy Bossut</v>
      </c>
    </row>
    <row r="660" spans="72:79">
      <c r="BT660" s="77" t="str">
        <f t="shared" ca="1" si="815"/>
        <v>Belgium</v>
      </c>
      <c r="BU660" s="77">
        <f t="shared" si="826"/>
        <v>658</v>
      </c>
      <c r="BV660" s="77" t="str">
        <f t="shared" si="825"/>
        <v>A16</v>
      </c>
      <c r="BW660" s="77">
        <f t="shared" si="822"/>
        <v>29</v>
      </c>
      <c r="BX660" s="77" t="str">
        <f t="shared" ca="1" si="818"/>
        <v>D. Mertens</v>
      </c>
      <c r="BY660" s="77">
        <f ca="1">COUNTIF('Group Stages'!$L$14:$S$110,BX660)+COUNTIF('Knock Out Stages'!$N$41:$U$84,BX660)</f>
        <v>0</v>
      </c>
      <c r="BZ660" s="77" t="str">
        <f t="shared" si="823"/>
        <v>'Player Database'!A16</v>
      </c>
      <c r="CA660" s="77" t="str">
        <f t="shared" ca="1" si="824"/>
        <v>Dries Mertens</v>
      </c>
    </row>
    <row r="661" spans="72:79">
      <c r="BT661" s="77" t="str">
        <f t="shared" ca="1" si="815"/>
        <v>Belgium</v>
      </c>
      <c r="BU661" s="77">
        <f t="shared" si="826"/>
        <v>659</v>
      </c>
      <c r="BV661" s="77" t="str">
        <f t="shared" si="825"/>
        <v>A17</v>
      </c>
      <c r="BW661" s="77">
        <f t="shared" si="822"/>
        <v>29</v>
      </c>
      <c r="BX661" s="77" t="str">
        <f t="shared" ca="1" si="818"/>
        <v>D. Van Buyten</v>
      </c>
      <c r="BY661" s="77">
        <f ca="1">COUNTIF('Group Stages'!$L$14:$S$110,BX661)+COUNTIF('Knock Out Stages'!$N$41:$U$84,BX661)</f>
        <v>0</v>
      </c>
      <c r="BZ661" s="77" t="str">
        <f t="shared" si="823"/>
        <v>'Player Database'!A17</v>
      </c>
      <c r="CA661" s="77" t="str">
        <f t="shared" ca="1" si="824"/>
        <v>Daniel Van Buyten</v>
      </c>
    </row>
    <row r="662" spans="72:79">
      <c r="BT662" s="77" t="str">
        <f t="shared" ca="1" si="815"/>
        <v>Belgium</v>
      </c>
      <c r="BU662" s="77">
        <f t="shared" si="826"/>
        <v>660</v>
      </c>
      <c r="BV662" s="77" t="str">
        <f t="shared" si="825"/>
        <v>A18</v>
      </c>
      <c r="BW662" s="77">
        <f t="shared" si="822"/>
        <v>29</v>
      </c>
      <c r="BX662" s="77" t="str">
        <f t="shared" ca="1" si="818"/>
        <v>S. Defour</v>
      </c>
      <c r="BY662" s="77">
        <f ca="1">COUNTIF('Group Stages'!$L$14:$S$110,BX662)+COUNTIF('Knock Out Stages'!$N$41:$U$84,BX662)</f>
        <v>0</v>
      </c>
      <c r="BZ662" s="77" t="str">
        <f t="shared" si="823"/>
        <v>'Player Database'!A18</v>
      </c>
      <c r="CA662" s="77" t="str">
        <f t="shared" ca="1" si="824"/>
        <v>Steven Defour</v>
      </c>
    </row>
    <row r="663" spans="72:79">
      <c r="BT663" s="77" t="str">
        <f t="shared" ca="1" si="815"/>
        <v>Belgium</v>
      </c>
      <c r="BU663" s="77">
        <f t="shared" si="826"/>
        <v>661</v>
      </c>
      <c r="BV663" s="77" t="str">
        <f t="shared" si="825"/>
        <v>A19</v>
      </c>
      <c r="BW663" s="77">
        <f t="shared" si="822"/>
        <v>29</v>
      </c>
      <c r="BX663" s="77" t="str">
        <f t="shared" ca="1" si="818"/>
        <v>D. Origi</v>
      </c>
      <c r="BY663" s="77">
        <f ca="1">COUNTIF('Group Stages'!$L$14:$S$110,BX663)+COUNTIF('Knock Out Stages'!$N$41:$U$84,BX663)</f>
        <v>0</v>
      </c>
      <c r="BZ663" s="77" t="str">
        <f t="shared" si="823"/>
        <v>'Player Database'!A19</v>
      </c>
      <c r="CA663" s="77" t="str">
        <f t="shared" ca="1" si="824"/>
        <v>Divock Origi</v>
      </c>
    </row>
    <row r="664" spans="72:79">
      <c r="BT664" s="77" t="str">
        <f t="shared" ca="1" si="815"/>
        <v>Belgium</v>
      </c>
      <c r="BU664" s="77">
        <f t="shared" si="826"/>
        <v>662</v>
      </c>
      <c r="BV664" s="77" t="str">
        <f t="shared" si="825"/>
        <v>A20</v>
      </c>
      <c r="BW664" s="77">
        <f t="shared" si="822"/>
        <v>29</v>
      </c>
      <c r="BX664" s="77" t="str">
        <f t="shared" ca="1" si="818"/>
        <v>N. Lombaerts</v>
      </c>
      <c r="BY664" s="77">
        <f ca="1">COUNTIF('Group Stages'!$L$14:$S$110,BX664)+COUNTIF('Knock Out Stages'!$N$41:$U$84,BX664)</f>
        <v>0</v>
      </c>
      <c r="BZ664" s="77" t="str">
        <f t="shared" si="823"/>
        <v>'Player Database'!A20</v>
      </c>
      <c r="CA664" s="77" t="str">
        <f t="shared" ca="1" si="824"/>
        <v>Nicolas Lombaerts</v>
      </c>
    </row>
    <row r="665" spans="72:79">
      <c r="BT665" s="77" t="str">
        <f t="shared" ca="1" si="815"/>
        <v>Belgium</v>
      </c>
      <c r="BU665" s="77">
        <f t="shared" si="826"/>
        <v>663</v>
      </c>
      <c r="BV665" s="77" t="str">
        <f t="shared" si="825"/>
        <v>A21</v>
      </c>
      <c r="BW665" s="77">
        <f t="shared" si="822"/>
        <v>29</v>
      </c>
      <c r="BX665" s="77" t="str">
        <f t="shared" ca="1" si="818"/>
        <v>M. Dembélé</v>
      </c>
      <c r="BY665" s="77">
        <f ca="1">COUNTIF('Group Stages'!$L$14:$S$110,BX665)+COUNTIF('Knock Out Stages'!$N$41:$U$84,BX665)</f>
        <v>0</v>
      </c>
      <c r="BZ665" s="77" t="str">
        <f t="shared" si="823"/>
        <v>'Player Database'!A21</v>
      </c>
      <c r="CA665" s="77" t="str">
        <f t="shared" ca="1" si="824"/>
        <v>Mousa Dembélé</v>
      </c>
    </row>
    <row r="666" spans="72:79">
      <c r="BT666" s="77" t="str">
        <f t="shared" ca="1" si="815"/>
        <v>Belgium</v>
      </c>
      <c r="BU666" s="77">
        <f t="shared" si="826"/>
        <v>664</v>
      </c>
      <c r="BV666" s="77" t="str">
        <f t="shared" si="825"/>
        <v>A22</v>
      </c>
      <c r="BW666" s="77">
        <f t="shared" si="822"/>
        <v>29</v>
      </c>
      <c r="BX666" s="77" t="str">
        <f t="shared" ca="1" si="818"/>
        <v>A. Januzaj</v>
      </c>
      <c r="BY666" s="77">
        <f ca="1">COUNTIF('Group Stages'!$L$14:$S$110,BX666)+COUNTIF('Knock Out Stages'!$N$41:$U$84,BX666)</f>
        <v>0</v>
      </c>
      <c r="BZ666" s="77" t="str">
        <f t="shared" si="823"/>
        <v>'Player Database'!A22</v>
      </c>
      <c r="CA666" s="77" t="str">
        <f t="shared" ca="1" si="824"/>
        <v>Adnan Januzaj</v>
      </c>
    </row>
    <row r="667" spans="72:79">
      <c r="BT667" s="77" t="str">
        <f t="shared" ref="BT667:BT730" ca="1" si="827">OFFSET($A$2,0,BW667)</f>
        <v>Belgium</v>
      </c>
      <c r="BU667" s="77">
        <f t="shared" si="826"/>
        <v>665</v>
      </c>
      <c r="BV667" s="77" t="str">
        <f t="shared" si="825"/>
        <v>A23</v>
      </c>
      <c r="BW667" s="77">
        <f t="shared" si="822"/>
        <v>29</v>
      </c>
      <c r="BX667" s="77" t="str">
        <f t="shared" ca="1" si="818"/>
        <v>A. Vanden Borre</v>
      </c>
      <c r="BY667" s="77">
        <f ca="1">COUNTIF('Group Stages'!$L$14:$S$110,BX667)+COUNTIF('Knock Out Stages'!$N$41:$U$84,BX667)</f>
        <v>0</v>
      </c>
      <c r="BZ667" s="77" t="str">
        <f t="shared" si="823"/>
        <v>'Player Database'!A23</v>
      </c>
      <c r="CA667" s="77" t="str">
        <f t="shared" ca="1" si="824"/>
        <v>Anthony Vanden Borre</v>
      </c>
    </row>
    <row r="668" spans="72:79">
      <c r="BT668" s="77" t="str">
        <f t="shared" ca="1" si="827"/>
        <v>Belgium</v>
      </c>
      <c r="BU668" s="77">
        <f t="shared" si="826"/>
        <v>666</v>
      </c>
      <c r="BV668" s="77" t="str">
        <f t="shared" si="825"/>
        <v>A24</v>
      </c>
      <c r="BW668" s="77">
        <f t="shared" si="822"/>
        <v>29</v>
      </c>
      <c r="BX668" s="77" t="str">
        <f t="shared" ca="1" si="818"/>
        <v>N. Chadli</v>
      </c>
      <c r="BY668" s="77">
        <f ca="1">COUNTIF('Group Stages'!$L$14:$S$110,BX668)+COUNTIF('Knock Out Stages'!$N$41:$U$84,BX668)</f>
        <v>0</v>
      </c>
      <c r="BZ668" s="77" t="str">
        <f t="shared" si="823"/>
        <v>'Player Database'!A24</v>
      </c>
      <c r="CA668" s="77" t="str">
        <f t="shared" ca="1" si="824"/>
        <v>Nacer Chadli</v>
      </c>
    </row>
    <row r="669" spans="72:79">
      <c r="BT669" s="77" t="str">
        <f t="shared" ca="1" si="827"/>
        <v>Belgium</v>
      </c>
      <c r="BU669" s="77">
        <f t="shared" si="826"/>
        <v>667</v>
      </c>
      <c r="BV669" s="77" t="str">
        <f t="shared" si="825"/>
        <v>A25</v>
      </c>
      <c r="BW669" s="77">
        <f t="shared" si="822"/>
        <v>29</v>
      </c>
      <c r="BX669" s="77" t="str">
        <f t="shared" ca="1" si="818"/>
        <v>L. Ciman</v>
      </c>
      <c r="BY669" s="77">
        <f ca="1">COUNTIF('Group Stages'!$L$14:$S$110,BX669)+COUNTIF('Knock Out Stages'!$N$41:$U$84,BX669)</f>
        <v>0</v>
      </c>
      <c r="BZ669" s="77" t="str">
        <f t="shared" si="823"/>
        <v>'Player Database'!A25</v>
      </c>
      <c r="CA669" s="77" t="str">
        <f t="shared" ca="1" si="824"/>
        <v>Laurent Ciman</v>
      </c>
    </row>
    <row r="670" spans="72:79">
      <c r="BT670" s="77" t="str">
        <f t="shared" ca="1" si="827"/>
        <v>Algeria</v>
      </c>
      <c r="BU670" s="77">
        <f t="shared" si="826"/>
        <v>668</v>
      </c>
      <c r="BV670" s="77" t="str">
        <f t="shared" si="825"/>
        <v>A3</v>
      </c>
      <c r="BW670" s="77">
        <f t="shared" si="822"/>
        <v>30</v>
      </c>
      <c r="BX670" s="77" t="str">
        <f t="shared" ca="1" si="818"/>
        <v>C. Si Mohamed</v>
      </c>
      <c r="BY670" s="77">
        <f ca="1">COUNTIF('Group Stages'!$L$14:$S$110,BX670)+COUNTIF('Knock Out Stages'!$N$41:$U$84,BX670)</f>
        <v>0</v>
      </c>
      <c r="BZ670" s="77" t="str">
        <f t="shared" si="823"/>
        <v>'Player Database'!A3</v>
      </c>
      <c r="CA670" s="77" t="str">
        <f t="shared" ca="1" si="824"/>
        <v>Cédric Si Mohamed</v>
      </c>
    </row>
    <row r="671" spans="72:79">
      <c r="BT671" s="77" t="str">
        <f t="shared" ca="1" si="827"/>
        <v>Algeria</v>
      </c>
      <c r="BU671" s="77">
        <f t="shared" si="826"/>
        <v>669</v>
      </c>
      <c r="BV671" s="77" t="str">
        <f t="shared" si="825"/>
        <v>A4</v>
      </c>
      <c r="BW671" s="77">
        <f t="shared" si="822"/>
        <v>30</v>
      </c>
      <c r="BX671" s="77" t="str">
        <f t="shared" ca="1" si="818"/>
        <v xml:space="preserve">M. Bougherra </v>
      </c>
      <c r="BY671" s="77">
        <f ca="1">COUNTIF('Group Stages'!$L$14:$S$110,BX671)+COUNTIF('Knock Out Stages'!$N$41:$U$84,BX671)</f>
        <v>0</v>
      </c>
      <c r="BZ671" s="77" t="str">
        <f t="shared" si="823"/>
        <v>'Player Database'!A4</v>
      </c>
      <c r="CA671" s="77" t="str">
        <f t="shared" ca="1" si="824"/>
        <v xml:space="preserve">Madjid Bougherra </v>
      </c>
    </row>
    <row r="672" spans="72:79">
      <c r="BT672" s="77" t="str">
        <f t="shared" ca="1" si="827"/>
        <v>Algeria</v>
      </c>
      <c r="BU672" s="77">
        <f t="shared" si="826"/>
        <v>670</v>
      </c>
      <c r="BV672" s="77" t="str">
        <f t="shared" si="825"/>
        <v>A5</v>
      </c>
      <c r="BW672" s="77">
        <f t="shared" si="822"/>
        <v>30</v>
      </c>
      <c r="BX672" s="77" t="str">
        <f t="shared" ca="1" si="818"/>
        <v>F. Ghoulam</v>
      </c>
      <c r="BY672" s="77">
        <f ca="1">COUNTIF('Group Stages'!$L$14:$S$110,BX672)+COUNTIF('Knock Out Stages'!$N$41:$U$84,BX672)</f>
        <v>0</v>
      </c>
      <c r="BZ672" s="77" t="str">
        <f t="shared" si="823"/>
        <v>'Player Database'!A5</v>
      </c>
      <c r="CA672" s="77" t="str">
        <f t="shared" ca="1" si="824"/>
        <v>Faouzi Ghoulam</v>
      </c>
    </row>
    <row r="673" spans="72:79">
      <c r="BT673" s="77" t="str">
        <f t="shared" ca="1" si="827"/>
        <v>Algeria</v>
      </c>
      <c r="BU673" s="77">
        <f t="shared" si="826"/>
        <v>671</v>
      </c>
      <c r="BV673" s="77" t="str">
        <f t="shared" si="825"/>
        <v>A6</v>
      </c>
      <c r="BW673" s="77">
        <f t="shared" si="822"/>
        <v>30</v>
      </c>
      <c r="BX673" s="77" t="str">
        <f t="shared" ca="1" si="818"/>
        <v>E. Belkalem</v>
      </c>
      <c r="BY673" s="77">
        <f ca="1">COUNTIF('Group Stages'!$L$14:$S$110,BX673)+COUNTIF('Knock Out Stages'!$N$41:$U$84,BX673)</f>
        <v>0</v>
      </c>
      <c r="BZ673" s="77" t="str">
        <f t="shared" si="823"/>
        <v>'Player Database'!A6</v>
      </c>
      <c r="CA673" s="77" t="str">
        <f t="shared" ca="1" si="824"/>
        <v>Essaïd Belkalem</v>
      </c>
    </row>
    <row r="674" spans="72:79">
      <c r="BT674" s="77" t="str">
        <f t="shared" ca="1" si="827"/>
        <v>Algeria</v>
      </c>
      <c r="BU674" s="77">
        <f t="shared" si="826"/>
        <v>672</v>
      </c>
      <c r="BV674" s="77" t="str">
        <f t="shared" si="825"/>
        <v>A7</v>
      </c>
      <c r="BW674" s="77">
        <f t="shared" si="822"/>
        <v>30</v>
      </c>
      <c r="BX674" s="77" t="str">
        <f t="shared" ca="1" si="818"/>
        <v>R. Halliche</v>
      </c>
      <c r="BY674" s="77">
        <f ca="1">COUNTIF('Group Stages'!$L$14:$S$110,BX674)+COUNTIF('Knock Out Stages'!$N$41:$U$84,BX674)</f>
        <v>0</v>
      </c>
      <c r="BZ674" s="77" t="str">
        <f t="shared" si="823"/>
        <v>'Player Database'!A7</v>
      </c>
      <c r="CA674" s="77" t="str">
        <f t="shared" ca="1" si="824"/>
        <v>Rafik Halliche</v>
      </c>
    </row>
    <row r="675" spans="72:79">
      <c r="BT675" s="77" t="str">
        <f t="shared" ca="1" si="827"/>
        <v>Algeria</v>
      </c>
      <c r="BU675" s="77">
        <f t="shared" si="826"/>
        <v>673</v>
      </c>
      <c r="BV675" s="77" t="str">
        <f t="shared" si="825"/>
        <v>A8</v>
      </c>
      <c r="BW675" s="77">
        <f t="shared" si="822"/>
        <v>30</v>
      </c>
      <c r="BX675" s="77" t="str">
        <f t="shared" ca="1" si="818"/>
        <v>D. Mesbah</v>
      </c>
      <c r="BY675" s="77">
        <f ca="1">COUNTIF('Group Stages'!$L$14:$S$110,BX675)+COUNTIF('Knock Out Stages'!$N$41:$U$84,BX675)</f>
        <v>0</v>
      </c>
      <c r="BZ675" s="77" t="str">
        <f t="shared" si="823"/>
        <v>'Player Database'!A8</v>
      </c>
      <c r="CA675" s="77" t="str">
        <f t="shared" ca="1" si="824"/>
        <v>Djamel Mesbah</v>
      </c>
    </row>
    <row r="676" spans="72:79">
      <c r="BT676" s="77" t="str">
        <f t="shared" ca="1" si="827"/>
        <v>Algeria</v>
      </c>
      <c r="BU676" s="77">
        <f t="shared" si="826"/>
        <v>674</v>
      </c>
      <c r="BV676" s="77" t="str">
        <f t="shared" si="825"/>
        <v>A9</v>
      </c>
      <c r="BW676" s="77">
        <f t="shared" si="822"/>
        <v>30</v>
      </c>
      <c r="BX676" s="77" t="str">
        <f t="shared" ca="1" si="818"/>
        <v>C. Medjani</v>
      </c>
      <c r="BY676" s="77">
        <f ca="1">COUNTIF('Group Stages'!$L$14:$S$110,BX676)+COUNTIF('Knock Out Stages'!$N$41:$U$84,BX676)</f>
        <v>0</v>
      </c>
      <c r="BZ676" s="77" t="str">
        <f t="shared" si="823"/>
        <v>'Player Database'!A9</v>
      </c>
      <c r="CA676" s="77" t="str">
        <f t="shared" ca="1" si="824"/>
        <v>Carl Medjani</v>
      </c>
    </row>
    <row r="677" spans="72:79">
      <c r="BT677" s="77" t="str">
        <f t="shared" ca="1" si="827"/>
        <v>Algeria</v>
      </c>
      <c r="BU677" s="77">
        <f t="shared" si="826"/>
        <v>675</v>
      </c>
      <c r="BV677" s="77" t="str">
        <f t="shared" si="825"/>
        <v>A10</v>
      </c>
      <c r="BW677" s="77">
        <f t="shared" si="822"/>
        <v>30</v>
      </c>
      <c r="BX677" s="77" t="str">
        <f t="shared" ca="1" si="818"/>
        <v>H. Yebda</v>
      </c>
      <c r="BY677" s="77">
        <f ca="1">COUNTIF('Group Stages'!$L$14:$S$110,BX677)+COUNTIF('Knock Out Stages'!$N$41:$U$84,BX677)</f>
        <v>0</v>
      </c>
      <c r="BZ677" s="77" t="str">
        <f t="shared" si="823"/>
        <v>'Player Database'!A10</v>
      </c>
      <c r="CA677" s="77" t="str">
        <f t="shared" ca="1" si="824"/>
        <v>Hassan Yebda</v>
      </c>
    </row>
    <row r="678" spans="72:79">
      <c r="BT678" s="77" t="str">
        <f t="shared" ca="1" si="827"/>
        <v>Algeria</v>
      </c>
      <c r="BU678" s="77">
        <f t="shared" si="826"/>
        <v>676</v>
      </c>
      <c r="BV678" s="77" t="str">
        <f t="shared" si="825"/>
        <v>A11</v>
      </c>
      <c r="BW678" s="77">
        <f t="shared" si="822"/>
        <v>30</v>
      </c>
      <c r="BX678" s="77" t="str">
        <f t="shared" ca="1" si="818"/>
        <v>N. Ghilas</v>
      </c>
      <c r="BY678" s="77">
        <f ca="1">COUNTIF('Group Stages'!$L$14:$S$110,BX678)+COUNTIF('Knock Out Stages'!$N$41:$U$84,BX678)</f>
        <v>0</v>
      </c>
      <c r="BZ678" s="77" t="str">
        <f t="shared" si="823"/>
        <v>'Player Database'!A11</v>
      </c>
      <c r="CA678" s="77" t="str">
        <f t="shared" ca="1" si="824"/>
        <v>Nabil Ghilas</v>
      </c>
    </row>
    <row r="679" spans="72:79">
      <c r="BT679" s="77" t="str">
        <f t="shared" ca="1" si="827"/>
        <v>Algeria</v>
      </c>
      <c r="BU679" s="77">
        <f t="shared" si="826"/>
        <v>677</v>
      </c>
      <c r="BV679" s="77" t="str">
        <f t="shared" si="825"/>
        <v>A12</v>
      </c>
      <c r="BW679" s="77">
        <f t="shared" si="822"/>
        <v>30</v>
      </c>
      <c r="BX679" s="77" t="str">
        <f t="shared" ca="1" si="818"/>
        <v>S. Feghouli</v>
      </c>
      <c r="BY679" s="77">
        <f ca="1">COUNTIF('Group Stages'!$L$14:$S$110,BX679)+COUNTIF('Knock Out Stages'!$N$41:$U$84,BX679)</f>
        <v>0</v>
      </c>
      <c r="BZ679" s="77" t="str">
        <f t="shared" si="823"/>
        <v>'Player Database'!A12</v>
      </c>
      <c r="CA679" s="77" t="str">
        <f t="shared" ca="1" si="824"/>
        <v>Sofiane Feghouli</v>
      </c>
    </row>
    <row r="680" spans="72:79">
      <c r="BT680" s="77" t="str">
        <f t="shared" ca="1" si="827"/>
        <v>Algeria</v>
      </c>
      <c r="BU680" s="77">
        <f t="shared" si="826"/>
        <v>678</v>
      </c>
      <c r="BV680" s="77" t="str">
        <f t="shared" si="825"/>
        <v>A13</v>
      </c>
      <c r="BW680" s="77">
        <f t="shared" si="822"/>
        <v>30</v>
      </c>
      <c r="BX680" s="77" t="str">
        <f t="shared" ca="1" si="818"/>
        <v>Y. Brahimi</v>
      </c>
      <c r="BY680" s="77">
        <f ca="1">COUNTIF('Group Stages'!$L$14:$S$110,BX680)+COUNTIF('Knock Out Stages'!$N$41:$U$84,BX680)</f>
        <v>0</v>
      </c>
      <c r="BZ680" s="77" t="str">
        <f t="shared" si="823"/>
        <v>'Player Database'!A13</v>
      </c>
      <c r="CA680" s="77" t="str">
        <f t="shared" ca="1" si="824"/>
        <v>Yacine Brahimi</v>
      </c>
    </row>
    <row r="681" spans="72:79">
      <c r="BT681" s="77" t="str">
        <f t="shared" ca="1" si="827"/>
        <v>Algeria</v>
      </c>
      <c r="BU681" s="77">
        <f t="shared" si="826"/>
        <v>679</v>
      </c>
      <c r="BV681" s="77" t="str">
        <f t="shared" si="825"/>
        <v>A14</v>
      </c>
      <c r="BW681" s="77">
        <f t="shared" si="822"/>
        <v>30</v>
      </c>
      <c r="BX681" s="77" t="str">
        <f t="shared" ca="1" si="818"/>
        <v>M. Lacen</v>
      </c>
      <c r="BY681" s="77">
        <f ca="1">COUNTIF('Group Stages'!$L$14:$S$110,BX681)+COUNTIF('Knock Out Stages'!$N$41:$U$84,BX681)</f>
        <v>0</v>
      </c>
      <c r="BZ681" s="77" t="str">
        <f t="shared" si="823"/>
        <v>'Player Database'!A14</v>
      </c>
      <c r="CA681" s="77" t="str">
        <f t="shared" ca="1" si="824"/>
        <v>Medhi Lacen</v>
      </c>
    </row>
    <row r="682" spans="72:79">
      <c r="BT682" s="77" t="str">
        <f t="shared" ca="1" si="827"/>
        <v>Algeria</v>
      </c>
      <c r="BU682" s="77">
        <f t="shared" si="826"/>
        <v>680</v>
      </c>
      <c r="BV682" s="77" t="str">
        <f t="shared" si="825"/>
        <v>A15</v>
      </c>
      <c r="BW682" s="77">
        <f t="shared" si="822"/>
        <v>30</v>
      </c>
      <c r="BX682" s="77" t="str">
        <f t="shared" ca="1" si="818"/>
        <v>I. Slimani</v>
      </c>
      <c r="BY682" s="77">
        <f ca="1">COUNTIF('Group Stages'!$L$14:$S$110,BX682)+COUNTIF('Knock Out Stages'!$N$41:$U$84,BX682)</f>
        <v>0</v>
      </c>
      <c r="BZ682" s="77" t="str">
        <f t="shared" si="823"/>
        <v>'Player Database'!A15</v>
      </c>
      <c r="CA682" s="77" t="str">
        <f t="shared" ca="1" si="824"/>
        <v>Islam Slimani</v>
      </c>
    </row>
    <row r="683" spans="72:79">
      <c r="BT683" s="77" t="str">
        <f t="shared" ca="1" si="827"/>
        <v>Algeria</v>
      </c>
      <c r="BU683" s="77">
        <f t="shared" si="826"/>
        <v>681</v>
      </c>
      <c r="BV683" s="77" t="str">
        <f t="shared" si="825"/>
        <v>A16</v>
      </c>
      <c r="BW683" s="77">
        <f t="shared" si="822"/>
        <v>30</v>
      </c>
      <c r="BX683" s="77" t="str">
        <f t="shared" ca="1" si="818"/>
        <v>N. Bentaleb</v>
      </c>
      <c r="BY683" s="77">
        <f ca="1">COUNTIF('Group Stages'!$L$14:$S$110,BX683)+COUNTIF('Knock Out Stages'!$N$41:$U$84,BX683)</f>
        <v>0</v>
      </c>
      <c r="BZ683" s="77" t="str">
        <f t="shared" si="823"/>
        <v>'Player Database'!A16</v>
      </c>
      <c r="CA683" s="77" t="str">
        <f t="shared" ca="1" si="824"/>
        <v>Nabil Bentaleb</v>
      </c>
    </row>
    <row r="684" spans="72:79">
      <c r="BT684" s="77" t="str">
        <f t="shared" ca="1" si="827"/>
        <v>Algeria</v>
      </c>
      <c r="BU684" s="77">
        <f t="shared" si="826"/>
        <v>682</v>
      </c>
      <c r="BV684" s="77" t="str">
        <f t="shared" si="825"/>
        <v>A17</v>
      </c>
      <c r="BW684" s="77">
        <f t="shared" si="822"/>
        <v>30</v>
      </c>
      <c r="BX684" s="77" t="str">
        <f t="shared" ca="1" si="818"/>
        <v>E. Arbi Hillel Soudani</v>
      </c>
      <c r="BY684" s="77">
        <f ca="1">COUNTIF('Group Stages'!$L$14:$S$110,BX684)+COUNTIF('Knock Out Stages'!$N$41:$U$84,BX684)</f>
        <v>0</v>
      </c>
      <c r="BZ684" s="77" t="str">
        <f t="shared" si="823"/>
        <v>'Player Database'!A17</v>
      </c>
      <c r="CA684" s="77" t="str">
        <f t="shared" ca="1" si="824"/>
        <v>El Arbi Hillel Soudani</v>
      </c>
    </row>
    <row r="685" spans="72:79">
      <c r="BT685" s="77" t="str">
        <f t="shared" ca="1" si="827"/>
        <v>Algeria</v>
      </c>
      <c r="BU685" s="77">
        <f t="shared" si="826"/>
        <v>683</v>
      </c>
      <c r="BV685" s="77" t="str">
        <f t="shared" si="825"/>
        <v>A18</v>
      </c>
      <c r="BW685" s="77">
        <f t="shared" si="822"/>
        <v>30</v>
      </c>
      <c r="BX685" s="77" t="str">
        <f t="shared" ca="1" si="818"/>
        <v>M. Zemmamouche</v>
      </c>
      <c r="BY685" s="77">
        <f ca="1">COUNTIF('Group Stages'!$L$14:$S$110,BX685)+COUNTIF('Knock Out Stages'!$N$41:$U$84,BX685)</f>
        <v>0</v>
      </c>
      <c r="BZ685" s="77" t="str">
        <f t="shared" si="823"/>
        <v>'Player Database'!A18</v>
      </c>
      <c r="CA685" s="77" t="str">
        <f t="shared" ca="1" si="824"/>
        <v>Mohamed Zemmamouche</v>
      </c>
    </row>
    <row r="686" spans="72:79">
      <c r="BT686" s="77" t="str">
        <f t="shared" ca="1" si="827"/>
        <v>Algeria</v>
      </c>
      <c r="BU686" s="77">
        <f t="shared" si="826"/>
        <v>684</v>
      </c>
      <c r="BV686" s="77" t="str">
        <f t="shared" si="825"/>
        <v>A19</v>
      </c>
      <c r="BW686" s="77">
        <f t="shared" si="822"/>
        <v>30</v>
      </c>
      <c r="BX686" s="77" t="str">
        <f t="shared" ca="1" si="818"/>
        <v>L. Cadamuro-Bentaïba</v>
      </c>
      <c r="BY686" s="77">
        <f ca="1">COUNTIF('Group Stages'!$L$14:$S$110,BX686)+COUNTIF('Knock Out Stages'!$N$41:$U$84,BX686)</f>
        <v>0</v>
      </c>
      <c r="BZ686" s="77" t="str">
        <f t="shared" si="823"/>
        <v>'Player Database'!A19</v>
      </c>
      <c r="CA686" s="77" t="str">
        <f t="shared" ca="1" si="824"/>
        <v>Liassine Cadamuro-Bentaïba</v>
      </c>
    </row>
    <row r="687" spans="72:79">
      <c r="BT687" s="77" t="str">
        <f t="shared" ca="1" si="827"/>
        <v>Algeria</v>
      </c>
      <c r="BU687" s="77">
        <f t="shared" si="826"/>
        <v>685</v>
      </c>
      <c r="BV687" s="77" t="str">
        <f t="shared" si="825"/>
        <v>A20</v>
      </c>
      <c r="BW687" s="77">
        <f t="shared" si="822"/>
        <v>30</v>
      </c>
      <c r="BX687" s="77" t="str">
        <f t="shared" ca="1" si="818"/>
        <v>A. Djabou</v>
      </c>
      <c r="BY687" s="77">
        <f ca="1">COUNTIF('Group Stages'!$L$14:$S$110,BX687)+COUNTIF('Knock Out Stages'!$N$41:$U$84,BX687)</f>
        <v>0</v>
      </c>
      <c r="BZ687" s="77" t="str">
        <f t="shared" si="823"/>
        <v>'Player Database'!A20</v>
      </c>
      <c r="CA687" s="77" t="str">
        <f t="shared" ca="1" si="824"/>
        <v>Abdelmoumene Djabou</v>
      </c>
    </row>
    <row r="688" spans="72:79">
      <c r="BT688" s="77" t="str">
        <f t="shared" ca="1" si="827"/>
        <v>Algeria</v>
      </c>
      <c r="BU688" s="77">
        <f t="shared" si="826"/>
        <v>686</v>
      </c>
      <c r="BV688" s="77" t="str">
        <f t="shared" si="825"/>
        <v>A21</v>
      </c>
      <c r="BW688" s="77">
        <f t="shared" si="822"/>
        <v>30</v>
      </c>
      <c r="BX688" s="77" t="str">
        <f t="shared" ref="BX688:BX738" ca="1" si="828">OFFSET(INDIRECT(BV688),0,BW688)</f>
        <v>S. Taïder</v>
      </c>
      <c r="BY688" s="77">
        <f ca="1">COUNTIF('Group Stages'!$L$14:$S$110,BX688)+COUNTIF('Knock Out Stages'!$N$41:$U$84,BX688)</f>
        <v>0</v>
      </c>
      <c r="BZ688" s="77" t="str">
        <f t="shared" si="823"/>
        <v>'Player Database'!A21</v>
      </c>
      <c r="CA688" s="77" t="str">
        <f t="shared" ca="1" si="824"/>
        <v>Saphir Taïder</v>
      </c>
    </row>
    <row r="689" spans="72:79">
      <c r="BT689" s="77" t="str">
        <f t="shared" ca="1" si="827"/>
        <v>Algeria</v>
      </c>
      <c r="BU689" s="77">
        <f t="shared" si="826"/>
        <v>687</v>
      </c>
      <c r="BV689" s="77" t="str">
        <f t="shared" si="825"/>
        <v>A22</v>
      </c>
      <c r="BW689" s="77">
        <f t="shared" si="822"/>
        <v>30</v>
      </c>
      <c r="BX689" s="77" t="str">
        <f t="shared" ca="1" si="828"/>
        <v>A. Mandi</v>
      </c>
      <c r="BY689" s="77">
        <f ca="1">COUNTIF('Group Stages'!$L$14:$S$110,BX689)+COUNTIF('Knock Out Stages'!$N$41:$U$84,BX689)</f>
        <v>0</v>
      </c>
      <c r="BZ689" s="77" t="str">
        <f t="shared" si="823"/>
        <v>'Player Database'!A22</v>
      </c>
      <c r="CA689" s="77" t="str">
        <f t="shared" ca="1" si="824"/>
        <v>Aïssa Mandi</v>
      </c>
    </row>
    <row r="690" spans="72:79">
      <c r="BT690" s="77" t="str">
        <f t="shared" ca="1" si="827"/>
        <v>Algeria</v>
      </c>
      <c r="BU690" s="77">
        <f t="shared" si="826"/>
        <v>688</v>
      </c>
      <c r="BV690" s="77" t="str">
        <f t="shared" si="825"/>
        <v>A23</v>
      </c>
      <c r="BW690" s="77">
        <f t="shared" ref="BW690:BW738" si="829">BW667+1</f>
        <v>30</v>
      </c>
      <c r="BX690" s="77" t="str">
        <f t="shared" ca="1" si="828"/>
        <v>R. Mahrez</v>
      </c>
      <c r="BY690" s="77">
        <f ca="1">COUNTIF('Group Stages'!$L$14:$S$110,BX690)+COUNTIF('Knock Out Stages'!$N$41:$U$84,BX690)</f>
        <v>0</v>
      </c>
      <c r="BZ690" s="77" t="str">
        <f t="shared" ref="BZ690:BZ738" si="830">BZ667</f>
        <v>'Player Database'!A23</v>
      </c>
      <c r="CA690" s="77" t="str">
        <f t="shared" ref="CA690:CA738" ca="1" si="831">OFFSET(INDIRECT(BZ690),0,BW690)</f>
        <v>Riyad Mahrez</v>
      </c>
    </row>
    <row r="691" spans="72:79">
      <c r="BT691" s="77" t="str">
        <f t="shared" ca="1" si="827"/>
        <v>Algeria</v>
      </c>
      <c r="BU691" s="77">
        <f t="shared" si="826"/>
        <v>689</v>
      </c>
      <c r="BV691" s="77" t="str">
        <f t="shared" ref="BV691:BV738" si="832">BV668</f>
        <v>A24</v>
      </c>
      <c r="BW691" s="77">
        <f t="shared" si="829"/>
        <v>30</v>
      </c>
      <c r="BX691" s="77" t="str">
        <f t="shared" ca="1" si="828"/>
        <v>M. Mostefa</v>
      </c>
      <c r="BY691" s="77">
        <f ca="1">COUNTIF('Group Stages'!$L$14:$S$110,BX691)+COUNTIF('Knock Out Stages'!$N$41:$U$84,BX691)</f>
        <v>0</v>
      </c>
      <c r="BZ691" s="77" t="str">
        <f t="shared" si="830"/>
        <v>'Player Database'!A24</v>
      </c>
      <c r="CA691" s="77" t="str">
        <f t="shared" ca="1" si="831"/>
        <v>Mehdi Mostefa</v>
      </c>
    </row>
    <row r="692" spans="72:79">
      <c r="BT692" s="77" t="str">
        <f t="shared" ca="1" si="827"/>
        <v>Algeria</v>
      </c>
      <c r="BU692" s="77">
        <f t="shared" si="826"/>
        <v>690</v>
      </c>
      <c r="BV692" s="77" t="str">
        <f t="shared" si="832"/>
        <v>A25</v>
      </c>
      <c r="BW692" s="77">
        <f t="shared" si="829"/>
        <v>30</v>
      </c>
      <c r="BX692" s="77" t="str">
        <f t="shared" ca="1" si="828"/>
        <v>R. M'Bolhi</v>
      </c>
      <c r="BY692" s="77">
        <f ca="1">COUNTIF('Group Stages'!$L$14:$S$110,BX692)+COUNTIF('Knock Out Stages'!$N$41:$U$84,BX692)</f>
        <v>0</v>
      </c>
      <c r="BZ692" s="77" t="str">
        <f t="shared" si="830"/>
        <v>'Player Database'!A25</v>
      </c>
      <c r="CA692" s="77" t="str">
        <f t="shared" ca="1" si="831"/>
        <v>Raïs M'Bolhi</v>
      </c>
    </row>
    <row r="693" spans="72:79">
      <c r="BT693" s="77" t="str">
        <f t="shared" ca="1" si="827"/>
        <v>Russia</v>
      </c>
      <c r="BU693" s="77">
        <f t="shared" si="826"/>
        <v>691</v>
      </c>
      <c r="BV693" s="77" t="str">
        <f t="shared" si="832"/>
        <v>A3</v>
      </c>
      <c r="BW693" s="77">
        <f t="shared" si="829"/>
        <v>31</v>
      </c>
      <c r="BX693" s="77" t="str">
        <f t="shared" ca="1" si="828"/>
        <v>I. Akinfeev</v>
      </c>
      <c r="BY693" s="77">
        <f ca="1">COUNTIF('Group Stages'!$L$14:$S$110,BX693)+COUNTIF('Knock Out Stages'!$N$41:$U$84,BX693)</f>
        <v>0</v>
      </c>
      <c r="BZ693" s="77" t="str">
        <f t="shared" si="830"/>
        <v>'Player Database'!A3</v>
      </c>
      <c r="CA693" s="77" t="str">
        <f t="shared" ca="1" si="831"/>
        <v>Igor Akinfeev</v>
      </c>
    </row>
    <row r="694" spans="72:79">
      <c r="BT694" s="77" t="str">
        <f t="shared" ca="1" si="827"/>
        <v>Russia</v>
      </c>
      <c r="BU694" s="77">
        <f t="shared" si="826"/>
        <v>692</v>
      </c>
      <c r="BV694" s="77" t="str">
        <f t="shared" si="832"/>
        <v>A4</v>
      </c>
      <c r="BW694" s="77">
        <f t="shared" si="829"/>
        <v>31</v>
      </c>
      <c r="BX694" s="77" t="str">
        <f t="shared" ca="1" si="828"/>
        <v>A. Kozlov</v>
      </c>
      <c r="BY694" s="77">
        <f ca="1">COUNTIF('Group Stages'!$L$14:$S$110,BX694)+COUNTIF('Knock Out Stages'!$N$41:$U$84,BX694)</f>
        <v>0</v>
      </c>
      <c r="BZ694" s="77" t="str">
        <f t="shared" si="830"/>
        <v>'Player Database'!A4</v>
      </c>
      <c r="CA694" s="77" t="str">
        <f t="shared" ca="1" si="831"/>
        <v>Aleksei Kozlov</v>
      </c>
    </row>
    <row r="695" spans="72:79">
      <c r="BT695" s="77" t="str">
        <f t="shared" ca="1" si="827"/>
        <v>Russia</v>
      </c>
      <c r="BU695" s="77">
        <f t="shared" si="826"/>
        <v>693</v>
      </c>
      <c r="BV695" s="77" t="str">
        <f t="shared" si="832"/>
        <v>A5</v>
      </c>
      <c r="BW695" s="77">
        <f t="shared" si="829"/>
        <v>31</v>
      </c>
      <c r="BX695" s="77" t="str">
        <f t="shared" ca="1" si="828"/>
        <v>G. Shchennikov</v>
      </c>
      <c r="BY695" s="77">
        <f ca="1">COUNTIF('Group Stages'!$L$14:$S$110,BX695)+COUNTIF('Knock Out Stages'!$N$41:$U$84,BX695)</f>
        <v>0</v>
      </c>
      <c r="BZ695" s="77" t="str">
        <f t="shared" si="830"/>
        <v>'Player Database'!A5</v>
      </c>
      <c r="CA695" s="77" t="str">
        <f t="shared" ca="1" si="831"/>
        <v>Georgi Shchennikov</v>
      </c>
    </row>
    <row r="696" spans="72:79">
      <c r="BT696" s="77" t="str">
        <f t="shared" ca="1" si="827"/>
        <v>Russia</v>
      </c>
      <c r="BU696" s="77">
        <f t="shared" si="826"/>
        <v>694</v>
      </c>
      <c r="BV696" s="77" t="str">
        <f t="shared" si="832"/>
        <v>A6</v>
      </c>
      <c r="BW696" s="77">
        <f t="shared" si="829"/>
        <v>31</v>
      </c>
      <c r="BX696" s="77" t="str">
        <f t="shared" ca="1" si="828"/>
        <v>S. Ignashevich</v>
      </c>
      <c r="BY696" s="77">
        <f ca="1">COUNTIF('Group Stages'!$L$14:$S$110,BX696)+COUNTIF('Knock Out Stages'!$N$41:$U$84,BX696)</f>
        <v>0</v>
      </c>
      <c r="BZ696" s="77" t="str">
        <f t="shared" si="830"/>
        <v>'Player Database'!A6</v>
      </c>
      <c r="CA696" s="77" t="str">
        <f t="shared" ca="1" si="831"/>
        <v>Sergei Ignashevich</v>
      </c>
    </row>
    <row r="697" spans="72:79">
      <c r="BT697" s="77" t="str">
        <f t="shared" ca="1" si="827"/>
        <v>Russia</v>
      </c>
      <c r="BU697" s="77">
        <f t="shared" si="826"/>
        <v>695</v>
      </c>
      <c r="BV697" s="77" t="str">
        <f t="shared" si="832"/>
        <v>A7</v>
      </c>
      <c r="BW697" s="77">
        <f t="shared" si="829"/>
        <v>31</v>
      </c>
      <c r="BX697" s="77" t="str">
        <f t="shared" ca="1" si="828"/>
        <v>A. Semyonov</v>
      </c>
      <c r="BY697" s="77">
        <f ca="1">COUNTIF('Group Stages'!$L$14:$S$110,BX697)+COUNTIF('Knock Out Stages'!$N$41:$U$84,BX697)</f>
        <v>0</v>
      </c>
      <c r="BZ697" s="77" t="str">
        <f t="shared" si="830"/>
        <v>'Player Database'!A7</v>
      </c>
      <c r="CA697" s="77" t="str">
        <f t="shared" ca="1" si="831"/>
        <v>Andrei Semyonov</v>
      </c>
    </row>
    <row r="698" spans="72:79">
      <c r="BT698" s="77" t="str">
        <f t="shared" ca="1" si="827"/>
        <v>Russia</v>
      </c>
      <c r="BU698" s="77">
        <f t="shared" si="826"/>
        <v>696</v>
      </c>
      <c r="BV698" s="77" t="str">
        <f t="shared" si="832"/>
        <v>A8</v>
      </c>
      <c r="BW698" s="77">
        <f t="shared" si="829"/>
        <v>31</v>
      </c>
      <c r="BX698" s="77" t="str">
        <f t="shared" ca="1" si="828"/>
        <v>M. Kanunnikov</v>
      </c>
      <c r="BY698" s="77">
        <f ca="1">COUNTIF('Group Stages'!$L$14:$S$110,BX698)+COUNTIF('Knock Out Stages'!$N$41:$U$84,BX698)</f>
        <v>0</v>
      </c>
      <c r="BZ698" s="77" t="str">
        <f t="shared" si="830"/>
        <v>'Player Database'!A8</v>
      </c>
      <c r="CA698" s="77" t="str">
        <f t="shared" ca="1" si="831"/>
        <v>Maksim Kanunnikov</v>
      </c>
    </row>
    <row r="699" spans="72:79">
      <c r="BT699" s="77" t="str">
        <f t="shared" ca="1" si="827"/>
        <v>Russia</v>
      </c>
      <c r="BU699" s="77">
        <f t="shared" si="826"/>
        <v>697</v>
      </c>
      <c r="BV699" s="77" t="str">
        <f t="shared" si="832"/>
        <v>A9</v>
      </c>
      <c r="BW699" s="77">
        <f t="shared" si="829"/>
        <v>31</v>
      </c>
      <c r="BX699" s="77" t="str">
        <f t="shared" ca="1" si="828"/>
        <v>I. Denisov</v>
      </c>
      <c r="BY699" s="77">
        <f ca="1">COUNTIF('Group Stages'!$L$14:$S$110,BX699)+COUNTIF('Knock Out Stages'!$N$41:$U$84,BX699)</f>
        <v>0</v>
      </c>
      <c r="BZ699" s="77" t="str">
        <f t="shared" si="830"/>
        <v>'Player Database'!A9</v>
      </c>
      <c r="CA699" s="77" t="str">
        <f t="shared" ca="1" si="831"/>
        <v>Igor Denisov</v>
      </c>
    </row>
    <row r="700" spans="72:79">
      <c r="BT700" s="77" t="str">
        <f t="shared" ca="1" si="827"/>
        <v>Russia</v>
      </c>
      <c r="BU700" s="77">
        <f t="shared" si="826"/>
        <v>698</v>
      </c>
      <c r="BV700" s="77" t="str">
        <f t="shared" si="832"/>
        <v>A10</v>
      </c>
      <c r="BW700" s="77">
        <f t="shared" si="829"/>
        <v>31</v>
      </c>
      <c r="BX700" s="77" t="str">
        <f t="shared" ca="1" si="828"/>
        <v>D. Glushakov</v>
      </c>
      <c r="BY700" s="77">
        <f ca="1">COUNTIF('Group Stages'!$L$14:$S$110,BX700)+COUNTIF('Knock Out Stages'!$N$41:$U$84,BX700)</f>
        <v>0</v>
      </c>
      <c r="BZ700" s="77" t="str">
        <f t="shared" si="830"/>
        <v>'Player Database'!A10</v>
      </c>
      <c r="CA700" s="77" t="str">
        <f t="shared" ca="1" si="831"/>
        <v>Denis Glushakov</v>
      </c>
    </row>
    <row r="701" spans="72:79">
      <c r="BT701" s="77" t="str">
        <f t="shared" ca="1" si="827"/>
        <v>Russia</v>
      </c>
      <c r="BU701" s="77">
        <f t="shared" si="826"/>
        <v>699</v>
      </c>
      <c r="BV701" s="77" t="str">
        <f t="shared" si="832"/>
        <v>A11</v>
      </c>
      <c r="BW701" s="77">
        <f t="shared" si="829"/>
        <v>31</v>
      </c>
      <c r="BX701" s="77" t="str">
        <f t="shared" ca="1" si="828"/>
        <v>A. Kokorin</v>
      </c>
      <c r="BY701" s="77">
        <f ca="1">COUNTIF('Group Stages'!$L$14:$S$110,BX701)+COUNTIF('Knock Out Stages'!$N$41:$U$84,BX701)</f>
        <v>0</v>
      </c>
      <c r="BZ701" s="77" t="str">
        <f t="shared" si="830"/>
        <v>'Player Database'!A11</v>
      </c>
      <c r="CA701" s="77" t="str">
        <f t="shared" ca="1" si="831"/>
        <v>Aleksandr Kokorin</v>
      </c>
    </row>
    <row r="702" spans="72:79">
      <c r="BT702" s="77" t="str">
        <f t="shared" ca="1" si="827"/>
        <v>Russia</v>
      </c>
      <c r="BU702" s="77">
        <f t="shared" si="826"/>
        <v>700</v>
      </c>
      <c r="BV702" s="77" t="str">
        <f t="shared" si="832"/>
        <v>A12</v>
      </c>
      <c r="BW702" s="77">
        <f t="shared" si="829"/>
        <v>31</v>
      </c>
      <c r="BX702" s="77" t="str">
        <f t="shared" ca="1" si="828"/>
        <v>A. Dzagoev</v>
      </c>
      <c r="BY702" s="77">
        <f ca="1">COUNTIF('Group Stages'!$L$14:$S$110,BX702)+COUNTIF('Knock Out Stages'!$N$41:$U$84,BX702)</f>
        <v>0</v>
      </c>
      <c r="BZ702" s="77" t="str">
        <f t="shared" si="830"/>
        <v>'Player Database'!A12</v>
      </c>
      <c r="CA702" s="77" t="str">
        <f t="shared" ca="1" si="831"/>
        <v>Alan Dzagoev</v>
      </c>
    </row>
    <row r="703" spans="72:79">
      <c r="BT703" s="77" t="str">
        <f t="shared" ca="1" si="827"/>
        <v>Russia</v>
      </c>
      <c r="BU703" s="77">
        <f t="shared" si="826"/>
        <v>701</v>
      </c>
      <c r="BV703" s="77" t="str">
        <f t="shared" si="832"/>
        <v>A13</v>
      </c>
      <c r="BW703" s="77">
        <f t="shared" si="829"/>
        <v>31</v>
      </c>
      <c r="BX703" s="77" t="str">
        <f t="shared" ca="1" si="828"/>
        <v>A. Kerzhakov</v>
      </c>
      <c r="BY703" s="77">
        <f ca="1">COUNTIF('Group Stages'!$L$14:$S$110,BX703)+COUNTIF('Knock Out Stages'!$N$41:$U$84,BX703)</f>
        <v>0</v>
      </c>
      <c r="BZ703" s="77" t="str">
        <f t="shared" si="830"/>
        <v>'Player Database'!A13</v>
      </c>
      <c r="CA703" s="77" t="str">
        <f t="shared" ca="1" si="831"/>
        <v>Aleksandr Kerzhakov</v>
      </c>
    </row>
    <row r="704" spans="72:79">
      <c r="BT704" s="77" t="str">
        <f t="shared" ca="1" si="827"/>
        <v>Russia</v>
      </c>
      <c r="BU704" s="77">
        <f t="shared" si="826"/>
        <v>702</v>
      </c>
      <c r="BV704" s="77" t="str">
        <f t="shared" si="832"/>
        <v>A14</v>
      </c>
      <c r="BW704" s="77">
        <f t="shared" si="829"/>
        <v>31</v>
      </c>
      <c r="BX704" s="77" t="str">
        <f t="shared" ca="1" si="828"/>
        <v>Y. Lodygin</v>
      </c>
      <c r="BY704" s="77">
        <f ca="1">COUNTIF('Group Stages'!$L$14:$S$110,BX704)+COUNTIF('Knock Out Stages'!$N$41:$U$84,BX704)</f>
        <v>0</v>
      </c>
      <c r="BZ704" s="77" t="str">
        <f t="shared" si="830"/>
        <v>'Player Database'!A14</v>
      </c>
      <c r="CA704" s="77" t="str">
        <f t="shared" ca="1" si="831"/>
        <v>Yuri Lodygin</v>
      </c>
    </row>
    <row r="705" spans="72:79">
      <c r="BT705" s="77" t="str">
        <f t="shared" ca="1" si="827"/>
        <v>Russia</v>
      </c>
      <c r="BU705" s="77">
        <f t="shared" si="826"/>
        <v>703</v>
      </c>
      <c r="BV705" s="77" t="str">
        <f t="shared" si="832"/>
        <v>A15</v>
      </c>
      <c r="BW705" s="77">
        <f t="shared" si="829"/>
        <v>31</v>
      </c>
      <c r="BX705" s="77" t="str">
        <f t="shared" ca="1" si="828"/>
        <v>V. Granat</v>
      </c>
      <c r="BY705" s="77">
        <f ca="1">COUNTIF('Group Stages'!$L$14:$S$110,BX705)+COUNTIF('Knock Out Stages'!$N$41:$U$84,BX705)</f>
        <v>0</v>
      </c>
      <c r="BZ705" s="77" t="str">
        <f t="shared" si="830"/>
        <v>'Player Database'!A15</v>
      </c>
      <c r="CA705" s="77" t="str">
        <f t="shared" ca="1" si="831"/>
        <v>Vladimir Granat</v>
      </c>
    </row>
    <row r="706" spans="72:79">
      <c r="BT706" s="77" t="str">
        <f t="shared" ca="1" si="827"/>
        <v>Russia</v>
      </c>
      <c r="BU706" s="77">
        <f t="shared" si="826"/>
        <v>704</v>
      </c>
      <c r="BV706" s="77" t="str">
        <f t="shared" si="832"/>
        <v>A16</v>
      </c>
      <c r="BW706" s="77">
        <f t="shared" si="829"/>
        <v>31</v>
      </c>
      <c r="BX706" s="77" t="str">
        <f t="shared" ca="1" si="828"/>
        <v xml:space="preserve">V. Berezutski </v>
      </c>
      <c r="BY706" s="77">
        <f ca="1">COUNTIF('Group Stages'!$L$14:$S$110,BX706)+COUNTIF('Knock Out Stages'!$N$41:$U$84,BX706)</f>
        <v>0</v>
      </c>
      <c r="BZ706" s="77" t="str">
        <f t="shared" si="830"/>
        <v>'Player Database'!A16</v>
      </c>
      <c r="CA706" s="77" t="str">
        <f t="shared" ca="1" si="831"/>
        <v xml:space="preserve">Vasili Berezutski </v>
      </c>
    </row>
    <row r="707" spans="72:79">
      <c r="BT707" s="77" t="str">
        <f t="shared" ca="1" si="827"/>
        <v>Russia</v>
      </c>
      <c r="BU707" s="77">
        <f t="shared" si="826"/>
        <v>705</v>
      </c>
      <c r="BV707" s="77" t="str">
        <f t="shared" si="832"/>
        <v>A17</v>
      </c>
      <c r="BW707" s="77">
        <f t="shared" si="829"/>
        <v>31</v>
      </c>
      <c r="BX707" s="77" t="str">
        <f t="shared" ca="1" si="828"/>
        <v>P. Mogilevets</v>
      </c>
      <c r="BY707" s="77">
        <f ca="1">COUNTIF('Group Stages'!$L$14:$S$110,BX707)+COUNTIF('Knock Out Stages'!$N$41:$U$84,BX707)</f>
        <v>0</v>
      </c>
      <c r="BZ707" s="77" t="str">
        <f t="shared" si="830"/>
        <v>'Player Database'!A17</v>
      </c>
      <c r="CA707" s="77" t="str">
        <f t="shared" ca="1" si="831"/>
        <v>Pavel Mogilevets</v>
      </c>
    </row>
    <row r="708" spans="72:79">
      <c r="BT708" s="77" t="str">
        <f t="shared" ca="1" si="827"/>
        <v>Russia</v>
      </c>
      <c r="BU708" s="77">
        <f t="shared" si="826"/>
        <v>706</v>
      </c>
      <c r="BV708" s="77" t="str">
        <f t="shared" si="832"/>
        <v>A18</v>
      </c>
      <c r="BW708" s="77">
        <f t="shared" si="829"/>
        <v>31</v>
      </c>
      <c r="BX708" s="77" t="str">
        <f t="shared" ca="1" si="828"/>
        <v>S. Ryzhikov</v>
      </c>
      <c r="BY708" s="77">
        <f ca="1">COUNTIF('Group Stages'!$L$14:$S$110,BX708)+COUNTIF('Knock Out Stages'!$N$41:$U$84,BX708)</f>
        <v>0</v>
      </c>
      <c r="BZ708" s="77" t="str">
        <f t="shared" si="830"/>
        <v>'Player Database'!A18</v>
      </c>
      <c r="CA708" s="77" t="str">
        <f t="shared" ca="1" si="831"/>
        <v>Sergey Ryzhikov</v>
      </c>
    </row>
    <row r="709" spans="72:79">
      <c r="BT709" s="77" t="str">
        <f t="shared" ca="1" si="827"/>
        <v>Russia</v>
      </c>
      <c r="BU709" s="77">
        <f t="shared" ref="BU709:BU738" si="833">BU708+1</f>
        <v>707</v>
      </c>
      <c r="BV709" s="77" t="str">
        <f t="shared" si="832"/>
        <v>A19</v>
      </c>
      <c r="BW709" s="77">
        <f t="shared" si="829"/>
        <v>31</v>
      </c>
      <c r="BX709" s="77" t="str">
        <f t="shared" ca="1" si="828"/>
        <v>O. Shatov</v>
      </c>
      <c r="BY709" s="77">
        <f ca="1">COUNTIF('Group Stages'!$L$14:$S$110,BX709)+COUNTIF('Knock Out Stages'!$N$41:$U$84,BX709)</f>
        <v>0</v>
      </c>
      <c r="BZ709" s="77" t="str">
        <f t="shared" si="830"/>
        <v>'Player Database'!A19</v>
      </c>
      <c r="CA709" s="77" t="str">
        <f t="shared" ca="1" si="831"/>
        <v>Oleg Shatov</v>
      </c>
    </row>
    <row r="710" spans="72:79">
      <c r="BT710" s="77" t="str">
        <f t="shared" ca="1" si="827"/>
        <v>Russia</v>
      </c>
      <c r="BU710" s="77">
        <f t="shared" si="833"/>
        <v>708</v>
      </c>
      <c r="BV710" s="77" t="str">
        <f t="shared" si="832"/>
        <v>A20</v>
      </c>
      <c r="BW710" s="77">
        <f t="shared" si="829"/>
        <v>31</v>
      </c>
      <c r="BX710" s="77" t="str">
        <f t="shared" ca="1" si="828"/>
        <v>Y. Zhirkov</v>
      </c>
      <c r="BY710" s="77">
        <f ca="1">COUNTIF('Group Stages'!$L$14:$S$110,BX710)+COUNTIF('Knock Out Stages'!$N$41:$U$84,BX710)</f>
        <v>0</v>
      </c>
      <c r="BZ710" s="77" t="str">
        <f t="shared" si="830"/>
        <v>'Player Database'!A20</v>
      </c>
      <c r="CA710" s="77" t="str">
        <f t="shared" ca="1" si="831"/>
        <v>Yuri Zhirkov</v>
      </c>
    </row>
    <row r="711" spans="72:79">
      <c r="BT711" s="77" t="str">
        <f t="shared" ca="1" si="827"/>
        <v>Russia</v>
      </c>
      <c r="BU711" s="77">
        <f t="shared" si="833"/>
        <v>709</v>
      </c>
      <c r="BV711" s="77" t="str">
        <f t="shared" si="832"/>
        <v>A21</v>
      </c>
      <c r="BW711" s="77">
        <f t="shared" si="829"/>
        <v>31</v>
      </c>
      <c r="BX711" s="77" t="str">
        <f t="shared" ca="1" si="828"/>
        <v>A. Samedov</v>
      </c>
      <c r="BY711" s="77">
        <f ca="1">COUNTIF('Group Stages'!$L$14:$S$110,BX711)+COUNTIF('Knock Out Stages'!$N$41:$U$84,BX711)</f>
        <v>0</v>
      </c>
      <c r="BZ711" s="77" t="str">
        <f t="shared" si="830"/>
        <v>'Player Database'!A21</v>
      </c>
      <c r="CA711" s="77" t="str">
        <f t="shared" ca="1" si="831"/>
        <v>Aleksandr Samedov</v>
      </c>
    </row>
    <row r="712" spans="72:79">
      <c r="BT712" s="77" t="str">
        <f t="shared" ca="1" si="827"/>
        <v>Russia</v>
      </c>
      <c r="BU712" s="77">
        <f t="shared" si="833"/>
        <v>710</v>
      </c>
      <c r="BV712" s="77" t="str">
        <f t="shared" si="832"/>
        <v>A22</v>
      </c>
      <c r="BW712" s="77">
        <f t="shared" si="829"/>
        <v>31</v>
      </c>
      <c r="BX712" s="77" t="str">
        <f t="shared" ca="1" si="828"/>
        <v>V. Fayzulin</v>
      </c>
      <c r="BY712" s="77">
        <f ca="1">COUNTIF('Group Stages'!$L$14:$S$110,BX712)+COUNTIF('Knock Out Stages'!$N$41:$U$84,BX712)</f>
        <v>0</v>
      </c>
      <c r="BZ712" s="77" t="str">
        <f t="shared" si="830"/>
        <v>'Player Database'!A22</v>
      </c>
      <c r="CA712" s="77" t="str">
        <f t="shared" ca="1" si="831"/>
        <v>Viktor Fayzulin</v>
      </c>
    </row>
    <row r="713" spans="72:79">
      <c r="BT713" s="77" t="str">
        <f t="shared" ca="1" si="827"/>
        <v>Russia</v>
      </c>
      <c r="BU713" s="77">
        <f t="shared" si="833"/>
        <v>711</v>
      </c>
      <c r="BV713" s="77" t="str">
        <f t="shared" si="832"/>
        <v>A23</v>
      </c>
      <c r="BW713" s="77">
        <f t="shared" si="829"/>
        <v>31</v>
      </c>
      <c r="BX713" s="77" t="str">
        <f t="shared" ca="1" si="828"/>
        <v>A. Ionov</v>
      </c>
      <c r="BY713" s="77">
        <f ca="1">COUNTIF('Group Stages'!$L$14:$S$110,BX713)+COUNTIF('Knock Out Stages'!$N$41:$U$84,BX713)</f>
        <v>0</v>
      </c>
      <c r="BZ713" s="77" t="str">
        <f t="shared" si="830"/>
        <v>'Player Database'!A23</v>
      </c>
      <c r="CA713" s="77" t="str">
        <f t="shared" ca="1" si="831"/>
        <v>Aleksei Ionov</v>
      </c>
    </row>
    <row r="714" spans="72:79">
      <c r="BT714" s="77" t="str">
        <f t="shared" ca="1" si="827"/>
        <v>Russia</v>
      </c>
      <c r="BU714" s="77">
        <f t="shared" si="833"/>
        <v>712</v>
      </c>
      <c r="BV714" s="77" t="str">
        <f t="shared" si="832"/>
        <v>A24</v>
      </c>
      <c r="BW714" s="77">
        <f t="shared" si="829"/>
        <v>31</v>
      </c>
      <c r="BX714" s="77" t="str">
        <f t="shared" ca="1" si="828"/>
        <v>A. Yeshchenko</v>
      </c>
      <c r="BY714" s="77">
        <f ca="1">COUNTIF('Group Stages'!$L$14:$S$110,BX714)+COUNTIF('Knock Out Stages'!$N$41:$U$84,BX714)</f>
        <v>0</v>
      </c>
      <c r="BZ714" s="77" t="str">
        <f t="shared" si="830"/>
        <v>'Player Database'!A24</v>
      </c>
      <c r="CA714" s="77" t="str">
        <f t="shared" ca="1" si="831"/>
        <v>Andrey Yeshchenko</v>
      </c>
    </row>
    <row r="715" spans="72:79">
      <c r="BT715" s="77" t="str">
        <f t="shared" ca="1" si="827"/>
        <v>Russia</v>
      </c>
      <c r="BU715" s="77">
        <f t="shared" si="833"/>
        <v>713</v>
      </c>
      <c r="BV715" s="77" t="str">
        <f t="shared" si="832"/>
        <v>A25</v>
      </c>
      <c r="BW715" s="77">
        <f t="shared" si="829"/>
        <v>31</v>
      </c>
      <c r="BX715" s="77" t="str">
        <f t="shared" ca="1" si="828"/>
        <v>D. Kombarov</v>
      </c>
      <c r="BY715" s="77">
        <f ca="1">COUNTIF('Group Stages'!$L$14:$S$110,BX715)+COUNTIF('Knock Out Stages'!$N$41:$U$84,BX715)</f>
        <v>0</v>
      </c>
      <c r="BZ715" s="77" t="str">
        <f t="shared" si="830"/>
        <v>'Player Database'!A25</v>
      </c>
      <c r="CA715" s="77" t="str">
        <f t="shared" ca="1" si="831"/>
        <v>Dmitri Kombarov</v>
      </c>
    </row>
    <row r="716" spans="72:79">
      <c r="BT716" s="77" t="str">
        <f t="shared" ca="1" si="827"/>
        <v>South Korea</v>
      </c>
      <c r="BU716" s="77">
        <f t="shared" si="833"/>
        <v>714</v>
      </c>
      <c r="BV716" s="77" t="str">
        <f t="shared" si="832"/>
        <v>A3</v>
      </c>
      <c r="BW716" s="77">
        <f t="shared" si="829"/>
        <v>32</v>
      </c>
      <c r="BX716" s="77" t="str">
        <f t="shared" ca="1" si="828"/>
        <v>J. Sung-ryong</v>
      </c>
      <c r="BY716" s="77">
        <f ca="1">COUNTIF('Group Stages'!$L$14:$S$110,BX716)+COUNTIF('Knock Out Stages'!$N$41:$U$84,BX716)</f>
        <v>0</v>
      </c>
      <c r="BZ716" s="77" t="str">
        <f t="shared" si="830"/>
        <v>'Player Database'!A3</v>
      </c>
      <c r="CA716" s="77" t="str">
        <f t="shared" ca="1" si="831"/>
        <v>Jung Sung-ryong</v>
      </c>
    </row>
    <row r="717" spans="72:79">
      <c r="BT717" s="77" t="str">
        <f t="shared" ca="1" si="827"/>
        <v>South Korea</v>
      </c>
      <c r="BU717" s="77">
        <f t="shared" si="833"/>
        <v>715</v>
      </c>
      <c r="BV717" s="77" t="str">
        <f t="shared" si="832"/>
        <v>A4</v>
      </c>
      <c r="BW717" s="77">
        <f t="shared" si="829"/>
        <v>32</v>
      </c>
      <c r="BX717" s="77" t="str">
        <f t="shared" ca="1" si="828"/>
        <v>K. Chang-soo</v>
      </c>
      <c r="BY717" s="77">
        <f ca="1">COUNTIF('Group Stages'!$L$14:$S$110,BX717)+COUNTIF('Knock Out Stages'!$N$41:$U$84,BX717)</f>
        <v>0</v>
      </c>
      <c r="BZ717" s="77" t="str">
        <f t="shared" si="830"/>
        <v>'Player Database'!A4</v>
      </c>
      <c r="CA717" s="77" t="str">
        <f t="shared" ca="1" si="831"/>
        <v>Kim Chang-soo</v>
      </c>
    </row>
    <row r="718" spans="72:79">
      <c r="BT718" s="77" t="str">
        <f t="shared" ca="1" si="827"/>
        <v>South Korea</v>
      </c>
      <c r="BU718" s="77">
        <f t="shared" si="833"/>
        <v>716</v>
      </c>
      <c r="BV718" s="77" t="str">
        <f t="shared" si="832"/>
        <v>A5</v>
      </c>
      <c r="BW718" s="77">
        <f t="shared" si="829"/>
        <v>32</v>
      </c>
      <c r="BX718" s="77" t="str">
        <f t="shared" ca="1" si="828"/>
        <v>Y. Suk-young</v>
      </c>
      <c r="BY718" s="77">
        <f ca="1">COUNTIF('Group Stages'!$L$14:$S$110,BX718)+COUNTIF('Knock Out Stages'!$N$41:$U$84,BX718)</f>
        <v>0</v>
      </c>
      <c r="BZ718" s="77" t="str">
        <f t="shared" si="830"/>
        <v>'Player Database'!A5</v>
      </c>
      <c r="CA718" s="77" t="str">
        <f t="shared" ca="1" si="831"/>
        <v>Yun Suk-young</v>
      </c>
    </row>
    <row r="719" spans="72:79">
      <c r="BT719" s="77" t="str">
        <f t="shared" ca="1" si="827"/>
        <v>South Korea</v>
      </c>
      <c r="BU719" s="77">
        <f t="shared" si="833"/>
        <v>717</v>
      </c>
      <c r="BV719" s="77" t="str">
        <f t="shared" si="832"/>
        <v>A6</v>
      </c>
      <c r="BW719" s="77">
        <f t="shared" si="829"/>
        <v>32</v>
      </c>
      <c r="BX719" s="77" t="str">
        <f t="shared" ca="1" si="828"/>
        <v>K. Tae-hwi</v>
      </c>
      <c r="BY719" s="77">
        <f ca="1">COUNTIF('Group Stages'!$L$14:$S$110,BX719)+COUNTIF('Knock Out Stages'!$N$41:$U$84,BX719)</f>
        <v>0</v>
      </c>
      <c r="BZ719" s="77" t="str">
        <f t="shared" si="830"/>
        <v>'Player Database'!A6</v>
      </c>
      <c r="CA719" s="77" t="str">
        <f t="shared" ca="1" si="831"/>
        <v>Kwak Tae-hwi</v>
      </c>
    </row>
    <row r="720" spans="72:79">
      <c r="BT720" s="77" t="str">
        <f t="shared" ca="1" si="827"/>
        <v>South Korea</v>
      </c>
      <c r="BU720" s="77">
        <f t="shared" si="833"/>
        <v>718</v>
      </c>
      <c r="BV720" s="77" t="str">
        <f t="shared" si="832"/>
        <v>A7</v>
      </c>
      <c r="BW720" s="77">
        <f t="shared" si="829"/>
        <v>32</v>
      </c>
      <c r="BX720" s="77" t="str">
        <f t="shared" ca="1" si="828"/>
        <v>K. Young-gwon</v>
      </c>
      <c r="BY720" s="77">
        <f ca="1">COUNTIF('Group Stages'!$L$14:$S$110,BX720)+COUNTIF('Knock Out Stages'!$N$41:$U$84,BX720)</f>
        <v>0</v>
      </c>
      <c r="BZ720" s="77" t="str">
        <f t="shared" si="830"/>
        <v>'Player Database'!A7</v>
      </c>
      <c r="CA720" s="77" t="str">
        <f t="shared" ca="1" si="831"/>
        <v>Kim Young-gwon</v>
      </c>
    </row>
    <row r="721" spans="72:79">
      <c r="BT721" s="77" t="str">
        <f t="shared" ca="1" si="827"/>
        <v>South Korea</v>
      </c>
      <c r="BU721" s="77">
        <f t="shared" si="833"/>
        <v>719</v>
      </c>
      <c r="BV721" s="77" t="str">
        <f t="shared" si="832"/>
        <v>A8</v>
      </c>
      <c r="BW721" s="77">
        <f t="shared" si="829"/>
        <v>32</v>
      </c>
      <c r="BX721" s="77" t="str">
        <f t="shared" ca="1" si="828"/>
        <v>H. Seok-ho</v>
      </c>
      <c r="BY721" s="77">
        <f ca="1">COUNTIF('Group Stages'!$L$14:$S$110,BX721)+COUNTIF('Knock Out Stages'!$N$41:$U$84,BX721)</f>
        <v>0</v>
      </c>
      <c r="BZ721" s="77" t="str">
        <f t="shared" si="830"/>
        <v>'Player Database'!A8</v>
      </c>
      <c r="CA721" s="77" t="str">
        <f t="shared" ca="1" si="831"/>
        <v>Hwang Seok-ho</v>
      </c>
    </row>
    <row r="722" spans="72:79">
      <c r="BT722" s="77" t="str">
        <f t="shared" ca="1" si="827"/>
        <v>South Korea</v>
      </c>
      <c r="BU722" s="77">
        <f t="shared" si="833"/>
        <v>720</v>
      </c>
      <c r="BV722" s="77" t="str">
        <f t="shared" si="832"/>
        <v>A9</v>
      </c>
      <c r="BW722" s="77">
        <f t="shared" si="829"/>
        <v>32</v>
      </c>
      <c r="BX722" s="77" t="str">
        <f t="shared" ca="1" si="828"/>
        <v>K. Bo-kyung</v>
      </c>
      <c r="BY722" s="77">
        <f ca="1">COUNTIF('Group Stages'!$L$14:$S$110,BX722)+COUNTIF('Knock Out Stages'!$N$41:$U$84,BX722)</f>
        <v>0</v>
      </c>
      <c r="BZ722" s="77" t="str">
        <f t="shared" si="830"/>
        <v>'Player Database'!A9</v>
      </c>
      <c r="CA722" s="77" t="str">
        <f t="shared" ca="1" si="831"/>
        <v>Kim Bo-kyung</v>
      </c>
    </row>
    <row r="723" spans="72:79">
      <c r="BT723" s="77" t="str">
        <f t="shared" ca="1" si="827"/>
        <v>South Korea</v>
      </c>
      <c r="BU723" s="77">
        <f t="shared" si="833"/>
        <v>721</v>
      </c>
      <c r="BV723" s="77" t="str">
        <f t="shared" si="832"/>
        <v>A10</v>
      </c>
      <c r="BW723" s="77">
        <f t="shared" si="829"/>
        <v>32</v>
      </c>
      <c r="BX723" s="77" t="str">
        <f t="shared" ca="1" si="828"/>
        <v>H. Dae-sung</v>
      </c>
      <c r="BY723" s="77">
        <f ca="1">COUNTIF('Group Stages'!$L$14:$S$110,BX723)+COUNTIF('Knock Out Stages'!$N$41:$U$84,BX723)</f>
        <v>0</v>
      </c>
      <c r="BZ723" s="77" t="str">
        <f t="shared" si="830"/>
        <v>'Player Database'!A10</v>
      </c>
      <c r="CA723" s="77" t="str">
        <f t="shared" ca="1" si="831"/>
        <v>Ha Dae-sung</v>
      </c>
    </row>
    <row r="724" spans="72:79">
      <c r="BT724" s="77" t="str">
        <f t="shared" ca="1" si="827"/>
        <v>South Korea</v>
      </c>
      <c r="BU724" s="77">
        <f t="shared" si="833"/>
        <v>722</v>
      </c>
      <c r="BV724" s="77" t="str">
        <f t="shared" si="832"/>
        <v>A11</v>
      </c>
      <c r="BW724" s="77">
        <f t="shared" si="829"/>
        <v>32</v>
      </c>
      <c r="BX724" s="77" t="str">
        <f t="shared" ca="1" si="828"/>
        <v>S. Heung-min</v>
      </c>
      <c r="BY724" s="77">
        <f ca="1">COUNTIF('Group Stages'!$L$14:$S$110,BX724)+COUNTIF('Knock Out Stages'!$N$41:$U$84,BX724)</f>
        <v>0</v>
      </c>
      <c r="BZ724" s="77" t="str">
        <f t="shared" si="830"/>
        <v>'Player Database'!A11</v>
      </c>
      <c r="CA724" s="77" t="str">
        <f t="shared" ca="1" si="831"/>
        <v>Son Heung-min</v>
      </c>
    </row>
    <row r="725" spans="72:79">
      <c r="BT725" s="77" t="str">
        <f t="shared" ca="1" si="827"/>
        <v>South Korea</v>
      </c>
      <c r="BU725" s="77">
        <f t="shared" si="833"/>
        <v>723</v>
      </c>
      <c r="BV725" s="77" t="str">
        <f t="shared" si="832"/>
        <v>A12</v>
      </c>
      <c r="BW725" s="77">
        <f t="shared" si="829"/>
        <v>32</v>
      </c>
      <c r="BX725" s="77" t="str">
        <f t="shared" ca="1" si="828"/>
        <v>P. Chu-young</v>
      </c>
      <c r="BY725" s="77">
        <f ca="1">COUNTIF('Group Stages'!$L$14:$S$110,BX725)+COUNTIF('Knock Out Stages'!$N$41:$U$84,BX725)</f>
        <v>0</v>
      </c>
      <c r="BZ725" s="77" t="str">
        <f t="shared" si="830"/>
        <v>'Player Database'!A12</v>
      </c>
      <c r="CA725" s="77" t="str">
        <f t="shared" ca="1" si="831"/>
        <v>Park Chu-young</v>
      </c>
    </row>
    <row r="726" spans="72:79">
      <c r="BT726" s="77" t="str">
        <f t="shared" ca="1" si="827"/>
        <v>South Korea</v>
      </c>
      <c r="BU726" s="77">
        <f t="shared" si="833"/>
        <v>724</v>
      </c>
      <c r="BV726" s="77" t="str">
        <f t="shared" si="832"/>
        <v>A13</v>
      </c>
      <c r="BW726" s="77">
        <f t="shared" si="829"/>
        <v>32</v>
      </c>
      <c r="BX726" s="77" t="str">
        <f t="shared" ca="1" si="828"/>
        <v>L. Keun-ho</v>
      </c>
      <c r="BY726" s="77">
        <f ca="1">COUNTIF('Group Stages'!$L$14:$S$110,BX726)+COUNTIF('Knock Out Stages'!$N$41:$U$84,BX726)</f>
        <v>0</v>
      </c>
      <c r="BZ726" s="77" t="str">
        <f t="shared" si="830"/>
        <v>'Player Database'!A13</v>
      </c>
      <c r="CA726" s="77" t="str">
        <f t="shared" ca="1" si="831"/>
        <v>Lee Keun-ho</v>
      </c>
    </row>
    <row r="727" spans="72:79">
      <c r="BT727" s="77" t="str">
        <f t="shared" ca="1" si="827"/>
        <v>South Korea</v>
      </c>
      <c r="BU727" s="77">
        <f t="shared" si="833"/>
        <v>725</v>
      </c>
      <c r="BV727" s="77" t="str">
        <f t="shared" si="832"/>
        <v>A14</v>
      </c>
      <c r="BW727" s="77">
        <f t="shared" si="829"/>
        <v>32</v>
      </c>
      <c r="BX727" s="77" t="str">
        <f t="shared" ca="1" si="828"/>
        <v>L. Yong</v>
      </c>
      <c r="BY727" s="77">
        <f ca="1">COUNTIF('Group Stages'!$L$14:$S$110,BX727)+COUNTIF('Knock Out Stages'!$N$41:$U$84,BX727)</f>
        <v>0</v>
      </c>
      <c r="BZ727" s="77" t="str">
        <f t="shared" si="830"/>
        <v>'Player Database'!A14</v>
      </c>
      <c r="CA727" s="77" t="str">
        <f t="shared" ca="1" si="831"/>
        <v>Lee Yong</v>
      </c>
    </row>
    <row r="728" spans="72:79">
      <c r="BT728" s="77" t="str">
        <f t="shared" ca="1" si="827"/>
        <v>South Korea</v>
      </c>
      <c r="BU728" s="77">
        <f t="shared" si="833"/>
        <v>726</v>
      </c>
      <c r="BV728" s="77" t="str">
        <f t="shared" si="832"/>
        <v>A15</v>
      </c>
      <c r="BW728" s="77">
        <f t="shared" si="829"/>
        <v>32</v>
      </c>
      <c r="BX728" s="77" t="str">
        <f t="shared" ca="1" si="828"/>
        <v xml:space="preserve">K. Ja-cheol </v>
      </c>
      <c r="BY728" s="77">
        <f ca="1">COUNTIF('Group Stages'!$L$14:$S$110,BX728)+COUNTIF('Knock Out Stages'!$N$41:$U$84,BX728)</f>
        <v>0</v>
      </c>
      <c r="BZ728" s="77" t="str">
        <f t="shared" si="830"/>
        <v>'Player Database'!A15</v>
      </c>
      <c r="CA728" s="77" t="str">
        <f t="shared" ca="1" si="831"/>
        <v xml:space="preserve">Koo Ja-cheol </v>
      </c>
    </row>
    <row r="729" spans="72:79">
      <c r="BT729" s="77" t="str">
        <f t="shared" ca="1" si="827"/>
        <v>South Korea</v>
      </c>
      <c r="BU729" s="77">
        <f t="shared" si="833"/>
        <v>727</v>
      </c>
      <c r="BV729" s="77" t="str">
        <f t="shared" si="832"/>
        <v>A16</v>
      </c>
      <c r="BW729" s="77">
        <f t="shared" si="829"/>
        <v>32</v>
      </c>
      <c r="BX729" s="77" t="str">
        <f t="shared" ca="1" si="828"/>
        <v>H. Kook-young</v>
      </c>
      <c r="BY729" s="77">
        <f ca="1">COUNTIF('Group Stages'!$L$14:$S$110,BX729)+COUNTIF('Knock Out Stages'!$N$41:$U$84,BX729)</f>
        <v>0</v>
      </c>
      <c r="BZ729" s="77" t="str">
        <f t="shared" si="830"/>
        <v>'Player Database'!A16</v>
      </c>
      <c r="CA729" s="77" t="str">
        <f t="shared" ca="1" si="831"/>
        <v>Han Kook-young</v>
      </c>
    </row>
    <row r="730" spans="72:79">
      <c r="BT730" s="77" t="str">
        <f t="shared" ca="1" si="827"/>
        <v>South Korea</v>
      </c>
      <c r="BU730" s="77">
        <f t="shared" si="833"/>
        <v>728</v>
      </c>
      <c r="BV730" s="77" t="str">
        <f t="shared" si="832"/>
        <v>A17</v>
      </c>
      <c r="BW730" s="77">
        <f t="shared" si="829"/>
        <v>32</v>
      </c>
      <c r="BX730" s="77" t="str">
        <f t="shared" ca="1" si="828"/>
        <v>P. Jong-woo</v>
      </c>
      <c r="BY730" s="77">
        <f ca="1">COUNTIF('Group Stages'!$L$14:$S$110,BX730)+COUNTIF('Knock Out Stages'!$N$41:$U$84,BX730)</f>
        <v>0</v>
      </c>
      <c r="BZ730" s="77" t="str">
        <f t="shared" si="830"/>
        <v>'Player Database'!A17</v>
      </c>
      <c r="CA730" s="77" t="str">
        <f t="shared" ca="1" si="831"/>
        <v>Park Jong-woo</v>
      </c>
    </row>
    <row r="731" spans="72:79">
      <c r="BT731" s="77" t="str">
        <f t="shared" ref="BT731:BT738" ca="1" si="834">OFFSET($A$2,0,BW731)</f>
        <v>South Korea</v>
      </c>
      <c r="BU731" s="77">
        <f t="shared" si="833"/>
        <v>729</v>
      </c>
      <c r="BV731" s="77" t="str">
        <f t="shared" si="832"/>
        <v>A18</v>
      </c>
      <c r="BW731" s="77">
        <f t="shared" si="829"/>
        <v>32</v>
      </c>
      <c r="BX731" s="77" t="str">
        <f t="shared" ca="1" si="828"/>
        <v>K. Sung-yueng</v>
      </c>
      <c r="BY731" s="77">
        <f ca="1">COUNTIF('Group Stages'!$L$14:$S$110,BX731)+COUNTIF('Knock Out Stages'!$N$41:$U$84,BX731)</f>
        <v>0</v>
      </c>
      <c r="BZ731" s="77" t="str">
        <f t="shared" si="830"/>
        <v>'Player Database'!A18</v>
      </c>
      <c r="CA731" s="77" t="str">
        <f t="shared" ca="1" si="831"/>
        <v>Ki Sung-yueng</v>
      </c>
    </row>
    <row r="732" spans="72:79">
      <c r="BT732" s="77" t="str">
        <f t="shared" ca="1" si="834"/>
        <v>South Korea</v>
      </c>
      <c r="BU732" s="77">
        <f t="shared" si="833"/>
        <v>730</v>
      </c>
      <c r="BV732" s="77" t="str">
        <f t="shared" si="832"/>
        <v>A19</v>
      </c>
      <c r="BW732" s="77">
        <f t="shared" si="829"/>
        <v>32</v>
      </c>
      <c r="BX732" s="77" t="str">
        <f t="shared" ca="1" si="828"/>
        <v>L. Chung-yong</v>
      </c>
      <c r="BY732" s="77">
        <f ca="1">COUNTIF('Group Stages'!$L$14:$S$110,BX732)+COUNTIF('Knock Out Stages'!$N$41:$U$84,BX732)</f>
        <v>0</v>
      </c>
      <c r="BZ732" s="77" t="str">
        <f t="shared" si="830"/>
        <v>'Player Database'!A19</v>
      </c>
      <c r="CA732" s="77" t="str">
        <f t="shared" ca="1" si="831"/>
        <v>Lee Chung-yong</v>
      </c>
    </row>
    <row r="733" spans="72:79">
      <c r="BT733" s="77" t="str">
        <f t="shared" ca="1" si="834"/>
        <v>South Korea</v>
      </c>
      <c r="BU733" s="77">
        <f t="shared" si="833"/>
        <v>731</v>
      </c>
      <c r="BV733" s="77" t="str">
        <f t="shared" si="832"/>
        <v>A20</v>
      </c>
      <c r="BW733" s="77">
        <f t="shared" si="829"/>
        <v>32</v>
      </c>
      <c r="BX733" s="77" t="str">
        <f t="shared" ca="1" si="828"/>
        <v>K. Shin-wook</v>
      </c>
      <c r="BY733" s="77">
        <f ca="1">COUNTIF('Group Stages'!$L$14:$S$110,BX733)+COUNTIF('Knock Out Stages'!$N$41:$U$84,BX733)</f>
        <v>0</v>
      </c>
      <c r="BZ733" s="77" t="str">
        <f t="shared" si="830"/>
        <v>'Player Database'!A20</v>
      </c>
      <c r="CA733" s="77" t="str">
        <f t="shared" ca="1" si="831"/>
        <v>Kim Shin-wook</v>
      </c>
    </row>
    <row r="734" spans="72:79">
      <c r="BT734" s="77" t="str">
        <f t="shared" ca="1" si="834"/>
        <v>South Korea</v>
      </c>
      <c r="BU734" s="77">
        <f t="shared" si="833"/>
        <v>732</v>
      </c>
      <c r="BV734" s="77" t="str">
        <f t="shared" si="832"/>
        <v>A21</v>
      </c>
      <c r="BW734" s="77">
        <f t="shared" si="829"/>
        <v>32</v>
      </c>
      <c r="BX734" s="77" t="str">
        <f t="shared" ca="1" si="828"/>
        <v>J. Dong-won</v>
      </c>
      <c r="BY734" s="77">
        <f ca="1">COUNTIF('Group Stages'!$L$14:$S$110,BX734)+COUNTIF('Knock Out Stages'!$N$41:$U$84,BX734)</f>
        <v>0</v>
      </c>
      <c r="BZ734" s="77" t="str">
        <f t="shared" si="830"/>
        <v>'Player Database'!A21</v>
      </c>
      <c r="CA734" s="77" t="str">
        <f t="shared" ca="1" si="831"/>
        <v>Ji Dong-won</v>
      </c>
    </row>
    <row r="735" spans="72:79">
      <c r="BT735" s="77" t="str">
        <f t="shared" ca="1" si="834"/>
        <v>South Korea</v>
      </c>
      <c r="BU735" s="77">
        <f t="shared" si="833"/>
        <v>733</v>
      </c>
      <c r="BV735" s="77" t="str">
        <f t="shared" si="832"/>
        <v>A22</v>
      </c>
      <c r="BW735" s="77">
        <f t="shared" si="829"/>
        <v>32</v>
      </c>
      <c r="BX735" s="77" t="str">
        <f t="shared" ca="1" si="828"/>
        <v>H. Jeong-ho</v>
      </c>
      <c r="BY735" s="77">
        <f ca="1">COUNTIF('Group Stages'!$L$14:$S$110,BX735)+COUNTIF('Knock Out Stages'!$N$41:$U$84,BX735)</f>
        <v>0</v>
      </c>
      <c r="BZ735" s="77" t="str">
        <f t="shared" si="830"/>
        <v>'Player Database'!A22</v>
      </c>
      <c r="CA735" s="77" t="str">
        <f t="shared" ca="1" si="831"/>
        <v>Hong Jeong-ho</v>
      </c>
    </row>
    <row r="736" spans="72:79">
      <c r="BT736" s="77" t="str">
        <f t="shared" ca="1" si="834"/>
        <v>South Korea</v>
      </c>
      <c r="BU736" s="77">
        <f t="shared" si="833"/>
        <v>734</v>
      </c>
      <c r="BV736" s="77" t="str">
        <f t="shared" si="832"/>
        <v>A23</v>
      </c>
      <c r="BW736" s="77">
        <f t="shared" si="829"/>
        <v>32</v>
      </c>
      <c r="BX736" s="77" t="str">
        <f t="shared" ca="1" si="828"/>
        <v>K. Seung-gyu</v>
      </c>
      <c r="BY736" s="77">
        <f ca="1">COUNTIF('Group Stages'!$L$14:$S$110,BX736)+COUNTIF('Knock Out Stages'!$N$41:$U$84,BX736)</f>
        <v>0</v>
      </c>
      <c r="BZ736" s="77" t="str">
        <f t="shared" si="830"/>
        <v>'Player Database'!A23</v>
      </c>
      <c r="CA736" s="77" t="str">
        <f t="shared" ca="1" si="831"/>
        <v>Kim Seung-gyu</v>
      </c>
    </row>
    <row r="737" spans="72:79">
      <c r="BT737" s="77" t="str">
        <f t="shared" ca="1" si="834"/>
        <v>South Korea</v>
      </c>
      <c r="BU737" s="77">
        <f t="shared" si="833"/>
        <v>735</v>
      </c>
      <c r="BV737" s="77" t="str">
        <f t="shared" si="832"/>
        <v>A24</v>
      </c>
      <c r="BW737" s="77">
        <f t="shared" si="829"/>
        <v>32</v>
      </c>
      <c r="BX737" s="77" t="str">
        <f t="shared" ca="1" si="828"/>
        <v>P. Joo-ho[66]</v>
      </c>
      <c r="BY737" s="77">
        <f ca="1">COUNTIF('Group Stages'!$L$14:$S$110,BX737)+COUNTIF('Knock Out Stages'!$N$41:$U$84,BX737)</f>
        <v>0</v>
      </c>
      <c r="BZ737" s="77" t="str">
        <f t="shared" si="830"/>
        <v>'Player Database'!A24</v>
      </c>
      <c r="CA737" s="77" t="str">
        <f t="shared" ca="1" si="831"/>
        <v>Park Joo-ho[66]</v>
      </c>
    </row>
    <row r="738" spans="72:79">
      <c r="BT738" s="77" t="str">
        <f t="shared" ca="1" si="834"/>
        <v>South Korea</v>
      </c>
      <c r="BU738" s="77">
        <f t="shared" si="833"/>
        <v>736</v>
      </c>
      <c r="BV738" s="77" t="str">
        <f t="shared" si="832"/>
        <v>A25</v>
      </c>
      <c r="BW738" s="77">
        <f t="shared" si="829"/>
        <v>32</v>
      </c>
      <c r="BX738" s="77" t="str">
        <f t="shared" ca="1" si="828"/>
        <v>L. Bum-young</v>
      </c>
      <c r="BY738" s="77">
        <f ca="1">COUNTIF('Group Stages'!$L$14:$S$110,BX738)+COUNTIF('Knock Out Stages'!$N$41:$U$84,BX738)</f>
        <v>0</v>
      </c>
      <c r="BZ738" s="77" t="str">
        <f t="shared" si="830"/>
        <v>'Player Database'!A25</v>
      </c>
      <c r="CA738" s="77" t="str">
        <f t="shared" ca="1" si="831"/>
        <v>Lee Bum-young</v>
      </c>
    </row>
  </sheetData>
  <sheetProtection password="CEE2" sheet="1" objects="1" scenarios="1" selectLockedCells="1" selectUnlockedCells="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R12" sqref="R12"/>
    </sheetView>
  </sheetViews>
  <sheetFormatPr defaultRowHeight="13.2"/>
  <sheetData/>
  <sheetProtection password="CE4F" sheet="1" objects="1" scenarios="1"/>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41"/>
  <sheetViews>
    <sheetView showGridLines="0" workbookViewId="0">
      <selection activeCell="AW5" sqref="AW5"/>
    </sheetView>
  </sheetViews>
  <sheetFormatPr defaultColWidth="0" defaultRowHeight="13.2"/>
  <cols>
    <col min="1" max="50" width="3.6640625" customWidth="1"/>
    <col min="51" max="51" width="8.88671875" customWidth="1"/>
    <col min="52" max="16384" width="8.88671875"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spans="2:50" ht="15" customHeight="1"/>
    <row r="18" spans="2:50" ht="15" customHeight="1"/>
    <row r="19" spans="2:50" ht="15" customHeight="1">
      <c r="B19" s="129" t="s">
        <v>4389</v>
      </c>
      <c r="C19" s="176"/>
      <c r="D19" s="176"/>
      <c r="E19" s="176"/>
      <c r="F19" s="176"/>
      <c r="G19" s="176"/>
      <c r="H19" s="176"/>
      <c r="I19" s="176"/>
      <c r="J19" s="176"/>
      <c r="K19" s="176"/>
      <c r="L19" s="176"/>
      <c r="M19" s="176"/>
      <c r="N19" s="176"/>
      <c r="O19" s="176"/>
      <c r="P19" s="176"/>
      <c r="Q19" s="176"/>
      <c r="R19" s="176"/>
      <c r="S19" s="176"/>
      <c r="T19" s="176"/>
      <c r="U19" s="176"/>
      <c r="V19" s="176"/>
      <c r="W19" s="176"/>
      <c r="X19" s="176"/>
      <c r="Y19" s="176"/>
      <c r="AA19" s="129" t="s">
        <v>4390</v>
      </c>
      <c r="AB19" s="176"/>
      <c r="AC19" s="176"/>
      <c r="AD19" s="176"/>
      <c r="AE19" s="176"/>
      <c r="AF19" s="176"/>
      <c r="AG19" s="176"/>
      <c r="AH19" s="176"/>
      <c r="AI19" s="176"/>
      <c r="AJ19" s="176"/>
      <c r="AK19" s="176"/>
      <c r="AL19" s="176"/>
      <c r="AM19" s="176"/>
      <c r="AN19" s="176"/>
      <c r="AO19" s="176"/>
      <c r="AP19" s="176"/>
      <c r="AQ19" s="176"/>
      <c r="AR19" s="176"/>
      <c r="AS19" s="176"/>
      <c r="AT19" s="176"/>
      <c r="AU19" s="176"/>
      <c r="AV19" s="176"/>
      <c r="AW19" s="176"/>
      <c r="AX19" s="176"/>
    </row>
    <row r="20" spans="2:50" ht="15" customHeight="1"/>
    <row r="21" spans="2:50" ht="45" customHeight="1">
      <c r="C21" s="203" t="s">
        <v>4405</v>
      </c>
      <c r="D21" s="204"/>
      <c r="E21" s="204"/>
      <c r="F21" s="204"/>
      <c r="G21" s="204"/>
      <c r="H21" s="204"/>
      <c r="I21" s="204"/>
      <c r="J21" s="204"/>
      <c r="K21" s="204"/>
      <c r="L21" s="204"/>
      <c r="M21" s="204"/>
      <c r="N21" s="204"/>
      <c r="O21" s="204"/>
      <c r="P21" s="204"/>
      <c r="Q21" s="204"/>
      <c r="R21" s="204"/>
      <c r="S21" s="204"/>
      <c r="T21" s="204"/>
      <c r="U21" s="204"/>
      <c r="V21" s="204"/>
      <c r="W21" s="204"/>
      <c r="X21" s="204"/>
      <c r="Y21" s="205"/>
      <c r="AB21" s="203" t="s">
        <v>4402</v>
      </c>
      <c r="AC21" s="204"/>
      <c r="AD21" s="204"/>
      <c r="AE21" s="204"/>
      <c r="AF21" s="204"/>
      <c r="AG21" s="204"/>
      <c r="AH21" s="204"/>
      <c r="AI21" s="204"/>
      <c r="AJ21" s="204"/>
      <c r="AK21" s="204"/>
      <c r="AL21" s="204"/>
      <c r="AM21" s="204"/>
      <c r="AN21" s="204"/>
      <c r="AO21" s="204"/>
      <c r="AP21" s="204"/>
      <c r="AQ21" s="204"/>
      <c r="AR21" s="204"/>
      <c r="AS21" s="204"/>
      <c r="AT21" s="204"/>
      <c r="AU21" s="204"/>
      <c r="AV21" s="204"/>
      <c r="AW21" s="204"/>
      <c r="AX21" s="205"/>
    </row>
    <row r="22" spans="2:50" ht="15" customHeight="1">
      <c r="C22" s="206"/>
      <c r="D22" s="207"/>
      <c r="E22" s="207"/>
      <c r="F22" s="207"/>
      <c r="G22" s="207"/>
      <c r="H22" s="207"/>
      <c r="I22" s="207"/>
      <c r="J22" s="207"/>
      <c r="K22" s="207"/>
      <c r="L22" s="207"/>
      <c r="M22" s="207"/>
      <c r="N22" s="207"/>
      <c r="O22" s="207"/>
      <c r="P22" s="208"/>
      <c r="Q22" s="206" t="s">
        <v>4349</v>
      </c>
      <c r="R22" s="207"/>
      <c r="S22" s="207"/>
      <c r="T22" s="208"/>
      <c r="U22" s="206" t="s">
        <v>4350</v>
      </c>
      <c r="V22" s="207"/>
      <c r="W22" s="207"/>
      <c r="X22" s="207"/>
      <c r="Y22" s="208"/>
      <c r="AB22" s="206"/>
      <c r="AC22" s="207"/>
      <c r="AD22" s="207"/>
      <c r="AE22" s="207"/>
      <c r="AF22" s="207"/>
      <c r="AG22" s="207"/>
      <c r="AH22" s="207"/>
      <c r="AI22" s="207"/>
      <c r="AJ22" s="207"/>
      <c r="AK22" s="207"/>
      <c r="AL22" s="207"/>
      <c r="AM22" s="207"/>
      <c r="AN22" s="207"/>
      <c r="AO22" s="208"/>
      <c r="AP22" s="206" t="s">
        <v>4349</v>
      </c>
      <c r="AQ22" s="207"/>
      <c r="AR22" s="207"/>
      <c r="AS22" s="208"/>
      <c r="AT22" s="206" t="s">
        <v>4350</v>
      </c>
      <c r="AU22" s="207"/>
      <c r="AV22" s="207"/>
      <c r="AW22" s="207"/>
      <c r="AX22" s="208"/>
    </row>
    <row r="23" spans="2:50" ht="30" customHeight="1">
      <c r="C23" s="209" t="s">
        <v>4406</v>
      </c>
      <c r="D23" s="210"/>
      <c r="E23" s="210"/>
      <c r="F23" s="210"/>
      <c r="G23" s="210"/>
      <c r="H23" s="210"/>
      <c r="I23" s="210"/>
      <c r="J23" s="210"/>
      <c r="K23" s="210"/>
      <c r="L23" s="210"/>
      <c r="M23" s="210"/>
      <c r="N23" s="210"/>
      <c r="O23" s="210"/>
      <c r="P23" s="211"/>
      <c r="Q23" s="209" t="s">
        <v>4352</v>
      </c>
      <c r="R23" s="210"/>
      <c r="S23" s="210"/>
      <c r="T23" s="211"/>
      <c r="U23" s="212" t="s">
        <v>4353</v>
      </c>
      <c r="V23" s="213"/>
      <c r="W23" s="213"/>
      <c r="X23" s="213"/>
      <c r="Y23" s="214"/>
      <c r="AB23" s="209" t="s">
        <v>4391</v>
      </c>
      <c r="AC23" s="210"/>
      <c r="AD23" s="210"/>
      <c r="AE23" s="210"/>
      <c r="AF23" s="210"/>
      <c r="AG23" s="210"/>
      <c r="AH23" s="210"/>
      <c r="AI23" s="210"/>
      <c r="AJ23" s="210"/>
      <c r="AK23" s="210"/>
      <c r="AL23" s="210"/>
      <c r="AM23" s="210"/>
      <c r="AN23" s="210"/>
      <c r="AO23" s="211"/>
      <c r="AP23" s="209" t="s">
        <v>4352</v>
      </c>
      <c r="AQ23" s="210"/>
      <c r="AR23" s="210"/>
      <c r="AS23" s="211"/>
      <c r="AT23" s="212" t="s">
        <v>4353</v>
      </c>
      <c r="AU23" s="213"/>
      <c r="AV23" s="213"/>
      <c r="AW23" s="213"/>
      <c r="AX23" s="214"/>
    </row>
    <row r="24" spans="2:50" ht="30" customHeight="1">
      <c r="C24" s="203" t="s">
        <v>4407</v>
      </c>
      <c r="D24" s="204"/>
      <c r="E24" s="204"/>
      <c r="F24" s="204"/>
      <c r="G24" s="204"/>
      <c r="H24" s="204"/>
      <c r="I24" s="204"/>
      <c r="J24" s="204"/>
      <c r="K24" s="204"/>
      <c r="L24" s="204"/>
      <c r="M24" s="204"/>
      <c r="N24" s="204"/>
      <c r="O24" s="204"/>
      <c r="P24" s="205"/>
      <c r="Q24" s="209" t="s">
        <v>4399</v>
      </c>
      <c r="R24" s="210"/>
      <c r="S24" s="210"/>
      <c r="T24" s="211"/>
      <c r="U24" s="212"/>
      <c r="V24" s="213"/>
      <c r="W24" s="213"/>
      <c r="X24" s="213"/>
      <c r="Y24" s="214"/>
      <c r="AB24" s="203" t="s">
        <v>4398</v>
      </c>
      <c r="AC24" s="204"/>
      <c r="AD24" s="204"/>
      <c r="AE24" s="204"/>
      <c r="AF24" s="204"/>
      <c r="AG24" s="204"/>
      <c r="AH24" s="204"/>
      <c r="AI24" s="204"/>
      <c r="AJ24" s="204"/>
      <c r="AK24" s="204"/>
      <c r="AL24" s="204"/>
      <c r="AM24" s="204"/>
      <c r="AN24" s="204"/>
      <c r="AO24" s="205"/>
      <c r="AP24" s="209" t="s">
        <v>4372</v>
      </c>
      <c r="AQ24" s="210"/>
      <c r="AR24" s="210"/>
      <c r="AS24" s="211"/>
      <c r="AT24" s="212"/>
      <c r="AU24" s="213"/>
      <c r="AV24" s="213"/>
      <c r="AW24" s="213"/>
      <c r="AX24" s="214"/>
    </row>
    <row r="25" spans="2:50" ht="15" customHeight="1"/>
    <row r="26" spans="2:50" ht="15" customHeight="1">
      <c r="B26" s="129" t="s">
        <v>4392</v>
      </c>
      <c r="C26" s="176"/>
      <c r="D26" s="176"/>
      <c r="E26" s="176"/>
      <c r="F26" s="176"/>
      <c r="G26" s="176"/>
      <c r="H26" s="176"/>
      <c r="I26" s="176"/>
      <c r="J26" s="176"/>
      <c r="K26" s="176"/>
      <c r="L26" s="176"/>
      <c r="M26" s="176"/>
      <c r="N26" s="176"/>
      <c r="O26" s="176"/>
      <c r="P26" s="176"/>
      <c r="Q26" s="176"/>
      <c r="R26" s="176"/>
      <c r="S26" s="176"/>
      <c r="T26" s="176"/>
      <c r="U26" s="176"/>
      <c r="V26" s="176"/>
      <c r="W26" s="176"/>
      <c r="X26" s="176"/>
      <c r="Y26" s="176"/>
      <c r="AA26" s="129" t="s">
        <v>4397</v>
      </c>
      <c r="AB26" s="176"/>
      <c r="AC26" s="176"/>
      <c r="AD26" s="176"/>
      <c r="AE26" s="176"/>
      <c r="AF26" s="176"/>
      <c r="AG26" s="176"/>
      <c r="AH26" s="176"/>
      <c r="AI26" s="176"/>
      <c r="AJ26" s="176"/>
      <c r="AK26" s="176"/>
      <c r="AL26" s="176"/>
      <c r="AM26" s="176"/>
      <c r="AN26" s="176"/>
      <c r="AO26" s="176"/>
      <c r="AP26" s="176"/>
      <c r="AQ26" s="176"/>
      <c r="AR26" s="176"/>
      <c r="AS26" s="176"/>
      <c r="AT26" s="176"/>
      <c r="AU26" s="176"/>
      <c r="AV26" s="176"/>
      <c r="AW26" s="176"/>
      <c r="AX26" s="176"/>
    </row>
    <row r="27" spans="2:50" ht="15" customHeight="1"/>
    <row r="28" spans="2:50" ht="45" customHeight="1">
      <c r="C28" s="203" t="s">
        <v>4393</v>
      </c>
      <c r="D28" s="204"/>
      <c r="E28" s="204"/>
      <c r="F28" s="204"/>
      <c r="G28" s="204"/>
      <c r="H28" s="204"/>
      <c r="I28" s="204"/>
      <c r="J28" s="204"/>
      <c r="K28" s="204"/>
      <c r="L28" s="204"/>
      <c r="M28" s="204"/>
      <c r="N28" s="204"/>
      <c r="O28" s="204"/>
      <c r="P28" s="204"/>
      <c r="Q28" s="204"/>
      <c r="R28" s="204"/>
      <c r="S28" s="204"/>
      <c r="T28" s="204"/>
      <c r="U28" s="204"/>
      <c r="V28" s="204"/>
      <c r="W28" s="204"/>
      <c r="X28" s="204"/>
      <c r="Y28" s="205"/>
      <c r="AB28" s="203" t="s">
        <v>4396</v>
      </c>
      <c r="AC28" s="204"/>
      <c r="AD28" s="204"/>
      <c r="AE28" s="204"/>
      <c r="AF28" s="204"/>
      <c r="AG28" s="204"/>
      <c r="AH28" s="204"/>
      <c r="AI28" s="204"/>
      <c r="AJ28" s="204"/>
      <c r="AK28" s="204"/>
      <c r="AL28" s="204"/>
      <c r="AM28" s="204"/>
      <c r="AN28" s="204"/>
      <c r="AO28" s="204"/>
      <c r="AP28" s="204"/>
      <c r="AQ28" s="204"/>
      <c r="AR28" s="204"/>
      <c r="AS28" s="204"/>
      <c r="AT28" s="204"/>
      <c r="AU28" s="204"/>
      <c r="AV28" s="204"/>
      <c r="AW28" s="204"/>
      <c r="AX28" s="205"/>
    </row>
    <row r="29" spans="2:50" ht="15" customHeight="1">
      <c r="C29" s="206"/>
      <c r="D29" s="207"/>
      <c r="E29" s="207"/>
      <c r="F29" s="207"/>
      <c r="G29" s="207"/>
      <c r="H29" s="207"/>
      <c r="I29" s="207"/>
      <c r="J29" s="207"/>
      <c r="K29" s="207"/>
      <c r="L29" s="207"/>
      <c r="M29" s="207"/>
      <c r="N29" s="207"/>
      <c r="O29" s="207"/>
      <c r="P29" s="208"/>
      <c r="Q29" s="206" t="s">
        <v>4349</v>
      </c>
      <c r="R29" s="207"/>
      <c r="S29" s="207"/>
      <c r="T29" s="208"/>
      <c r="U29" s="206" t="s">
        <v>4350</v>
      </c>
      <c r="V29" s="207"/>
      <c r="W29" s="207"/>
      <c r="X29" s="207"/>
      <c r="Y29" s="208"/>
      <c r="AB29" s="206"/>
      <c r="AC29" s="207"/>
      <c r="AD29" s="207"/>
      <c r="AE29" s="207"/>
      <c r="AF29" s="207"/>
      <c r="AG29" s="207"/>
      <c r="AH29" s="207"/>
      <c r="AI29" s="207"/>
      <c r="AJ29" s="207"/>
      <c r="AK29" s="207"/>
      <c r="AL29" s="207"/>
      <c r="AM29" s="207"/>
      <c r="AN29" s="207"/>
      <c r="AO29" s="208"/>
      <c r="AP29" s="206" t="s">
        <v>4349</v>
      </c>
      <c r="AQ29" s="207"/>
      <c r="AR29" s="207"/>
      <c r="AS29" s="208"/>
      <c r="AT29" s="206" t="s">
        <v>4350</v>
      </c>
      <c r="AU29" s="207"/>
      <c r="AV29" s="207"/>
      <c r="AW29" s="207"/>
      <c r="AX29" s="208"/>
    </row>
    <row r="30" spans="2:50" ht="30" customHeight="1">
      <c r="C30" s="203" t="s">
        <v>4403</v>
      </c>
      <c r="D30" s="204"/>
      <c r="E30" s="204"/>
      <c r="F30" s="204"/>
      <c r="G30" s="204"/>
      <c r="H30" s="204"/>
      <c r="I30" s="204"/>
      <c r="J30" s="204"/>
      <c r="K30" s="204"/>
      <c r="L30" s="204"/>
      <c r="M30" s="204"/>
      <c r="N30" s="204"/>
      <c r="O30" s="204"/>
      <c r="P30" s="205"/>
      <c r="Q30" s="209" t="s">
        <v>4352</v>
      </c>
      <c r="R30" s="210"/>
      <c r="S30" s="210"/>
      <c r="T30" s="211"/>
      <c r="U30" s="212" t="s">
        <v>4353</v>
      </c>
      <c r="V30" s="213"/>
      <c r="W30" s="213"/>
      <c r="X30" s="213"/>
      <c r="Y30" s="214"/>
      <c r="AB30" s="209" t="s">
        <v>4401</v>
      </c>
      <c r="AC30" s="210"/>
      <c r="AD30" s="210"/>
      <c r="AE30" s="210"/>
      <c r="AF30" s="210"/>
      <c r="AG30" s="210"/>
      <c r="AH30" s="210"/>
      <c r="AI30" s="210"/>
      <c r="AJ30" s="210"/>
      <c r="AK30" s="210"/>
      <c r="AL30" s="210"/>
      <c r="AM30" s="210"/>
      <c r="AN30" s="210"/>
      <c r="AO30" s="211"/>
      <c r="AP30" s="209" t="s">
        <v>4352</v>
      </c>
      <c r="AQ30" s="210"/>
      <c r="AR30" s="210"/>
      <c r="AS30" s="211"/>
      <c r="AT30" s="212" t="s">
        <v>4353</v>
      </c>
      <c r="AU30" s="213"/>
      <c r="AV30" s="213"/>
      <c r="AW30" s="213"/>
      <c r="AX30" s="214"/>
    </row>
    <row r="31" spans="2:50" ht="30" customHeight="1">
      <c r="C31" s="203" t="s">
        <v>4404</v>
      </c>
      <c r="D31" s="204"/>
      <c r="E31" s="204"/>
      <c r="F31" s="204"/>
      <c r="G31" s="204"/>
      <c r="H31" s="204"/>
      <c r="I31" s="204"/>
      <c r="J31" s="204"/>
      <c r="K31" s="204"/>
      <c r="L31" s="204"/>
      <c r="M31" s="204"/>
      <c r="N31" s="204"/>
      <c r="O31" s="204"/>
      <c r="P31" s="205"/>
      <c r="Q31" s="209" t="s">
        <v>4395</v>
      </c>
      <c r="R31" s="210"/>
      <c r="S31" s="210"/>
      <c r="T31" s="211"/>
      <c r="U31" s="212"/>
      <c r="V31" s="213"/>
      <c r="W31" s="213"/>
      <c r="X31" s="213"/>
      <c r="Y31" s="214"/>
      <c r="AB31" s="203" t="s">
        <v>4400</v>
      </c>
      <c r="AC31" s="204"/>
      <c r="AD31" s="204"/>
      <c r="AE31" s="204"/>
      <c r="AF31" s="204"/>
      <c r="AG31" s="204"/>
      <c r="AH31" s="204"/>
      <c r="AI31" s="204"/>
      <c r="AJ31" s="204"/>
      <c r="AK31" s="204"/>
      <c r="AL31" s="204"/>
      <c r="AM31" s="204"/>
      <c r="AN31" s="204"/>
      <c r="AO31" s="205"/>
      <c r="AP31" s="209" t="s">
        <v>4394</v>
      </c>
      <c r="AQ31" s="210"/>
      <c r="AR31" s="210"/>
      <c r="AS31" s="211"/>
      <c r="AT31" s="212"/>
      <c r="AU31" s="213"/>
      <c r="AV31" s="213"/>
      <c r="AW31" s="213"/>
      <c r="AX31" s="214"/>
    </row>
    <row r="32" spans="2:50" ht="15" customHeight="1"/>
    <row r="33" spans="2:50" ht="15" customHeight="1">
      <c r="B33" s="129" t="s">
        <v>4347</v>
      </c>
      <c r="C33" s="130"/>
      <c r="D33" s="130"/>
      <c r="E33" s="130"/>
      <c r="F33" s="130"/>
      <c r="G33" s="130"/>
      <c r="H33" s="130"/>
      <c r="I33" s="130"/>
      <c r="J33" s="130"/>
      <c r="K33" s="130"/>
      <c r="L33" s="130"/>
      <c r="M33" s="130"/>
      <c r="N33" s="130"/>
      <c r="O33" s="130"/>
      <c r="P33" s="130"/>
      <c r="Q33" s="130"/>
      <c r="R33" s="130"/>
      <c r="S33" s="130"/>
      <c r="T33" s="130"/>
      <c r="U33" s="130"/>
      <c r="V33" s="130"/>
      <c r="W33" s="130"/>
      <c r="X33" s="130"/>
      <c r="Y33" s="130"/>
      <c r="AA33" s="137" t="s">
        <v>4359</v>
      </c>
      <c r="AB33" s="138"/>
      <c r="AC33" s="138"/>
      <c r="AD33" s="138"/>
      <c r="AE33" s="138"/>
      <c r="AF33" s="138"/>
      <c r="AG33" s="138"/>
      <c r="AH33" s="138"/>
      <c r="AI33" s="138"/>
      <c r="AJ33" s="138"/>
      <c r="AK33" s="138"/>
      <c r="AL33" s="138"/>
      <c r="AM33" s="138"/>
      <c r="AN33" s="138"/>
      <c r="AO33" s="139"/>
      <c r="AP33" s="139"/>
      <c r="AQ33" s="139"/>
      <c r="AR33" s="139"/>
      <c r="AS33" s="140"/>
      <c r="AT33" s="140"/>
      <c r="AU33" s="140"/>
      <c r="AV33" s="140"/>
      <c r="AW33" s="140"/>
      <c r="AX33" s="130"/>
    </row>
    <row r="34" spans="2:50" ht="15" customHeight="1">
      <c r="B34" s="131"/>
      <c r="C34" s="132"/>
      <c r="D34" s="132"/>
      <c r="E34" s="132"/>
      <c r="F34" s="132"/>
      <c r="G34" s="132"/>
      <c r="H34" s="132"/>
      <c r="I34" s="132"/>
      <c r="J34" s="132"/>
      <c r="K34" s="132"/>
      <c r="L34" s="132"/>
      <c r="M34" s="132"/>
      <c r="N34" s="132"/>
      <c r="O34" s="132"/>
      <c r="P34" s="132"/>
      <c r="Q34" s="132"/>
      <c r="R34" s="132"/>
      <c r="S34" s="132"/>
      <c r="T34" s="132"/>
      <c r="U34" s="132"/>
      <c r="V34" s="132"/>
      <c r="W34" s="132"/>
      <c r="X34" s="132"/>
      <c r="Y34" s="132"/>
      <c r="AA34" s="141"/>
      <c r="AB34" s="133"/>
      <c r="AC34" s="133"/>
      <c r="AD34" s="133"/>
      <c r="AE34" s="133"/>
      <c r="AF34" s="133"/>
      <c r="AG34" s="133"/>
      <c r="AH34" s="133"/>
      <c r="AI34" s="133"/>
      <c r="AJ34" s="133"/>
      <c r="AK34" s="133"/>
      <c r="AL34" s="133"/>
      <c r="AM34" s="133"/>
      <c r="AN34" s="133"/>
      <c r="AO34" s="135"/>
      <c r="AP34" s="135"/>
      <c r="AQ34" s="135"/>
      <c r="AR34" s="135"/>
      <c r="AS34" s="136"/>
      <c r="AT34" s="136"/>
      <c r="AU34" s="136"/>
      <c r="AV34" s="136"/>
      <c r="AW34" s="136"/>
      <c r="AX34" s="132"/>
    </row>
    <row r="35" spans="2:50" ht="45" customHeight="1">
      <c r="B35" s="131"/>
      <c r="C35" s="203" t="s">
        <v>4348</v>
      </c>
      <c r="D35" s="204"/>
      <c r="E35" s="204"/>
      <c r="F35" s="204"/>
      <c r="G35" s="204"/>
      <c r="H35" s="204"/>
      <c r="I35" s="204"/>
      <c r="J35" s="204"/>
      <c r="K35" s="204"/>
      <c r="L35" s="204"/>
      <c r="M35" s="204"/>
      <c r="N35" s="204"/>
      <c r="O35" s="204"/>
      <c r="P35" s="204"/>
      <c r="Q35" s="204"/>
      <c r="R35" s="204"/>
      <c r="S35" s="204"/>
      <c r="T35" s="204"/>
      <c r="U35" s="204"/>
      <c r="V35" s="204"/>
      <c r="W35" s="204"/>
      <c r="X35" s="204"/>
      <c r="Y35" s="205"/>
      <c r="AA35" s="2"/>
      <c r="AB35" s="203" t="s">
        <v>4360</v>
      </c>
      <c r="AC35" s="204"/>
      <c r="AD35" s="204"/>
      <c r="AE35" s="204"/>
      <c r="AF35" s="204"/>
      <c r="AG35" s="204"/>
      <c r="AH35" s="204"/>
      <c r="AI35" s="204"/>
      <c r="AJ35" s="204"/>
      <c r="AK35" s="204"/>
      <c r="AL35" s="204"/>
      <c r="AM35" s="204"/>
      <c r="AN35" s="204"/>
      <c r="AO35" s="204"/>
      <c r="AP35" s="204"/>
      <c r="AQ35" s="204"/>
      <c r="AR35" s="204"/>
      <c r="AS35" s="204"/>
      <c r="AT35" s="204"/>
      <c r="AU35" s="204"/>
      <c r="AV35" s="204"/>
      <c r="AW35" s="204"/>
      <c r="AX35" s="205"/>
    </row>
    <row r="36" spans="2:50" ht="15" customHeight="1">
      <c r="B36" s="132"/>
      <c r="C36" s="206"/>
      <c r="D36" s="207"/>
      <c r="E36" s="207"/>
      <c r="F36" s="207"/>
      <c r="G36" s="207"/>
      <c r="H36" s="207"/>
      <c r="I36" s="207"/>
      <c r="J36" s="207"/>
      <c r="K36" s="207"/>
      <c r="L36" s="207"/>
      <c r="M36" s="207"/>
      <c r="N36" s="207"/>
      <c r="O36" s="207"/>
      <c r="P36" s="208"/>
      <c r="Q36" s="206" t="s">
        <v>4349</v>
      </c>
      <c r="R36" s="207"/>
      <c r="S36" s="207"/>
      <c r="T36" s="208"/>
      <c r="U36" s="206" t="s">
        <v>4350</v>
      </c>
      <c r="V36" s="207"/>
      <c r="W36" s="207"/>
      <c r="X36" s="207"/>
      <c r="Y36" s="208"/>
      <c r="AA36" s="132"/>
      <c r="AB36" s="206"/>
      <c r="AC36" s="207"/>
      <c r="AD36" s="207"/>
      <c r="AE36" s="207"/>
      <c r="AF36" s="207"/>
      <c r="AG36" s="207"/>
      <c r="AH36" s="207"/>
      <c r="AI36" s="207"/>
      <c r="AJ36" s="207"/>
      <c r="AK36" s="207"/>
      <c r="AL36" s="207"/>
      <c r="AM36" s="207"/>
      <c r="AN36" s="207"/>
      <c r="AO36" s="208"/>
      <c r="AP36" s="206" t="s">
        <v>4349</v>
      </c>
      <c r="AQ36" s="207"/>
      <c r="AR36" s="207"/>
      <c r="AS36" s="208"/>
      <c r="AT36" s="206" t="s">
        <v>4350</v>
      </c>
      <c r="AU36" s="207"/>
      <c r="AV36" s="207"/>
      <c r="AW36" s="207"/>
      <c r="AX36" s="208"/>
    </row>
    <row r="37" spans="2:50" ht="30" customHeight="1">
      <c r="B37" s="132"/>
      <c r="C37" s="209" t="s">
        <v>4351</v>
      </c>
      <c r="D37" s="210"/>
      <c r="E37" s="210"/>
      <c r="F37" s="210"/>
      <c r="G37" s="210"/>
      <c r="H37" s="210"/>
      <c r="I37" s="210"/>
      <c r="J37" s="210"/>
      <c r="K37" s="210"/>
      <c r="L37" s="210"/>
      <c r="M37" s="210"/>
      <c r="N37" s="210"/>
      <c r="O37" s="210"/>
      <c r="P37" s="211"/>
      <c r="Q37" s="209" t="s">
        <v>4352</v>
      </c>
      <c r="R37" s="210"/>
      <c r="S37" s="210"/>
      <c r="T37" s="211"/>
      <c r="U37" s="212" t="s">
        <v>4353</v>
      </c>
      <c r="V37" s="213"/>
      <c r="W37" s="213"/>
      <c r="X37" s="213"/>
      <c r="Y37" s="214"/>
      <c r="AA37" s="132"/>
      <c r="AB37" s="203" t="s">
        <v>4361</v>
      </c>
      <c r="AC37" s="204"/>
      <c r="AD37" s="204"/>
      <c r="AE37" s="204"/>
      <c r="AF37" s="204"/>
      <c r="AG37" s="204"/>
      <c r="AH37" s="204"/>
      <c r="AI37" s="204"/>
      <c r="AJ37" s="204"/>
      <c r="AK37" s="204"/>
      <c r="AL37" s="204"/>
      <c r="AM37" s="204"/>
      <c r="AN37" s="204"/>
      <c r="AO37" s="205"/>
      <c r="AP37" s="209" t="s">
        <v>4352</v>
      </c>
      <c r="AQ37" s="210"/>
      <c r="AR37" s="210"/>
      <c r="AS37" s="211"/>
      <c r="AT37" s="212" t="s">
        <v>4353</v>
      </c>
      <c r="AU37" s="213"/>
      <c r="AV37" s="213"/>
      <c r="AW37" s="213"/>
      <c r="AX37" s="214"/>
    </row>
    <row r="38" spans="2:50" ht="30" customHeight="1">
      <c r="B38" s="132"/>
      <c r="C38" s="209" t="s">
        <v>4354</v>
      </c>
      <c r="D38" s="210"/>
      <c r="E38" s="210"/>
      <c r="F38" s="210"/>
      <c r="G38" s="210"/>
      <c r="H38" s="210"/>
      <c r="I38" s="210"/>
      <c r="J38" s="210"/>
      <c r="K38" s="210"/>
      <c r="L38" s="210"/>
      <c r="M38" s="210"/>
      <c r="N38" s="210"/>
      <c r="O38" s="210"/>
      <c r="P38" s="211"/>
      <c r="Q38" s="209" t="s">
        <v>4352</v>
      </c>
      <c r="R38" s="210"/>
      <c r="S38" s="210"/>
      <c r="T38" s="211"/>
      <c r="U38" s="212" t="s">
        <v>4353</v>
      </c>
      <c r="V38" s="213"/>
      <c r="W38" s="213"/>
      <c r="X38" s="213"/>
      <c r="Y38" s="214"/>
      <c r="AA38" s="132"/>
      <c r="AB38" s="203" t="s">
        <v>4362</v>
      </c>
      <c r="AC38" s="204"/>
      <c r="AD38" s="204"/>
      <c r="AE38" s="204"/>
      <c r="AF38" s="204"/>
      <c r="AG38" s="204"/>
      <c r="AH38" s="204"/>
      <c r="AI38" s="204"/>
      <c r="AJ38" s="204"/>
      <c r="AK38" s="204"/>
      <c r="AL38" s="204"/>
      <c r="AM38" s="204"/>
      <c r="AN38" s="204"/>
      <c r="AO38" s="205"/>
      <c r="AP38" s="209" t="s">
        <v>4352</v>
      </c>
      <c r="AQ38" s="210"/>
      <c r="AR38" s="210"/>
      <c r="AS38" s="211"/>
      <c r="AT38" s="212" t="s">
        <v>4353</v>
      </c>
      <c r="AU38" s="213"/>
      <c r="AV38" s="213"/>
      <c r="AW38" s="213"/>
      <c r="AX38" s="214"/>
    </row>
    <row r="39" spans="2:50" ht="15" customHeight="1">
      <c r="B39" s="132"/>
      <c r="C39" s="233" t="s">
        <v>4355</v>
      </c>
      <c r="D39" s="234"/>
      <c r="E39" s="234"/>
      <c r="F39" s="234"/>
      <c r="G39" s="234"/>
      <c r="H39" s="234"/>
      <c r="I39" s="234"/>
      <c r="J39" s="234"/>
      <c r="K39" s="234"/>
      <c r="L39" s="234"/>
      <c r="M39" s="234"/>
      <c r="N39" s="234"/>
      <c r="O39" s="234"/>
      <c r="P39" s="235"/>
      <c r="Q39" s="227" t="s">
        <v>4356</v>
      </c>
      <c r="R39" s="228"/>
      <c r="S39" s="228"/>
      <c r="T39" s="229"/>
      <c r="U39" s="215"/>
      <c r="V39" s="216"/>
      <c r="W39" s="216"/>
      <c r="X39" s="216"/>
      <c r="Y39" s="217"/>
      <c r="AA39" s="132"/>
      <c r="AB39" s="221" t="s">
        <v>4363</v>
      </c>
      <c r="AC39" s="222"/>
      <c r="AD39" s="222"/>
      <c r="AE39" s="222"/>
      <c r="AF39" s="222"/>
      <c r="AG39" s="222"/>
      <c r="AH39" s="222"/>
      <c r="AI39" s="222"/>
      <c r="AJ39" s="222"/>
      <c r="AK39" s="222"/>
      <c r="AL39" s="222"/>
      <c r="AM39" s="222"/>
      <c r="AN39" s="222"/>
      <c r="AO39" s="223"/>
      <c r="AP39" s="227" t="s">
        <v>4364</v>
      </c>
      <c r="AQ39" s="228"/>
      <c r="AR39" s="228"/>
      <c r="AS39" s="229"/>
      <c r="AT39" s="215"/>
      <c r="AU39" s="216"/>
      <c r="AV39" s="216"/>
      <c r="AW39" s="216"/>
      <c r="AX39" s="217"/>
    </row>
    <row r="40" spans="2:50" ht="15" customHeight="1">
      <c r="B40" s="132"/>
      <c r="C40" s="236"/>
      <c r="D40" s="237"/>
      <c r="E40" s="237"/>
      <c r="F40" s="237"/>
      <c r="G40" s="237"/>
      <c r="H40" s="237"/>
      <c r="I40" s="237"/>
      <c r="J40" s="237"/>
      <c r="K40" s="237"/>
      <c r="L40" s="237"/>
      <c r="M40" s="237"/>
      <c r="N40" s="237"/>
      <c r="O40" s="237"/>
      <c r="P40" s="238"/>
      <c r="Q40" s="230"/>
      <c r="R40" s="231"/>
      <c r="S40" s="231"/>
      <c r="T40" s="232"/>
      <c r="U40" s="218"/>
      <c r="V40" s="219"/>
      <c r="W40" s="219"/>
      <c r="X40" s="219"/>
      <c r="Y40" s="220"/>
      <c r="AA40" s="132"/>
      <c r="AB40" s="224"/>
      <c r="AC40" s="225"/>
      <c r="AD40" s="225"/>
      <c r="AE40" s="225"/>
      <c r="AF40" s="225"/>
      <c r="AG40" s="225"/>
      <c r="AH40" s="225"/>
      <c r="AI40" s="225"/>
      <c r="AJ40" s="225"/>
      <c r="AK40" s="225"/>
      <c r="AL40" s="225"/>
      <c r="AM40" s="225"/>
      <c r="AN40" s="225"/>
      <c r="AO40" s="226"/>
      <c r="AP40" s="230"/>
      <c r="AQ40" s="231"/>
      <c r="AR40" s="231"/>
      <c r="AS40" s="232"/>
      <c r="AT40" s="218"/>
      <c r="AU40" s="219"/>
      <c r="AV40" s="219"/>
      <c r="AW40" s="219"/>
      <c r="AX40" s="220"/>
    </row>
    <row r="41" spans="2:50" ht="15" customHeight="1">
      <c r="B41" s="132"/>
      <c r="C41" s="221" t="s">
        <v>4357</v>
      </c>
      <c r="D41" s="222"/>
      <c r="E41" s="222"/>
      <c r="F41" s="222"/>
      <c r="G41" s="222"/>
      <c r="H41" s="222"/>
      <c r="I41" s="222"/>
      <c r="J41" s="222"/>
      <c r="K41" s="222"/>
      <c r="L41" s="222"/>
      <c r="M41" s="222"/>
      <c r="N41" s="222"/>
      <c r="O41" s="222"/>
      <c r="P41" s="223"/>
      <c r="Q41" s="227" t="s">
        <v>4358</v>
      </c>
      <c r="R41" s="228"/>
      <c r="S41" s="228"/>
      <c r="T41" s="229"/>
      <c r="U41" s="215"/>
      <c r="V41" s="216"/>
      <c r="W41" s="216"/>
      <c r="X41" s="216"/>
      <c r="Y41" s="217"/>
    </row>
    <row r="42" spans="2:50" ht="15" customHeight="1">
      <c r="B42" s="132"/>
      <c r="C42" s="224"/>
      <c r="D42" s="225"/>
      <c r="E42" s="225"/>
      <c r="F42" s="225"/>
      <c r="G42" s="225"/>
      <c r="H42" s="225"/>
      <c r="I42" s="225"/>
      <c r="J42" s="225"/>
      <c r="K42" s="225"/>
      <c r="L42" s="225"/>
      <c r="M42" s="225"/>
      <c r="N42" s="225"/>
      <c r="O42" s="225"/>
      <c r="P42" s="226"/>
      <c r="Q42" s="230"/>
      <c r="R42" s="231"/>
      <c r="S42" s="231"/>
      <c r="T42" s="232"/>
      <c r="U42" s="218"/>
      <c r="V42" s="219"/>
      <c r="W42" s="219"/>
      <c r="X42" s="219"/>
      <c r="Y42" s="220"/>
    </row>
    <row r="43" spans="2:50" ht="15" customHeight="1">
      <c r="B43" s="133"/>
      <c r="C43" s="134"/>
      <c r="D43" s="133"/>
      <c r="E43" s="133"/>
      <c r="F43" s="133"/>
      <c r="G43" s="133"/>
      <c r="H43" s="133"/>
      <c r="I43" s="133"/>
      <c r="J43" s="133"/>
      <c r="K43" s="133"/>
      <c r="L43" s="133"/>
      <c r="M43" s="133"/>
      <c r="N43" s="133"/>
      <c r="O43" s="133"/>
      <c r="P43" s="135"/>
      <c r="Q43" s="135"/>
      <c r="R43" s="135"/>
      <c r="S43" s="135"/>
      <c r="T43" s="136"/>
      <c r="U43" s="136"/>
      <c r="V43" s="136"/>
      <c r="W43" s="136"/>
      <c r="X43" s="136"/>
      <c r="Y43" s="132"/>
    </row>
    <row r="44" spans="2:50" ht="15" customHeight="1">
      <c r="B44" s="129" t="s">
        <v>4365</v>
      </c>
      <c r="C44" s="130"/>
      <c r="D44" s="130"/>
      <c r="E44" s="130"/>
      <c r="F44" s="130"/>
      <c r="G44" s="130"/>
      <c r="H44" s="130"/>
      <c r="I44" s="130"/>
      <c r="J44" s="130"/>
      <c r="K44" s="130"/>
      <c r="L44" s="130"/>
      <c r="M44" s="130"/>
      <c r="N44" s="130"/>
      <c r="O44" s="130"/>
      <c r="P44" s="130"/>
      <c r="Q44" s="130"/>
      <c r="R44" s="130"/>
      <c r="S44" s="130"/>
      <c r="T44" s="130"/>
      <c r="U44" s="130"/>
      <c r="V44" s="130"/>
      <c r="W44" s="130"/>
      <c r="X44" s="130"/>
      <c r="Y44" s="130"/>
      <c r="AA44" s="129" t="s">
        <v>4373</v>
      </c>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row>
    <row r="45" spans="2:50" ht="15" customHeight="1">
      <c r="B45" s="132"/>
      <c r="C45" s="132"/>
      <c r="D45" s="132"/>
      <c r="E45" s="132"/>
      <c r="F45" s="132"/>
      <c r="G45" s="132"/>
      <c r="H45" s="132"/>
      <c r="I45" s="132"/>
      <c r="J45" s="132"/>
      <c r="K45" s="132"/>
      <c r="L45" s="132"/>
      <c r="M45" s="132"/>
      <c r="N45" s="132"/>
      <c r="O45" s="132"/>
      <c r="P45" s="132"/>
      <c r="Q45" s="132"/>
      <c r="R45" s="132"/>
      <c r="S45" s="132"/>
      <c r="T45" s="132"/>
      <c r="U45" s="132"/>
      <c r="V45" s="132"/>
      <c r="W45" s="132"/>
      <c r="X45" s="132"/>
      <c r="Y45" s="132"/>
      <c r="AA45" s="132"/>
      <c r="AB45" s="132"/>
      <c r="AC45" s="132"/>
      <c r="AD45" s="132"/>
      <c r="AE45" s="132"/>
      <c r="AF45" s="132"/>
      <c r="AG45" s="132"/>
      <c r="AH45" s="132"/>
      <c r="AI45" s="132"/>
      <c r="AJ45" s="132"/>
      <c r="AK45" s="132"/>
      <c r="AL45" s="132"/>
      <c r="AM45" s="132"/>
      <c r="AN45" s="132"/>
      <c r="AO45" s="132"/>
      <c r="AP45" s="132"/>
      <c r="AQ45" s="132"/>
      <c r="AR45" s="132"/>
      <c r="AS45" s="132"/>
      <c r="AT45" s="132"/>
      <c r="AU45" s="132"/>
      <c r="AV45" s="2"/>
      <c r="AW45" s="2"/>
      <c r="AX45" s="2"/>
    </row>
    <row r="46" spans="2:50" ht="45" customHeight="1">
      <c r="B46" s="132"/>
      <c r="C46" s="203" t="s">
        <v>4366</v>
      </c>
      <c r="D46" s="204"/>
      <c r="E46" s="204"/>
      <c r="F46" s="204"/>
      <c r="G46" s="204"/>
      <c r="H46" s="204"/>
      <c r="I46" s="204"/>
      <c r="J46" s="204"/>
      <c r="K46" s="204"/>
      <c r="L46" s="204"/>
      <c r="M46" s="204"/>
      <c r="N46" s="204"/>
      <c r="O46" s="204"/>
      <c r="P46" s="204"/>
      <c r="Q46" s="204"/>
      <c r="R46" s="204"/>
      <c r="S46" s="204"/>
      <c r="T46" s="204"/>
      <c r="U46" s="204"/>
      <c r="V46" s="204"/>
      <c r="W46" s="204"/>
      <c r="X46" s="204"/>
      <c r="Y46" s="205"/>
      <c r="AA46" s="132"/>
      <c r="AB46" s="203" t="s">
        <v>4374</v>
      </c>
      <c r="AC46" s="204"/>
      <c r="AD46" s="204"/>
      <c r="AE46" s="204"/>
      <c r="AF46" s="204"/>
      <c r="AG46" s="204"/>
      <c r="AH46" s="204"/>
      <c r="AI46" s="204"/>
      <c r="AJ46" s="204"/>
      <c r="AK46" s="204"/>
      <c r="AL46" s="204"/>
      <c r="AM46" s="204"/>
      <c r="AN46" s="204"/>
      <c r="AO46" s="204"/>
      <c r="AP46" s="204"/>
      <c r="AQ46" s="204"/>
      <c r="AR46" s="204"/>
      <c r="AS46" s="204"/>
      <c r="AT46" s="204"/>
      <c r="AU46" s="204"/>
      <c r="AV46" s="204"/>
      <c r="AW46" s="204"/>
      <c r="AX46" s="205"/>
    </row>
    <row r="47" spans="2:50" ht="15" customHeight="1">
      <c r="B47" s="132"/>
      <c r="C47" s="206"/>
      <c r="D47" s="207"/>
      <c r="E47" s="207"/>
      <c r="F47" s="207"/>
      <c r="G47" s="207"/>
      <c r="H47" s="207"/>
      <c r="I47" s="207"/>
      <c r="J47" s="207"/>
      <c r="K47" s="207"/>
      <c r="L47" s="207"/>
      <c r="M47" s="207"/>
      <c r="N47" s="207"/>
      <c r="O47" s="207"/>
      <c r="P47" s="208"/>
      <c r="Q47" s="206" t="s">
        <v>4349</v>
      </c>
      <c r="R47" s="207"/>
      <c r="S47" s="207"/>
      <c r="T47" s="208"/>
      <c r="U47" s="206" t="s">
        <v>4350</v>
      </c>
      <c r="V47" s="207"/>
      <c r="W47" s="207"/>
      <c r="X47" s="207"/>
      <c r="Y47" s="208"/>
      <c r="AA47" s="132"/>
      <c r="AB47" s="206"/>
      <c r="AC47" s="207"/>
      <c r="AD47" s="207"/>
      <c r="AE47" s="207"/>
      <c r="AF47" s="207"/>
      <c r="AG47" s="207"/>
      <c r="AH47" s="207"/>
      <c r="AI47" s="207"/>
      <c r="AJ47" s="207"/>
      <c r="AK47" s="207"/>
      <c r="AL47" s="207"/>
      <c r="AM47" s="207"/>
      <c r="AN47" s="207"/>
      <c r="AO47" s="208"/>
      <c r="AP47" s="206" t="s">
        <v>4349</v>
      </c>
      <c r="AQ47" s="207"/>
      <c r="AR47" s="207"/>
      <c r="AS47" s="208"/>
      <c r="AT47" s="206" t="s">
        <v>4350</v>
      </c>
      <c r="AU47" s="207"/>
      <c r="AV47" s="207"/>
      <c r="AW47" s="207"/>
      <c r="AX47" s="208"/>
    </row>
    <row r="48" spans="2:50" ht="30" customHeight="1">
      <c r="B48" s="132"/>
      <c r="C48" s="209" t="s">
        <v>4367</v>
      </c>
      <c r="D48" s="210"/>
      <c r="E48" s="210"/>
      <c r="F48" s="210"/>
      <c r="G48" s="210"/>
      <c r="H48" s="210"/>
      <c r="I48" s="210"/>
      <c r="J48" s="210"/>
      <c r="K48" s="210"/>
      <c r="L48" s="210"/>
      <c r="M48" s="210"/>
      <c r="N48" s="210"/>
      <c r="O48" s="210"/>
      <c r="P48" s="211"/>
      <c r="Q48" s="209" t="s">
        <v>4352</v>
      </c>
      <c r="R48" s="210"/>
      <c r="S48" s="210"/>
      <c r="T48" s="211"/>
      <c r="U48" s="212" t="s">
        <v>4353</v>
      </c>
      <c r="V48" s="213"/>
      <c r="W48" s="213"/>
      <c r="X48" s="213"/>
      <c r="Y48" s="214"/>
      <c r="AA48" s="132"/>
      <c r="AB48" s="209" t="s">
        <v>4375</v>
      </c>
      <c r="AC48" s="210"/>
      <c r="AD48" s="210"/>
      <c r="AE48" s="210"/>
      <c r="AF48" s="210"/>
      <c r="AG48" s="210"/>
      <c r="AH48" s="210"/>
      <c r="AI48" s="210"/>
      <c r="AJ48" s="210"/>
      <c r="AK48" s="210"/>
      <c r="AL48" s="210"/>
      <c r="AM48" s="210"/>
      <c r="AN48" s="210"/>
      <c r="AO48" s="211"/>
      <c r="AP48" s="209" t="s">
        <v>4352</v>
      </c>
      <c r="AQ48" s="210"/>
      <c r="AR48" s="210"/>
      <c r="AS48" s="211"/>
      <c r="AT48" s="212" t="s">
        <v>4353</v>
      </c>
      <c r="AU48" s="213"/>
      <c r="AV48" s="213"/>
      <c r="AW48" s="213"/>
      <c r="AX48" s="214"/>
    </row>
    <row r="49" spans="2:50" ht="30" customHeight="1">
      <c r="B49" s="132"/>
      <c r="C49" s="209" t="s">
        <v>4368</v>
      </c>
      <c r="D49" s="210"/>
      <c r="E49" s="210"/>
      <c r="F49" s="210"/>
      <c r="G49" s="210"/>
      <c r="H49" s="210"/>
      <c r="I49" s="210"/>
      <c r="J49" s="210"/>
      <c r="K49" s="210"/>
      <c r="L49" s="210"/>
      <c r="M49" s="210"/>
      <c r="N49" s="210"/>
      <c r="O49" s="210"/>
      <c r="P49" s="211"/>
      <c r="Q49" s="209" t="s">
        <v>4352</v>
      </c>
      <c r="R49" s="210"/>
      <c r="S49" s="210"/>
      <c r="T49" s="211"/>
      <c r="U49" s="212" t="s">
        <v>4353</v>
      </c>
      <c r="V49" s="213"/>
      <c r="W49" s="213"/>
      <c r="X49" s="213"/>
      <c r="Y49" s="214"/>
      <c r="AA49" s="132"/>
      <c r="AB49" s="209" t="s">
        <v>4376</v>
      </c>
      <c r="AC49" s="210"/>
      <c r="AD49" s="210"/>
      <c r="AE49" s="210"/>
      <c r="AF49" s="210"/>
      <c r="AG49" s="210"/>
      <c r="AH49" s="210"/>
      <c r="AI49" s="210"/>
      <c r="AJ49" s="210"/>
      <c r="AK49" s="210"/>
      <c r="AL49" s="210"/>
      <c r="AM49" s="210"/>
      <c r="AN49" s="210"/>
      <c r="AO49" s="211"/>
      <c r="AP49" s="209" t="s">
        <v>4377</v>
      </c>
      <c r="AQ49" s="210"/>
      <c r="AR49" s="210"/>
      <c r="AS49" s="211"/>
      <c r="AT49" s="212"/>
      <c r="AU49" s="213"/>
      <c r="AV49" s="213"/>
      <c r="AW49" s="213"/>
      <c r="AX49" s="214"/>
    </row>
    <row r="50" spans="2:50" ht="30" customHeight="1">
      <c r="B50" s="132"/>
      <c r="C50" s="209" t="s">
        <v>4369</v>
      </c>
      <c r="D50" s="210"/>
      <c r="E50" s="210"/>
      <c r="F50" s="210"/>
      <c r="G50" s="210"/>
      <c r="H50" s="210"/>
      <c r="I50" s="210"/>
      <c r="J50" s="210"/>
      <c r="K50" s="210"/>
      <c r="L50" s="210"/>
      <c r="M50" s="210"/>
      <c r="N50" s="210"/>
      <c r="O50" s="210"/>
      <c r="P50" s="211"/>
      <c r="Q50" s="209" t="s">
        <v>4352</v>
      </c>
      <c r="R50" s="210"/>
      <c r="S50" s="210"/>
      <c r="T50" s="211"/>
      <c r="U50" s="212" t="s">
        <v>4353</v>
      </c>
      <c r="V50" s="213"/>
      <c r="W50" s="213"/>
      <c r="X50" s="213"/>
      <c r="Y50" s="214"/>
    </row>
    <row r="51" spans="2:50" ht="30" customHeight="1">
      <c r="B51" s="132"/>
      <c r="C51" s="209" t="s">
        <v>4370</v>
      </c>
      <c r="D51" s="210"/>
      <c r="E51" s="210"/>
      <c r="F51" s="210"/>
      <c r="G51" s="210"/>
      <c r="H51" s="210"/>
      <c r="I51" s="210"/>
      <c r="J51" s="210"/>
      <c r="K51" s="210"/>
      <c r="L51" s="210"/>
      <c r="M51" s="210"/>
      <c r="N51" s="210"/>
      <c r="O51" s="210"/>
      <c r="P51" s="211"/>
      <c r="Q51" s="209" t="s">
        <v>4352</v>
      </c>
      <c r="R51" s="210"/>
      <c r="S51" s="210"/>
      <c r="T51" s="211"/>
      <c r="U51" s="212" t="s">
        <v>4353</v>
      </c>
      <c r="V51" s="213"/>
      <c r="W51" s="213"/>
      <c r="X51" s="213"/>
      <c r="Y51" s="214"/>
    </row>
    <row r="52" spans="2:50" ht="30" customHeight="1">
      <c r="B52" s="132"/>
      <c r="C52" s="209" t="s">
        <v>4371</v>
      </c>
      <c r="D52" s="210"/>
      <c r="E52" s="210"/>
      <c r="F52" s="210"/>
      <c r="G52" s="210"/>
      <c r="H52" s="210"/>
      <c r="I52" s="210"/>
      <c r="J52" s="210"/>
      <c r="K52" s="210"/>
      <c r="L52" s="210"/>
      <c r="M52" s="210"/>
      <c r="N52" s="210"/>
      <c r="O52" s="210"/>
      <c r="P52" s="211"/>
      <c r="Q52" s="209" t="s">
        <v>4372</v>
      </c>
      <c r="R52" s="210"/>
      <c r="S52" s="210"/>
      <c r="T52" s="211"/>
      <c r="U52" s="212"/>
      <c r="V52" s="213"/>
      <c r="W52" s="213"/>
      <c r="X52" s="213"/>
      <c r="Y52" s="214"/>
      <c r="AA52" s="142" t="s">
        <v>4378</v>
      </c>
    </row>
    <row r="53" spans="2:50" ht="30" customHeight="1"/>
    <row r="54" spans="2:50" ht="15" customHeight="1"/>
    <row r="55" spans="2:50" ht="45" customHeight="1"/>
    <row r="56" spans="2:50" ht="15" customHeight="1"/>
    <row r="57" spans="2:50" ht="15" customHeight="1"/>
    <row r="58" spans="2:50" ht="30" customHeight="1"/>
    <row r="59" spans="2:50" ht="15" customHeight="1">
      <c r="B59" s="132"/>
      <c r="C59" s="132"/>
      <c r="D59" s="132"/>
      <c r="E59" s="132"/>
      <c r="F59" s="132"/>
      <c r="G59" s="132"/>
      <c r="H59" s="132"/>
      <c r="I59" s="132"/>
      <c r="J59" s="132"/>
      <c r="K59" s="132"/>
      <c r="L59" s="132"/>
      <c r="M59" s="132"/>
      <c r="N59" s="132"/>
      <c r="O59" s="132"/>
      <c r="P59" s="132"/>
      <c r="Q59" s="132"/>
      <c r="R59" s="132"/>
      <c r="S59" s="132"/>
      <c r="T59" s="132"/>
      <c r="U59" s="132"/>
      <c r="V59" s="132"/>
      <c r="W59" s="132"/>
      <c r="X59" s="132"/>
      <c r="Y59" s="132"/>
    </row>
    <row r="60" spans="2:50" ht="15" customHeight="1"/>
    <row r="61" spans="2:50" ht="15" customHeight="1"/>
    <row r="62" spans="2:50" ht="45" customHeight="1"/>
    <row r="63" spans="2:50" ht="15" customHeight="1"/>
    <row r="64" spans="2:50" ht="15" customHeight="1"/>
    <row r="65" spans="2:25" ht="30" customHeight="1"/>
    <row r="66" spans="2:25" ht="15" customHeight="1">
      <c r="B66" s="132"/>
      <c r="C66" s="132"/>
      <c r="D66" s="132"/>
      <c r="E66" s="132"/>
      <c r="F66" s="132"/>
      <c r="G66" s="132"/>
      <c r="H66" s="132"/>
      <c r="I66" s="132"/>
      <c r="J66" s="132"/>
      <c r="K66" s="132"/>
      <c r="L66" s="132"/>
      <c r="M66" s="132"/>
      <c r="N66" s="132"/>
      <c r="O66" s="132"/>
      <c r="P66" s="132"/>
      <c r="Q66" s="132"/>
      <c r="R66" s="132"/>
      <c r="S66" s="132"/>
      <c r="T66" s="132"/>
      <c r="U66" s="132"/>
      <c r="V66" s="132"/>
      <c r="W66" s="132"/>
      <c r="X66" s="132"/>
      <c r="Y66" s="132"/>
    </row>
    <row r="67" spans="2:25" ht="15" customHeight="1"/>
    <row r="68" spans="2:25" ht="15" customHeight="1"/>
    <row r="69" spans="2:25" ht="45" customHeight="1"/>
    <row r="70" spans="2:25" ht="15" customHeight="1"/>
    <row r="71" spans="2:25" ht="30" customHeight="1"/>
    <row r="72" spans="2:25" ht="30" customHeight="1"/>
    <row r="73" spans="2:25" ht="30" customHeight="1"/>
    <row r="74" spans="2:25" ht="30" customHeight="1"/>
    <row r="75" spans="2:25" ht="30" customHeight="1"/>
    <row r="76" spans="2:25" ht="15" customHeight="1">
      <c r="B76" s="132"/>
      <c r="C76" s="132"/>
      <c r="D76" s="132"/>
      <c r="E76" s="132"/>
      <c r="F76" s="132"/>
      <c r="G76" s="132"/>
      <c r="H76" s="132"/>
      <c r="I76" s="132"/>
      <c r="J76" s="132"/>
      <c r="K76" s="132"/>
      <c r="L76" s="132"/>
      <c r="M76" s="132"/>
      <c r="N76" s="132"/>
      <c r="O76" s="132"/>
      <c r="P76" s="132"/>
      <c r="Q76" s="132"/>
      <c r="R76" s="132"/>
      <c r="S76" s="132"/>
      <c r="T76" s="132"/>
      <c r="U76" s="132"/>
      <c r="V76" s="132"/>
      <c r="W76" s="132"/>
      <c r="X76" s="132"/>
      <c r="Y76" s="132"/>
    </row>
    <row r="77" spans="2:25" ht="15" customHeight="1"/>
    <row r="78" spans="2:25" ht="15" customHeight="1"/>
    <row r="79" spans="2:25" ht="45" customHeight="1"/>
    <row r="80" spans="2:25" ht="15" customHeight="1"/>
    <row r="81" spans="2:25" ht="15" customHeight="1"/>
    <row r="82" spans="2:25" ht="30" customHeight="1"/>
    <row r="83" spans="2:25" ht="15" customHeight="1">
      <c r="B83" s="132"/>
      <c r="C83" s="132"/>
      <c r="D83" s="132"/>
      <c r="E83" s="132"/>
      <c r="F83" s="132"/>
      <c r="G83" s="132"/>
      <c r="H83" s="132"/>
      <c r="I83" s="132"/>
      <c r="J83" s="132"/>
      <c r="K83" s="132"/>
      <c r="L83" s="132"/>
      <c r="M83" s="132"/>
      <c r="N83" s="132"/>
      <c r="O83" s="132"/>
      <c r="P83" s="132"/>
      <c r="Q83" s="132"/>
      <c r="R83" s="132"/>
      <c r="S83" s="132"/>
      <c r="T83" s="132"/>
      <c r="U83" s="132"/>
      <c r="V83" s="132"/>
      <c r="W83" s="132"/>
      <c r="X83" s="132"/>
      <c r="Y83" s="132"/>
    </row>
    <row r="84" spans="2:25" ht="15" customHeight="1">
      <c r="B84" s="142"/>
      <c r="D84" s="142"/>
      <c r="E84" s="142"/>
      <c r="F84" s="142"/>
      <c r="G84" s="142"/>
      <c r="H84" s="142"/>
      <c r="I84" s="142"/>
      <c r="J84" s="142"/>
      <c r="K84" s="142"/>
      <c r="L84" s="142"/>
      <c r="M84" s="142"/>
      <c r="N84" s="142"/>
      <c r="O84" s="142"/>
      <c r="P84" s="142"/>
      <c r="Q84" s="142"/>
      <c r="R84" s="142"/>
      <c r="S84" s="142"/>
      <c r="T84" s="142"/>
      <c r="U84" s="142"/>
      <c r="V84" s="142"/>
      <c r="W84" s="142"/>
      <c r="X84" s="142"/>
      <c r="Y84" s="142"/>
    </row>
    <row r="85" spans="2:25" ht="15" customHeight="1"/>
    <row r="86" spans="2:25" ht="15" customHeight="1"/>
    <row r="87" spans="2:25" ht="15" customHeight="1"/>
    <row r="88" spans="2:25" ht="15" customHeight="1"/>
    <row r="89" spans="2:25" ht="15" customHeight="1"/>
    <row r="90" spans="2:25" ht="15" customHeight="1"/>
    <row r="91" spans="2:25" ht="15" customHeight="1"/>
    <row r="92" spans="2:25" ht="15" customHeight="1"/>
    <row r="93" spans="2:25" ht="15" customHeight="1"/>
    <row r="94" spans="2:25" ht="15" customHeight="1"/>
    <row r="95" spans="2:25" ht="15" customHeight="1"/>
    <row r="96" spans="2:2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sheetData>
  <sheetProtection password="CEE2" sheet="1" objects="1" scenarios="1"/>
  <mergeCells count="98">
    <mergeCell ref="C31:P31"/>
    <mergeCell ref="Q31:T31"/>
    <mergeCell ref="AB30:AO30"/>
    <mergeCell ref="AP30:AS30"/>
    <mergeCell ref="AT30:AX30"/>
    <mergeCell ref="AB31:AO31"/>
    <mergeCell ref="AP31:AS31"/>
    <mergeCell ref="AT31:AX31"/>
    <mergeCell ref="AT23:AX23"/>
    <mergeCell ref="AB24:AO24"/>
    <mergeCell ref="AP24:AS24"/>
    <mergeCell ref="AT24:AX24"/>
    <mergeCell ref="U31:Y31"/>
    <mergeCell ref="AB28:AX28"/>
    <mergeCell ref="AB29:AO29"/>
    <mergeCell ref="AP29:AS29"/>
    <mergeCell ref="AT29:AX29"/>
    <mergeCell ref="C28:Y28"/>
    <mergeCell ref="C29:P29"/>
    <mergeCell ref="Q29:T29"/>
    <mergeCell ref="U29:Y29"/>
    <mergeCell ref="C30:P30"/>
    <mergeCell ref="Q30:T30"/>
    <mergeCell ref="U30:Y30"/>
    <mergeCell ref="C24:P24"/>
    <mergeCell ref="Q24:T24"/>
    <mergeCell ref="U24:Y24"/>
    <mergeCell ref="AB21:AX21"/>
    <mergeCell ref="AB22:AO22"/>
    <mergeCell ref="AP22:AS22"/>
    <mergeCell ref="AT22:AX22"/>
    <mergeCell ref="C21:Y21"/>
    <mergeCell ref="C22:P22"/>
    <mergeCell ref="Q22:T22"/>
    <mergeCell ref="U22:Y22"/>
    <mergeCell ref="C23:P23"/>
    <mergeCell ref="Q23:T23"/>
    <mergeCell ref="U23:Y23"/>
    <mergeCell ref="AB23:AO23"/>
    <mergeCell ref="AP23:AS23"/>
    <mergeCell ref="AB48:AO48"/>
    <mergeCell ref="AP48:AS48"/>
    <mergeCell ref="AT48:AX48"/>
    <mergeCell ref="AB49:AO49"/>
    <mergeCell ref="AP49:AS49"/>
    <mergeCell ref="AT49:AX49"/>
    <mergeCell ref="C52:P52"/>
    <mergeCell ref="Q52:T52"/>
    <mergeCell ref="U52:Y52"/>
    <mergeCell ref="AB46:AX46"/>
    <mergeCell ref="AB47:AO47"/>
    <mergeCell ref="AP47:AS47"/>
    <mergeCell ref="AT47:AX47"/>
    <mergeCell ref="C50:P50"/>
    <mergeCell ref="Q50:T50"/>
    <mergeCell ref="U50:Y50"/>
    <mergeCell ref="C51:P51"/>
    <mergeCell ref="Q51:T51"/>
    <mergeCell ref="U51:Y51"/>
    <mergeCell ref="C48:P48"/>
    <mergeCell ref="Q48:T48"/>
    <mergeCell ref="U48:Y48"/>
    <mergeCell ref="C39:P40"/>
    <mergeCell ref="Q39:T40"/>
    <mergeCell ref="U39:Y40"/>
    <mergeCell ref="C49:P49"/>
    <mergeCell ref="Q49:T49"/>
    <mergeCell ref="U49:Y49"/>
    <mergeCell ref="C46:Y46"/>
    <mergeCell ref="C47:P47"/>
    <mergeCell ref="Q47:T47"/>
    <mergeCell ref="U47:Y47"/>
    <mergeCell ref="C41:P42"/>
    <mergeCell ref="Q41:T42"/>
    <mergeCell ref="U41:Y42"/>
    <mergeCell ref="AT37:AX37"/>
    <mergeCell ref="AB38:AO38"/>
    <mergeCell ref="AP38:AS38"/>
    <mergeCell ref="AT38:AX38"/>
    <mergeCell ref="AT39:AX40"/>
    <mergeCell ref="AB39:AO40"/>
    <mergeCell ref="AP39:AS40"/>
    <mergeCell ref="AB35:AX35"/>
    <mergeCell ref="AB36:AO36"/>
    <mergeCell ref="AP36:AS36"/>
    <mergeCell ref="AT36:AX36"/>
    <mergeCell ref="C38:P38"/>
    <mergeCell ref="Q38:T38"/>
    <mergeCell ref="U38:Y38"/>
    <mergeCell ref="C35:Y35"/>
    <mergeCell ref="C36:P36"/>
    <mergeCell ref="Q36:T36"/>
    <mergeCell ref="U36:Y36"/>
    <mergeCell ref="C37:P37"/>
    <mergeCell ref="Q37:T37"/>
    <mergeCell ref="U37:Y37"/>
    <mergeCell ref="AB37:AO37"/>
    <mergeCell ref="AP37:AS37"/>
  </mergeCells>
  <hyperlinks>
    <hyperlink ref="U37:Y37" r:id="rId1" display="Download"/>
    <hyperlink ref="U38:Y38" r:id="rId2" display="Download"/>
    <hyperlink ref="AT37:AX37" r:id="rId3" display="Download"/>
    <hyperlink ref="AT38:AX38" r:id="rId4" display="Download"/>
    <hyperlink ref="AT48:AX48" r:id="rId5" display="Download"/>
    <hyperlink ref="U48:Y48" r:id="rId6" display="Download"/>
    <hyperlink ref="U49:Y49" r:id="rId7" display="Download"/>
    <hyperlink ref="U50:Y50" r:id="rId8" display="Download"/>
    <hyperlink ref="U51:Y51" r:id="rId9" display="Download"/>
    <hyperlink ref="U23:Y23" r:id="rId10" display="Download"/>
    <hyperlink ref="U30:Y30" r:id="rId11" display="Download"/>
    <hyperlink ref="AT23:AX23" r:id="rId12" display="Download"/>
    <hyperlink ref="AT30:AX30" r:id="rId13" display="Download"/>
  </hyperlinks>
  <pageMargins left="0.7" right="0.7" top="0.75" bottom="0.75" header="0.3" footer="0.3"/>
  <pageSetup orientation="portrait" r:id="rId14"/>
  <drawing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134</vt:i4>
      </vt:variant>
    </vt:vector>
  </HeadingPairs>
  <TitlesOfParts>
    <vt:vector size="144" baseType="lpstr">
      <vt:lpstr>Group Stages</vt:lpstr>
      <vt:lpstr>Knock Out Stages</vt:lpstr>
      <vt:lpstr>Tournament</vt:lpstr>
      <vt:lpstr>Countries and Timezone</vt:lpstr>
      <vt:lpstr>Dummy Table</vt:lpstr>
      <vt:lpstr>Language</vt:lpstr>
      <vt:lpstr>Player Database</vt:lpstr>
      <vt:lpstr>Dummy Top Scorer</vt:lpstr>
      <vt:lpstr>EULA</vt:lpstr>
      <vt:lpstr>About</vt:lpstr>
      <vt:lpstr>A1A2</vt:lpstr>
      <vt:lpstr>A1A3</vt:lpstr>
      <vt:lpstr>A1A4</vt:lpstr>
      <vt:lpstr>A2A1</vt:lpstr>
      <vt:lpstr>A2A3</vt:lpstr>
      <vt:lpstr>A2A4</vt:lpstr>
      <vt:lpstr>A3A1</vt:lpstr>
      <vt:lpstr>A3A2</vt:lpstr>
      <vt:lpstr>A3A4</vt:lpstr>
      <vt:lpstr>A4A1</vt:lpstr>
      <vt:lpstr>A4A2</vt:lpstr>
      <vt:lpstr>A4A3</vt:lpstr>
      <vt:lpstr>AC1C2</vt:lpstr>
      <vt:lpstr>AC1C3</vt:lpstr>
      <vt:lpstr>AC1C4</vt:lpstr>
      <vt:lpstr>AC2C1</vt:lpstr>
      <vt:lpstr>AC2C3</vt:lpstr>
      <vt:lpstr>AC2C4</vt:lpstr>
      <vt:lpstr>AC3C1</vt:lpstr>
      <vt:lpstr>AC3C2</vt:lpstr>
      <vt:lpstr>AC3C4</vt:lpstr>
      <vt:lpstr>AC4C1</vt:lpstr>
      <vt:lpstr>AC4C2</vt:lpstr>
      <vt:lpstr>AC4C3</vt:lpstr>
      <vt:lpstr>B1B2</vt:lpstr>
      <vt:lpstr>B1B3</vt:lpstr>
      <vt:lpstr>B1B4</vt:lpstr>
      <vt:lpstr>B2B1</vt:lpstr>
      <vt:lpstr>B2B3</vt:lpstr>
      <vt:lpstr>B2B4</vt:lpstr>
      <vt:lpstr>B3B1</vt:lpstr>
      <vt:lpstr>B3B2</vt:lpstr>
      <vt:lpstr>B3B4</vt:lpstr>
      <vt:lpstr>B4B1</vt:lpstr>
      <vt:lpstr>B4B2</vt:lpstr>
      <vt:lpstr>B4B3</vt:lpstr>
      <vt:lpstr>BIGQ11</vt:lpstr>
      <vt:lpstr>BIGQ12</vt:lpstr>
      <vt:lpstr>BIGQ21</vt:lpstr>
      <vt:lpstr>BIGQ22</vt:lpstr>
      <vt:lpstr>BIGQ31</vt:lpstr>
      <vt:lpstr>BIGQ32</vt:lpstr>
      <vt:lpstr>BIGQ41</vt:lpstr>
      <vt:lpstr>BIGQ42</vt:lpstr>
      <vt:lpstr>Cities</vt:lpstr>
      <vt:lpstr>Countries</vt:lpstr>
      <vt:lpstr>D1D2</vt:lpstr>
      <vt:lpstr>D1D3</vt:lpstr>
      <vt:lpstr>D1D4</vt:lpstr>
      <vt:lpstr>D2D1</vt:lpstr>
      <vt:lpstr>D2D3</vt:lpstr>
      <vt:lpstr>D2D4</vt:lpstr>
      <vt:lpstr>D3D1</vt:lpstr>
      <vt:lpstr>D3D2</vt:lpstr>
      <vt:lpstr>D3D4</vt:lpstr>
      <vt:lpstr>D4D1</vt:lpstr>
      <vt:lpstr>D4D2</vt:lpstr>
      <vt:lpstr>D4D3</vt:lpstr>
      <vt:lpstr>E1E2</vt:lpstr>
      <vt:lpstr>E1E3</vt:lpstr>
      <vt:lpstr>E1E4</vt:lpstr>
      <vt:lpstr>E2E1</vt:lpstr>
      <vt:lpstr>E2E3</vt:lpstr>
      <vt:lpstr>E2E4</vt:lpstr>
      <vt:lpstr>E3E1</vt:lpstr>
      <vt:lpstr>E3E2</vt:lpstr>
      <vt:lpstr>E3E4</vt:lpstr>
      <vt:lpstr>E4E1</vt:lpstr>
      <vt:lpstr>E4E2</vt:lpstr>
      <vt:lpstr>E4E3</vt:lpstr>
      <vt:lpstr>F1F2</vt:lpstr>
      <vt:lpstr>F1F3</vt:lpstr>
      <vt:lpstr>F1F4</vt:lpstr>
      <vt:lpstr>F2F1</vt:lpstr>
      <vt:lpstr>F2F3</vt:lpstr>
      <vt:lpstr>F2F4</vt:lpstr>
      <vt:lpstr>F3F1</vt:lpstr>
      <vt:lpstr>F3F2</vt:lpstr>
      <vt:lpstr>F3F4</vt:lpstr>
      <vt:lpstr>F4F1</vt:lpstr>
      <vt:lpstr>F4F2</vt:lpstr>
      <vt:lpstr>F4F3</vt:lpstr>
      <vt:lpstr>FINAL11</vt:lpstr>
      <vt:lpstr>FINAL12</vt:lpstr>
      <vt:lpstr>G1G2</vt:lpstr>
      <vt:lpstr>G1G3</vt:lpstr>
      <vt:lpstr>G1G4</vt:lpstr>
      <vt:lpstr>G2G1</vt:lpstr>
      <vt:lpstr>G2G3</vt:lpstr>
      <vt:lpstr>G2G4</vt:lpstr>
      <vt:lpstr>G3G1</vt:lpstr>
      <vt:lpstr>G3G2</vt:lpstr>
      <vt:lpstr>G3G4</vt:lpstr>
      <vt:lpstr>G4G1</vt:lpstr>
      <vt:lpstr>G4G2</vt:lpstr>
      <vt:lpstr>G4G3</vt:lpstr>
      <vt:lpstr>H1H2</vt:lpstr>
      <vt:lpstr>H1H3</vt:lpstr>
      <vt:lpstr>H1H4</vt:lpstr>
      <vt:lpstr>H2H1</vt:lpstr>
      <vt:lpstr>H2H3</vt:lpstr>
      <vt:lpstr>H2H4</vt:lpstr>
      <vt:lpstr>H3H1</vt:lpstr>
      <vt:lpstr>H3H2</vt:lpstr>
      <vt:lpstr>H3H4</vt:lpstr>
      <vt:lpstr>H4H1</vt:lpstr>
      <vt:lpstr>H4H2</vt:lpstr>
      <vt:lpstr>H4H3</vt:lpstr>
      <vt:lpstr>'Group Stages'!Print_Area</vt:lpstr>
      <vt:lpstr>'Knock Out Stages'!Print_Area</vt:lpstr>
      <vt:lpstr>Tournament!Print_Area</vt:lpstr>
      <vt:lpstr>QUFI11</vt:lpstr>
      <vt:lpstr>QUFI12</vt:lpstr>
      <vt:lpstr>QUFI21</vt:lpstr>
      <vt:lpstr>QUFI22</vt:lpstr>
      <vt:lpstr>QUFI31</vt:lpstr>
      <vt:lpstr>QUFI32</vt:lpstr>
      <vt:lpstr>QUFI41</vt:lpstr>
      <vt:lpstr>QUFI42</vt:lpstr>
      <vt:lpstr>QUFI51</vt:lpstr>
      <vt:lpstr>QUFI52</vt:lpstr>
      <vt:lpstr>QUFI61</vt:lpstr>
      <vt:lpstr>QUFI62</vt:lpstr>
      <vt:lpstr>QUFI71</vt:lpstr>
      <vt:lpstr>QUFI72</vt:lpstr>
      <vt:lpstr>QUFI81</vt:lpstr>
      <vt:lpstr>QUFI82</vt:lpstr>
      <vt:lpstr>SEFI11</vt:lpstr>
      <vt:lpstr>SEFI12</vt:lpstr>
      <vt:lpstr>SEFI21</vt:lpstr>
      <vt:lpstr>SEFI22</vt:lpstr>
      <vt:lpstr>Team</vt:lpstr>
      <vt:lpstr>THIR11</vt:lpstr>
      <vt:lpstr>THIR12</vt:lpstr>
    </vt:vector>
  </TitlesOfParts>
  <Company>Exceltemplate.net</Company>
  <LinksUpToDate>false</LinksUpToDate>
  <SharedDoc>false</SharedDoc>
  <HyperlinkBase>http://exceltemplate.net/</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World Cup 2014 Schedule and Scoresheet</dc:title>
  <dc:creator>R. Musadya</dc:creator>
  <cp:keywords>world cup 2014, world cup 2014 schedule, world cup 2014 spreadsheet</cp:keywords>
  <cp:lastModifiedBy>Agam PC</cp:lastModifiedBy>
  <cp:lastPrinted>2013-11-12T17:48:37Z</cp:lastPrinted>
  <dcterms:created xsi:type="dcterms:W3CDTF">2008-04-13T01:23:18Z</dcterms:created>
  <dcterms:modified xsi:type="dcterms:W3CDTF">2014-06-12T06:46:01Z</dcterms:modified>
  <cp:category>Sport Spreadsheet</cp:category>
</cp:coreProperties>
</file>